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13_ncr:1_{B3EED1F9-FEEB-4CF5-B757-E66C705CC312}" xr6:coauthVersionLast="47" xr6:coauthVersionMax="47" xr10:uidLastSave="{00000000-0000-0000-0000-000000000000}"/>
  <workbookProtection workbookAlgorithmName="SHA-512" workbookHashValue="jMfm0mUIIvaXCz5ZOcAdZ6uVdF1gTyDqreBW7wl6mu3GInt/qGRD0YtChBziZU9W6g8n+6nGL1EKUOzLQPYQaw==" workbookSaltValue="DCdZ16Me+FLDJE1AFJInfw==" workbookSpinCount="100000" lockStructure="1"/>
  <bookViews>
    <workbookView xWindow="2040" yWindow="465" windowWidth="17070" windowHeight="10020" tabRatio="920" xr2:uid="{00000000-000D-0000-FFFF-FFFF00000000}"/>
  </bookViews>
  <sheets>
    <sheet name="Instructions" sheetId="4" r:id="rId1"/>
    <sheet name="Summary" sheetId="45" r:id="rId2"/>
    <sheet name="Fug (1)" sheetId="74" r:id="rId3"/>
    <sheet name="Fug (2)" sheetId="243" r:id="rId4"/>
    <sheet name="Fug (3)" sheetId="244" r:id="rId5"/>
    <sheet name="Fug (4)" sheetId="245" r:id="rId6"/>
    <sheet name="Fug (5)" sheetId="246" r:id="rId7"/>
    <sheet name="Fug (6)" sheetId="247" r:id="rId8"/>
    <sheet name="Fug (7)" sheetId="248" r:id="rId9"/>
    <sheet name="Fug (8)" sheetId="249" r:id="rId10"/>
    <sheet name="Fug (9)" sheetId="250" r:id="rId11"/>
    <sheet name="Fug (10)" sheetId="251" r:id="rId12"/>
    <sheet name="Fug (11)" sheetId="252" r:id="rId13"/>
    <sheet name="Fug (12)" sheetId="253" r:id="rId14"/>
    <sheet name="Fug (13)" sheetId="254" r:id="rId15"/>
    <sheet name="Fug (14)" sheetId="255" r:id="rId16"/>
    <sheet name="Fug (15)" sheetId="256" r:id="rId17"/>
    <sheet name="Fug (16)" sheetId="257" r:id="rId18"/>
    <sheet name="Fug (17)" sheetId="258" r:id="rId19"/>
    <sheet name="Fug (18)" sheetId="259" r:id="rId20"/>
    <sheet name="Fug (19)" sheetId="260" r:id="rId21"/>
    <sheet name="Fug (20)" sheetId="261" r:id="rId22"/>
    <sheet name="Fug (21)" sheetId="262" r:id="rId23"/>
    <sheet name="Fug (22)" sheetId="263" r:id="rId24"/>
    <sheet name="Fug (23)" sheetId="264" r:id="rId25"/>
    <sheet name="Fug (24)" sheetId="265" r:id="rId26"/>
    <sheet name="Fug (25)" sheetId="266" r:id="rId27"/>
    <sheet name="Emission Factors &amp; Control Effs" sheetId="3" r:id="rId28"/>
    <sheet name="Species" sheetId="12" r:id="rId29"/>
    <sheet name="Industry, Components, Service" sheetId="19" r:id="rId30"/>
    <sheet name="LDAR Programs" sheetId="20" r:id="rId31"/>
    <sheet name="Helper Variable and Lists" sheetId="73" r:id="rId32"/>
    <sheet name="Global Warming Potentials" sheetId="72" r:id="rId33"/>
  </sheets>
  <definedNames>
    <definedName name="connector_ldar" localSheetId="2">'Fug (1)'!$B$17</definedName>
    <definedName name="connector_ldar" localSheetId="11">'Fug (10)'!$B$17</definedName>
    <definedName name="connector_ldar" localSheetId="12">'Fug (11)'!$B$17</definedName>
    <definedName name="connector_ldar" localSheetId="13">'Fug (12)'!$B$17</definedName>
    <definedName name="connector_ldar" localSheetId="14">'Fug (13)'!$B$17</definedName>
    <definedName name="connector_ldar" localSheetId="15">'Fug (14)'!$B$17</definedName>
    <definedName name="connector_ldar" localSheetId="16">'Fug (15)'!$B$17</definedName>
    <definedName name="connector_ldar" localSheetId="17">'Fug (16)'!$B$17</definedName>
    <definedName name="connector_ldar" localSheetId="18">'Fug (17)'!$B$17</definedName>
    <definedName name="connector_ldar" localSheetId="19">'Fug (18)'!$B$17</definedName>
    <definedName name="connector_ldar" localSheetId="20">'Fug (19)'!$B$17</definedName>
    <definedName name="connector_ldar" localSheetId="3">'Fug (2)'!$B$17</definedName>
    <definedName name="connector_ldar" localSheetId="21">'Fug (20)'!$B$17</definedName>
    <definedName name="connector_ldar" localSheetId="22">'Fug (21)'!$B$17</definedName>
    <definedName name="connector_ldar" localSheetId="23">'Fug (22)'!$B$17</definedName>
    <definedName name="connector_ldar" localSheetId="24">'Fug (23)'!$B$17</definedName>
    <definedName name="connector_ldar" localSheetId="25">'Fug (24)'!$B$17</definedName>
    <definedName name="connector_ldar" localSheetId="26">'Fug (25)'!$B$17</definedName>
    <definedName name="connector_ldar" localSheetId="4">'Fug (3)'!$B$17</definedName>
    <definedName name="connector_ldar" localSheetId="5">'Fug (4)'!$B$17</definedName>
    <definedName name="connector_ldar" localSheetId="6">'Fug (5)'!$B$17</definedName>
    <definedName name="connector_ldar" localSheetId="7">'Fug (6)'!$B$17</definedName>
    <definedName name="connector_ldar" localSheetId="8">'Fug (7)'!$B$17</definedName>
    <definedName name="connector_ldar" localSheetId="9">'Fug (8)'!$B$17</definedName>
    <definedName name="connector_ldar" localSheetId="10">'Fug (9)'!$B$17</definedName>
    <definedName name="connector_ldar_list" localSheetId="2">_xlfn.ANCHORARRAY('Fug (1)'!$B$232)</definedName>
    <definedName name="connector_ldar_list" localSheetId="11">_xlfn.ANCHORARRAY('Fug (10)'!$B$232)</definedName>
    <definedName name="connector_ldar_list" localSheetId="12">_xlfn.ANCHORARRAY('Fug (11)'!$B$232)</definedName>
    <definedName name="connector_ldar_list" localSheetId="13">_xlfn.ANCHORARRAY('Fug (12)'!$B$232)</definedName>
    <definedName name="connector_ldar_list" localSheetId="14">_xlfn.ANCHORARRAY('Fug (13)'!$B$232)</definedName>
    <definedName name="connector_ldar_list" localSheetId="15">_xlfn.ANCHORARRAY('Fug (14)'!$B$232)</definedName>
    <definedName name="connector_ldar_list" localSheetId="16">_xlfn.ANCHORARRAY('Fug (15)'!$B$232)</definedName>
    <definedName name="connector_ldar_list" localSheetId="17">_xlfn.ANCHORARRAY('Fug (16)'!$B$232)</definedName>
    <definedName name="connector_ldar_list" localSheetId="18">_xlfn.ANCHORARRAY('Fug (17)'!$B$232)</definedName>
    <definedName name="connector_ldar_list" localSheetId="19">_xlfn.ANCHORARRAY('Fug (18)'!$B$232)</definedName>
    <definedName name="connector_ldar_list" localSheetId="20">_xlfn.ANCHORARRAY('Fug (19)'!$B$232)</definedName>
    <definedName name="connector_ldar_list" localSheetId="3">_xlfn.ANCHORARRAY('Fug (2)'!$B$232)</definedName>
    <definedName name="connector_ldar_list" localSheetId="21">_xlfn.ANCHORARRAY('Fug (20)'!$B$232)</definedName>
    <definedName name="connector_ldar_list" localSheetId="22">_xlfn.ANCHORARRAY('Fug (21)'!$B$232)</definedName>
    <definedName name="connector_ldar_list" localSheetId="23">_xlfn.ANCHORARRAY('Fug (22)'!$B$232)</definedName>
    <definedName name="connector_ldar_list" localSheetId="24">_xlfn.ANCHORARRAY('Fug (23)'!$B$232)</definedName>
    <definedName name="connector_ldar_list" localSheetId="25">_xlfn.ANCHORARRAY('Fug (24)'!$B$232)</definedName>
    <definedName name="connector_ldar_list" localSheetId="26">_xlfn.ANCHORARRAY('Fug (25)'!$B$232)</definedName>
    <definedName name="connector_ldar_list" localSheetId="4">_xlfn.ANCHORARRAY('Fug (3)'!$B$232)</definedName>
    <definedName name="connector_ldar_list" localSheetId="5">_xlfn.ANCHORARRAY('Fug (4)'!$B$232)</definedName>
    <definedName name="connector_ldar_list" localSheetId="6">_xlfn.ANCHORARRAY('Fug (5)'!$B$232)</definedName>
    <definedName name="connector_ldar_list" localSheetId="7">_xlfn.ANCHORARRAY('Fug (6)'!$B$232)</definedName>
    <definedName name="connector_ldar_list" localSheetId="8">_xlfn.ANCHORARRAY('Fug (7)'!$B$232)</definedName>
    <definedName name="connector_ldar_list" localSheetId="9">_xlfn.ANCHORARRAY('Fug (8)'!$B$232)</definedName>
    <definedName name="connector_ldar_list" localSheetId="10">_xlfn.ANCHORARRAY('Fug (9)'!$B$232)</definedName>
    <definedName name="EPN" localSheetId="2">'Fug (1)'!$B$8</definedName>
    <definedName name="EPN" localSheetId="11">'Fug (10)'!$B$8</definedName>
    <definedName name="EPN" localSheetId="12">'Fug (11)'!$B$8</definedName>
    <definedName name="EPN" localSheetId="13">'Fug (12)'!$B$8</definedName>
    <definedName name="EPN" localSheetId="14">'Fug (13)'!$B$8</definedName>
    <definedName name="EPN" localSheetId="15">'Fug (14)'!$B$8</definedName>
    <definedName name="EPN" localSheetId="16">'Fug (15)'!$B$8</definedName>
    <definedName name="EPN" localSheetId="17">'Fug (16)'!$B$8</definedName>
    <definedName name="EPN" localSheetId="18">'Fug (17)'!$B$8</definedName>
    <definedName name="EPN" localSheetId="19">'Fug (18)'!$B$8</definedName>
    <definedName name="EPN" localSheetId="20">'Fug (19)'!$B$8</definedName>
    <definedName name="EPN" localSheetId="3">'Fug (2)'!$B$8</definedName>
    <definedName name="EPN" localSheetId="21">'Fug (20)'!$B$8</definedName>
    <definedName name="EPN" localSheetId="22">'Fug (21)'!$B$8</definedName>
    <definedName name="EPN" localSheetId="23">'Fug (22)'!$B$8</definedName>
    <definedName name="EPN" localSheetId="24">'Fug (23)'!$B$8</definedName>
    <definedName name="EPN" localSheetId="25">'Fug (24)'!$B$8</definedName>
    <definedName name="EPN" localSheetId="26">'Fug (25)'!$B$8</definedName>
    <definedName name="EPN" localSheetId="4">'Fug (3)'!$B$8</definedName>
    <definedName name="EPN" localSheetId="5">'Fug (4)'!$B$8</definedName>
    <definedName name="EPN" localSheetId="6">'Fug (5)'!$B$8</definedName>
    <definedName name="EPN" localSheetId="7">'Fug (6)'!$B$8</definedName>
    <definedName name="EPN" localSheetId="8">'Fug (7)'!$B$8</definedName>
    <definedName name="EPN" localSheetId="9">'Fug (8)'!$B$8</definedName>
    <definedName name="EPN" localSheetId="10">'Fug (9)'!$B$8</definedName>
    <definedName name="EPN">#REF!</definedName>
    <definedName name="gwp_table_cas" localSheetId="2">gwp_table[CAS No.]</definedName>
    <definedName name="gwp_table_cas" localSheetId="11">gwp_table[CAS No.]</definedName>
    <definedName name="gwp_table_cas" localSheetId="12">gwp_table[CAS No.]</definedName>
    <definedName name="gwp_table_cas" localSheetId="13">gwp_table[CAS No.]</definedName>
    <definedName name="gwp_table_cas" localSheetId="14">gwp_table[CAS No.]</definedName>
    <definedName name="gwp_table_cas" localSheetId="15">gwp_table[CAS No.]</definedName>
    <definedName name="gwp_table_cas" localSheetId="16">gwp_table[CAS No.]</definedName>
    <definedName name="gwp_table_cas" localSheetId="17">gwp_table[CAS No.]</definedName>
    <definedName name="gwp_table_cas" localSheetId="18">gwp_table[CAS No.]</definedName>
    <definedName name="gwp_table_cas" localSheetId="19">gwp_table[CAS No.]</definedName>
    <definedName name="gwp_table_cas" localSheetId="20">gwp_table[CAS No.]</definedName>
    <definedName name="gwp_table_cas" localSheetId="3">gwp_table[CAS No.]</definedName>
    <definedName name="gwp_table_cas" localSheetId="21">gwp_table[CAS No.]</definedName>
    <definedName name="gwp_table_cas" localSheetId="22">gwp_table[CAS No.]</definedName>
    <definedName name="gwp_table_cas" localSheetId="23">gwp_table[CAS No.]</definedName>
    <definedName name="gwp_table_cas" localSheetId="24">gwp_table[CAS No.]</definedName>
    <definedName name="gwp_table_cas" localSheetId="25">gwp_table[CAS No.]</definedName>
    <definedName name="gwp_table_cas" localSheetId="26">gwp_table[CAS No.]</definedName>
    <definedName name="gwp_table_cas" localSheetId="4">gwp_table[CAS No.]</definedName>
    <definedName name="gwp_table_cas" localSheetId="5">gwp_table[CAS No.]</definedName>
    <definedName name="gwp_table_cas" localSheetId="6">gwp_table[CAS No.]</definedName>
    <definedName name="gwp_table_cas" localSheetId="7">gwp_table[CAS No.]</definedName>
    <definedName name="gwp_table_cas" localSheetId="8">gwp_table[CAS No.]</definedName>
    <definedName name="gwp_table_cas" localSheetId="9">gwp_table[CAS No.]</definedName>
    <definedName name="gwp_table_cas" localSheetId="10">gwp_table[CAS No.]</definedName>
    <definedName name="industry_names" localSheetId="2">industry_column_names[Industry]</definedName>
    <definedName name="industry_names" localSheetId="11">industry_column_names[Industry]</definedName>
    <definedName name="industry_names" localSheetId="12">industry_column_names[Industry]</definedName>
    <definedName name="industry_names" localSheetId="13">industry_column_names[Industry]</definedName>
    <definedName name="industry_names" localSheetId="14">industry_column_names[Industry]</definedName>
    <definedName name="industry_names" localSheetId="15">industry_column_names[Industry]</definedName>
    <definedName name="industry_names" localSheetId="16">industry_column_names[Industry]</definedName>
    <definedName name="industry_names" localSheetId="17">industry_column_names[Industry]</definedName>
    <definedName name="industry_names" localSheetId="18">industry_column_names[Industry]</definedName>
    <definedName name="industry_names" localSheetId="19">industry_column_names[Industry]</definedName>
    <definedName name="industry_names" localSheetId="20">industry_column_names[Industry]</definedName>
    <definedName name="industry_names" localSheetId="3">industry_column_names[Industry]</definedName>
    <definedName name="industry_names" localSheetId="21">industry_column_names[Industry]</definedName>
    <definedName name="industry_names" localSheetId="22">industry_column_names[Industry]</definedName>
    <definedName name="industry_names" localSheetId="23">industry_column_names[Industry]</definedName>
    <definedName name="industry_names" localSheetId="24">industry_column_names[Industry]</definedName>
    <definedName name="industry_names" localSheetId="25">industry_column_names[Industry]</definedName>
    <definedName name="industry_names" localSheetId="26">industry_column_names[Industry]</definedName>
    <definedName name="industry_names" localSheetId="4">industry_column_names[Industry]</definedName>
    <definedName name="industry_names" localSheetId="5">industry_column_names[Industry]</definedName>
    <definedName name="industry_names" localSheetId="6">industry_column_names[Industry]</definedName>
    <definedName name="industry_names" localSheetId="7">industry_column_names[Industry]</definedName>
    <definedName name="industry_names" localSheetId="8">industry_column_names[Industry]</definedName>
    <definedName name="industry_names" localSheetId="9">industry_column_names[Industry]</definedName>
    <definedName name="industry_names" localSheetId="10">industry_column_names[Industry]</definedName>
    <definedName name="industry_type" localSheetId="2">'Fug (1)'!$B$13</definedName>
    <definedName name="industry_type" localSheetId="11">'Fug (10)'!$B$13</definedName>
    <definedName name="industry_type" localSheetId="12">'Fug (11)'!$B$13</definedName>
    <definedName name="industry_type" localSheetId="13">'Fug (12)'!$B$13</definedName>
    <definedName name="industry_type" localSheetId="14">'Fug (13)'!$B$13</definedName>
    <definedName name="industry_type" localSheetId="15">'Fug (14)'!$B$13</definedName>
    <definedName name="industry_type" localSheetId="16">'Fug (15)'!$B$13</definedName>
    <definedName name="industry_type" localSheetId="17">'Fug (16)'!$B$13</definedName>
    <definedName name="industry_type" localSheetId="18">'Fug (17)'!$B$13</definedName>
    <definedName name="industry_type" localSheetId="19">'Fug (18)'!$B$13</definedName>
    <definedName name="industry_type" localSheetId="20">'Fug (19)'!$B$13</definedName>
    <definedName name="industry_type" localSheetId="3">'Fug (2)'!$B$13</definedName>
    <definedName name="industry_type" localSheetId="21">'Fug (20)'!$B$13</definedName>
    <definedName name="industry_type" localSheetId="22">'Fug (21)'!$B$13</definedName>
    <definedName name="industry_type" localSheetId="23">'Fug (22)'!$B$13</definedName>
    <definedName name="industry_type" localSheetId="24">'Fug (23)'!$B$13</definedName>
    <definedName name="industry_type" localSheetId="25">'Fug (24)'!$B$13</definedName>
    <definedName name="industry_type" localSheetId="26">'Fug (25)'!$B$13</definedName>
    <definedName name="industry_type" localSheetId="4">'Fug (3)'!$B$13</definedName>
    <definedName name="industry_type" localSheetId="5">'Fug (4)'!$B$13</definedName>
    <definedName name="industry_type" localSheetId="6">'Fug (5)'!$B$13</definedName>
    <definedName name="industry_type" localSheetId="7">'Fug (6)'!$B$13</definedName>
    <definedName name="industry_type" localSheetId="8">'Fug (7)'!$B$13</definedName>
    <definedName name="industry_type" localSheetId="9">'Fug (8)'!$B$13</definedName>
    <definedName name="industry_type" localSheetId="10">'Fug (9)'!$B$13</definedName>
    <definedName name="inspection_ldar" localSheetId="2">'Fug (1)'!$B$18</definedName>
    <definedName name="inspection_ldar" localSheetId="11">'Fug (10)'!$B$18</definedName>
    <definedName name="inspection_ldar" localSheetId="12">'Fug (11)'!$B$18</definedName>
    <definedName name="inspection_ldar" localSheetId="13">'Fug (12)'!$B$18</definedName>
    <definedName name="inspection_ldar" localSheetId="14">'Fug (13)'!$B$18</definedName>
    <definedName name="inspection_ldar" localSheetId="15">'Fug (14)'!$B$18</definedName>
    <definedName name="inspection_ldar" localSheetId="16">'Fug (15)'!$B$18</definedName>
    <definedName name="inspection_ldar" localSheetId="17">'Fug (16)'!$B$18</definedName>
    <definedName name="inspection_ldar" localSheetId="18">'Fug (17)'!$B$18</definedName>
    <definedName name="inspection_ldar" localSheetId="19">'Fug (18)'!$B$18</definedName>
    <definedName name="inspection_ldar" localSheetId="20">'Fug (19)'!$B$18</definedName>
    <definedName name="inspection_ldar" localSheetId="3">'Fug (2)'!$B$18</definedName>
    <definedName name="inspection_ldar" localSheetId="21">'Fug (20)'!$B$18</definedName>
    <definedName name="inspection_ldar" localSheetId="22">'Fug (21)'!$B$18</definedName>
    <definedName name="inspection_ldar" localSheetId="23">'Fug (22)'!$B$18</definedName>
    <definedName name="inspection_ldar" localSheetId="24">'Fug (23)'!$B$18</definedName>
    <definedName name="inspection_ldar" localSheetId="25">'Fug (24)'!$B$18</definedName>
    <definedName name="inspection_ldar" localSheetId="26">'Fug (25)'!$B$18</definedName>
    <definedName name="inspection_ldar" localSheetId="4">'Fug (3)'!$B$18</definedName>
    <definedName name="inspection_ldar" localSheetId="5">'Fug (4)'!$B$18</definedName>
    <definedName name="inspection_ldar" localSheetId="6">'Fug (5)'!$B$18</definedName>
    <definedName name="inspection_ldar" localSheetId="7">'Fug (6)'!$B$18</definedName>
    <definedName name="inspection_ldar" localSheetId="8">'Fug (7)'!$B$18</definedName>
    <definedName name="inspection_ldar" localSheetId="9">'Fug (8)'!$B$18</definedName>
    <definedName name="inspection_ldar" localSheetId="10">'Fug (9)'!$B$18</definedName>
    <definedName name="inspection_ldar_list" localSheetId="2">_xlfn.ANCHORARRAY('Fug (1)'!$C$232)</definedName>
    <definedName name="inspection_ldar_list" localSheetId="11">_xlfn.ANCHORARRAY('Fug (10)'!$C$232)</definedName>
    <definedName name="inspection_ldar_list" localSheetId="12">_xlfn.ANCHORARRAY('Fug (11)'!$C$232)</definedName>
    <definedName name="inspection_ldar_list" localSheetId="13">_xlfn.ANCHORARRAY('Fug (12)'!$C$232)</definedName>
    <definedName name="inspection_ldar_list" localSheetId="14">_xlfn.ANCHORARRAY('Fug (13)'!$C$232)</definedName>
    <definedName name="inspection_ldar_list" localSheetId="15">_xlfn.ANCHORARRAY('Fug (14)'!$C$232)</definedName>
    <definedName name="inspection_ldar_list" localSheetId="16">_xlfn.ANCHORARRAY('Fug (15)'!$C$232)</definedName>
    <definedName name="inspection_ldar_list" localSheetId="17">_xlfn.ANCHORARRAY('Fug (16)'!$C$232)</definedName>
    <definedName name="inspection_ldar_list" localSheetId="18">_xlfn.ANCHORARRAY('Fug (17)'!$C$232)</definedName>
    <definedName name="inspection_ldar_list" localSheetId="19">_xlfn.ANCHORARRAY('Fug (18)'!$C$232)</definedName>
    <definedName name="inspection_ldar_list" localSheetId="20">_xlfn.ANCHORARRAY('Fug (19)'!$C$232)</definedName>
    <definedName name="inspection_ldar_list" localSheetId="3">_xlfn.ANCHORARRAY('Fug (2)'!$C$232)</definedName>
    <definedName name="inspection_ldar_list" localSheetId="21">_xlfn.ANCHORARRAY('Fug (20)'!$C$232)</definedName>
    <definedName name="inspection_ldar_list" localSheetId="22">_xlfn.ANCHORARRAY('Fug (21)'!$C$232)</definedName>
    <definedName name="inspection_ldar_list" localSheetId="23">_xlfn.ANCHORARRAY('Fug (22)'!$C$232)</definedName>
    <definedName name="inspection_ldar_list" localSheetId="24">_xlfn.ANCHORARRAY('Fug (23)'!$C$232)</definedName>
    <definedName name="inspection_ldar_list" localSheetId="25">_xlfn.ANCHORARRAY('Fug (24)'!$C$232)</definedName>
    <definedName name="inspection_ldar_list" localSheetId="26">_xlfn.ANCHORARRAY('Fug (25)'!$C$232)</definedName>
    <definedName name="inspection_ldar_list" localSheetId="4">_xlfn.ANCHORARRAY('Fug (3)'!$C$232)</definedName>
    <definedName name="inspection_ldar_list" localSheetId="5">_xlfn.ANCHORARRAY('Fug (4)'!$C$232)</definedName>
    <definedName name="inspection_ldar_list" localSheetId="6">_xlfn.ANCHORARRAY('Fug (5)'!$C$232)</definedName>
    <definedName name="inspection_ldar_list" localSheetId="7">_xlfn.ANCHORARRAY('Fug (6)'!$C$232)</definedName>
    <definedName name="inspection_ldar_list" localSheetId="8">_xlfn.ANCHORARRAY('Fug (7)'!$C$232)</definedName>
    <definedName name="inspection_ldar_list" localSheetId="9">_xlfn.ANCHORARRAY('Fug (8)'!$C$232)</definedName>
    <definedName name="inspection_ldar_list" localSheetId="10">_xlfn.ANCHORARRAY('Fug (9)'!$C$232)</definedName>
    <definedName name="inst_ldar_dropdown" localSheetId="2">_xlfn.ANCHORARRAY('Fug (1)'!$H$217)</definedName>
    <definedName name="inst_ldar_dropdown" localSheetId="11">_xlfn.ANCHORARRAY('Fug (10)'!$H$217)</definedName>
    <definedName name="inst_ldar_dropdown" localSheetId="12">_xlfn.ANCHORARRAY('Fug (11)'!$H$217)</definedName>
    <definedName name="inst_ldar_dropdown" localSheetId="13">_xlfn.ANCHORARRAY('Fug (12)'!$H$217)</definedName>
    <definedName name="inst_ldar_dropdown" localSheetId="14">_xlfn.ANCHORARRAY('Fug (13)'!$H$217)</definedName>
    <definedName name="inst_ldar_dropdown" localSheetId="15">_xlfn.ANCHORARRAY('Fug (14)'!$H$217)</definedName>
    <definedName name="inst_ldar_dropdown" localSheetId="16">_xlfn.ANCHORARRAY('Fug (15)'!$H$217)</definedName>
    <definedName name="inst_ldar_dropdown" localSheetId="17">_xlfn.ANCHORARRAY('Fug (16)'!$H$217)</definedName>
    <definedName name="inst_ldar_dropdown" localSheetId="18">_xlfn.ANCHORARRAY('Fug (17)'!$H$217)</definedName>
    <definedName name="inst_ldar_dropdown" localSheetId="19">_xlfn.ANCHORARRAY('Fug (18)'!$H$217)</definedName>
    <definedName name="inst_ldar_dropdown" localSheetId="20">_xlfn.ANCHORARRAY('Fug (19)'!$H$217)</definedName>
    <definedName name="inst_ldar_dropdown" localSheetId="3">_xlfn.ANCHORARRAY('Fug (2)'!$H$217)</definedName>
    <definedName name="inst_ldar_dropdown" localSheetId="21">_xlfn.ANCHORARRAY('Fug (20)'!$H$217)</definedName>
    <definedName name="inst_ldar_dropdown" localSheetId="22">_xlfn.ANCHORARRAY('Fug (21)'!$H$217)</definedName>
    <definedName name="inst_ldar_dropdown" localSheetId="23">_xlfn.ANCHORARRAY('Fug (22)'!$H$217)</definedName>
    <definedName name="inst_ldar_dropdown" localSheetId="24">_xlfn.ANCHORARRAY('Fug (23)'!$H$217)</definedName>
    <definedName name="inst_ldar_dropdown" localSheetId="25">_xlfn.ANCHORARRAY('Fug (24)'!$H$217)</definedName>
    <definedName name="inst_ldar_dropdown" localSheetId="26">_xlfn.ANCHORARRAY('Fug (25)'!$H$217)</definedName>
    <definedName name="inst_ldar_dropdown" localSheetId="4">_xlfn.ANCHORARRAY('Fug (3)'!$H$217)</definedName>
    <definedName name="inst_ldar_dropdown" localSheetId="5">_xlfn.ANCHORARRAY('Fug (4)'!$H$217)</definedName>
    <definedName name="inst_ldar_dropdown" localSheetId="6">_xlfn.ANCHORARRAY('Fug (5)'!$H$217)</definedName>
    <definedName name="inst_ldar_dropdown" localSheetId="7">_xlfn.ANCHORARRAY('Fug (6)'!$H$217)</definedName>
    <definedName name="inst_ldar_dropdown" localSheetId="8">_xlfn.ANCHORARRAY('Fug (7)'!$H$217)</definedName>
    <definedName name="inst_ldar_dropdown" localSheetId="9">_xlfn.ANCHORARRAY('Fug (8)'!$H$217)</definedName>
    <definedName name="inst_ldar_dropdown" localSheetId="10">_xlfn.ANCHORARRAY('Fug (9)'!$H$217)</definedName>
    <definedName name="inst_ldar_list" localSheetId="2">_xlfn.ANCHORARRAY('Fug (1)'!$C$232)</definedName>
    <definedName name="inst_ldar_list" localSheetId="11">_xlfn.ANCHORARRAY('Fug (10)'!$C$232)</definedName>
    <definedName name="inst_ldar_list" localSheetId="12">_xlfn.ANCHORARRAY('Fug (11)'!$C$232)</definedName>
    <definedName name="inst_ldar_list" localSheetId="13">_xlfn.ANCHORARRAY('Fug (12)'!$C$232)</definedName>
    <definedName name="inst_ldar_list" localSheetId="14">_xlfn.ANCHORARRAY('Fug (13)'!$C$232)</definedName>
    <definedName name="inst_ldar_list" localSheetId="15">_xlfn.ANCHORARRAY('Fug (14)'!$C$232)</definedName>
    <definedName name="inst_ldar_list" localSheetId="16">_xlfn.ANCHORARRAY('Fug (15)'!$C$232)</definedName>
    <definedName name="inst_ldar_list" localSheetId="17">_xlfn.ANCHORARRAY('Fug (16)'!$C$232)</definedName>
    <definedName name="inst_ldar_list" localSheetId="18">_xlfn.ANCHORARRAY('Fug (17)'!$C$232)</definedName>
    <definedName name="inst_ldar_list" localSheetId="19">_xlfn.ANCHORARRAY('Fug (18)'!$C$232)</definedName>
    <definedName name="inst_ldar_list" localSheetId="20">_xlfn.ANCHORARRAY('Fug (19)'!$C$232)</definedName>
    <definedName name="inst_ldar_list" localSheetId="3">_xlfn.ANCHORARRAY('Fug (2)'!$C$232)</definedName>
    <definedName name="inst_ldar_list" localSheetId="21">_xlfn.ANCHORARRAY('Fug (20)'!$C$232)</definedName>
    <definedName name="inst_ldar_list" localSheetId="22">_xlfn.ANCHORARRAY('Fug (21)'!$C$232)</definedName>
    <definedName name="inst_ldar_list" localSheetId="23">_xlfn.ANCHORARRAY('Fug (22)'!$C$232)</definedName>
    <definedName name="inst_ldar_list" localSheetId="24">_xlfn.ANCHORARRAY('Fug (23)'!$C$232)</definedName>
    <definedName name="inst_ldar_list" localSheetId="25">_xlfn.ANCHORARRAY('Fug (24)'!$C$232)</definedName>
    <definedName name="inst_ldar_list" localSheetId="26">_xlfn.ANCHORARRAY('Fug (25)'!$C$232)</definedName>
    <definedName name="inst_ldar_list" localSheetId="4">_xlfn.ANCHORARRAY('Fug (3)'!$C$232)</definedName>
    <definedName name="inst_ldar_list" localSheetId="5">_xlfn.ANCHORARRAY('Fug (4)'!$C$232)</definedName>
    <definedName name="inst_ldar_list" localSheetId="6">_xlfn.ANCHORARRAY('Fug (5)'!$C$232)</definedName>
    <definedName name="inst_ldar_list" localSheetId="7">_xlfn.ANCHORARRAY('Fug (6)'!$C$232)</definedName>
    <definedName name="inst_ldar_list" localSheetId="8">_xlfn.ANCHORARRAY('Fug (7)'!$C$232)</definedName>
    <definedName name="inst_ldar_list" localSheetId="9">_xlfn.ANCHORARRAY('Fug (8)'!$C$232)</definedName>
    <definedName name="inst_ldar_list" localSheetId="10">_xlfn.ANCHORARRAY('Fug (9)'!$C$232)</definedName>
    <definedName name="instrument_ldar" localSheetId="2">'Fug (1)'!$B$16</definedName>
    <definedName name="instrument_ldar" localSheetId="11">'Fug (10)'!$B$16</definedName>
    <definedName name="instrument_ldar" localSheetId="12">'Fug (11)'!$B$16</definedName>
    <definedName name="instrument_ldar" localSheetId="13">'Fug (12)'!$B$16</definedName>
    <definedName name="instrument_ldar" localSheetId="14">'Fug (13)'!$B$16</definedName>
    <definedName name="instrument_ldar" localSheetId="15">'Fug (14)'!$B$16</definedName>
    <definedName name="instrument_ldar" localSheetId="16">'Fug (15)'!$B$16</definedName>
    <definedName name="instrument_ldar" localSheetId="17">'Fug (16)'!$B$16</definedName>
    <definedName name="instrument_ldar" localSheetId="18">'Fug (17)'!$B$16</definedName>
    <definedName name="instrument_ldar" localSheetId="19">'Fug (18)'!$B$16</definedName>
    <definedName name="instrument_ldar" localSheetId="20">'Fug (19)'!$B$16</definedName>
    <definedName name="instrument_ldar" localSheetId="3">'Fug (2)'!$B$16</definedName>
    <definedName name="instrument_ldar" localSheetId="21">'Fug (20)'!$B$16</definedName>
    <definedName name="instrument_ldar" localSheetId="22">'Fug (21)'!$B$16</definedName>
    <definedName name="instrument_ldar" localSheetId="23">'Fug (22)'!$B$16</definedName>
    <definedName name="instrument_ldar" localSheetId="24">'Fug (23)'!$B$16</definedName>
    <definedName name="instrument_ldar" localSheetId="25">'Fug (24)'!$B$16</definedName>
    <definedName name="instrument_ldar" localSheetId="26">'Fug (25)'!$B$16</definedName>
    <definedName name="instrument_ldar" localSheetId="4">'Fug (3)'!$B$16</definedName>
    <definedName name="instrument_ldar" localSheetId="5">'Fug (4)'!$B$16</definedName>
    <definedName name="instrument_ldar" localSheetId="6">'Fug (5)'!$B$16</definedName>
    <definedName name="instrument_ldar" localSheetId="7">'Fug (6)'!$B$16</definedName>
    <definedName name="instrument_ldar" localSheetId="8">'Fug (7)'!$B$16</definedName>
    <definedName name="instrument_ldar" localSheetId="9">'Fug (8)'!$B$16</definedName>
    <definedName name="instrument_ldar" localSheetId="10">'Fug (9)'!$B$16</definedName>
    <definedName name="instrument_ldar_list" localSheetId="2">_xlfn.ANCHORARRAY('Fug (1)'!$A$232)</definedName>
    <definedName name="instrument_ldar_list" localSheetId="11">_xlfn.ANCHORARRAY('Fug (10)'!$A$232)</definedName>
    <definedName name="instrument_ldar_list" localSheetId="12">_xlfn.ANCHORARRAY('Fug (11)'!$A$232)</definedName>
    <definedName name="instrument_ldar_list" localSheetId="13">_xlfn.ANCHORARRAY('Fug (12)'!$A$232)</definedName>
    <definedName name="instrument_ldar_list" localSheetId="14">_xlfn.ANCHORARRAY('Fug (13)'!$A$232)</definedName>
    <definedName name="instrument_ldar_list" localSheetId="15">_xlfn.ANCHORARRAY('Fug (14)'!$A$232)</definedName>
    <definedName name="instrument_ldar_list" localSheetId="16">_xlfn.ANCHORARRAY('Fug (15)'!$A$232)</definedName>
    <definedName name="instrument_ldar_list" localSheetId="17">_xlfn.ANCHORARRAY('Fug (16)'!$A$232)</definedName>
    <definedName name="instrument_ldar_list" localSheetId="18">_xlfn.ANCHORARRAY('Fug (17)'!$A$232)</definedName>
    <definedName name="instrument_ldar_list" localSheetId="19">_xlfn.ANCHORARRAY('Fug (18)'!$A$232)</definedName>
    <definedName name="instrument_ldar_list" localSheetId="20">_xlfn.ANCHORARRAY('Fug (19)'!$A$232)</definedName>
    <definedName name="instrument_ldar_list" localSheetId="3">_xlfn.ANCHORARRAY('Fug (2)'!$A$232)</definedName>
    <definedName name="instrument_ldar_list" localSheetId="21">_xlfn.ANCHORARRAY('Fug (20)'!$A$232)</definedName>
    <definedName name="instrument_ldar_list" localSheetId="22">_xlfn.ANCHORARRAY('Fug (21)'!$A$232)</definedName>
    <definedName name="instrument_ldar_list" localSheetId="23">_xlfn.ANCHORARRAY('Fug (22)'!$A$232)</definedName>
    <definedName name="instrument_ldar_list" localSheetId="24">_xlfn.ANCHORARRAY('Fug (23)'!$A$232)</definedName>
    <definedName name="instrument_ldar_list" localSheetId="25">_xlfn.ANCHORARRAY('Fug (24)'!$A$232)</definedName>
    <definedName name="instrument_ldar_list" localSheetId="26">_xlfn.ANCHORARRAY('Fug (25)'!$A$232)</definedName>
    <definedName name="instrument_ldar_list" localSheetId="4">_xlfn.ANCHORARRAY('Fug (3)'!$A$232)</definedName>
    <definedName name="instrument_ldar_list" localSheetId="5">_xlfn.ANCHORARRAY('Fug (4)'!$A$232)</definedName>
    <definedName name="instrument_ldar_list" localSheetId="6">_xlfn.ANCHORARRAY('Fug (5)'!$A$232)</definedName>
    <definedName name="instrument_ldar_list" localSheetId="7">_xlfn.ANCHORARRAY('Fug (6)'!$A$232)</definedName>
    <definedName name="instrument_ldar_list" localSheetId="8">_xlfn.ANCHORARRAY('Fug (7)'!$A$232)</definedName>
    <definedName name="instrument_ldar_list" localSheetId="9">_xlfn.ANCHORARRAY('Fug (8)'!$A$232)</definedName>
    <definedName name="instrument_ldar_list" localSheetId="10">_xlfn.ANCHORARRAY('Fug (9)'!$A$232)</definedName>
    <definedName name="ldar_error_msg">'Helper Variable and Lists'!$C$10</definedName>
    <definedName name="leak_ldar_dropdown" localSheetId="2">_xlfn.ANCHORARRAY('Fug (1)'!$F$231)</definedName>
    <definedName name="leak_ldar_dropdown" localSheetId="11">_xlfn.ANCHORARRAY('Fug (10)'!$F$231)</definedName>
    <definedName name="leak_ldar_dropdown" localSheetId="12">_xlfn.ANCHORARRAY('Fug (11)'!$F$231)</definedName>
    <definedName name="leak_ldar_dropdown" localSheetId="13">_xlfn.ANCHORARRAY('Fug (12)'!$F$231)</definedName>
    <definedName name="leak_ldar_dropdown" localSheetId="14">_xlfn.ANCHORARRAY('Fug (13)'!$F$231)</definedName>
    <definedName name="leak_ldar_dropdown" localSheetId="15">_xlfn.ANCHORARRAY('Fug (14)'!$F$231)</definedName>
    <definedName name="leak_ldar_dropdown" localSheetId="16">_xlfn.ANCHORARRAY('Fug (15)'!$F$231)</definedName>
    <definedName name="leak_ldar_dropdown" localSheetId="17">_xlfn.ANCHORARRAY('Fug (16)'!$F$231)</definedName>
    <definedName name="leak_ldar_dropdown" localSheetId="18">_xlfn.ANCHORARRAY('Fug (17)'!$F$231)</definedName>
    <definedName name="leak_ldar_dropdown" localSheetId="19">_xlfn.ANCHORARRAY('Fug (18)'!$F$231)</definedName>
    <definedName name="leak_ldar_dropdown" localSheetId="20">_xlfn.ANCHORARRAY('Fug (19)'!$F$231)</definedName>
    <definedName name="leak_ldar_dropdown" localSheetId="3">_xlfn.ANCHORARRAY('Fug (2)'!$F$231)</definedName>
    <definedName name="leak_ldar_dropdown" localSheetId="21">_xlfn.ANCHORARRAY('Fug (20)'!$F$231)</definedName>
    <definedName name="leak_ldar_dropdown" localSheetId="22">_xlfn.ANCHORARRAY('Fug (21)'!$F$231)</definedName>
    <definedName name="leak_ldar_dropdown" localSheetId="23">_xlfn.ANCHORARRAY('Fug (22)'!$F$231)</definedName>
    <definedName name="leak_ldar_dropdown" localSheetId="24">_xlfn.ANCHORARRAY('Fug (23)'!$F$231)</definedName>
    <definedName name="leak_ldar_dropdown" localSheetId="25">_xlfn.ANCHORARRAY('Fug (24)'!$F$231)</definedName>
    <definedName name="leak_ldar_dropdown" localSheetId="26">_xlfn.ANCHORARRAY('Fug (25)'!$F$231)</definedName>
    <definedName name="leak_ldar_dropdown" localSheetId="4">_xlfn.ANCHORARRAY('Fug (3)'!$F$231)</definedName>
    <definedName name="leak_ldar_dropdown" localSheetId="5">_xlfn.ANCHORARRAY('Fug (4)'!$F$231)</definedName>
    <definedName name="leak_ldar_dropdown" localSheetId="6">_xlfn.ANCHORARRAY('Fug (5)'!$F$231)</definedName>
    <definedName name="leak_ldar_dropdown" localSheetId="7">_xlfn.ANCHORARRAY('Fug (6)'!$F$231)</definedName>
    <definedName name="leak_ldar_dropdown" localSheetId="8">_xlfn.ANCHORARRAY('Fug (7)'!$F$231)</definedName>
    <definedName name="leak_ldar_dropdown" localSheetId="9">_xlfn.ANCHORARRAY('Fug (8)'!$F$231)</definedName>
    <definedName name="leak_ldar_dropdown" localSheetId="10">_xlfn.ANCHORARRAY('Fug (9)'!$F$231)</definedName>
    <definedName name="mtons_to_stons">'Helper Variable and Lists'!$C$6</definedName>
    <definedName name="NoCASList">Species!$B$6374:$B$6714</definedName>
    <definedName name="_xlnm.Print_Area" localSheetId="2">'Fug (1)'!$A$4:$B$21,'Fug (1)'!$A$23:$I$101,'Fug (1)'!$A$103:$G$127,'Fug (1)'!$A$129:$J$181,'Fug (1)'!$A$183:$F$204,'Fug (1)'!$A$206:$B$216</definedName>
    <definedName name="_xlnm.Print_Area" localSheetId="11">'Fug (10)'!$A$4:$B$21,'Fug (10)'!$A$23:$I$101,'Fug (10)'!$A$103:$G$127,'Fug (10)'!$A$129:$J$181,'Fug (10)'!$A$183:$F$204,'Fug (10)'!$A$206:$B$216</definedName>
    <definedName name="_xlnm.Print_Area" localSheetId="12">'Fug (11)'!$A$4:$B$21,'Fug (11)'!$A$23:$I$101,'Fug (11)'!$A$103:$G$127,'Fug (11)'!$A$129:$J$181,'Fug (11)'!$A$183:$F$204,'Fug (11)'!$A$206:$B$216</definedName>
    <definedName name="_xlnm.Print_Area" localSheetId="13">'Fug (12)'!$A$4:$B$21,'Fug (12)'!$A$23:$I$101,'Fug (12)'!$A$103:$G$127,'Fug (12)'!$A$129:$J$181,'Fug (12)'!$A$183:$F$204,'Fug (12)'!$A$206:$B$216</definedName>
    <definedName name="_xlnm.Print_Area" localSheetId="14">'Fug (13)'!$A$4:$B$21,'Fug (13)'!$A$23:$I$101,'Fug (13)'!$A$103:$G$127,'Fug (13)'!$A$129:$J$181,'Fug (13)'!$A$183:$F$204,'Fug (13)'!$A$206:$B$216</definedName>
    <definedName name="_xlnm.Print_Area" localSheetId="15">'Fug (14)'!$A$4:$B$21,'Fug (14)'!$A$23:$I$101,'Fug (14)'!$A$103:$G$127,'Fug (14)'!$A$129:$J$181,'Fug (14)'!$A$183:$F$204,'Fug (14)'!$A$206:$B$216</definedName>
    <definedName name="_xlnm.Print_Area" localSheetId="16">'Fug (15)'!$A$4:$B$21,'Fug (15)'!$A$23:$I$101,'Fug (15)'!$A$103:$G$127,'Fug (15)'!$A$129:$J$181,'Fug (15)'!$A$183:$F$204,'Fug (15)'!$A$206:$B$216</definedName>
    <definedName name="_xlnm.Print_Area" localSheetId="17">'Fug (16)'!$A$4:$B$21,'Fug (16)'!$A$23:$I$101,'Fug (16)'!$A$103:$G$127,'Fug (16)'!$A$129:$J$181,'Fug (16)'!$A$183:$F$204,'Fug (16)'!$A$206:$B$216</definedName>
    <definedName name="_xlnm.Print_Area" localSheetId="18">'Fug (17)'!$A$4:$B$21,'Fug (17)'!$A$23:$I$101,'Fug (17)'!$A$103:$G$127,'Fug (17)'!$A$129:$J$181,'Fug (17)'!$A$183:$F$204,'Fug (17)'!$A$206:$B$216</definedName>
    <definedName name="_xlnm.Print_Area" localSheetId="19">'Fug (18)'!$A$4:$B$21,'Fug (18)'!$A$23:$I$101,'Fug (18)'!$A$103:$G$127,'Fug (18)'!$A$129:$J$181,'Fug (18)'!$A$183:$F$204,'Fug (18)'!$A$206:$B$216</definedName>
    <definedName name="_xlnm.Print_Area" localSheetId="20">'Fug (19)'!$A$4:$B$21,'Fug (19)'!$A$23:$I$101,'Fug (19)'!$A$103:$G$127,'Fug (19)'!$A$129:$J$181,'Fug (19)'!$A$183:$F$204,'Fug (19)'!$A$206:$B$216</definedName>
    <definedName name="_xlnm.Print_Area" localSheetId="3">'Fug (2)'!$A$4:$B$21,'Fug (2)'!$A$23:$I$101,'Fug (2)'!$A$103:$G$127,'Fug (2)'!$A$129:$J$181,'Fug (2)'!$A$183:$F$204,'Fug (2)'!$A$206:$B$216</definedName>
    <definedName name="_xlnm.Print_Area" localSheetId="21">'Fug (20)'!$A$4:$B$21,'Fug (20)'!$A$23:$I$101,'Fug (20)'!$A$103:$G$127,'Fug (20)'!$A$129:$J$181,'Fug (20)'!$A$183:$F$204,'Fug (20)'!$A$206:$B$216</definedName>
    <definedName name="_xlnm.Print_Area" localSheetId="22">'Fug (21)'!$A$4:$B$21,'Fug (21)'!$A$23:$I$101,'Fug (21)'!$A$103:$G$127,'Fug (21)'!$A$129:$J$181,'Fug (21)'!$A$183:$F$204,'Fug (21)'!$A$206:$B$216</definedName>
    <definedName name="_xlnm.Print_Area" localSheetId="23">'Fug (22)'!$A$4:$B$21,'Fug (22)'!$A$23:$I$101,'Fug (22)'!$A$103:$G$127,'Fug (22)'!$A$129:$J$181,'Fug (22)'!$A$183:$F$204,'Fug (22)'!$A$206:$B$216</definedName>
    <definedName name="_xlnm.Print_Area" localSheetId="24">'Fug (23)'!$A$4:$B$21,'Fug (23)'!$A$23:$I$101,'Fug (23)'!$A$103:$G$127,'Fug (23)'!$A$129:$J$181,'Fug (23)'!$A$183:$F$204,'Fug (23)'!$A$206:$B$216</definedName>
    <definedName name="_xlnm.Print_Area" localSheetId="25">'Fug (24)'!$A$4:$B$21,'Fug (24)'!$A$23:$I$101,'Fug (24)'!$A$103:$G$127,'Fug (24)'!$A$129:$J$181,'Fug (24)'!$A$183:$F$204,'Fug (24)'!$A$206:$B$216</definedName>
    <definedName name="_xlnm.Print_Area" localSheetId="26">'Fug (25)'!$A$4:$B$21,'Fug (25)'!$A$23:$I$101,'Fug (25)'!$A$103:$G$127,'Fug (25)'!$A$129:$J$181,'Fug (25)'!$A$183:$F$204,'Fug (25)'!$A$206:$B$216</definedName>
    <definedName name="_xlnm.Print_Area" localSheetId="4">'Fug (3)'!$A$4:$B$21,'Fug (3)'!$A$23:$I$101,'Fug (3)'!$A$103:$G$127,'Fug (3)'!$A$129:$J$181,'Fug (3)'!$A$183:$F$204,'Fug (3)'!$A$206:$B$216</definedName>
    <definedName name="_xlnm.Print_Area" localSheetId="5">'Fug (4)'!$A$4:$B$21,'Fug (4)'!$A$23:$I$101,'Fug (4)'!$A$103:$G$127,'Fug (4)'!$A$129:$J$181,'Fug (4)'!$A$183:$F$204,'Fug (4)'!$A$206:$B$216</definedName>
    <definedName name="_xlnm.Print_Area" localSheetId="6">'Fug (5)'!$A$4:$B$21,'Fug (5)'!$A$23:$I$101,'Fug (5)'!$A$103:$G$127,'Fug (5)'!$A$129:$J$181,'Fug (5)'!$A$183:$F$204,'Fug (5)'!$A$206:$B$216</definedName>
    <definedName name="_xlnm.Print_Area" localSheetId="7">'Fug (6)'!$A$4:$B$21,'Fug (6)'!$A$23:$I$101,'Fug (6)'!$A$103:$G$127,'Fug (6)'!$A$129:$J$181,'Fug (6)'!$A$183:$F$204,'Fug (6)'!$A$206:$B$216</definedName>
    <definedName name="_xlnm.Print_Area" localSheetId="8">'Fug (7)'!$A$4:$B$21,'Fug (7)'!$A$23:$I$101,'Fug (7)'!$A$103:$G$127,'Fug (7)'!$A$129:$J$181,'Fug (7)'!$A$183:$F$204,'Fug (7)'!$A$206:$B$216</definedName>
    <definedName name="_xlnm.Print_Area" localSheetId="9">'Fug (8)'!$A$4:$B$21,'Fug (8)'!$A$23:$I$101,'Fug (8)'!$A$103:$G$127,'Fug (8)'!$A$129:$J$181,'Fug (8)'!$A$183:$F$204,'Fug (8)'!$A$206:$B$216</definedName>
    <definedName name="_xlnm.Print_Area" localSheetId="10">'Fug (9)'!$A$4:$B$21,'Fug (9)'!$A$23:$I$101,'Fug (9)'!$A$103:$G$127,'Fug (9)'!$A$129:$J$181,'Fug (9)'!$A$183:$F$204,'Fug (9)'!$A$206:$B$216</definedName>
    <definedName name="_xlnm.Print_Area" localSheetId="0">Instructions!$A$6:$A$49</definedName>
    <definedName name="_xlnm.Print_Area" localSheetId="1">Summary!$A$1:$L$29</definedName>
    <definedName name="process_drain_bool" localSheetId="2">'Fug (1)'!$B$19</definedName>
    <definedName name="process_drain_bool" localSheetId="11">'Fug (10)'!$B$19</definedName>
    <definedName name="process_drain_bool" localSheetId="12">'Fug (11)'!$B$19</definedName>
    <definedName name="process_drain_bool" localSheetId="13">'Fug (12)'!$B$19</definedName>
    <definedName name="process_drain_bool" localSheetId="14">'Fug (13)'!$B$19</definedName>
    <definedName name="process_drain_bool" localSheetId="15">'Fug (14)'!$B$19</definedName>
    <definedName name="process_drain_bool" localSheetId="16">'Fug (15)'!$B$19</definedName>
    <definedName name="process_drain_bool" localSheetId="17">'Fug (16)'!$B$19</definedName>
    <definedName name="process_drain_bool" localSheetId="18">'Fug (17)'!$B$19</definedName>
    <definedName name="process_drain_bool" localSheetId="19">'Fug (18)'!$B$19</definedName>
    <definedName name="process_drain_bool" localSheetId="20">'Fug (19)'!$B$19</definedName>
    <definedName name="process_drain_bool" localSheetId="3">'Fug (2)'!$B$19</definedName>
    <definedName name="process_drain_bool" localSheetId="21">'Fug (20)'!$B$19</definedName>
    <definedName name="process_drain_bool" localSheetId="22">'Fug (21)'!$B$19</definedName>
    <definedName name="process_drain_bool" localSheetId="23">'Fug (22)'!$B$19</definedName>
    <definedName name="process_drain_bool" localSheetId="24">'Fug (23)'!$B$19</definedName>
    <definedName name="process_drain_bool" localSheetId="25">'Fug (24)'!$B$19</definedName>
    <definedName name="process_drain_bool" localSheetId="26">'Fug (25)'!$B$19</definedName>
    <definedName name="process_drain_bool" localSheetId="4">'Fug (3)'!$B$19</definedName>
    <definedName name="process_drain_bool" localSheetId="5">'Fug (4)'!$B$19</definedName>
    <definedName name="process_drain_bool" localSheetId="6">'Fug (5)'!$B$19</definedName>
    <definedName name="process_drain_bool" localSheetId="7">'Fug (6)'!$B$19</definedName>
    <definedName name="process_drain_bool" localSheetId="8">'Fug (7)'!$B$19</definedName>
    <definedName name="process_drain_bool" localSheetId="9">'Fug (8)'!$B$19</definedName>
    <definedName name="process_drain_bool" localSheetId="10">'Fug (9)'!$B$19</definedName>
    <definedName name="process_drain_eff" localSheetId="2">'Fug (1)'!$B$20</definedName>
    <definedName name="process_drain_eff" localSheetId="11">'Fug (10)'!$B$20</definedName>
    <definedName name="process_drain_eff" localSheetId="12">'Fug (11)'!$B$20</definedName>
    <definedName name="process_drain_eff" localSheetId="13">'Fug (12)'!$B$20</definedName>
    <definedName name="process_drain_eff" localSheetId="14">'Fug (13)'!$B$20</definedName>
    <definedName name="process_drain_eff" localSheetId="15">'Fug (14)'!$B$20</definedName>
    <definedName name="process_drain_eff" localSheetId="16">'Fug (15)'!$B$20</definedName>
    <definedName name="process_drain_eff" localSheetId="17">'Fug (16)'!$B$20</definedName>
    <definedName name="process_drain_eff" localSheetId="18">'Fug (17)'!$B$20</definedName>
    <definedName name="process_drain_eff" localSheetId="19">'Fug (18)'!$B$20</definedName>
    <definedName name="process_drain_eff" localSheetId="20">'Fug (19)'!$B$20</definedName>
    <definedName name="process_drain_eff" localSheetId="3">'Fug (2)'!$B$20</definedName>
    <definedName name="process_drain_eff" localSheetId="21">'Fug (20)'!$B$20</definedName>
    <definedName name="process_drain_eff" localSheetId="22">'Fug (21)'!$B$20</definedName>
    <definedName name="process_drain_eff" localSheetId="23">'Fug (22)'!$B$20</definedName>
    <definedName name="process_drain_eff" localSheetId="24">'Fug (23)'!$B$20</definedName>
    <definedName name="process_drain_eff" localSheetId="25">'Fug (24)'!$B$20</definedName>
    <definedName name="process_drain_eff" localSheetId="26">'Fug (25)'!$B$20</definedName>
    <definedName name="process_drain_eff" localSheetId="4">'Fug (3)'!$B$20</definedName>
    <definedName name="process_drain_eff" localSheetId="5">'Fug (4)'!$B$20</definedName>
    <definedName name="process_drain_eff" localSheetId="6">'Fug (5)'!$B$20</definedName>
    <definedName name="process_drain_eff" localSheetId="7">'Fug (6)'!$B$20</definedName>
    <definedName name="process_drain_eff" localSheetId="8">'Fug (7)'!$B$20</definedName>
    <definedName name="process_drain_eff" localSheetId="9">'Fug (8)'!$B$20</definedName>
    <definedName name="process_drain_eff" localSheetId="10">'Fug (9)'!$B$20</definedName>
    <definedName name="process_drains_effs" localSheetId="11">helper_var_list[process_drains_effs]</definedName>
    <definedName name="process_drains_effs" localSheetId="12">helper_var_list[process_drains_effs]</definedName>
    <definedName name="process_drains_effs" localSheetId="13">helper_var_list[process_drains_effs]</definedName>
    <definedName name="process_drains_effs" localSheetId="14">helper_var_list[process_drains_effs]</definedName>
    <definedName name="process_drains_effs" localSheetId="15">helper_var_list[process_drains_effs]</definedName>
    <definedName name="process_drains_effs" localSheetId="16">helper_var_list[process_drains_effs]</definedName>
    <definedName name="process_drains_effs" localSheetId="17">helper_var_list[process_drains_effs]</definedName>
    <definedName name="process_drains_effs" localSheetId="18">helper_var_list[process_drains_effs]</definedName>
    <definedName name="process_drains_effs" localSheetId="19">helper_var_list[process_drains_effs]</definedName>
    <definedName name="process_drains_effs" localSheetId="20">helper_var_list[process_drains_effs]</definedName>
    <definedName name="process_drains_effs" localSheetId="3">helper_var_list[process_drains_effs]</definedName>
    <definedName name="process_drains_effs" localSheetId="21">helper_var_list[process_drains_effs]</definedName>
    <definedName name="process_drains_effs" localSheetId="22">helper_var_list[process_drains_effs]</definedName>
    <definedName name="process_drains_effs" localSheetId="23">helper_var_list[process_drains_effs]</definedName>
    <definedName name="process_drains_effs" localSheetId="24">helper_var_list[process_drains_effs]</definedName>
    <definedName name="process_drains_effs" localSheetId="25">helper_var_list[process_drains_effs]</definedName>
    <definedName name="process_drains_effs" localSheetId="26">helper_var_list[process_drains_effs]</definedName>
    <definedName name="process_drains_effs" localSheetId="4">helper_var_list[process_drains_effs]</definedName>
    <definedName name="process_drains_effs" localSheetId="5">helper_var_list[process_drains_effs]</definedName>
    <definedName name="process_drains_effs" localSheetId="6">helper_var_list[process_drains_effs]</definedName>
    <definedName name="process_drains_effs" localSheetId="7">helper_var_list[process_drains_effs]</definedName>
    <definedName name="process_drains_effs" localSheetId="8">helper_var_list[process_drains_effs]</definedName>
    <definedName name="process_drains_effs" localSheetId="9">helper_var_list[process_drains_effs]</definedName>
    <definedName name="process_drains_effs" localSheetId="10">helper_var_list[process_drains_effs]</definedName>
    <definedName name="process_drains_effs">helper_var_list[process_drains_effs]</definedName>
    <definedName name="SpeciesList">Species!$A$4:$A$6714</definedName>
    <definedName name="stons_to_lbs">'Helper Variable and Lists'!$C$4</definedName>
    <definedName name="stons_to_mtons">'Helper Variable and Lists'!$C$7</definedName>
    <definedName name="total_annual" localSheetId="2">'Fug (1)'!$B$208</definedName>
    <definedName name="total_annual" localSheetId="11">'Fug (10)'!$B$208</definedName>
    <definedName name="total_annual" localSheetId="12">'Fug (11)'!$B$208</definedName>
    <definedName name="total_annual" localSheetId="13">'Fug (12)'!$B$208</definedName>
    <definedName name="total_annual" localSheetId="14">'Fug (13)'!$B$208</definedName>
    <definedName name="total_annual" localSheetId="15">'Fug (14)'!$B$208</definedName>
    <definedName name="total_annual" localSheetId="16">'Fug (15)'!$B$208</definedName>
    <definedName name="total_annual" localSheetId="17">'Fug (16)'!$B$208</definedName>
    <definedName name="total_annual" localSheetId="18">'Fug (17)'!$B$208</definedName>
    <definedName name="total_annual" localSheetId="19">'Fug (18)'!$B$208</definedName>
    <definedName name="total_annual" localSheetId="20">'Fug (19)'!$B$208</definedName>
    <definedName name="total_annual" localSheetId="3">'Fug (2)'!$B$208</definedName>
    <definedName name="total_annual" localSheetId="21">'Fug (20)'!$B$208</definedName>
    <definedName name="total_annual" localSheetId="22">'Fug (21)'!$B$208</definedName>
    <definedName name="total_annual" localSheetId="23">'Fug (22)'!$B$208</definedName>
    <definedName name="total_annual" localSheetId="24">'Fug (23)'!$B$208</definedName>
    <definedName name="total_annual" localSheetId="25">'Fug (24)'!$B$208</definedName>
    <definedName name="total_annual" localSheetId="26">'Fug (25)'!$B$208</definedName>
    <definedName name="total_annual" localSheetId="4">'Fug (3)'!$B$208</definedName>
    <definedName name="total_annual" localSheetId="5">'Fug (4)'!$B$208</definedName>
    <definedName name="total_annual" localSheetId="6">'Fug (5)'!$B$208</definedName>
    <definedName name="total_annual" localSheetId="7">'Fug (6)'!$B$208</definedName>
    <definedName name="total_annual" localSheetId="8">'Fug (7)'!$B$208</definedName>
    <definedName name="total_annual" localSheetId="9">'Fug (8)'!$B$208</definedName>
    <definedName name="total_annual" localSheetId="10">'Fug (9)'!$B$208</definedName>
    <definedName name="total_exempt_annual" localSheetId="2">'Fug (1)'!$B$214</definedName>
    <definedName name="total_exempt_annual" localSheetId="11">'Fug (10)'!$B$214</definedName>
    <definedName name="total_exempt_annual" localSheetId="12">'Fug (11)'!$B$214</definedName>
    <definedName name="total_exempt_annual" localSheetId="13">'Fug (12)'!$B$214</definedName>
    <definedName name="total_exempt_annual" localSheetId="14">'Fug (13)'!$B$214</definedName>
    <definedName name="total_exempt_annual" localSheetId="15">'Fug (14)'!$B$214</definedName>
    <definedName name="total_exempt_annual" localSheetId="16">'Fug (15)'!$B$214</definedName>
    <definedName name="total_exempt_annual" localSheetId="17">'Fug (16)'!$B$214</definedName>
    <definedName name="total_exempt_annual" localSheetId="18">'Fug (17)'!$B$214</definedName>
    <definedName name="total_exempt_annual" localSheetId="19">'Fug (18)'!$B$214</definedName>
    <definedName name="total_exempt_annual" localSheetId="20">'Fug (19)'!$B$214</definedName>
    <definedName name="total_exempt_annual" localSheetId="3">'Fug (2)'!$B$214</definedName>
    <definedName name="total_exempt_annual" localSheetId="21">'Fug (20)'!$B$214</definedName>
    <definedName name="total_exempt_annual" localSheetId="22">'Fug (21)'!$B$214</definedName>
    <definedName name="total_exempt_annual" localSheetId="23">'Fug (22)'!$B$214</definedName>
    <definedName name="total_exempt_annual" localSheetId="24">'Fug (23)'!$B$214</definedName>
    <definedName name="total_exempt_annual" localSheetId="25">'Fug (24)'!$B$214</definedName>
    <definedName name="total_exempt_annual" localSheetId="26">'Fug (25)'!$B$214</definedName>
    <definedName name="total_exempt_annual" localSheetId="4">'Fug (3)'!$B$214</definedName>
    <definedName name="total_exempt_annual" localSheetId="5">'Fug (4)'!$B$214</definedName>
    <definedName name="total_exempt_annual" localSheetId="6">'Fug (5)'!$B$214</definedName>
    <definedName name="total_exempt_annual" localSheetId="7">'Fug (6)'!$B$214</definedName>
    <definedName name="total_exempt_annual" localSheetId="8">'Fug (7)'!$B$214</definedName>
    <definedName name="total_exempt_annual" localSheetId="9">'Fug (8)'!$B$214</definedName>
    <definedName name="total_exempt_annual" localSheetId="10">'Fug (9)'!$B$214</definedName>
    <definedName name="total_exempt_annual">#REF!</definedName>
    <definedName name="total_exempt_hourly" localSheetId="2">'Fug (1)'!$B$213</definedName>
    <definedName name="total_exempt_hourly" localSheetId="11">'Fug (10)'!$B$213</definedName>
    <definedName name="total_exempt_hourly" localSheetId="12">'Fug (11)'!$B$213</definedName>
    <definedName name="total_exempt_hourly" localSheetId="13">'Fug (12)'!$B$213</definedName>
    <definedName name="total_exempt_hourly" localSheetId="14">'Fug (13)'!$B$213</definedName>
    <definedName name="total_exempt_hourly" localSheetId="15">'Fug (14)'!$B$213</definedName>
    <definedName name="total_exempt_hourly" localSheetId="16">'Fug (15)'!$B$213</definedName>
    <definedName name="total_exempt_hourly" localSheetId="17">'Fug (16)'!$B$213</definedName>
    <definedName name="total_exempt_hourly" localSheetId="18">'Fug (17)'!$B$213</definedName>
    <definedName name="total_exempt_hourly" localSheetId="19">'Fug (18)'!$B$213</definedName>
    <definedName name="total_exempt_hourly" localSheetId="20">'Fug (19)'!$B$213</definedName>
    <definedName name="total_exempt_hourly" localSheetId="3">'Fug (2)'!$B$213</definedName>
    <definedName name="total_exempt_hourly" localSheetId="21">'Fug (20)'!$B$213</definedName>
    <definedName name="total_exempt_hourly" localSheetId="22">'Fug (21)'!$B$213</definedName>
    <definedName name="total_exempt_hourly" localSheetId="23">'Fug (22)'!$B$213</definedName>
    <definedName name="total_exempt_hourly" localSheetId="24">'Fug (23)'!$B$213</definedName>
    <definedName name="total_exempt_hourly" localSheetId="25">'Fug (24)'!$B$213</definedName>
    <definedName name="total_exempt_hourly" localSheetId="26">'Fug (25)'!$B$213</definedName>
    <definedName name="total_exempt_hourly" localSheetId="4">'Fug (3)'!$B$213</definedName>
    <definedName name="total_exempt_hourly" localSheetId="5">'Fug (4)'!$B$213</definedName>
    <definedName name="total_exempt_hourly" localSheetId="6">'Fug (5)'!$B$213</definedName>
    <definedName name="total_exempt_hourly" localSheetId="7">'Fug (6)'!$B$213</definedName>
    <definedName name="total_exempt_hourly" localSheetId="8">'Fug (7)'!$B$213</definedName>
    <definedName name="total_exempt_hourly" localSheetId="9">'Fug (8)'!$B$213</definedName>
    <definedName name="total_exempt_hourly" localSheetId="10">'Fug (9)'!$B$213</definedName>
    <definedName name="total_exempt_hourly">#REF!</definedName>
    <definedName name="total_ghg_annual" localSheetId="2">'Fug (1)'!$B$214</definedName>
    <definedName name="total_ghg_annual" localSheetId="11">'Fug (10)'!$B$214</definedName>
    <definedName name="total_ghg_annual" localSheetId="12">'Fug (11)'!$B$214</definedName>
    <definedName name="total_ghg_annual" localSheetId="13">'Fug (12)'!$B$214</definedName>
    <definedName name="total_ghg_annual" localSheetId="14">'Fug (13)'!$B$214</definedName>
    <definedName name="total_ghg_annual" localSheetId="15">'Fug (14)'!$B$214</definedName>
    <definedName name="total_ghg_annual" localSheetId="16">'Fug (15)'!$B$214</definedName>
    <definedName name="total_ghg_annual" localSheetId="17">'Fug (16)'!$B$214</definedName>
    <definedName name="total_ghg_annual" localSheetId="18">'Fug (17)'!$B$214</definedName>
    <definedName name="total_ghg_annual" localSheetId="19">'Fug (18)'!$B$214</definedName>
    <definedName name="total_ghg_annual" localSheetId="20">'Fug (19)'!$B$214</definedName>
    <definedName name="total_ghg_annual" localSheetId="3">'Fug (2)'!$B$214</definedName>
    <definedName name="total_ghg_annual" localSheetId="21">'Fug (20)'!$B$214</definedName>
    <definedName name="total_ghg_annual" localSheetId="22">'Fug (21)'!$B$214</definedName>
    <definedName name="total_ghg_annual" localSheetId="23">'Fug (22)'!$B$214</definedName>
    <definedName name="total_ghg_annual" localSheetId="24">'Fug (23)'!$B$214</definedName>
    <definedName name="total_ghg_annual" localSheetId="25">'Fug (24)'!$B$214</definedName>
    <definedName name="total_ghg_annual" localSheetId="26">'Fug (25)'!$B$214</definedName>
    <definedName name="total_ghg_annual" localSheetId="4">'Fug (3)'!$B$214</definedName>
    <definedName name="total_ghg_annual" localSheetId="5">'Fug (4)'!$B$214</definedName>
    <definedName name="total_ghg_annual" localSheetId="6">'Fug (5)'!$B$214</definedName>
    <definedName name="total_ghg_annual" localSheetId="7">'Fug (6)'!$B$214</definedName>
    <definedName name="total_ghg_annual" localSheetId="8">'Fug (7)'!$B$214</definedName>
    <definedName name="total_ghg_annual" localSheetId="9">'Fug (8)'!$B$214</definedName>
    <definedName name="total_ghg_annual" localSheetId="10">'Fug (9)'!$B$214</definedName>
    <definedName name="total_ghg_co2e" localSheetId="11">'Fug (10)'!$B$216</definedName>
    <definedName name="total_ghg_co2e" localSheetId="12">'Fug (11)'!$B$216</definedName>
    <definedName name="total_ghg_co2e" localSheetId="13">'Fug (12)'!$B$216</definedName>
    <definedName name="total_ghg_co2e" localSheetId="14">'Fug (13)'!$B$216</definedName>
    <definedName name="total_ghg_co2e" localSheetId="15">'Fug (14)'!$B$216</definedName>
    <definedName name="total_ghg_co2e" localSheetId="16">'Fug (15)'!$B$216</definedName>
    <definedName name="total_ghg_co2e" localSheetId="17">'Fug (16)'!$B$216</definedName>
    <definedName name="total_ghg_co2e" localSheetId="18">'Fug (17)'!$B$216</definedName>
    <definedName name="total_ghg_co2e" localSheetId="19">'Fug (18)'!$B$216</definedName>
    <definedName name="total_ghg_co2e" localSheetId="20">'Fug (19)'!$B$216</definedName>
    <definedName name="total_ghg_co2e" localSheetId="3">'Fug (2)'!$B$216</definedName>
    <definedName name="total_ghg_co2e" localSheetId="21">'Fug (20)'!$B$216</definedName>
    <definedName name="total_ghg_co2e" localSheetId="22">'Fug (21)'!$B$216</definedName>
    <definedName name="total_ghg_co2e" localSheetId="23">'Fug (22)'!$B$216</definedName>
    <definedName name="total_ghg_co2e" localSheetId="24">'Fug (23)'!$B$216</definedName>
    <definedName name="total_ghg_co2e" localSheetId="25">'Fug (24)'!$B$216</definedName>
    <definedName name="total_ghg_co2e" localSheetId="26">'Fug (25)'!$B$216</definedName>
    <definedName name="total_ghg_co2e" localSheetId="4">'Fug (3)'!$B$216</definedName>
    <definedName name="total_ghg_co2e" localSheetId="5">'Fug (4)'!$B$216</definedName>
    <definedName name="total_ghg_co2e" localSheetId="6">'Fug (5)'!$B$216</definedName>
    <definedName name="total_ghg_co2e" localSheetId="7">'Fug (6)'!$B$216</definedName>
    <definedName name="total_ghg_co2e" localSheetId="8">'Fug (7)'!$B$216</definedName>
    <definedName name="total_ghg_co2e" localSheetId="9">'Fug (8)'!$B$216</definedName>
    <definedName name="total_ghg_co2e" localSheetId="10">'Fug (9)'!$B$216</definedName>
    <definedName name="total_ghg_co2e">'Fug (1)'!$B$216</definedName>
    <definedName name="total_ghg_mass" localSheetId="11">'Fug (10)'!$B$215</definedName>
    <definedName name="total_ghg_mass" localSheetId="12">'Fug (11)'!$B$215</definedName>
    <definedName name="total_ghg_mass" localSheetId="13">'Fug (12)'!$B$215</definedName>
    <definedName name="total_ghg_mass" localSheetId="14">'Fug (13)'!$B$215</definedName>
    <definedName name="total_ghg_mass" localSheetId="15">'Fug (14)'!$B$215</definedName>
    <definedName name="total_ghg_mass" localSheetId="16">'Fug (15)'!$B$215</definedName>
    <definedName name="total_ghg_mass" localSheetId="17">'Fug (16)'!$B$215</definedName>
    <definedName name="total_ghg_mass" localSheetId="18">'Fug (17)'!$B$215</definedName>
    <definedName name="total_ghg_mass" localSheetId="19">'Fug (18)'!$B$215</definedName>
    <definedName name="total_ghg_mass" localSheetId="20">'Fug (19)'!$B$215</definedName>
    <definedName name="total_ghg_mass" localSheetId="3">'Fug (2)'!$B$215</definedName>
    <definedName name="total_ghg_mass" localSheetId="21">'Fug (20)'!$B$215</definedName>
    <definedName name="total_ghg_mass" localSheetId="22">'Fug (21)'!$B$215</definedName>
    <definedName name="total_ghg_mass" localSheetId="23">'Fug (22)'!$B$215</definedName>
    <definedName name="total_ghg_mass" localSheetId="24">'Fug (23)'!$B$215</definedName>
    <definedName name="total_ghg_mass" localSheetId="25">'Fug (24)'!$B$215</definedName>
    <definedName name="total_ghg_mass" localSheetId="26">'Fug (25)'!$B$215</definedName>
    <definedName name="total_ghg_mass" localSheetId="4">'Fug (3)'!$B$215</definedName>
    <definedName name="total_ghg_mass" localSheetId="5">'Fug (4)'!$B$215</definedName>
    <definedName name="total_ghg_mass" localSheetId="6">'Fug (5)'!$B$215</definedName>
    <definedName name="total_ghg_mass" localSheetId="7">'Fug (6)'!$B$215</definedName>
    <definedName name="total_ghg_mass" localSheetId="8">'Fug (7)'!$B$215</definedName>
    <definedName name="total_ghg_mass" localSheetId="9">'Fug (8)'!$B$215</definedName>
    <definedName name="total_ghg_mass" localSheetId="10">'Fug (9)'!$B$215</definedName>
    <definedName name="total_ghg_mass">'Fug (1)'!$B$215</definedName>
    <definedName name="total_hourly" localSheetId="2">'Fug (1)'!$B$207</definedName>
    <definedName name="total_hourly" localSheetId="11">'Fug (10)'!$B$207</definedName>
    <definedName name="total_hourly" localSheetId="12">'Fug (11)'!$B$207</definedName>
    <definedName name="total_hourly" localSheetId="13">'Fug (12)'!$B$207</definedName>
    <definedName name="total_hourly" localSheetId="14">'Fug (13)'!$B$207</definedName>
    <definedName name="total_hourly" localSheetId="15">'Fug (14)'!$B$207</definedName>
    <definedName name="total_hourly" localSheetId="16">'Fug (15)'!$B$207</definedName>
    <definedName name="total_hourly" localSheetId="17">'Fug (16)'!$B$207</definedName>
    <definedName name="total_hourly" localSheetId="18">'Fug (17)'!$B$207</definedName>
    <definedName name="total_hourly" localSheetId="19">'Fug (18)'!$B$207</definedName>
    <definedName name="total_hourly" localSheetId="20">'Fug (19)'!$B$207</definedName>
    <definedName name="total_hourly" localSheetId="3">'Fug (2)'!$B$207</definedName>
    <definedName name="total_hourly" localSheetId="21">'Fug (20)'!$B$207</definedName>
    <definedName name="total_hourly" localSheetId="22">'Fug (21)'!$B$207</definedName>
    <definedName name="total_hourly" localSheetId="23">'Fug (22)'!$B$207</definedName>
    <definedName name="total_hourly" localSheetId="24">'Fug (23)'!$B$207</definedName>
    <definedName name="total_hourly" localSheetId="25">'Fug (24)'!$B$207</definedName>
    <definedName name="total_hourly" localSheetId="26">'Fug (25)'!$B$207</definedName>
    <definedName name="total_hourly" localSheetId="4">'Fug (3)'!$B$207</definedName>
    <definedName name="total_hourly" localSheetId="5">'Fug (4)'!$B$207</definedName>
    <definedName name="total_hourly" localSheetId="6">'Fug (5)'!$B$207</definedName>
    <definedName name="total_hourly" localSheetId="7">'Fug (6)'!$B$207</definedName>
    <definedName name="total_hourly" localSheetId="8">'Fug (7)'!$B$207</definedName>
    <definedName name="total_hourly" localSheetId="9">'Fug (8)'!$B$207</definedName>
    <definedName name="total_hourly" localSheetId="10">'Fug (9)'!$B$207</definedName>
    <definedName name="total_inorganic_annual" localSheetId="2">'Fug (1)'!$B$212</definedName>
    <definedName name="total_inorganic_annual" localSheetId="11">'Fug (10)'!$B$212</definedName>
    <definedName name="total_inorganic_annual" localSheetId="12">'Fug (11)'!$B$212</definedName>
    <definedName name="total_inorganic_annual" localSheetId="13">'Fug (12)'!$B$212</definedName>
    <definedName name="total_inorganic_annual" localSheetId="14">'Fug (13)'!$B$212</definedName>
    <definedName name="total_inorganic_annual" localSheetId="15">'Fug (14)'!$B$212</definedName>
    <definedName name="total_inorganic_annual" localSheetId="16">'Fug (15)'!$B$212</definedName>
    <definedName name="total_inorganic_annual" localSheetId="17">'Fug (16)'!$B$212</definedName>
    <definedName name="total_inorganic_annual" localSheetId="18">'Fug (17)'!$B$212</definedName>
    <definedName name="total_inorganic_annual" localSheetId="19">'Fug (18)'!$B$212</definedName>
    <definedName name="total_inorganic_annual" localSheetId="20">'Fug (19)'!$B$212</definedName>
    <definedName name="total_inorganic_annual" localSheetId="3">'Fug (2)'!$B$212</definedName>
    <definedName name="total_inorganic_annual" localSheetId="21">'Fug (20)'!$B$212</definedName>
    <definedName name="total_inorganic_annual" localSheetId="22">'Fug (21)'!$B$212</definedName>
    <definedName name="total_inorganic_annual" localSheetId="23">'Fug (22)'!$B$212</definedName>
    <definedName name="total_inorganic_annual" localSheetId="24">'Fug (23)'!$B$212</definedName>
    <definedName name="total_inorganic_annual" localSheetId="25">'Fug (24)'!$B$212</definedName>
    <definedName name="total_inorganic_annual" localSheetId="26">'Fug (25)'!$B$212</definedName>
    <definedName name="total_inorganic_annual" localSheetId="4">'Fug (3)'!$B$212</definedName>
    <definedName name="total_inorganic_annual" localSheetId="5">'Fug (4)'!$B$212</definedName>
    <definedName name="total_inorganic_annual" localSheetId="6">'Fug (5)'!$B$212</definedName>
    <definedName name="total_inorganic_annual" localSheetId="7">'Fug (6)'!$B$212</definedName>
    <definedName name="total_inorganic_annual" localSheetId="8">'Fug (7)'!$B$212</definedName>
    <definedName name="total_inorganic_annual" localSheetId="9">'Fug (8)'!$B$212</definedName>
    <definedName name="total_inorganic_annual" localSheetId="10">'Fug (9)'!$B$212</definedName>
    <definedName name="total_inorganic_hourly" localSheetId="2">'Fug (1)'!$B$211</definedName>
    <definedName name="total_inorganic_hourly" localSheetId="11">'Fug (10)'!$B$211</definedName>
    <definedName name="total_inorganic_hourly" localSheetId="12">'Fug (11)'!$B$211</definedName>
    <definedName name="total_inorganic_hourly" localSheetId="13">'Fug (12)'!$B$211</definedName>
    <definedName name="total_inorganic_hourly" localSheetId="14">'Fug (13)'!$B$211</definedName>
    <definedName name="total_inorganic_hourly" localSheetId="15">'Fug (14)'!$B$211</definedName>
    <definedName name="total_inorganic_hourly" localSheetId="16">'Fug (15)'!$B$211</definedName>
    <definedName name="total_inorganic_hourly" localSheetId="17">'Fug (16)'!$B$211</definedName>
    <definedName name="total_inorganic_hourly" localSheetId="18">'Fug (17)'!$B$211</definedName>
    <definedName name="total_inorganic_hourly" localSheetId="19">'Fug (18)'!$B$211</definedName>
    <definedName name="total_inorganic_hourly" localSheetId="20">'Fug (19)'!$B$211</definedName>
    <definedName name="total_inorganic_hourly" localSheetId="3">'Fug (2)'!$B$211</definedName>
    <definedName name="total_inorganic_hourly" localSheetId="21">'Fug (20)'!$B$211</definedName>
    <definedName name="total_inorganic_hourly" localSheetId="22">'Fug (21)'!$B$211</definedName>
    <definedName name="total_inorganic_hourly" localSheetId="23">'Fug (22)'!$B$211</definedName>
    <definedName name="total_inorganic_hourly" localSheetId="24">'Fug (23)'!$B$211</definedName>
    <definedName name="total_inorganic_hourly" localSheetId="25">'Fug (24)'!$B$211</definedName>
    <definedName name="total_inorganic_hourly" localSheetId="26">'Fug (25)'!$B$211</definedName>
    <definedName name="total_inorganic_hourly" localSheetId="4">'Fug (3)'!$B$211</definedName>
    <definedName name="total_inorganic_hourly" localSheetId="5">'Fug (4)'!$B$211</definedName>
    <definedName name="total_inorganic_hourly" localSheetId="6">'Fug (5)'!$B$211</definedName>
    <definedName name="total_inorganic_hourly" localSheetId="7">'Fug (6)'!$B$211</definedName>
    <definedName name="total_inorganic_hourly" localSheetId="8">'Fug (7)'!$B$211</definedName>
    <definedName name="total_inorganic_hourly" localSheetId="9">'Fug (8)'!$B$211</definedName>
    <definedName name="total_inorganic_hourly" localSheetId="10">'Fug (9)'!$B$211</definedName>
    <definedName name="total_voc_annual" localSheetId="2">'Fug (1)'!$B$210</definedName>
    <definedName name="total_voc_annual" localSheetId="11">'Fug (10)'!$B$210</definedName>
    <definedName name="total_voc_annual" localSheetId="12">'Fug (11)'!$B$210</definedName>
    <definedName name="total_voc_annual" localSheetId="13">'Fug (12)'!$B$210</definedName>
    <definedName name="total_voc_annual" localSheetId="14">'Fug (13)'!$B$210</definedName>
    <definedName name="total_voc_annual" localSheetId="15">'Fug (14)'!$B$210</definedName>
    <definedName name="total_voc_annual" localSheetId="16">'Fug (15)'!$B$210</definedName>
    <definedName name="total_voc_annual" localSheetId="17">'Fug (16)'!$B$210</definedName>
    <definedName name="total_voc_annual" localSheetId="18">'Fug (17)'!$B$210</definedName>
    <definedName name="total_voc_annual" localSheetId="19">'Fug (18)'!$B$210</definedName>
    <definedName name="total_voc_annual" localSheetId="20">'Fug (19)'!$B$210</definedName>
    <definedName name="total_voc_annual" localSheetId="3">'Fug (2)'!$B$210</definedName>
    <definedName name="total_voc_annual" localSheetId="21">'Fug (20)'!$B$210</definedName>
    <definedName name="total_voc_annual" localSheetId="22">'Fug (21)'!$B$210</definedName>
    <definedName name="total_voc_annual" localSheetId="23">'Fug (22)'!$B$210</definedName>
    <definedName name="total_voc_annual" localSheetId="24">'Fug (23)'!$B$210</definedName>
    <definedName name="total_voc_annual" localSheetId="25">'Fug (24)'!$B$210</definedName>
    <definedName name="total_voc_annual" localSheetId="26">'Fug (25)'!$B$210</definedName>
    <definedName name="total_voc_annual" localSheetId="4">'Fug (3)'!$B$210</definedName>
    <definedName name="total_voc_annual" localSheetId="5">'Fug (4)'!$B$210</definedName>
    <definedName name="total_voc_annual" localSheetId="6">'Fug (5)'!$B$210</definedName>
    <definedName name="total_voc_annual" localSheetId="7">'Fug (6)'!$B$210</definedName>
    <definedName name="total_voc_annual" localSheetId="8">'Fug (7)'!$B$210</definedName>
    <definedName name="total_voc_annual" localSheetId="9">'Fug (8)'!$B$210</definedName>
    <definedName name="total_voc_annual" localSheetId="10">'Fug (9)'!$B$210</definedName>
    <definedName name="total_voc_hourly" localSheetId="2">'Fug (1)'!$B$209</definedName>
    <definedName name="total_voc_hourly" localSheetId="11">'Fug (10)'!$B$209</definedName>
    <definedName name="total_voc_hourly" localSheetId="12">'Fug (11)'!$B$209</definedName>
    <definedName name="total_voc_hourly" localSheetId="13">'Fug (12)'!$B$209</definedName>
    <definedName name="total_voc_hourly" localSheetId="14">'Fug (13)'!$B$209</definedName>
    <definedName name="total_voc_hourly" localSheetId="15">'Fug (14)'!$B$209</definedName>
    <definedName name="total_voc_hourly" localSheetId="16">'Fug (15)'!$B$209</definedName>
    <definedName name="total_voc_hourly" localSheetId="17">'Fug (16)'!$B$209</definedName>
    <definedName name="total_voc_hourly" localSheetId="18">'Fug (17)'!$B$209</definedName>
    <definedName name="total_voc_hourly" localSheetId="19">'Fug (18)'!$B$209</definedName>
    <definedName name="total_voc_hourly" localSheetId="20">'Fug (19)'!$B$209</definedName>
    <definedName name="total_voc_hourly" localSheetId="3">'Fug (2)'!$B$209</definedName>
    <definedName name="total_voc_hourly" localSheetId="21">'Fug (20)'!$B$209</definedName>
    <definedName name="total_voc_hourly" localSheetId="22">'Fug (21)'!$B$209</definedName>
    <definedName name="total_voc_hourly" localSheetId="23">'Fug (22)'!$B$209</definedName>
    <definedName name="total_voc_hourly" localSheetId="24">'Fug (23)'!$B$209</definedName>
    <definedName name="total_voc_hourly" localSheetId="25">'Fug (24)'!$B$209</definedName>
    <definedName name="total_voc_hourly" localSheetId="26">'Fug (25)'!$B$209</definedName>
    <definedName name="total_voc_hourly" localSheetId="4">'Fug (3)'!$B$209</definedName>
    <definedName name="total_voc_hourly" localSheetId="5">'Fug (4)'!$B$209</definedName>
    <definedName name="total_voc_hourly" localSheetId="6">'Fug (5)'!$B$209</definedName>
    <definedName name="total_voc_hourly" localSheetId="7">'Fug (6)'!$B$209</definedName>
    <definedName name="total_voc_hourly" localSheetId="8">'Fug (7)'!$B$209</definedName>
    <definedName name="total_voc_hourly" localSheetId="9">'Fug (8)'!$B$209</definedName>
    <definedName name="total_voc_hourly" localSheetId="10">'Fug (9)'!$B$209</definedName>
    <definedName name="unique_components_boolean" localSheetId="2">'Fug (1)'!$B$104</definedName>
    <definedName name="unique_components_boolean" localSheetId="11">'Fug (10)'!$B$104</definedName>
    <definedName name="unique_components_boolean" localSheetId="12">'Fug (11)'!$B$104</definedName>
    <definedName name="unique_components_boolean" localSheetId="13">'Fug (12)'!$B$104</definedName>
    <definedName name="unique_components_boolean" localSheetId="14">'Fug (13)'!$B$104</definedName>
    <definedName name="unique_components_boolean" localSheetId="15">'Fug (14)'!$B$104</definedName>
    <definedName name="unique_components_boolean" localSheetId="16">'Fug (15)'!$B$104</definedName>
    <definedName name="unique_components_boolean" localSheetId="17">'Fug (16)'!$B$104</definedName>
    <definedName name="unique_components_boolean" localSheetId="18">'Fug (17)'!$B$104</definedName>
    <definedName name="unique_components_boolean" localSheetId="19">'Fug (18)'!$B$104</definedName>
    <definedName name="unique_components_boolean" localSheetId="20">'Fug (19)'!$B$104</definedName>
    <definedName name="unique_components_boolean" localSheetId="3">'Fug (2)'!$B$104</definedName>
    <definedName name="unique_components_boolean" localSheetId="21">'Fug (20)'!$B$104</definedName>
    <definedName name="unique_components_boolean" localSheetId="22">'Fug (21)'!$B$104</definedName>
    <definedName name="unique_components_boolean" localSheetId="23">'Fug (22)'!$B$104</definedName>
    <definedName name="unique_components_boolean" localSheetId="24">'Fug (23)'!$B$104</definedName>
    <definedName name="unique_components_boolean" localSheetId="25">'Fug (24)'!$B$104</definedName>
    <definedName name="unique_components_boolean" localSheetId="26">'Fug (25)'!$B$104</definedName>
    <definedName name="unique_components_boolean" localSheetId="4">'Fug (3)'!$B$104</definedName>
    <definedName name="unique_components_boolean" localSheetId="5">'Fug (4)'!$B$104</definedName>
    <definedName name="unique_components_boolean" localSheetId="6">'Fug (5)'!$B$104</definedName>
    <definedName name="unique_components_boolean" localSheetId="7">'Fug (6)'!$B$104</definedName>
    <definedName name="unique_components_boolean" localSheetId="8">'Fug (7)'!$B$104</definedName>
    <definedName name="unique_components_boolean" localSheetId="9">'Fug (8)'!$B$104</definedName>
    <definedName name="unique_components_boolean" localSheetId="10">'Fug (9)'!$B$104</definedName>
    <definedName name="years_to_hrs">'Helper Variable and Lists'!$C$5</definedName>
    <definedName name="yes_no_list" localSheetId="11">helper_var_list[yes_no_list]</definedName>
    <definedName name="yes_no_list" localSheetId="12">helper_var_list[yes_no_list]</definedName>
    <definedName name="yes_no_list" localSheetId="13">helper_var_list[yes_no_list]</definedName>
    <definedName name="yes_no_list" localSheetId="14">helper_var_list[yes_no_list]</definedName>
    <definedName name="yes_no_list" localSheetId="15">helper_var_list[yes_no_list]</definedName>
    <definedName name="yes_no_list" localSheetId="16">helper_var_list[yes_no_list]</definedName>
    <definedName name="yes_no_list" localSheetId="17">helper_var_list[yes_no_list]</definedName>
    <definedName name="yes_no_list" localSheetId="18">helper_var_list[yes_no_list]</definedName>
    <definedName name="yes_no_list" localSheetId="19">helper_var_list[yes_no_list]</definedName>
    <definedName name="yes_no_list" localSheetId="20">helper_var_list[yes_no_list]</definedName>
    <definedName name="yes_no_list" localSheetId="3">helper_var_list[yes_no_list]</definedName>
    <definedName name="yes_no_list" localSheetId="21">helper_var_list[yes_no_list]</definedName>
    <definedName name="yes_no_list" localSheetId="22">helper_var_list[yes_no_list]</definedName>
    <definedName name="yes_no_list" localSheetId="23">helper_var_list[yes_no_list]</definedName>
    <definedName name="yes_no_list" localSheetId="24">helper_var_list[yes_no_list]</definedName>
    <definedName name="yes_no_list" localSheetId="25">helper_var_list[yes_no_list]</definedName>
    <definedName name="yes_no_list" localSheetId="26">helper_var_list[yes_no_list]</definedName>
    <definedName name="yes_no_list" localSheetId="4">helper_var_list[yes_no_list]</definedName>
    <definedName name="yes_no_list" localSheetId="5">helper_var_list[yes_no_list]</definedName>
    <definedName name="yes_no_list" localSheetId="6">helper_var_list[yes_no_list]</definedName>
    <definedName name="yes_no_list" localSheetId="7">helper_var_list[yes_no_list]</definedName>
    <definedName name="yes_no_list" localSheetId="8">helper_var_list[yes_no_list]</definedName>
    <definedName name="yes_no_list" localSheetId="9">helper_var_list[yes_no_list]</definedName>
    <definedName name="yes_no_list" localSheetId="10">helper_var_list[yes_no_list]</definedName>
    <definedName name="yes_no_list">helper_var_list[yes_no_list]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8" i="45" l="1"/>
  <c r="L27" i="45"/>
  <c r="L26" i="45"/>
  <c r="L25" i="45"/>
  <c r="L24" i="45"/>
  <c r="L23" i="45"/>
  <c r="L22" i="45"/>
  <c r="L21" i="45"/>
  <c r="L20" i="45"/>
  <c r="L19" i="45"/>
  <c r="L18" i="45"/>
  <c r="L17" i="45"/>
  <c r="L16" i="45"/>
  <c r="L15" i="45"/>
  <c r="L14" i="45"/>
  <c r="L13" i="45"/>
  <c r="L12" i="45"/>
  <c r="L11" i="45"/>
  <c r="L10" i="45"/>
  <c r="L9" i="45"/>
  <c r="L8" i="45"/>
  <c r="L7" i="45"/>
  <c r="L6" i="45"/>
  <c r="L5" i="45"/>
  <c r="L4" i="45"/>
  <c r="K28" i="45"/>
  <c r="K27" i="45"/>
  <c r="K26" i="45"/>
  <c r="K25" i="45"/>
  <c r="K24" i="45"/>
  <c r="K23" i="45"/>
  <c r="K22" i="45"/>
  <c r="K21" i="45"/>
  <c r="K20" i="45"/>
  <c r="K19" i="45"/>
  <c r="K18" i="45"/>
  <c r="K17" i="45"/>
  <c r="K16" i="45"/>
  <c r="K15" i="45"/>
  <c r="K14" i="45"/>
  <c r="K13" i="45"/>
  <c r="K12" i="45"/>
  <c r="K11" i="45"/>
  <c r="K10" i="45"/>
  <c r="K9" i="45"/>
  <c r="K8" i="45"/>
  <c r="K7" i="45"/>
  <c r="K6" i="45"/>
  <c r="K5" i="45"/>
  <c r="K4" i="45"/>
  <c r="J28" i="45"/>
  <c r="J27" i="45"/>
  <c r="J26" i="45"/>
  <c r="J25" i="45"/>
  <c r="J24" i="45"/>
  <c r="J23" i="45"/>
  <c r="J22" i="45"/>
  <c r="J21" i="45"/>
  <c r="J20" i="45"/>
  <c r="J19" i="45"/>
  <c r="J18" i="45"/>
  <c r="J17" i="45"/>
  <c r="J16" i="45"/>
  <c r="J15" i="45"/>
  <c r="J14" i="45"/>
  <c r="J13" i="45"/>
  <c r="J12" i="45"/>
  <c r="J11" i="45"/>
  <c r="J10" i="45"/>
  <c r="J9" i="45"/>
  <c r="J8" i="45"/>
  <c r="J7" i="45"/>
  <c r="J6" i="45"/>
  <c r="J5" i="45"/>
  <c r="J4" i="45"/>
  <c r="I28" i="45"/>
  <c r="I27" i="45"/>
  <c r="I26" i="45"/>
  <c r="I25" i="45"/>
  <c r="I24" i="45"/>
  <c r="I23" i="45"/>
  <c r="I22" i="45"/>
  <c r="I21" i="45"/>
  <c r="I20" i="45"/>
  <c r="I19" i="45"/>
  <c r="I18" i="45"/>
  <c r="I17" i="45"/>
  <c r="I16" i="45"/>
  <c r="I15" i="45"/>
  <c r="I14" i="45"/>
  <c r="I13" i="45"/>
  <c r="I12" i="45"/>
  <c r="I11" i="45"/>
  <c r="I10" i="45"/>
  <c r="I9" i="45"/>
  <c r="I8" i="45"/>
  <c r="I7" i="45"/>
  <c r="I6" i="45"/>
  <c r="I5" i="45"/>
  <c r="I4" i="45"/>
  <c r="H28" i="45"/>
  <c r="H27" i="45"/>
  <c r="H26" i="45"/>
  <c r="H25" i="45"/>
  <c r="H24" i="45"/>
  <c r="H23" i="45"/>
  <c r="H22" i="45"/>
  <c r="H21" i="45"/>
  <c r="H20" i="45"/>
  <c r="H19" i="45"/>
  <c r="H18" i="45"/>
  <c r="H17" i="45"/>
  <c r="H16" i="45"/>
  <c r="H15" i="45"/>
  <c r="H14" i="45"/>
  <c r="H13" i="45"/>
  <c r="H12" i="45"/>
  <c r="H11" i="45"/>
  <c r="H10" i="45"/>
  <c r="H9" i="45"/>
  <c r="H8" i="45"/>
  <c r="H7" i="45"/>
  <c r="H6" i="45"/>
  <c r="H5" i="45"/>
  <c r="H4" i="45"/>
  <c r="G28" i="45"/>
  <c r="G27" i="45"/>
  <c r="G26" i="45"/>
  <c r="G25" i="45"/>
  <c r="G24" i="45"/>
  <c r="G23" i="45"/>
  <c r="G22" i="45"/>
  <c r="G21" i="45"/>
  <c r="G20" i="45"/>
  <c r="G19" i="45"/>
  <c r="G18" i="45"/>
  <c r="G17" i="45"/>
  <c r="G16" i="45"/>
  <c r="G15" i="45"/>
  <c r="G14" i="45"/>
  <c r="G13" i="45"/>
  <c r="G12" i="45"/>
  <c r="G11" i="45"/>
  <c r="G10" i="45"/>
  <c r="G9" i="45"/>
  <c r="G8" i="45"/>
  <c r="G7" i="45"/>
  <c r="G6" i="45"/>
  <c r="G5" i="45"/>
  <c r="G4" i="45"/>
  <c r="F28" i="45"/>
  <c r="F27" i="45"/>
  <c r="F26" i="45"/>
  <c r="F25" i="45"/>
  <c r="F24" i="45"/>
  <c r="F23" i="45"/>
  <c r="F22" i="45"/>
  <c r="F21" i="45"/>
  <c r="F20" i="45"/>
  <c r="F19" i="45"/>
  <c r="F18" i="45"/>
  <c r="F17" i="45"/>
  <c r="F16" i="45"/>
  <c r="F15" i="45"/>
  <c r="F14" i="45"/>
  <c r="F13" i="45"/>
  <c r="F12" i="45"/>
  <c r="F11" i="45"/>
  <c r="F10" i="45"/>
  <c r="F9" i="45"/>
  <c r="F8" i="45"/>
  <c r="F7" i="45"/>
  <c r="F6" i="45"/>
  <c r="F5" i="45"/>
  <c r="F4" i="45"/>
  <c r="E28" i="45"/>
  <c r="E27" i="45"/>
  <c r="E26" i="45"/>
  <c r="E25" i="45"/>
  <c r="E24" i="45"/>
  <c r="E23" i="45"/>
  <c r="E22" i="45"/>
  <c r="E21" i="45"/>
  <c r="E20" i="45"/>
  <c r="E19" i="45"/>
  <c r="E18" i="45"/>
  <c r="E17" i="45"/>
  <c r="E16" i="45"/>
  <c r="E15" i="45"/>
  <c r="E14" i="45"/>
  <c r="E13" i="45"/>
  <c r="E12" i="45"/>
  <c r="E11" i="45"/>
  <c r="E10" i="45"/>
  <c r="E9" i="45"/>
  <c r="E8" i="45"/>
  <c r="E7" i="45"/>
  <c r="E6" i="45"/>
  <c r="E5" i="45"/>
  <c r="E4" i="45"/>
  <c r="D28" i="45"/>
  <c r="D27" i="45"/>
  <c r="D26" i="45"/>
  <c r="D25" i="45"/>
  <c r="D24" i="45"/>
  <c r="D23" i="45"/>
  <c r="D22" i="45"/>
  <c r="D21" i="45"/>
  <c r="D20" i="45"/>
  <c r="D19" i="45"/>
  <c r="D18" i="45"/>
  <c r="D17" i="45"/>
  <c r="D16" i="45"/>
  <c r="D15" i="45"/>
  <c r="D14" i="45"/>
  <c r="D13" i="45"/>
  <c r="D12" i="45"/>
  <c r="D11" i="45"/>
  <c r="D10" i="45"/>
  <c r="D9" i="45"/>
  <c r="D8" i="45"/>
  <c r="D7" i="45"/>
  <c r="D6" i="45"/>
  <c r="D5" i="45"/>
  <c r="D4" i="45"/>
  <c r="C28" i="45"/>
  <c r="C27" i="45"/>
  <c r="C26" i="45"/>
  <c r="C25" i="45"/>
  <c r="C24" i="45"/>
  <c r="C23" i="45"/>
  <c r="C22" i="45"/>
  <c r="C21" i="45"/>
  <c r="C20" i="45"/>
  <c r="C19" i="45"/>
  <c r="C18" i="45"/>
  <c r="C17" i="45"/>
  <c r="C16" i="45"/>
  <c r="C15" i="45"/>
  <c r="C14" i="45"/>
  <c r="C13" i="45"/>
  <c r="C12" i="45"/>
  <c r="C11" i="45"/>
  <c r="C10" i="45"/>
  <c r="C9" i="45"/>
  <c r="C8" i="45"/>
  <c r="C7" i="45"/>
  <c r="C6" i="45"/>
  <c r="C5" i="45"/>
  <c r="C4" i="45"/>
  <c r="B28" i="45"/>
  <c r="B27" i="45"/>
  <c r="B26" i="45"/>
  <c r="B25" i="45"/>
  <c r="B24" i="45"/>
  <c r="B23" i="45"/>
  <c r="B22" i="45"/>
  <c r="B21" i="45"/>
  <c r="B20" i="45"/>
  <c r="B19" i="45"/>
  <c r="B18" i="45"/>
  <c r="B17" i="45"/>
  <c r="B16" i="45"/>
  <c r="B15" i="45"/>
  <c r="B14" i="45"/>
  <c r="B13" i="45"/>
  <c r="B12" i="45"/>
  <c r="B11" i="45"/>
  <c r="B10" i="45"/>
  <c r="B9" i="45"/>
  <c r="B8" i="45"/>
  <c r="B7" i="45"/>
  <c r="B6" i="45"/>
  <c r="B5" i="45"/>
  <c r="B4" i="45"/>
  <c r="C232" i="266" a="1"/>
  <c r="C232" i="266" s="1"/>
  <c r="B232" i="266" a="1"/>
  <c r="B232" i="266" s="1"/>
  <c r="A232" i="266" a="1"/>
  <c r="A232" i="266" s="1"/>
  <c r="B214" i="266"/>
  <c r="B213" i="266"/>
  <c r="B212" i="266"/>
  <c r="B211" i="266"/>
  <c r="B210" i="266"/>
  <c r="B209" i="266"/>
  <c r="C203" i="266"/>
  <c r="B203" i="266"/>
  <c r="C202" i="266"/>
  <c r="B202" i="266"/>
  <c r="C201" i="266"/>
  <c r="B201" i="266"/>
  <c r="C200" i="266"/>
  <c r="B200" i="266"/>
  <c r="C199" i="266"/>
  <c r="B199" i="266"/>
  <c r="C198" i="266"/>
  <c r="B198" i="266"/>
  <c r="C197" i="266"/>
  <c r="B197" i="266"/>
  <c r="C196" i="266"/>
  <c r="B196" i="266"/>
  <c r="C195" i="266"/>
  <c r="B195" i="266"/>
  <c r="C194" i="266"/>
  <c r="B194" i="266"/>
  <c r="C193" i="266"/>
  <c r="B193" i="266"/>
  <c r="C192" i="266"/>
  <c r="B192" i="266"/>
  <c r="C191" i="266"/>
  <c r="B191" i="266"/>
  <c r="C190" i="266"/>
  <c r="B190" i="266"/>
  <c r="C189" i="266"/>
  <c r="B189" i="266"/>
  <c r="C188" i="266"/>
  <c r="B188" i="266"/>
  <c r="C187" i="266"/>
  <c r="B187" i="266"/>
  <c r="C186" i="266"/>
  <c r="B186" i="266"/>
  <c r="C185" i="266"/>
  <c r="B185" i="266"/>
  <c r="H181" i="266"/>
  <c r="B180" i="266"/>
  <c r="B179" i="266"/>
  <c r="B178" i="266"/>
  <c r="B177" i="266"/>
  <c r="B176" i="266"/>
  <c r="B175" i="266"/>
  <c r="B174" i="266"/>
  <c r="B173" i="266"/>
  <c r="B172" i="266"/>
  <c r="B171" i="266"/>
  <c r="B170" i="266"/>
  <c r="B169" i="266"/>
  <c r="B168" i="266"/>
  <c r="B167" i="266"/>
  <c r="B166" i="266"/>
  <c r="B165" i="266"/>
  <c r="B164" i="266"/>
  <c r="B163" i="266"/>
  <c r="B162" i="266"/>
  <c r="B161" i="266"/>
  <c r="B160" i="266"/>
  <c r="B159" i="266"/>
  <c r="B158" i="266"/>
  <c r="B157" i="266"/>
  <c r="B156" i="266"/>
  <c r="B155" i="266"/>
  <c r="B154" i="266"/>
  <c r="B153" i="266"/>
  <c r="B152" i="266"/>
  <c r="B151" i="266"/>
  <c r="B150" i="266"/>
  <c r="B149" i="266"/>
  <c r="B148" i="266"/>
  <c r="B147" i="266"/>
  <c r="B146" i="266"/>
  <c r="B145" i="266"/>
  <c r="B144" i="266"/>
  <c r="B143" i="266"/>
  <c r="B142" i="266"/>
  <c r="B141" i="266"/>
  <c r="B140" i="266"/>
  <c r="B139" i="266"/>
  <c r="B138" i="266"/>
  <c r="B137" i="266"/>
  <c r="B136" i="266"/>
  <c r="B135" i="266"/>
  <c r="B134" i="266"/>
  <c r="B133" i="266"/>
  <c r="B132" i="266"/>
  <c r="B131" i="266"/>
  <c r="C127" i="266"/>
  <c r="F126" i="266"/>
  <c r="G126" i="266" s="1"/>
  <c r="F125" i="266"/>
  <c r="G125" i="266" s="1"/>
  <c r="G124" i="266"/>
  <c r="F124" i="266"/>
  <c r="G123" i="266"/>
  <c r="F123" i="266"/>
  <c r="F122" i="266"/>
  <c r="G122" i="266" s="1"/>
  <c r="F121" i="266"/>
  <c r="G121" i="266" s="1"/>
  <c r="G120" i="266"/>
  <c r="F120" i="266"/>
  <c r="G119" i="266"/>
  <c r="F119" i="266"/>
  <c r="F118" i="266"/>
  <c r="G118" i="266" s="1"/>
  <c r="F117" i="266"/>
  <c r="G117" i="266" s="1"/>
  <c r="G116" i="266"/>
  <c r="F116" i="266"/>
  <c r="G115" i="266"/>
  <c r="F115" i="266"/>
  <c r="F114" i="266"/>
  <c r="G114" i="266" s="1"/>
  <c r="F113" i="266"/>
  <c r="G113" i="266" s="1"/>
  <c r="F112" i="266"/>
  <c r="G112" i="266" s="1"/>
  <c r="G111" i="266"/>
  <c r="F111" i="266"/>
  <c r="F110" i="266"/>
  <c r="G110" i="266" s="1"/>
  <c r="F109" i="266"/>
  <c r="G109" i="266" s="1"/>
  <c r="G108" i="266"/>
  <c r="F108" i="266"/>
  <c r="G107" i="266"/>
  <c r="F107" i="266"/>
  <c r="F127" i="266" s="1"/>
  <c r="C101" i="266"/>
  <c r="B100" i="266"/>
  <c r="B100" i="266" a="1"/>
  <c r="A100" i="266" a="1"/>
  <c r="A100" i="266" s="1"/>
  <c r="B99" i="266" a="1"/>
  <c r="B99" i="266" s="1"/>
  <c r="A99" i="266" a="1"/>
  <c r="A99" i="266" s="1"/>
  <c r="G99" i="266" s="1" a="1"/>
  <c r="G99" i="266" s="1"/>
  <c r="B98" i="266" a="1"/>
  <c r="B98" i="266" s="1"/>
  <c r="A98" i="266" a="1"/>
  <c r="A98" i="266" s="1"/>
  <c r="B97" i="266" a="1"/>
  <c r="B97" i="266" s="1"/>
  <c r="A97" i="266" a="1"/>
  <c r="A97" i="266" s="1"/>
  <c r="D97" i="266" s="1" a="1"/>
  <c r="D97" i="266" s="1"/>
  <c r="B96" i="266" a="1"/>
  <c r="B96" i="266" s="1"/>
  <c r="A96" i="266" a="1"/>
  <c r="A96" i="266" s="1"/>
  <c r="E95" i="266" a="1"/>
  <c r="E95" i="266" s="1"/>
  <c r="D95" i="266" a="1"/>
  <c r="D95" i="266" s="1"/>
  <c r="B95" i="266" a="1"/>
  <c r="B95" i="266" s="1"/>
  <c r="A95" i="266" a="1"/>
  <c r="A95" i="266" s="1"/>
  <c r="B94" i="266" a="1"/>
  <c r="B94" i="266" s="1"/>
  <c r="G94" i="266" s="1" a="1"/>
  <c r="G94" i="266" s="1"/>
  <c r="A94" i="266" a="1"/>
  <c r="A94" i="266" s="1"/>
  <c r="F94" i="266" s="1" a="1"/>
  <c r="F94" i="266" s="1"/>
  <c r="B93" i="266" a="1"/>
  <c r="B93" i="266" s="1"/>
  <c r="A93" i="266" a="1"/>
  <c r="A93" i="266" s="1"/>
  <c r="B92" i="266" a="1"/>
  <c r="B92" i="266" s="1"/>
  <c r="A92" i="266" a="1"/>
  <c r="A92" i="266" s="1"/>
  <c r="B91" i="266" a="1"/>
  <c r="B91" i="266" s="1"/>
  <c r="A91" i="266" a="1"/>
  <c r="A91" i="266" s="1"/>
  <c r="F91" i="266" s="1" a="1"/>
  <c r="F91" i="266" s="1"/>
  <c r="D90" i="266" a="1"/>
  <c r="D90" i="266" s="1"/>
  <c r="B90" i="266" a="1"/>
  <c r="B90" i="266" s="1"/>
  <c r="G90" i="266" s="1" a="1"/>
  <c r="G90" i="266" s="1"/>
  <c r="A90" i="266" a="1"/>
  <c r="A90" i="266" s="1"/>
  <c r="B89" i="266" a="1"/>
  <c r="B89" i="266" s="1"/>
  <c r="D89" i="266" s="1" a="1"/>
  <c r="D89" i="266" s="1"/>
  <c r="A89" i="266" a="1"/>
  <c r="A89" i="266" s="1"/>
  <c r="B88" i="266"/>
  <c r="F88" i="266" s="1" a="1"/>
  <c r="F88" i="266" s="1"/>
  <c r="B88" i="266" a="1"/>
  <c r="A88" i="266" a="1"/>
  <c r="A88" i="266" s="1"/>
  <c r="B87" i="266" a="1"/>
  <c r="B87" i="266" s="1"/>
  <c r="A87" i="266" a="1"/>
  <c r="A87" i="266" s="1"/>
  <c r="D87" i="266" s="1" a="1"/>
  <c r="D87" i="266" s="1"/>
  <c r="G86" i="266" a="1"/>
  <c r="G86" i="266" s="1"/>
  <c r="B86" i="266" a="1"/>
  <c r="B86" i="266" s="1"/>
  <c r="D86" i="266" s="1" a="1"/>
  <c r="D86" i="266" s="1"/>
  <c r="A86" i="266" a="1"/>
  <c r="A86" i="266" s="1"/>
  <c r="G85" i="266" a="1"/>
  <c r="G85" i="266" s="1"/>
  <c r="B85" i="266" a="1"/>
  <c r="B85" i="266" s="1"/>
  <c r="A85" i="266" a="1"/>
  <c r="A85" i="266" s="1"/>
  <c r="B84" i="266" a="1"/>
  <c r="B84" i="266" s="1"/>
  <c r="A84" i="266" a="1"/>
  <c r="A84" i="266" s="1"/>
  <c r="E83" i="266" a="1"/>
  <c r="E83" i="266" s="1"/>
  <c r="D83" i="266" a="1"/>
  <c r="D83" i="266" s="1"/>
  <c r="B83" i="266" a="1"/>
  <c r="B83" i="266" s="1"/>
  <c r="F83" i="266" s="1" a="1"/>
  <c r="F83" i="266" s="1"/>
  <c r="A83" i="266"/>
  <c r="A83" i="266" a="1"/>
  <c r="B82" i="266" a="1"/>
  <c r="B82" i="266" s="1"/>
  <c r="A82" i="266" a="1"/>
  <c r="A82" i="266" s="1"/>
  <c r="F82" i="266" s="1" a="1"/>
  <c r="F82" i="266" s="1"/>
  <c r="F81" i="266" a="1"/>
  <c r="F81" i="266" s="1"/>
  <c r="D81" i="266" a="1"/>
  <c r="D81" i="266" s="1"/>
  <c r="B81" i="266" a="1"/>
  <c r="B81" i="266" s="1"/>
  <c r="A81" i="266" a="1"/>
  <c r="A81" i="266" s="1"/>
  <c r="B80" i="266" a="1"/>
  <c r="B80" i="266" s="1"/>
  <c r="A80" i="266" a="1"/>
  <c r="A80" i="266" s="1"/>
  <c r="F80" i="266" s="1" a="1"/>
  <c r="F80" i="266" s="1"/>
  <c r="G79" i="266" a="1"/>
  <c r="G79" i="266" s="1"/>
  <c r="D79" i="266" a="1"/>
  <c r="D79" i="266" s="1"/>
  <c r="B79" i="266" a="1"/>
  <c r="B79" i="266" s="1"/>
  <c r="A79" i="266"/>
  <c r="A79" i="266" a="1"/>
  <c r="B78" i="266" a="1"/>
  <c r="B78" i="266" s="1"/>
  <c r="A78" i="266" a="1"/>
  <c r="A78" i="266" s="1"/>
  <c r="B77" i="266" a="1"/>
  <c r="B77" i="266" s="1"/>
  <c r="A77" i="266"/>
  <c r="A77" i="266" a="1"/>
  <c r="B76" i="266" a="1"/>
  <c r="B76" i="266" s="1"/>
  <c r="D76" i="266" s="1" a="1"/>
  <c r="D76" i="266" s="1"/>
  <c r="A76" i="266" a="1"/>
  <c r="A76" i="266" s="1"/>
  <c r="E75" i="266" a="1"/>
  <c r="E75" i="266" s="1"/>
  <c r="B75" i="266" a="1"/>
  <c r="B75" i="266" s="1"/>
  <c r="A75" i="266"/>
  <c r="A75" i="266" a="1"/>
  <c r="B74" i="266" a="1"/>
  <c r="B74" i="266" s="1"/>
  <c r="A74" i="266" a="1"/>
  <c r="A74" i="266" s="1"/>
  <c r="B73" i="266" a="1"/>
  <c r="B73" i="266" s="1"/>
  <c r="A73" i="266" a="1"/>
  <c r="A73" i="266" s="1"/>
  <c r="B72" i="266"/>
  <c r="B72" i="266" a="1"/>
  <c r="A72" i="266" a="1"/>
  <c r="A72" i="266" s="1"/>
  <c r="B71" i="266" a="1"/>
  <c r="B71" i="266" s="1"/>
  <c r="A71" i="266"/>
  <c r="D71" i="266" s="1" a="1"/>
  <c r="D71" i="266" s="1"/>
  <c r="A71" i="266" a="1"/>
  <c r="G70" i="266" a="1"/>
  <c r="G70" i="266" s="1"/>
  <c r="E70" i="266" a="1"/>
  <c r="E70" i="266" s="1"/>
  <c r="B70" i="266"/>
  <c r="B70" i="266" a="1"/>
  <c r="A70" i="266" a="1"/>
  <c r="A70" i="266" s="1"/>
  <c r="B69" i="266" a="1"/>
  <c r="B69" i="266" s="1"/>
  <c r="A69" i="266" a="1"/>
  <c r="A69" i="266" s="1"/>
  <c r="E69" i="266" s="1" a="1"/>
  <c r="E69" i="266" s="1"/>
  <c r="D68" i="266" a="1"/>
  <c r="D68" i="266" s="1"/>
  <c r="B68" i="266" a="1"/>
  <c r="B68" i="266" s="1"/>
  <c r="A68" i="266" a="1"/>
  <c r="A68" i="266" s="1"/>
  <c r="B67" i="266" a="1"/>
  <c r="B67" i="266" s="1"/>
  <c r="A67" i="266" a="1"/>
  <c r="A67" i="266" s="1"/>
  <c r="B66" i="266" a="1"/>
  <c r="B66" i="266" s="1"/>
  <c r="A66" i="266"/>
  <c r="A66" i="266" a="1"/>
  <c r="B65" i="266" a="1"/>
  <c r="B65" i="266" s="1"/>
  <c r="A65" i="266" a="1"/>
  <c r="A65" i="266" s="1"/>
  <c r="B64" i="266" a="1"/>
  <c r="B64" i="266" s="1"/>
  <c r="G64" i="266" s="1" a="1"/>
  <c r="G64" i="266" s="1"/>
  <c r="A64" i="266" a="1"/>
  <c r="A64" i="266" s="1"/>
  <c r="B63" i="266" a="1"/>
  <c r="B63" i="266" s="1"/>
  <c r="A63" i="266"/>
  <c r="A63" i="266" a="1"/>
  <c r="B62" i="266" a="1"/>
  <c r="B62" i="266" s="1"/>
  <c r="G62" i="266" s="1" a="1"/>
  <c r="G62" i="266" s="1"/>
  <c r="A62" i="266"/>
  <c r="A62" i="266" a="1"/>
  <c r="B61" i="266" a="1"/>
  <c r="B61" i="266" s="1"/>
  <c r="A61" i="266" a="1"/>
  <c r="A61" i="266" s="1"/>
  <c r="B60" i="266" a="1"/>
  <c r="B60" i="266" s="1"/>
  <c r="F60" i="266" s="1" a="1"/>
  <c r="F60" i="266" s="1"/>
  <c r="A60" i="266" a="1"/>
  <c r="A60" i="266" s="1"/>
  <c r="B59" i="266"/>
  <c r="D59" i="266" s="1" a="1"/>
  <c r="D59" i="266" s="1"/>
  <c r="B59" i="266" a="1"/>
  <c r="A59" i="266" a="1"/>
  <c r="A59" i="266" s="1"/>
  <c r="B58" i="266" a="1"/>
  <c r="B58" i="266" s="1"/>
  <c r="A58" i="266" a="1"/>
  <c r="A58" i="266" s="1"/>
  <c r="E57" i="266" a="1"/>
  <c r="E57" i="266" s="1"/>
  <c r="B57" i="266" a="1"/>
  <c r="B57" i="266" s="1"/>
  <c r="A57" i="266" a="1"/>
  <c r="A57" i="266" s="1"/>
  <c r="B56" i="266" a="1"/>
  <c r="B56" i="266" s="1"/>
  <c r="A56" i="266" a="1"/>
  <c r="A56" i="266" s="1"/>
  <c r="F56" i="266" s="1" a="1"/>
  <c r="F56" i="266" s="1"/>
  <c r="B55" i="266"/>
  <c r="E55" i="266" s="1" a="1"/>
  <c r="E55" i="266" s="1"/>
  <c r="B55" i="266" a="1"/>
  <c r="A55" i="266" a="1"/>
  <c r="A55" i="266" s="1"/>
  <c r="B54" i="266" a="1"/>
  <c r="B54" i="266" s="1"/>
  <c r="A54" i="266" a="1"/>
  <c r="A54" i="266" s="1"/>
  <c r="E53" i="266" a="1"/>
  <c r="E53" i="266" s="1"/>
  <c r="D53" i="266" a="1"/>
  <c r="D53" i="266" s="1"/>
  <c r="B53" i="266" a="1"/>
  <c r="B53" i="266" s="1"/>
  <c r="A53" i="266" a="1"/>
  <c r="A53" i="266" s="1"/>
  <c r="B52" i="266" a="1"/>
  <c r="B52" i="266" s="1"/>
  <c r="A52" i="266" a="1"/>
  <c r="A52" i="266" s="1"/>
  <c r="B51" i="266" a="1"/>
  <c r="B51" i="266" s="1"/>
  <c r="A51" i="266" a="1"/>
  <c r="A51" i="266" s="1"/>
  <c r="B50" i="266" a="1"/>
  <c r="B50" i="266" s="1"/>
  <c r="G50" i="266" s="1" a="1"/>
  <c r="G50" i="266" s="1"/>
  <c r="A50" i="266" a="1"/>
  <c r="A50" i="266" s="1"/>
  <c r="B49" i="266" a="1"/>
  <c r="B49" i="266" s="1"/>
  <c r="A49" i="266"/>
  <c r="A49" i="266" a="1"/>
  <c r="B48" i="266" a="1"/>
  <c r="B48" i="266" s="1"/>
  <c r="D48" i="266" s="1" a="1"/>
  <c r="D48" i="266" s="1"/>
  <c r="A48" i="266" a="1"/>
  <c r="A48" i="266" s="1"/>
  <c r="B47" i="266" a="1"/>
  <c r="B47" i="266" s="1"/>
  <c r="E47" i="266" s="1" a="1"/>
  <c r="E47" i="266" s="1"/>
  <c r="A47" i="266" a="1"/>
  <c r="A47" i="266" s="1"/>
  <c r="B46" i="266"/>
  <c r="B46" i="266" a="1"/>
  <c r="A46" i="266" a="1"/>
  <c r="A46" i="266" s="1"/>
  <c r="E45" i="266" a="1"/>
  <c r="E45" i="266" s="1"/>
  <c r="B45" i="266" a="1"/>
  <c r="B45" i="266" s="1"/>
  <c r="A45" i="266" a="1"/>
  <c r="A45" i="266" s="1"/>
  <c r="B44" i="266" a="1"/>
  <c r="B44" i="266" s="1"/>
  <c r="A44" i="266" a="1"/>
  <c r="A44" i="266" s="1"/>
  <c r="B43" i="266" a="1"/>
  <c r="B43" i="266" s="1"/>
  <c r="A43" i="266" a="1"/>
  <c r="A43" i="266" s="1"/>
  <c r="F42" i="266" a="1"/>
  <c r="F42" i="266" s="1"/>
  <c r="E42" i="266" a="1"/>
  <c r="E42" i="266" s="1"/>
  <c r="B42" i="266"/>
  <c r="B42" i="266" a="1"/>
  <c r="A42" i="266" a="1"/>
  <c r="A42" i="266" s="1"/>
  <c r="D42" i="266" s="1" a="1"/>
  <c r="D42" i="266" s="1"/>
  <c r="B41" i="266" a="1"/>
  <c r="B41" i="266" s="1"/>
  <c r="A41" i="266" a="1"/>
  <c r="A41" i="266" s="1"/>
  <c r="B40" i="266" a="1"/>
  <c r="B40" i="266" s="1"/>
  <c r="A40" i="266"/>
  <c r="A40" i="266" a="1"/>
  <c r="B39" i="266"/>
  <c r="B39" i="266" a="1"/>
  <c r="A39" i="266" a="1"/>
  <c r="A39" i="266" s="1"/>
  <c r="G39" i="266" s="1" a="1"/>
  <c r="G39" i="266" s="1"/>
  <c r="B38" i="266"/>
  <c r="B38" i="266" a="1"/>
  <c r="A38" i="266" a="1"/>
  <c r="A38" i="266" s="1"/>
  <c r="B37" i="266"/>
  <c r="B37" i="266" a="1"/>
  <c r="A37" i="266" a="1"/>
  <c r="A37" i="266" s="1"/>
  <c r="B36" i="266" a="1"/>
  <c r="B36" i="266" s="1"/>
  <c r="A36" i="266" a="1"/>
  <c r="A36" i="266" s="1"/>
  <c r="B35" i="266" a="1"/>
  <c r="B35" i="266" s="1"/>
  <c r="A35" i="266" a="1"/>
  <c r="A35" i="266" s="1"/>
  <c r="B34" i="266"/>
  <c r="B34" i="266" a="1"/>
  <c r="A34" i="266" a="1"/>
  <c r="A34" i="266" s="1"/>
  <c r="B33" i="266" a="1"/>
  <c r="B33" i="266" s="1"/>
  <c r="A33" i="266" a="1"/>
  <c r="A33" i="266" s="1"/>
  <c r="B32" i="266" a="1"/>
  <c r="B32" i="266" s="1"/>
  <c r="A32" i="266"/>
  <c r="A32" i="266" a="1"/>
  <c r="B31" i="266" a="1"/>
  <c r="B31" i="266" s="1"/>
  <c r="F31" i="266" s="1" a="1"/>
  <c r="F31" i="266" s="1"/>
  <c r="A31" i="266" a="1"/>
  <c r="A31" i="266" s="1"/>
  <c r="B30" i="266"/>
  <c r="B30" i="266" a="1"/>
  <c r="A30" i="266" a="1"/>
  <c r="A30" i="266" s="1"/>
  <c r="B29" i="266"/>
  <c r="B29" i="266" a="1"/>
  <c r="A29" i="266" a="1"/>
  <c r="A29" i="266" s="1"/>
  <c r="E28" i="266" a="1"/>
  <c r="E28" i="266" s="1"/>
  <c r="B28" i="266" a="1"/>
  <c r="B28" i="266" s="1"/>
  <c r="D28" i="266" s="1" a="1"/>
  <c r="D28" i="266" s="1"/>
  <c r="A28" i="266"/>
  <c r="A28" i="266" a="1"/>
  <c r="B27" i="266" a="1"/>
  <c r="B27" i="266" s="1"/>
  <c r="A27" i="266" a="1"/>
  <c r="A27" i="266" s="1"/>
  <c r="B26" i="266" a="1"/>
  <c r="B26" i="266" s="1"/>
  <c r="A26" i="266" a="1"/>
  <c r="A26" i="266" s="1"/>
  <c r="E26" i="266" s="1" a="1"/>
  <c r="E26" i="266" s="1"/>
  <c r="B25" i="266"/>
  <c r="B25" i="266" a="1"/>
  <c r="A25" i="266"/>
  <c r="A25" i="266" a="1"/>
  <c r="C232" i="265" a="1"/>
  <c r="C232" i="265" s="1"/>
  <c r="B232" i="265" a="1"/>
  <c r="B232" i="265" s="1"/>
  <c r="A232" i="265" a="1"/>
  <c r="A232" i="265" s="1"/>
  <c r="B214" i="265"/>
  <c r="B213" i="265"/>
  <c r="B212" i="265"/>
  <c r="B211" i="265"/>
  <c r="B210" i="265"/>
  <c r="B209" i="265"/>
  <c r="C203" i="265"/>
  <c r="B203" i="265"/>
  <c r="C202" i="265"/>
  <c r="B202" i="265"/>
  <c r="C201" i="265"/>
  <c r="B201" i="265"/>
  <c r="C200" i="265"/>
  <c r="B200" i="265"/>
  <c r="C199" i="265"/>
  <c r="B199" i="265"/>
  <c r="C198" i="265"/>
  <c r="B198" i="265"/>
  <c r="C197" i="265"/>
  <c r="B197" i="265"/>
  <c r="C196" i="265"/>
  <c r="B196" i="265"/>
  <c r="C195" i="265"/>
  <c r="B195" i="265"/>
  <c r="C194" i="265"/>
  <c r="B194" i="265"/>
  <c r="C193" i="265"/>
  <c r="B193" i="265"/>
  <c r="C192" i="265"/>
  <c r="B192" i="265"/>
  <c r="C191" i="265"/>
  <c r="B191" i="265"/>
  <c r="C190" i="265"/>
  <c r="B190" i="265"/>
  <c r="C189" i="265"/>
  <c r="B189" i="265"/>
  <c r="C188" i="265"/>
  <c r="B188" i="265"/>
  <c r="C187" i="265"/>
  <c r="B187" i="265"/>
  <c r="C186" i="265"/>
  <c r="B186" i="265"/>
  <c r="C185" i="265"/>
  <c r="B185" i="265"/>
  <c r="H181" i="265"/>
  <c r="B180" i="265"/>
  <c r="B179" i="265"/>
  <c r="B178" i="265"/>
  <c r="B177" i="265"/>
  <c r="B176" i="265"/>
  <c r="B175" i="265"/>
  <c r="B174" i="265"/>
  <c r="B173" i="265"/>
  <c r="B172" i="265"/>
  <c r="B171" i="265"/>
  <c r="B170" i="265"/>
  <c r="B169" i="265"/>
  <c r="B168" i="265"/>
  <c r="B167" i="265"/>
  <c r="B166" i="265"/>
  <c r="B165" i="265"/>
  <c r="B164" i="265"/>
  <c r="B163" i="265"/>
  <c r="B162" i="265"/>
  <c r="B161" i="265"/>
  <c r="B160" i="265"/>
  <c r="B159" i="265"/>
  <c r="B158" i="265"/>
  <c r="B157" i="265"/>
  <c r="B156" i="265"/>
  <c r="B155" i="265"/>
  <c r="B154" i="265"/>
  <c r="B153" i="265"/>
  <c r="B152" i="265"/>
  <c r="B151" i="265"/>
  <c r="B150" i="265"/>
  <c r="B149" i="265"/>
  <c r="B148" i="265"/>
  <c r="B147" i="265"/>
  <c r="B146" i="265"/>
  <c r="B145" i="265"/>
  <c r="B144" i="265"/>
  <c r="B143" i="265"/>
  <c r="B142" i="265"/>
  <c r="B141" i="265"/>
  <c r="B140" i="265"/>
  <c r="B139" i="265"/>
  <c r="B138" i="265"/>
  <c r="B137" i="265"/>
  <c r="B136" i="265"/>
  <c r="B135" i="265"/>
  <c r="B134" i="265"/>
  <c r="B133" i="265"/>
  <c r="B132" i="265"/>
  <c r="B131" i="265"/>
  <c r="C127" i="265"/>
  <c r="G126" i="265"/>
  <c r="F126" i="265"/>
  <c r="F125" i="265"/>
  <c r="G125" i="265" s="1"/>
  <c r="F124" i="265"/>
  <c r="G124" i="265" s="1"/>
  <c r="F123" i="265"/>
  <c r="G123" i="265" s="1"/>
  <c r="G122" i="265"/>
  <c r="F122" i="265"/>
  <c r="F121" i="265"/>
  <c r="G121" i="265" s="1"/>
  <c r="F120" i="265"/>
  <c r="G120" i="265" s="1"/>
  <c r="F119" i="265"/>
  <c r="G119" i="265" s="1"/>
  <c r="G118" i="265"/>
  <c r="F118" i="265"/>
  <c r="F117" i="265"/>
  <c r="G117" i="265" s="1"/>
  <c r="F116" i="265"/>
  <c r="G116" i="265" s="1"/>
  <c r="F115" i="265"/>
  <c r="G115" i="265" s="1"/>
  <c r="G114" i="265"/>
  <c r="F114" i="265"/>
  <c r="F113" i="265"/>
  <c r="G113" i="265" s="1"/>
  <c r="F112" i="265"/>
  <c r="G112" i="265" s="1"/>
  <c r="F111" i="265"/>
  <c r="G111" i="265" s="1"/>
  <c r="G110" i="265"/>
  <c r="F110" i="265"/>
  <c r="F109" i="265"/>
  <c r="G109" i="265" s="1"/>
  <c r="F108" i="265"/>
  <c r="G108" i="265" s="1"/>
  <c r="F107" i="265"/>
  <c r="C101" i="265"/>
  <c r="B100" i="265" a="1"/>
  <c r="B100" i="265" s="1"/>
  <c r="F100" i="265" s="1" a="1"/>
  <c r="F100" i="265" s="1"/>
  <c r="A100" i="265" a="1"/>
  <c r="A100" i="265" s="1"/>
  <c r="B99" i="265" a="1"/>
  <c r="B99" i="265" s="1"/>
  <c r="A99" i="265" a="1"/>
  <c r="A99" i="265" s="1"/>
  <c r="B98" i="265"/>
  <c r="B98" i="265" a="1"/>
  <c r="A98" i="265" a="1"/>
  <c r="A98" i="265" s="1"/>
  <c r="B97" i="265" a="1"/>
  <c r="B97" i="265" s="1"/>
  <c r="A97" i="265"/>
  <c r="A97" i="265" a="1"/>
  <c r="B96" i="265" a="1"/>
  <c r="B96" i="265" s="1"/>
  <c r="A96" i="265" a="1"/>
  <c r="A96" i="265" s="1"/>
  <c r="B95" i="265" a="1"/>
  <c r="B95" i="265" s="1"/>
  <c r="A95" i="265" a="1"/>
  <c r="A95" i="265" s="1"/>
  <c r="B94" i="265" a="1"/>
  <c r="B94" i="265" s="1"/>
  <c r="A94" i="265" a="1"/>
  <c r="A94" i="265" s="1"/>
  <c r="B93" i="265" a="1"/>
  <c r="B93" i="265" s="1"/>
  <c r="A93" i="265" a="1"/>
  <c r="A93" i="265" s="1"/>
  <c r="B92" i="265" a="1"/>
  <c r="B92" i="265" s="1"/>
  <c r="A92" i="265" a="1"/>
  <c r="A92" i="265" s="1"/>
  <c r="B91" i="265" a="1"/>
  <c r="B91" i="265" s="1"/>
  <c r="A91" i="265" a="1"/>
  <c r="A91" i="265" s="1"/>
  <c r="B90" i="265"/>
  <c r="B90" i="265" a="1"/>
  <c r="A90" i="265" a="1"/>
  <c r="A90" i="265" s="1"/>
  <c r="D90" i="265" s="1" a="1"/>
  <c r="D90" i="265" s="1"/>
  <c r="B89" i="265" a="1"/>
  <c r="B89" i="265" s="1"/>
  <c r="A89" i="265" a="1"/>
  <c r="A89" i="265" s="1"/>
  <c r="B88" i="265"/>
  <c r="B88" i="265" a="1"/>
  <c r="A88" i="265" a="1"/>
  <c r="A88" i="265" s="1"/>
  <c r="B87" i="265" a="1"/>
  <c r="B87" i="265" s="1"/>
  <c r="A87" i="265" a="1"/>
  <c r="A87" i="265" s="1"/>
  <c r="B86" i="265" a="1"/>
  <c r="B86" i="265" s="1"/>
  <c r="A86" i="265" a="1"/>
  <c r="A86" i="265" s="1"/>
  <c r="B85" i="265" a="1"/>
  <c r="B85" i="265" s="1"/>
  <c r="A85" i="265"/>
  <c r="A85" i="265" a="1"/>
  <c r="B84" i="265"/>
  <c r="B84" i="265" a="1"/>
  <c r="A84" i="265" a="1"/>
  <c r="A84" i="265" s="1"/>
  <c r="B83" i="265" a="1"/>
  <c r="B83" i="265" s="1"/>
  <c r="A83" i="265"/>
  <c r="G83" i="265" s="1" a="1"/>
  <c r="G83" i="265" s="1"/>
  <c r="A83" i="265" a="1"/>
  <c r="B82" i="265" a="1"/>
  <c r="B82" i="265" s="1"/>
  <c r="A82" i="265" a="1"/>
  <c r="A82" i="265" s="1"/>
  <c r="B81" i="265" a="1"/>
  <c r="B81" i="265" s="1"/>
  <c r="A81" i="265" a="1"/>
  <c r="A81" i="265" s="1"/>
  <c r="B80" i="265" a="1"/>
  <c r="B80" i="265" s="1"/>
  <c r="F80" i="265" s="1" a="1"/>
  <c r="F80" i="265" s="1"/>
  <c r="A80" i="265" a="1"/>
  <c r="A80" i="265" s="1"/>
  <c r="B79" i="265" a="1"/>
  <c r="B79" i="265" s="1"/>
  <c r="A79" i="265" a="1"/>
  <c r="A79" i="265" s="1"/>
  <c r="G79" i="265" s="1" a="1"/>
  <c r="G79" i="265" s="1"/>
  <c r="B78" i="265" a="1"/>
  <c r="B78" i="265" s="1"/>
  <c r="A78" i="265" a="1"/>
  <c r="A78" i="265" s="1"/>
  <c r="E78" i="265" s="1" a="1"/>
  <c r="E78" i="265" s="1"/>
  <c r="B77" i="265" a="1"/>
  <c r="B77" i="265" s="1"/>
  <c r="A77" i="265" a="1"/>
  <c r="A77" i="265" s="1"/>
  <c r="B76" i="265" a="1"/>
  <c r="B76" i="265" s="1"/>
  <c r="A76" i="265" a="1"/>
  <c r="A76" i="265" s="1"/>
  <c r="B75" i="265" a="1"/>
  <c r="B75" i="265" s="1"/>
  <c r="A75" i="265" a="1"/>
  <c r="A75" i="265" s="1"/>
  <c r="B74" i="265" a="1"/>
  <c r="B74" i="265" s="1"/>
  <c r="E74" i="265" s="1" a="1"/>
  <c r="E74" i="265" s="1"/>
  <c r="A74" i="265"/>
  <c r="A74" i="265" a="1"/>
  <c r="B73" i="265" a="1"/>
  <c r="B73" i="265" s="1"/>
  <c r="A73" i="265" a="1"/>
  <c r="A73" i="265" s="1"/>
  <c r="B72" i="265" a="1"/>
  <c r="B72" i="265" s="1"/>
  <c r="A72" i="265" a="1"/>
  <c r="A72" i="265" s="1"/>
  <c r="B71" i="265" a="1"/>
  <c r="B71" i="265" s="1"/>
  <c r="A71" i="265" a="1"/>
  <c r="A71" i="265" s="1"/>
  <c r="B70" i="265" a="1"/>
  <c r="B70" i="265" s="1"/>
  <c r="A70" i="265" a="1"/>
  <c r="A70" i="265" s="1"/>
  <c r="B69" i="265" a="1"/>
  <c r="B69" i="265" s="1"/>
  <c r="A69" i="265" a="1"/>
  <c r="A69" i="265" s="1"/>
  <c r="B68" i="265" a="1"/>
  <c r="B68" i="265" s="1"/>
  <c r="A68" i="265" a="1"/>
  <c r="A68" i="265" s="1"/>
  <c r="B67" i="265" a="1"/>
  <c r="B67" i="265" s="1"/>
  <c r="A67" i="265" a="1"/>
  <c r="A67" i="265" s="1"/>
  <c r="B66" i="265" a="1"/>
  <c r="B66" i="265" s="1"/>
  <c r="A66" i="265" a="1"/>
  <c r="A66" i="265" s="1"/>
  <c r="B65" i="265" a="1"/>
  <c r="B65" i="265" s="1"/>
  <c r="A65" i="265" a="1"/>
  <c r="A65" i="265" s="1"/>
  <c r="E65" i="265" s="1" a="1"/>
  <c r="E65" i="265" s="1"/>
  <c r="G64" i="265" a="1"/>
  <c r="G64" i="265" s="1"/>
  <c r="B64" i="265" a="1"/>
  <c r="B64" i="265" s="1"/>
  <c r="E64" i="265" s="1" a="1"/>
  <c r="E64" i="265" s="1"/>
  <c r="A64" i="265" a="1"/>
  <c r="A64" i="265" s="1"/>
  <c r="B63" i="265"/>
  <c r="B63" i="265" a="1"/>
  <c r="A63" i="265" a="1"/>
  <c r="A63" i="265" s="1"/>
  <c r="B62" i="265" a="1"/>
  <c r="B62" i="265" s="1"/>
  <c r="A62" i="265" a="1"/>
  <c r="A62" i="265" s="1"/>
  <c r="B61" i="265" a="1"/>
  <c r="B61" i="265" s="1"/>
  <c r="A61" i="265" a="1"/>
  <c r="A61" i="265" s="1"/>
  <c r="B60" i="265" a="1"/>
  <c r="B60" i="265" s="1"/>
  <c r="A60" i="265" a="1"/>
  <c r="A60" i="265" s="1"/>
  <c r="B59" i="265" a="1"/>
  <c r="B59" i="265" s="1"/>
  <c r="A59" i="265" a="1"/>
  <c r="A59" i="265" s="1"/>
  <c r="B58" i="265"/>
  <c r="B58" i="265" a="1"/>
  <c r="A58" i="265" a="1"/>
  <c r="A58" i="265" s="1"/>
  <c r="B57" i="265" a="1"/>
  <c r="B57" i="265" s="1"/>
  <c r="A57" i="265"/>
  <c r="G57" i="265" s="1" a="1"/>
  <c r="G57" i="265" s="1"/>
  <c r="A57" i="265" a="1"/>
  <c r="B56" i="265" a="1"/>
  <c r="B56" i="265" s="1"/>
  <c r="A56" i="265" a="1"/>
  <c r="A56" i="265" s="1"/>
  <c r="B55" i="265" a="1"/>
  <c r="B55" i="265" s="1"/>
  <c r="A55" i="265" a="1"/>
  <c r="A55" i="265" s="1"/>
  <c r="B54" i="265" a="1"/>
  <c r="B54" i="265" s="1"/>
  <c r="D54" i="265" s="1" a="1"/>
  <c r="D54" i="265" s="1"/>
  <c r="A54" i="265"/>
  <c r="A54" i="265" a="1"/>
  <c r="B53" i="265" a="1"/>
  <c r="B53" i="265" s="1"/>
  <c r="A53" i="265"/>
  <c r="A53" i="265" a="1"/>
  <c r="B52" i="265" a="1"/>
  <c r="B52" i="265" s="1"/>
  <c r="A52" i="265" a="1"/>
  <c r="A52" i="265" s="1"/>
  <c r="B51" i="265"/>
  <c r="B51" i="265" a="1"/>
  <c r="A51" i="265" a="1"/>
  <c r="A51" i="265" s="1"/>
  <c r="B50" i="265" a="1"/>
  <c r="B50" i="265" s="1"/>
  <c r="A50" i="265"/>
  <c r="D50" i="265" s="1" a="1"/>
  <c r="D50" i="265" s="1"/>
  <c r="A50" i="265" a="1"/>
  <c r="B49" i="265" a="1"/>
  <c r="B49" i="265" s="1"/>
  <c r="A49" i="265" a="1"/>
  <c r="A49" i="265" s="1"/>
  <c r="B48" i="265" a="1"/>
  <c r="B48" i="265" s="1"/>
  <c r="A48" i="265" a="1"/>
  <c r="A48" i="265" s="1"/>
  <c r="B47" i="265" a="1"/>
  <c r="B47" i="265" s="1"/>
  <c r="A47" i="265" a="1"/>
  <c r="A47" i="265" s="1"/>
  <c r="B46" i="265" a="1"/>
  <c r="B46" i="265" s="1"/>
  <c r="A46" i="265"/>
  <c r="A46" i="265" a="1"/>
  <c r="B45" i="265"/>
  <c r="B45" i="265" a="1"/>
  <c r="A45" i="265" a="1"/>
  <c r="A45" i="265" s="1"/>
  <c r="G45" i="265" s="1" a="1"/>
  <c r="G45" i="265" s="1"/>
  <c r="B44" i="265"/>
  <c r="B44" i="265" a="1"/>
  <c r="A44" i="265" a="1"/>
  <c r="A44" i="265" s="1"/>
  <c r="B43" i="265" a="1"/>
  <c r="B43" i="265" s="1"/>
  <c r="A43" i="265" a="1"/>
  <c r="A43" i="265" s="1"/>
  <c r="B42" i="265" a="1"/>
  <c r="B42" i="265" s="1"/>
  <c r="A42" i="265" a="1"/>
  <c r="A42" i="265" s="1"/>
  <c r="B41" i="265" a="1"/>
  <c r="B41" i="265" s="1"/>
  <c r="A41" i="265"/>
  <c r="G41" i="265" s="1" a="1"/>
  <c r="G41" i="265" s="1"/>
  <c r="A41" i="265" a="1"/>
  <c r="B40" i="265" a="1"/>
  <c r="B40" i="265" s="1"/>
  <c r="A40" i="265" a="1"/>
  <c r="A40" i="265" s="1"/>
  <c r="B39" i="265" a="1"/>
  <c r="B39" i="265" s="1"/>
  <c r="A39" i="265" a="1"/>
  <c r="A39" i="265" s="1"/>
  <c r="B38" i="265" a="1"/>
  <c r="B38" i="265" s="1"/>
  <c r="A38" i="265" a="1"/>
  <c r="A38" i="265" s="1"/>
  <c r="B37" i="265" a="1"/>
  <c r="B37" i="265" s="1"/>
  <c r="A37" i="265" a="1"/>
  <c r="A37" i="265" s="1"/>
  <c r="B36" i="265" a="1"/>
  <c r="B36" i="265" s="1"/>
  <c r="A36" i="265" a="1"/>
  <c r="A36" i="265" s="1"/>
  <c r="B35" i="265" a="1"/>
  <c r="B35" i="265" s="1"/>
  <c r="A35" i="265" a="1"/>
  <c r="A35" i="265" s="1"/>
  <c r="B34" i="265" a="1"/>
  <c r="B34" i="265" s="1"/>
  <c r="A34" i="265" a="1"/>
  <c r="A34" i="265" s="1"/>
  <c r="B33" i="265" a="1"/>
  <c r="B33" i="265" s="1"/>
  <c r="A33" i="265" a="1"/>
  <c r="A33" i="265" s="1"/>
  <c r="B32" i="265" a="1"/>
  <c r="B32" i="265" s="1"/>
  <c r="A32" i="265" a="1"/>
  <c r="A32" i="265" s="1"/>
  <c r="B31" i="265" a="1"/>
  <c r="B31" i="265" s="1"/>
  <c r="A31" i="265"/>
  <c r="A31" i="265" a="1"/>
  <c r="B30" i="265"/>
  <c r="B30" i="265" a="1"/>
  <c r="A30" i="265"/>
  <c r="A30" i="265" a="1"/>
  <c r="B29" i="265" a="1"/>
  <c r="B29" i="265" s="1"/>
  <c r="A29" i="265" a="1"/>
  <c r="A29" i="265" s="1"/>
  <c r="B28" i="265" a="1"/>
  <c r="B28" i="265" s="1"/>
  <c r="D28" i="265" s="1" a="1"/>
  <c r="D28" i="265" s="1"/>
  <c r="A28" i="265" a="1"/>
  <c r="A28" i="265" s="1"/>
  <c r="B27" i="265" a="1"/>
  <c r="B27" i="265" s="1"/>
  <c r="A27" i="265" a="1"/>
  <c r="A27" i="265" s="1"/>
  <c r="B26" i="265" a="1"/>
  <c r="B26" i="265" s="1"/>
  <c r="A26" i="265" a="1"/>
  <c r="A26" i="265" s="1"/>
  <c r="B25" i="265" a="1"/>
  <c r="B25" i="265" s="1"/>
  <c r="A25" i="265" a="1"/>
  <c r="A25" i="265" s="1"/>
  <c r="C232" i="264" a="1"/>
  <c r="C232" i="264" s="1"/>
  <c r="B232" i="264" a="1"/>
  <c r="B232" i="264" s="1"/>
  <c r="A232" i="264" a="1"/>
  <c r="A232" i="264" s="1"/>
  <c r="B214" i="264"/>
  <c r="B213" i="264"/>
  <c r="B212" i="264"/>
  <c r="B211" i="264"/>
  <c r="B210" i="264"/>
  <c r="B209" i="264"/>
  <c r="C203" i="264"/>
  <c r="B203" i="264"/>
  <c r="C202" i="264"/>
  <c r="B202" i="264"/>
  <c r="C201" i="264"/>
  <c r="B201" i="264"/>
  <c r="C200" i="264"/>
  <c r="B200" i="264"/>
  <c r="C199" i="264"/>
  <c r="B199" i="264"/>
  <c r="C198" i="264"/>
  <c r="B198" i="264"/>
  <c r="C197" i="264"/>
  <c r="B197" i="264"/>
  <c r="C196" i="264"/>
  <c r="B196" i="264"/>
  <c r="C195" i="264"/>
  <c r="B195" i="264"/>
  <c r="C194" i="264"/>
  <c r="B194" i="264"/>
  <c r="C193" i="264"/>
  <c r="B193" i="264"/>
  <c r="C192" i="264"/>
  <c r="B192" i="264"/>
  <c r="C191" i="264"/>
  <c r="B191" i="264"/>
  <c r="C190" i="264"/>
  <c r="B190" i="264"/>
  <c r="C189" i="264"/>
  <c r="B189" i="264"/>
  <c r="C188" i="264"/>
  <c r="B188" i="264"/>
  <c r="C187" i="264"/>
  <c r="B187" i="264"/>
  <c r="C186" i="264"/>
  <c r="B186" i="264"/>
  <c r="C185" i="264"/>
  <c r="B185" i="264"/>
  <c r="H181" i="264"/>
  <c r="B180" i="264"/>
  <c r="B179" i="264"/>
  <c r="B178" i="264"/>
  <c r="B177" i="264"/>
  <c r="B176" i="264"/>
  <c r="B175" i="264"/>
  <c r="B174" i="264"/>
  <c r="B173" i="264"/>
  <c r="B172" i="264"/>
  <c r="B171" i="264"/>
  <c r="B170" i="264"/>
  <c r="B169" i="264"/>
  <c r="B168" i="264"/>
  <c r="B167" i="264"/>
  <c r="B166" i="264"/>
  <c r="B165" i="264"/>
  <c r="B164" i="264"/>
  <c r="B163" i="264"/>
  <c r="B162" i="264"/>
  <c r="B161" i="264"/>
  <c r="B160" i="264"/>
  <c r="B159" i="264"/>
  <c r="B158" i="264"/>
  <c r="B157" i="264"/>
  <c r="B156" i="264"/>
  <c r="B155" i="264"/>
  <c r="B154" i="264"/>
  <c r="B153" i="264"/>
  <c r="B152" i="264"/>
  <c r="B151" i="264"/>
  <c r="B150" i="264"/>
  <c r="B149" i="264"/>
  <c r="B148" i="264"/>
  <c r="B147" i="264"/>
  <c r="B146" i="264"/>
  <c r="B145" i="264"/>
  <c r="B144" i="264"/>
  <c r="B143" i="264"/>
  <c r="B142" i="264"/>
  <c r="B141" i="264"/>
  <c r="B140" i="264"/>
  <c r="B139" i="264"/>
  <c r="B138" i="264"/>
  <c r="B137" i="264"/>
  <c r="B136" i="264"/>
  <c r="B135" i="264"/>
  <c r="B134" i="264"/>
  <c r="B133" i="264"/>
  <c r="B132" i="264"/>
  <c r="B131" i="264"/>
  <c r="C127" i="264"/>
  <c r="F126" i="264"/>
  <c r="G126" i="264" s="1"/>
  <c r="F125" i="264"/>
  <c r="G125" i="264" s="1"/>
  <c r="G124" i="264"/>
  <c r="F124" i="264"/>
  <c r="F123" i="264"/>
  <c r="G123" i="264" s="1"/>
  <c r="F122" i="264"/>
  <c r="G122" i="264" s="1"/>
  <c r="F121" i="264"/>
  <c r="G121" i="264" s="1"/>
  <c r="G120" i="264"/>
  <c r="F120" i="264"/>
  <c r="F119" i="264"/>
  <c r="G119" i="264" s="1"/>
  <c r="F118" i="264"/>
  <c r="G118" i="264" s="1"/>
  <c r="F117" i="264"/>
  <c r="G117" i="264" s="1"/>
  <c r="G116" i="264"/>
  <c r="F116" i="264"/>
  <c r="F115" i="264"/>
  <c r="G115" i="264" s="1"/>
  <c r="F114" i="264"/>
  <c r="G114" i="264" s="1"/>
  <c r="F113" i="264"/>
  <c r="G113" i="264" s="1"/>
  <c r="G112" i="264"/>
  <c r="F112" i="264"/>
  <c r="F111" i="264"/>
  <c r="G111" i="264" s="1"/>
  <c r="F110" i="264"/>
  <c r="G110" i="264" s="1"/>
  <c r="F109" i="264"/>
  <c r="G109" i="264" s="1"/>
  <c r="G108" i="264"/>
  <c r="F108" i="264"/>
  <c r="F107" i="264"/>
  <c r="C101" i="264"/>
  <c r="B100" i="264" a="1"/>
  <c r="B100" i="264" s="1"/>
  <c r="A100" i="264" a="1"/>
  <c r="A100" i="264" s="1"/>
  <c r="B99" i="264" a="1"/>
  <c r="B99" i="264" s="1"/>
  <c r="A99" i="264" a="1"/>
  <c r="A99" i="264" s="1"/>
  <c r="B98" i="264" a="1"/>
  <c r="B98" i="264" s="1"/>
  <c r="A98" i="264" a="1"/>
  <c r="A98" i="264" s="1"/>
  <c r="F98" i="264" s="1" a="1"/>
  <c r="F98" i="264" s="1"/>
  <c r="B97" i="264" a="1"/>
  <c r="B97" i="264" s="1"/>
  <c r="A97" i="264" a="1"/>
  <c r="A97" i="264" s="1"/>
  <c r="G97" i="264" s="1" a="1"/>
  <c r="G97" i="264" s="1"/>
  <c r="B96" i="264" a="1"/>
  <c r="B96" i="264" s="1"/>
  <c r="A96" i="264" a="1"/>
  <c r="A96" i="264" s="1"/>
  <c r="B95" i="264" a="1"/>
  <c r="B95" i="264" s="1"/>
  <c r="A95" i="264" a="1"/>
  <c r="A95" i="264" s="1"/>
  <c r="B94" i="264" a="1"/>
  <c r="B94" i="264" s="1"/>
  <c r="A94" i="264" a="1"/>
  <c r="A94" i="264" s="1"/>
  <c r="B93" i="264" a="1"/>
  <c r="B93" i="264" s="1"/>
  <c r="A93" i="264" a="1"/>
  <c r="A93" i="264" s="1"/>
  <c r="B92" i="264" a="1"/>
  <c r="B92" i="264" s="1"/>
  <c r="A92" i="264" a="1"/>
  <c r="A92" i="264" s="1"/>
  <c r="B91" i="264" a="1"/>
  <c r="B91" i="264" s="1"/>
  <c r="A91" i="264" a="1"/>
  <c r="A91" i="264" s="1"/>
  <c r="B90" i="264" a="1"/>
  <c r="B90" i="264" s="1"/>
  <c r="A90" i="264" a="1"/>
  <c r="A90" i="264" s="1"/>
  <c r="B89" i="264" a="1"/>
  <c r="B89" i="264" s="1"/>
  <c r="A89" i="264" a="1"/>
  <c r="A89" i="264" s="1"/>
  <c r="G89" i="264" s="1" a="1"/>
  <c r="G89" i="264" s="1"/>
  <c r="F88" i="264" a="1"/>
  <c r="F88" i="264" s="1"/>
  <c r="B88" i="264" a="1"/>
  <c r="B88" i="264" s="1"/>
  <c r="A88" i="264" a="1"/>
  <c r="A88" i="264" s="1"/>
  <c r="G88" i="264" s="1" a="1"/>
  <c r="G88" i="264" s="1"/>
  <c r="B87" i="264" a="1"/>
  <c r="B87" i="264" s="1"/>
  <c r="A87" i="264" a="1"/>
  <c r="A87" i="264" s="1"/>
  <c r="B86" i="264" a="1"/>
  <c r="B86" i="264" s="1"/>
  <c r="A86" i="264" a="1"/>
  <c r="A86" i="264" s="1"/>
  <c r="B85" i="264" a="1"/>
  <c r="B85" i="264" s="1"/>
  <c r="A85" i="264" a="1"/>
  <c r="A85" i="264" s="1"/>
  <c r="B84" i="264" a="1"/>
  <c r="B84" i="264" s="1"/>
  <c r="A84" i="264" a="1"/>
  <c r="A84" i="264" s="1"/>
  <c r="B83" i="264" a="1"/>
  <c r="B83" i="264" s="1"/>
  <c r="A83" i="264" a="1"/>
  <c r="A83" i="264" s="1"/>
  <c r="B82" i="264" a="1"/>
  <c r="B82" i="264" s="1"/>
  <c r="A82" i="264" a="1"/>
  <c r="A82" i="264" s="1"/>
  <c r="B81" i="264" a="1"/>
  <c r="B81" i="264" s="1"/>
  <c r="A81" i="264"/>
  <c r="D81" i="264" s="1" a="1"/>
  <c r="D81" i="264" s="1"/>
  <c r="A81" i="264" a="1"/>
  <c r="B80" i="264" a="1"/>
  <c r="B80" i="264" s="1"/>
  <c r="A80" i="264" a="1"/>
  <c r="A80" i="264" s="1"/>
  <c r="B79" i="264" a="1"/>
  <c r="B79" i="264" s="1"/>
  <c r="A79" i="264" a="1"/>
  <c r="A79" i="264" s="1"/>
  <c r="B78" i="264" a="1"/>
  <c r="B78" i="264" s="1"/>
  <c r="A78" i="264" a="1"/>
  <c r="A78" i="264" s="1"/>
  <c r="B77" i="264" a="1"/>
  <c r="B77" i="264" s="1"/>
  <c r="A77" i="264" a="1"/>
  <c r="A77" i="264" s="1"/>
  <c r="B76" i="264" a="1"/>
  <c r="B76" i="264" s="1"/>
  <c r="G76" i="264" s="1" a="1"/>
  <c r="G76" i="264" s="1"/>
  <c r="A76" i="264" a="1"/>
  <c r="A76" i="264" s="1"/>
  <c r="B75" i="264" a="1"/>
  <c r="B75" i="264" s="1"/>
  <c r="A75" i="264" a="1"/>
  <c r="A75" i="264" s="1"/>
  <c r="B74" i="264" a="1"/>
  <c r="B74" i="264" s="1"/>
  <c r="A74" i="264" a="1"/>
  <c r="A74" i="264" s="1"/>
  <c r="B73" i="264" a="1"/>
  <c r="B73" i="264" s="1"/>
  <c r="A73" i="264" a="1"/>
  <c r="A73" i="264" s="1"/>
  <c r="B72" i="264" a="1"/>
  <c r="B72" i="264" s="1"/>
  <c r="A72" i="264" a="1"/>
  <c r="A72" i="264" s="1"/>
  <c r="B71" i="264" a="1"/>
  <c r="B71" i="264" s="1"/>
  <c r="A71" i="264" a="1"/>
  <c r="A71" i="264" s="1"/>
  <c r="B70" i="264" a="1"/>
  <c r="B70" i="264" s="1"/>
  <c r="A70" i="264" a="1"/>
  <c r="A70" i="264" s="1"/>
  <c r="B69" i="264" a="1"/>
  <c r="B69" i="264" s="1"/>
  <c r="A69" i="264" a="1"/>
  <c r="A69" i="264" s="1"/>
  <c r="B68" i="264" a="1"/>
  <c r="B68" i="264" s="1"/>
  <c r="A68" i="264" a="1"/>
  <c r="A68" i="264" s="1"/>
  <c r="B67" i="264" a="1"/>
  <c r="B67" i="264" s="1"/>
  <c r="A67" i="264" a="1"/>
  <c r="A67" i="264" s="1"/>
  <c r="B66" i="264"/>
  <c r="B66" i="264" a="1"/>
  <c r="A66" i="264"/>
  <c r="A66" i="264" a="1"/>
  <c r="B65" i="264" a="1"/>
  <c r="B65" i="264" s="1"/>
  <c r="A65" i="264" a="1"/>
  <c r="A65" i="264" s="1"/>
  <c r="B64" i="264"/>
  <c r="B64" i="264" a="1"/>
  <c r="A64" i="264" a="1"/>
  <c r="A64" i="264" s="1"/>
  <c r="B63" i="264" a="1"/>
  <c r="B63" i="264" s="1"/>
  <c r="A63" i="264" a="1"/>
  <c r="A63" i="264" s="1"/>
  <c r="B62" i="264" a="1"/>
  <c r="B62" i="264" s="1"/>
  <c r="A62" i="264" a="1"/>
  <c r="A62" i="264" s="1"/>
  <c r="B61" i="264" a="1"/>
  <c r="B61" i="264" s="1"/>
  <c r="A61" i="264" a="1"/>
  <c r="A61" i="264" s="1"/>
  <c r="B60" i="264"/>
  <c r="B60" i="264" a="1"/>
  <c r="A60" i="264" a="1"/>
  <c r="A60" i="264" s="1"/>
  <c r="B59" i="264" a="1"/>
  <c r="B59" i="264" s="1"/>
  <c r="A59" i="264" a="1"/>
  <c r="A59" i="264" s="1"/>
  <c r="B58" i="264" a="1"/>
  <c r="B58" i="264" s="1"/>
  <c r="A58" i="264" a="1"/>
  <c r="A58" i="264" s="1"/>
  <c r="B57" i="264"/>
  <c r="B57" i="264" a="1"/>
  <c r="A57" i="264" a="1"/>
  <c r="A57" i="264" s="1"/>
  <c r="B56" i="264" a="1"/>
  <c r="B56" i="264" s="1"/>
  <c r="A56" i="264" a="1"/>
  <c r="A56" i="264" s="1"/>
  <c r="B55" i="264" a="1"/>
  <c r="B55" i="264" s="1"/>
  <c r="A55" i="264" a="1"/>
  <c r="A55" i="264" s="1"/>
  <c r="B54" i="264" a="1"/>
  <c r="B54" i="264" s="1"/>
  <c r="A54" i="264" a="1"/>
  <c r="A54" i="264" s="1"/>
  <c r="B53" i="264" a="1"/>
  <c r="B53" i="264" s="1"/>
  <c r="A53" i="264" a="1"/>
  <c r="A53" i="264" s="1"/>
  <c r="B52" i="264" a="1"/>
  <c r="B52" i="264" s="1"/>
  <c r="A52" i="264" a="1"/>
  <c r="A52" i="264" s="1"/>
  <c r="B51" i="264" a="1"/>
  <c r="B51" i="264" s="1"/>
  <c r="A51" i="264" a="1"/>
  <c r="A51" i="264" s="1"/>
  <c r="B50" i="264" a="1"/>
  <c r="B50" i="264" s="1"/>
  <c r="A50" i="264"/>
  <c r="A50" i="264" a="1"/>
  <c r="B49" i="264" a="1"/>
  <c r="B49" i="264" s="1"/>
  <c r="A49" i="264" a="1"/>
  <c r="A49" i="264" s="1"/>
  <c r="B48" i="264" a="1"/>
  <c r="B48" i="264" s="1"/>
  <c r="A48" i="264" a="1"/>
  <c r="A48" i="264" s="1"/>
  <c r="B47" i="264" a="1"/>
  <c r="B47" i="264" s="1"/>
  <c r="A47" i="264" a="1"/>
  <c r="A47" i="264" s="1"/>
  <c r="B46" i="264"/>
  <c r="B46" i="264" a="1"/>
  <c r="A46" i="264" a="1"/>
  <c r="A46" i="264" s="1"/>
  <c r="E46" i="264" s="1" a="1"/>
  <c r="E46" i="264" s="1"/>
  <c r="B45" i="264" a="1"/>
  <c r="B45" i="264" s="1"/>
  <c r="A45" i="264" a="1"/>
  <c r="A45" i="264" s="1"/>
  <c r="B44" i="264" a="1"/>
  <c r="B44" i="264" s="1"/>
  <c r="A44" i="264" a="1"/>
  <c r="A44" i="264" s="1"/>
  <c r="G44" i="264" s="1" a="1"/>
  <c r="G44" i="264" s="1"/>
  <c r="B43" i="264" a="1"/>
  <c r="B43" i="264" s="1"/>
  <c r="A43" i="264" a="1"/>
  <c r="A43" i="264" s="1"/>
  <c r="B42" i="264" a="1"/>
  <c r="B42" i="264" s="1"/>
  <c r="A42" i="264" a="1"/>
  <c r="A42" i="264" s="1"/>
  <c r="B41" i="264" a="1"/>
  <c r="B41" i="264" s="1"/>
  <c r="A41" i="264" a="1"/>
  <c r="A41" i="264" s="1"/>
  <c r="B40" i="264" a="1"/>
  <c r="B40" i="264" s="1"/>
  <c r="A40" i="264" a="1"/>
  <c r="A40" i="264" s="1"/>
  <c r="B39" i="264"/>
  <c r="B39" i="264" a="1"/>
  <c r="A39" i="264" a="1"/>
  <c r="A39" i="264" s="1"/>
  <c r="B38" i="264" a="1"/>
  <c r="B38" i="264" s="1"/>
  <c r="A38" i="264"/>
  <c r="A38" i="264" a="1"/>
  <c r="B37" i="264" a="1"/>
  <c r="B37" i="264" s="1"/>
  <c r="A37" i="264" a="1"/>
  <c r="A37" i="264" s="1"/>
  <c r="B36" i="264" a="1"/>
  <c r="B36" i="264" s="1"/>
  <c r="A36" i="264" a="1"/>
  <c r="A36" i="264" s="1"/>
  <c r="B35" i="264" a="1"/>
  <c r="B35" i="264" s="1"/>
  <c r="A35" i="264" a="1"/>
  <c r="A35" i="264" s="1"/>
  <c r="B34" i="264" a="1"/>
  <c r="B34" i="264" s="1"/>
  <c r="A34" i="264"/>
  <c r="A34" i="264" a="1"/>
  <c r="B33" i="264"/>
  <c r="B33" i="264" a="1"/>
  <c r="A33" i="264" a="1"/>
  <c r="A33" i="264" s="1"/>
  <c r="B32" i="264" a="1"/>
  <c r="B32" i="264" s="1"/>
  <c r="A32" i="264" a="1"/>
  <c r="A32" i="264" s="1"/>
  <c r="B31" i="264" a="1"/>
  <c r="B31" i="264" s="1"/>
  <c r="A31" i="264" a="1"/>
  <c r="A31" i="264" s="1"/>
  <c r="B30" i="264" a="1"/>
  <c r="B30" i="264" s="1"/>
  <c r="A30" i="264" a="1"/>
  <c r="A30" i="264" s="1"/>
  <c r="B29" i="264" a="1"/>
  <c r="B29" i="264" s="1"/>
  <c r="A29" i="264" a="1"/>
  <c r="A29" i="264" s="1"/>
  <c r="B28" i="264" a="1"/>
  <c r="B28" i="264" s="1"/>
  <c r="A28" i="264" a="1"/>
  <c r="A28" i="264" s="1"/>
  <c r="B27" i="264" a="1"/>
  <c r="B27" i="264" s="1"/>
  <c r="A27" i="264" a="1"/>
  <c r="A27" i="264" s="1"/>
  <c r="B26" i="264" a="1"/>
  <c r="B26" i="264" s="1"/>
  <c r="A26" i="264" a="1"/>
  <c r="A26" i="264" s="1"/>
  <c r="D26" i="264" s="1" a="1"/>
  <c r="D26" i="264" s="1"/>
  <c r="B25" i="264" a="1"/>
  <c r="B25" i="264" s="1"/>
  <c r="A25" i="264"/>
  <c r="A25" i="264" a="1"/>
  <c r="C232" i="263" a="1"/>
  <c r="C232" i="263" s="1"/>
  <c r="B232" i="263" a="1"/>
  <c r="B232" i="263" s="1"/>
  <c r="A232" i="263" a="1"/>
  <c r="A232" i="263" s="1"/>
  <c r="B214" i="263"/>
  <c r="B213" i="263"/>
  <c r="B212" i="263"/>
  <c r="B211" i="263"/>
  <c r="B210" i="263"/>
  <c r="B209" i="263"/>
  <c r="C203" i="263"/>
  <c r="B203" i="263"/>
  <c r="C202" i="263"/>
  <c r="B202" i="263"/>
  <c r="C201" i="263"/>
  <c r="B201" i="263"/>
  <c r="C200" i="263"/>
  <c r="B200" i="263"/>
  <c r="C199" i="263"/>
  <c r="B199" i="263"/>
  <c r="C198" i="263"/>
  <c r="B198" i="263"/>
  <c r="C197" i="263"/>
  <c r="B197" i="263"/>
  <c r="C196" i="263"/>
  <c r="B196" i="263"/>
  <c r="C195" i="263"/>
  <c r="B195" i="263"/>
  <c r="C194" i="263"/>
  <c r="B194" i="263"/>
  <c r="C193" i="263"/>
  <c r="B193" i="263"/>
  <c r="C192" i="263"/>
  <c r="B192" i="263"/>
  <c r="C191" i="263"/>
  <c r="B191" i="263"/>
  <c r="C190" i="263"/>
  <c r="B190" i="263"/>
  <c r="C189" i="263"/>
  <c r="B189" i="263"/>
  <c r="C188" i="263"/>
  <c r="B188" i="263"/>
  <c r="C187" i="263"/>
  <c r="B187" i="263"/>
  <c r="C186" i="263"/>
  <c r="B186" i="263"/>
  <c r="C185" i="263"/>
  <c r="B185" i="263"/>
  <c r="H181" i="263"/>
  <c r="B180" i="263"/>
  <c r="B179" i="263"/>
  <c r="B178" i="263"/>
  <c r="B177" i="263"/>
  <c r="B176" i="263"/>
  <c r="B175" i="263"/>
  <c r="B174" i="263"/>
  <c r="B173" i="263"/>
  <c r="B172" i="263"/>
  <c r="B171" i="263"/>
  <c r="B170" i="263"/>
  <c r="B169" i="263"/>
  <c r="B168" i="263"/>
  <c r="B167" i="263"/>
  <c r="B166" i="263"/>
  <c r="B165" i="263"/>
  <c r="B164" i="263"/>
  <c r="B163" i="263"/>
  <c r="B162" i="263"/>
  <c r="B161" i="263"/>
  <c r="B160" i="263"/>
  <c r="B159" i="263"/>
  <c r="B158" i="263"/>
  <c r="B157" i="263"/>
  <c r="B156" i="263"/>
  <c r="B155" i="263"/>
  <c r="B154" i="263"/>
  <c r="B153" i="263"/>
  <c r="B152" i="263"/>
  <c r="B151" i="263"/>
  <c r="B150" i="263"/>
  <c r="B149" i="263"/>
  <c r="B148" i="263"/>
  <c r="B147" i="263"/>
  <c r="B146" i="263"/>
  <c r="B145" i="263"/>
  <c r="B144" i="263"/>
  <c r="B143" i="263"/>
  <c r="B142" i="263"/>
  <c r="B141" i="263"/>
  <c r="B140" i="263"/>
  <c r="B139" i="263"/>
  <c r="B138" i="263"/>
  <c r="B137" i="263"/>
  <c r="B136" i="263"/>
  <c r="B135" i="263"/>
  <c r="B134" i="263"/>
  <c r="B133" i="263"/>
  <c r="B132" i="263"/>
  <c r="B131" i="263"/>
  <c r="C127" i="263"/>
  <c r="F126" i="263"/>
  <c r="G126" i="263" s="1"/>
  <c r="F125" i="263"/>
  <c r="G125" i="263" s="1"/>
  <c r="G124" i="263"/>
  <c r="F124" i="263"/>
  <c r="F123" i="263"/>
  <c r="G123" i="263" s="1"/>
  <c r="F122" i="263"/>
  <c r="G122" i="263" s="1"/>
  <c r="F121" i="263"/>
  <c r="G121" i="263" s="1"/>
  <c r="G120" i="263"/>
  <c r="F120" i="263"/>
  <c r="F119" i="263"/>
  <c r="G119" i="263" s="1"/>
  <c r="F118" i="263"/>
  <c r="G118" i="263" s="1"/>
  <c r="F117" i="263"/>
  <c r="G117" i="263" s="1"/>
  <c r="G116" i="263"/>
  <c r="F116" i="263"/>
  <c r="F115" i="263"/>
  <c r="G115" i="263" s="1"/>
  <c r="F114" i="263"/>
  <c r="G114" i="263" s="1"/>
  <c r="F113" i="263"/>
  <c r="G113" i="263" s="1"/>
  <c r="G112" i="263"/>
  <c r="F112" i="263"/>
  <c r="F111" i="263"/>
  <c r="G111" i="263" s="1"/>
  <c r="F110" i="263"/>
  <c r="G110" i="263" s="1"/>
  <c r="F109" i="263"/>
  <c r="G109" i="263" s="1"/>
  <c r="G108" i="263"/>
  <c r="F108" i="263"/>
  <c r="F107" i="263"/>
  <c r="C101" i="263"/>
  <c r="B100" i="263" a="1"/>
  <c r="B100" i="263" s="1"/>
  <c r="A100" i="263"/>
  <c r="A100" i="263" a="1"/>
  <c r="B99" i="263" a="1"/>
  <c r="B99" i="263" s="1"/>
  <c r="A99" i="263" a="1"/>
  <c r="A99" i="263" s="1"/>
  <c r="B98" i="263" a="1"/>
  <c r="B98" i="263" s="1"/>
  <c r="A98" i="263" a="1"/>
  <c r="A98" i="263" s="1"/>
  <c r="B97" i="263" a="1"/>
  <c r="B97" i="263" s="1"/>
  <c r="A97" i="263" a="1"/>
  <c r="A97" i="263" s="1"/>
  <c r="B96" i="263" a="1"/>
  <c r="B96" i="263" s="1"/>
  <c r="A96" i="263" a="1"/>
  <c r="A96" i="263" s="1"/>
  <c r="B95" i="263" a="1"/>
  <c r="B95" i="263" s="1"/>
  <c r="A95" i="263" a="1"/>
  <c r="A95" i="263" s="1"/>
  <c r="B94" i="263" a="1"/>
  <c r="B94" i="263" s="1"/>
  <c r="A94" i="263" a="1"/>
  <c r="A94" i="263" s="1"/>
  <c r="B93" i="263" a="1"/>
  <c r="B93" i="263" s="1"/>
  <c r="A93" i="263"/>
  <c r="G93" i="263" s="1" a="1"/>
  <c r="G93" i="263" s="1"/>
  <c r="A93" i="263" a="1"/>
  <c r="B92" i="263" a="1"/>
  <c r="B92" i="263" s="1"/>
  <c r="A92" i="263" a="1"/>
  <c r="A92" i="263" s="1"/>
  <c r="B91" i="263" a="1"/>
  <c r="B91" i="263" s="1"/>
  <c r="A91" i="263" a="1"/>
  <c r="A91" i="263" s="1"/>
  <c r="B90" i="263" a="1"/>
  <c r="B90" i="263" s="1"/>
  <c r="A90" i="263" a="1"/>
  <c r="A90" i="263" s="1"/>
  <c r="B89" i="263" a="1"/>
  <c r="B89" i="263" s="1"/>
  <c r="A89" i="263" a="1"/>
  <c r="A89" i="263" s="1"/>
  <c r="B88" i="263" a="1"/>
  <c r="B88" i="263" s="1"/>
  <c r="A88" i="263" a="1"/>
  <c r="A88" i="263" s="1"/>
  <c r="B87" i="263" a="1"/>
  <c r="B87" i="263" s="1"/>
  <c r="A87" i="263" a="1"/>
  <c r="A87" i="263" s="1"/>
  <c r="B86" i="263" a="1"/>
  <c r="B86" i="263" s="1"/>
  <c r="A86" i="263" a="1"/>
  <c r="A86" i="263" s="1"/>
  <c r="B85" i="263" a="1"/>
  <c r="B85" i="263" s="1"/>
  <c r="A85" i="263" a="1"/>
  <c r="A85" i="263" s="1"/>
  <c r="B84" i="263" a="1"/>
  <c r="B84" i="263" s="1"/>
  <c r="D84" i="263" s="1" a="1"/>
  <c r="D84" i="263" s="1"/>
  <c r="A84" i="263" a="1"/>
  <c r="A84" i="263" s="1"/>
  <c r="B83" i="263" a="1"/>
  <c r="B83" i="263" s="1"/>
  <c r="A83" i="263" a="1"/>
  <c r="A83" i="263" s="1"/>
  <c r="B82" i="263" a="1"/>
  <c r="B82" i="263" s="1"/>
  <c r="A82" i="263" a="1"/>
  <c r="A82" i="263" s="1"/>
  <c r="B81" i="263" a="1"/>
  <c r="B81" i="263" s="1"/>
  <c r="A81" i="263" a="1"/>
  <c r="A81" i="263" s="1"/>
  <c r="B80" i="263" a="1"/>
  <c r="B80" i="263" s="1"/>
  <c r="A80" i="263" a="1"/>
  <c r="A80" i="263" s="1"/>
  <c r="B79" i="263" a="1"/>
  <c r="B79" i="263" s="1"/>
  <c r="A79" i="263" a="1"/>
  <c r="A79" i="263" s="1"/>
  <c r="B78" i="263" a="1"/>
  <c r="B78" i="263" s="1"/>
  <c r="A78" i="263" a="1"/>
  <c r="A78" i="263" s="1"/>
  <c r="B77" i="263" a="1"/>
  <c r="B77" i="263" s="1"/>
  <c r="A77" i="263" a="1"/>
  <c r="A77" i="263" s="1"/>
  <c r="B76" i="263" a="1"/>
  <c r="B76" i="263" s="1"/>
  <c r="A76" i="263" a="1"/>
  <c r="A76" i="263" s="1"/>
  <c r="B75" i="263" a="1"/>
  <c r="B75" i="263" s="1"/>
  <c r="A75" i="263" a="1"/>
  <c r="A75" i="263" s="1"/>
  <c r="B74" i="263" a="1"/>
  <c r="B74" i="263" s="1"/>
  <c r="A74" i="263" a="1"/>
  <c r="A74" i="263" s="1"/>
  <c r="B73" i="263" a="1"/>
  <c r="B73" i="263" s="1"/>
  <c r="A73" i="263" a="1"/>
  <c r="A73" i="263" s="1"/>
  <c r="B72" i="263" a="1"/>
  <c r="B72" i="263" s="1"/>
  <c r="A72" i="263" a="1"/>
  <c r="A72" i="263" s="1"/>
  <c r="B71" i="263" a="1"/>
  <c r="B71" i="263" s="1"/>
  <c r="A71" i="263" a="1"/>
  <c r="A71" i="263" s="1"/>
  <c r="B70" i="263" a="1"/>
  <c r="B70" i="263" s="1"/>
  <c r="A70" i="263" a="1"/>
  <c r="A70" i="263" s="1"/>
  <c r="B69" i="263" a="1"/>
  <c r="B69" i="263" s="1"/>
  <c r="A69" i="263" a="1"/>
  <c r="A69" i="263" s="1"/>
  <c r="B68" i="263" a="1"/>
  <c r="B68" i="263" s="1"/>
  <c r="A68" i="263" a="1"/>
  <c r="A68" i="263" s="1"/>
  <c r="B67" i="263" a="1"/>
  <c r="B67" i="263" s="1"/>
  <c r="A67" i="263" a="1"/>
  <c r="A67" i="263" s="1"/>
  <c r="B66" i="263" a="1"/>
  <c r="B66" i="263" s="1"/>
  <c r="A66" i="263" a="1"/>
  <c r="A66" i="263" s="1"/>
  <c r="B65" i="263" a="1"/>
  <c r="B65" i="263" s="1"/>
  <c r="A65" i="263" a="1"/>
  <c r="A65" i="263" s="1"/>
  <c r="B64" i="263" a="1"/>
  <c r="B64" i="263" s="1"/>
  <c r="A64" i="263" a="1"/>
  <c r="A64" i="263" s="1"/>
  <c r="B63" i="263" a="1"/>
  <c r="B63" i="263" s="1"/>
  <c r="A63" i="263" a="1"/>
  <c r="A63" i="263" s="1"/>
  <c r="B62" i="263" a="1"/>
  <c r="B62" i="263" s="1"/>
  <c r="A62" i="263" a="1"/>
  <c r="A62" i="263" s="1"/>
  <c r="B61" i="263" a="1"/>
  <c r="B61" i="263" s="1"/>
  <c r="A61" i="263" a="1"/>
  <c r="A61" i="263" s="1"/>
  <c r="B60" i="263" a="1"/>
  <c r="B60" i="263" s="1"/>
  <c r="A60" i="263" a="1"/>
  <c r="A60" i="263" s="1"/>
  <c r="B59" i="263" a="1"/>
  <c r="B59" i="263" s="1"/>
  <c r="A59" i="263" a="1"/>
  <c r="A59" i="263" s="1"/>
  <c r="B58" i="263" a="1"/>
  <c r="B58" i="263" s="1"/>
  <c r="A58" i="263" a="1"/>
  <c r="A58" i="263" s="1"/>
  <c r="B57" i="263" a="1"/>
  <c r="B57" i="263" s="1"/>
  <c r="A57" i="263" a="1"/>
  <c r="A57" i="263" s="1"/>
  <c r="B56" i="263"/>
  <c r="B56" i="263" a="1"/>
  <c r="A56" i="263" a="1"/>
  <c r="A56" i="263" s="1"/>
  <c r="B55" i="263" a="1"/>
  <c r="B55" i="263" s="1"/>
  <c r="A55" i="263" a="1"/>
  <c r="A55" i="263" s="1"/>
  <c r="B54" i="263" a="1"/>
  <c r="B54" i="263" s="1"/>
  <c r="A54" i="263" a="1"/>
  <c r="A54" i="263" s="1"/>
  <c r="B53" i="263" a="1"/>
  <c r="B53" i="263" s="1"/>
  <c r="A53" i="263" a="1"/>
  <c r="A53" i="263" s="1"/>
  <c r="B52" i="263" a="1"/>
  <c r="B52" i="263" s="1"/>
  <c r="A52" i="263" a="1"/>
  <c r="A52" i="263" s="1"/>
  <c r="B51" i="263" a="1"/>
  <c r="B51" i="263" s="1"/>
  <c r="A51" i="263" a="1"/>
  <c r="A51" i="263" s="1"/>
  <c r="G51" i="263" s="1" a="1"/>
  <c r="G51" i="263" s="1"/>
  <c r="B50" i="263" a="1"/>
  <c r="B50" i="263" s="1"/>
  <c r="A50" i="263" a="1"/>
  <c r="A50" i="263" s="1"/>
  <c r="B49" i="263" a="1"/>
  <c r="B49" i="263" s="1"/>
  <c r="A49" i="263" a="1"/>
  <c r="A49" i="263" s="1"/>
  <c r="B48" i="263" a="1"/>
  <c r="B48" i="263" s="1"/>
  <c r="A48" i="263" a="1"/>
  <c r="A48" i="263" s="1"/>
  <c r="B47" i="263" a="1"/>
  <c r="B47" i="263" s="1"/>
  <c r="A47" i="263" a="1"/>
  <c r="A47" i="263" s="1"/>
  <c r="B46" i="263" a="1"/>
  <c r="B46" i="263" s="1"/>
  <c r="A46" i="263" a="1"/>
  <c r="A46" i="263" s="1"/>
  <c r="B45" i="263" a="1"/>
  <c r="B45" i="263" s="1"/>
  <c r="A45" i="263" a="1"/>
  <c r="A45" i="263" s="1"/>
  <c r="B44" i="263" a="1"/>
  <c r="B44" i="263" s="1"/>
  <c r="A44" i="263" a="1"/>
  <c r="A44" i="263" s="1"/>
  <c r="B43" i="263" a="1"/>
  <c r="B43" i="263" s="1"/>
  <c r="A43" i="263" a="1"/>
  <c r="A43" i="263" s="1"/>
  <c r="B42" i="263" a="1"/>
  <c r="B42" i="263" s="1"/>
  <c r="A42" i="263" a="1"/>
  <c r="A42" i="263" s="1"/>
  <c r="B41" i="263" a="1"/>
  <c r="B41" i="263" s="1"/>
  <c r="A41" i="263" a="1"/>
  <c r="A41" i="263" s="1"/>
  <c r="B40" i="263" a="1"/>
  <c r="B40" i="263" s="1"/>
  <c r="A40" i="263"/>
  <c r="A40" i="263" a="1"/>
  <c r="B39" i="263" a="1"/>
  <c r="B39" i="263" s="1"/>
  <c r="A39" i="263" a="1"/>
  <c r="A39" i="263" s="1"/>
  <c r="B38" i="263"/>
  <c r="B38" i="263" a="1"/>
  <c r="A38" i="263" a="1"/>
  <c r="A38" i="263" s="1"/>
  <c r="B37" i="263" a="1"/>
  <c r="B37" i="263" s="1"/>
  <c r="A37" i="263" a="1"/>
  <c r="A37" i="263" s="1"/>
  <c r="B36" i="263" a="1"/>
  <c r="B36" i="263" s="1"/>
  <c r="A36" i="263" a="1"/>
  <c r="A36" i="263" s="1"/>
  <c r="B35" i="263" a="1"/>
  <c r="B35" i="263" s="1"/>
  <c r="A35" i="263" a="1"/>
  <c r="A35" i="263" s="1"/>
  <c r="B34" i="263" a="1"/>
  <c r="B34" i="263" s="1"/>
  <c r="A34" i="263" a="1"/>
  <c r="A34" i="263" s="1"/>
  <c r="B33" i="263" a="1"/>
  <c r="B33" i="263" s="1"/>
  <c r="A33" i="263" a="1"/>
  <c r="A33" i="263" s="1"/>
  <c r="B32" i="263" a="1"/>
  <c r="B32" i="263" s="1"/>
  <c r="A32" i="263" a="1"/>
  <c r="A32" i="263" s="1"/>
  <c r="B31" i="263" a="1"/>
  <c r="B31" i="263" s="1"/>
  <c r="A31" i="263" a="1"/>
  <c r="A31" i="263" s="1"/>
  <c r="B30" i="263" a="1"/>
  <c r="B30" i="263" s="1"/>
  <c r="A30" i="263" a="1"/>
  <c r="A30" i="263" s="1"/>
  <c r="B29" i="263" a="1"/>
  <c r="B29" i="263" s="1"/>
  <c r="A29" i="263" a="1"/>
  <c r="A29" i="263" s="1"/>
  <c r="B28" i="263" a="1"/>
  <c r="B28" i="263" s="1"/>
  <c r="A28" i="263"/>
  <c r="A28" i="263" a="1"/>
  <c r="B27" i="263" a="1"/>
  <c r="B27" i="263" s="1"/>
  <c r="A27" i="263" a="1"/>
  <c r="A27" i="263" s="1"/>
  <c r="B26" i="263" a="1"/>
  <c r="B26" i="263" s="1"/>
  <c r="A26" i="263" a="1"/>
  <c r="A26" i="263" s="1"/>
  <c r="B25" i="263" a="1"/>
  <c r="B25" i="263" s="1"/>
  <c r="A25" i="263" a="1"/>
  <c r="A25" i="263" s="1"/>
  <c r="C232" i="262" a="1"/>
  <c r="C232" i="262" s="1"/>
  <c r="B232" i="262" a="1"/>
  <c r="B232" i="262" s="1"/>
  <c r="A232" i="262" a="1"/>
  <c r="A232" i="262" s="1"/>
  <c r="B214" i="262"/>
  <c r="B213" i="262"/>
  <c r="B212" i="262"/>
  <c r="B211" i="262"/>
  <c r="B210" i="262"/>
  <c r="B209" i="262"/>
  <c r="C203" i="262"/>
  <c r="B203" i="262"/>
  <c r="C202" i="262"/>
  <c r="B202" i="262"/>
  <c r="C201" i="262"/>
  <c r="B201" i="262"/>
  <c r="C200" i="262"/>
  <c r="B200" i="262"/>
  <c r="C199" i="262"/>
  <c r="B199" i="262"/>
  <c r="C198" i="262"/>
  <c r="B198" i="262"/>
  <c r="C197" i="262"/>
  <c r="B197" i="262"/>
  <c r="C196" i="262"/>
  <c r="B196" i="262"/>
  <c r="C195" i="262"/>
  <c r="B195" i="262"/>
  <c r="C194" i="262"/>
  <c r="B194" i="262"/>
  <c r="C193" i="262"/>
  <c r="B193" i="262"/>
  <c r="C192" i="262"/>
  <c r="B192" i="262"/>
  <c r="C191" i="262"/>
  <c r="B191" i="262"/>
  <c r="C190" i="262"/>
  <c r="B190" i="262"/>
  <c r="C189" i="262"/>
  <c r="B189" i="262"/>
  <c r="C188" i="262"/>
  <c r="B188" i="262"/>
  <c r="C187" i="262"/>
  <c r="B187" i="262"/>
  <c r="C186" i="262"/>
  <c r="B186" i="262"/>
  <c r="C185" i="262"/>
  <c r="B185" i="262"/>
  <c r="H181" i="262"/>
  <c r="B180" i="262"/>
  <c r="B179" i="262"/>
  <c r="B178" i="262"/>
  <c r="B177" i="262"/>
  <c r="B176" i="262"/>
  <c r="B175" i="262"/>
  <c r="B174" i="262"/>
  <c r="B173" i="262"/>
  <c r="B172" i="262"/>
  <c r="B171" i="262"/>
  <c r="B170" i="262"/>
  <c r="B169" i="262"/>
  <c r="B168" i="262"/>
  <c r="B167" i="262"/>
  <c r="B166" i="262"/>
  <c r="B165" i="262"/>
  <c r="B164" i="262"/>
  <c r="B163" i="262"/>
  <c r="B162" i="262"/>
  <c r="B161" i="262"/>
  <c r="B160" i="262"/>
  <c r="B159" i="262"/>
  <c r="B158" i="262"/>
  <c r="B157" i="262"/>
  <c r="B156" i="262"/>
  <c r="B155" i="262"/>
  <c r="B154" i="262"/>
  <c r="B153" i="262"/>
  <c r="B152" i="262"/>
  <c r="B151" i="262"/>
  <c r="B150" i="262"/>
  <c r="B149" i="262"/>
  <c r="B148" i="262"/>
  <c r="B147" i="262"/>
  <c r="B146" i="262"/>
  <c r="B145" i="262"/>
  <c r="B144" i="262"/>
  <c r="B143" i="262"/>
  <c r="B142" i="262"/>
  <c r="B141" i="262"/>
  <c r="B140" i="262"/>
  <c r="B139" i="262"/>
  <c r="B138" i="262"/>
  <c r="B137" i="262"/>
  <c r="B136" i="262"/>
  <c r="B135" i="262"/>
  <c r="B134" i="262"/>
  <c r="B133" i="262"/>
  <c r="B132" i="262"/>
  <c r="B131" i="262"/>
  <c r="C127" i="262"/>
  <c r="F126" i="262"/>
  <c r="G126" i="262" s="1"/>
  <c r="F125" i="262"/>
  <c r="G125" i="262" s="1"/>
  <c r="G124" i="262"/>
  <c r="F124" i="262"/>
  <c r="F123" i="262"/>
  <c r="G123" i="262" s="1"/>
  <c r="F122" i="262"/>
  <c r="G122" i="262" s="1"/>
  <c r="F121" i="262"/>
  <c r="G121" i="262" s="1"/>
  <c r="G120" i="262"/>
  <c r="F120" i="262"/>
  <c r="F119" i="262"/>
  <c r="G119" i="262" s="1"/>
  <c r="F118" i="262"/>
  <c r="G118" i="262" s="1"/>
  <c r="F117" i="262"/>
  <c r="G117" i="262" s="1"/>
  <c r="G116" i="262"/>
  <c r="F116" i="262"/>
  <c r="F115" i="262"/>
  <c r="G115" i="262" s="1"/>
  <c r="F114" i="262"/>
  <c r="G114" i="262" s="1"/>
  <c r="F113" i="262"/>
  <c r="G113" i="262" s="1"/>
  <c r="F112" i="262"/>
  <c r="G112" i="262" s="1"/>
  <c r="F111" i="262"/>
  <c r="G111" i="262" s="1"/>
  <c r="F110" i="262"/>
  <c r="G110" i="262" s="1"/>
  <c r="F109" i="262"/>
  <c r="G109" i="262" s="1"/>
  <c r="G108" i="262"/>
  <c r="F108" i="262"/>
  <c r="F107" i="262"/>
  <c r="C101" i="262"/>
  <c r="B100" i="262" a="1"/>
  <c r="B100" i="262" s="1"/>
  <c r="A100" i="262" a="1"/>
  <c r="A100" i="262" s="1"/>
  <c r="B99" i="262" a="1"/>
  <c r="B99" i="262" s="1"/>
  <c r="A99" i="262" a="1"/>
  <c r="A99" i="262" s="1"/>
  <c r="B98" i="262" a="1"/>
  <c r="B98" i="262" s="1"/>
  <c r="A98" i="262" a="1"/>
  <c r="A98" i="262" s="1"/>
  <c r="B97" i="262" a="1"/>
  <c r="B97" i="262" s="1"/>
  <c r="A97" i="262" a="1"/>
  <c r="A97" i="262" s="1"/>
  <c r="B96" i="262" a="1"/>
  <c r="B96" i="262" s="1"/>
  <c r="A96" i="262" a="1"/>
  <c r="A96" i="262" s="1"/>
  <c r="B95" i="262" a="1"/>
  <c r="B95" i="262" s="1"/>
  <c r="A95" i="262"/>
  <c r="A95" i="262" a="1"/>
  <c r="B94" i="262" a="1"/>
  <c r="B94" i="262" s="1"/>
  <c r="A94" i="262" a="1"/>
  <c r="A94" i="262" s="1"/>
  <c r="B93" i="262" a="1"/>
  <c r="B93" i="262" s="1"/>
  <c r="A93" i="262" a="1"/>
  <c r="A93" i="262" s="1"/>
  <c r="B92" i="262" a="1"/>
  <c r="B92" i="262" s="1"/>
  <c r="A92" i="262" a="1"/>
  <c r="A92" i="262" s="1"/>
  <c r="B91" i="262" a="1"/>
  <c r="B91" i="262" s="1"/>
  <c r="A91" i="262" a="1"/>
  <c r="A91" i="262" s="1"/>
  <c r="B90" i="262" a="1"/>
  <c r="B90" i="262" s="1"/>
  <c r="A90" i="262" a="1"/>
  <c r="A90" i="262" s="1"/>
  <c r="B89" i="262" a="1"/>
  <c r="B89" i="262" s="1"/>
  <c r="A89" i="262" a="1"/>
  <c r="A89" i="262" s="1"/>
  <c r="B88" i="262" a="1"/>
  <c r="B88" i="262" s="1"/>
  <c r="A88" i="262" a="1"/>
  <c r="A88" i="262" s="1"/>
  <c r="B87" i="262" a="1"/>
  <c r="B87" i="262" s="1"/>
  <c r="A87" i="262" a="1"/>
  <c r="A87" i="262" s="1"/>
  <c r="B86" i="262" a="1"/>
  <c r="B86" i="262" s="1"/>
  <c r="A86" i="262" a="1"/>
  <c r="A86" i="262" s="1"/>
  <c r="B85" i="262" a="1"/>
  <c r="B85" i="262" s="1"/>
  <c r="A85" i="262" a="1"/>
  <c r="A85" i="262" s="1"/>
  <c r="B84" i="262" a="1"/>
  <c r="B84" i="262" s="1"/>
  <c r="A84" i="262" a="1"/>
  <c r="A84" i="262" s="1"/>
  <c r="B83" i="262" a="1"/>
  <c r="B83" i="262" s="1"/>
  <c r="A83" i="262" a="1"/>
  <c r="A83" i="262" s="1"/>
  <c r="B82" i="262" a="1"/>
  <c r="B82" i="262" s="1"/>
  <c r="A82" i="262" a="1"/>
  <c r="A82" i="262" s="1"/>
  <c r="B81" i="262" a="1"/>
  <c r="B81" i="262" s="1"/>
  <c r="A81" i="262" a="1"/>
  <c r="A81" i="262" s="1"/>
  <c r="B80" i="262" a="1"/>
  <c r="B80" i="262" s="1"/>
  <c r="G80" i="262" s="1" a="1"/>
  <c r="G80" i="262" s="1"/>
  <c r="A80" i="262" a="1"/>
  <c r="A80" i="262" s="1"/>
  <c r="B79" i="262" a="1"/>
  <c r="B79" i="262" s="1"/>
  <c r="A79" i="262" a="1"/>
  <c r="A79" i="262" s="1"/>
  <c r="B78" i="262" a="1"/>
  <c r="B78" i="262" s="1"/>
  <c r="A78" i="262" a="1"/>
  <c r="A78" i="262" s="1"/>
  <c r="B77" i="262" a="1"/>
  <c r="B77" i="262" s="1"/>
  <c r="A77" i="262" a="1"/>
  <c r="A77" i="262" s="1"/>
  <c r="B76" i="262" a="1"/>
  <c r="B76" i="262" s="1"/>
  <c r="A76" i="262" a="1"/>
  <c r="A76" i="262" s="1"/>
  <c r="B75" i="262" a="1"/>
  <c r="B75" i="262" s="1"/>
  <c r="A75" i="262" a="1"/>
  <c r="A75" i="262" s="1"/>
  <c r="B74" i="262" a="1"/>
  <c r="B74" i="262" s="1"/>
  <c r="A74" i="262" a="1"/>
  <c r="A74" i="262" s="1"/>
  <c r="B73" i="262" a="1"/>
  <c r="B73" i="262" s="1"/>
  <c r="A73" i="262" a="1"/>
  <c r="A73" i="262" s="1"/>
  <c r="B72" i="262" a="1"/>
  <c r="B72" i="262" s="1"/>
  <c r="A72" i="262" a="1"/>
  <c r="A72" i="262" s="1"/>
  <c r="B71" i="262" a="1"/>
  <c r="B71" i="262" s="1"/>
  <c r="A71" i="262" a="1"/>
  <c r="A71" i="262" s="1"/>
  <c r="B70" i="262" a="1"/>
  <c r="B70" i="262" s="1"/>
  <c r="A70" i="262" a="1"/>
  <c r="A70" i="262" s="1"/>
  <c r="B69" i="262" a="1"/>
  <c r="B69" i="262" s="1"/>
  <c r="A69" i="262" a="1"/>
  <c r="A69" i="262" s="1"/>
  <c r="B68" i="262" a="1"/>
  <c r="B68" i="262" s="1"/>
  <c r="A68" i="262" a="1"/>
  <c r="A68" i="262" s="1"/>
  <c r="D68" i="262" s="1" a="1"/>
  <c r="D68" i="262" s="1"/>
  <c r="B67" i="262" a="1"/>
  <c r="B67" i="262" s="1"/>
  <c r="A67" i="262" a="1"/>
  <c r="A67" i="262" s="1"/>
  <c r="B66" i="262" a="1"/>
  <c r="B66" i="262" s="1"/>
  <c r="A66" i="262" a="1"/>
  <c r="A66" i="262" s="1"/>
  <c r="B65" i="262" a="1"/>
  <c r="B65" i="262" s="1"/>
  <c r="A65" i="262" a="1"/>
  <c r="A65" i="262" s="1"/>
  <c r="B64" i="262" a="1"/>
  <c r="B64" i="262" s="1"/>
  <c r="A64" i="262" a="1"/>
  <c r="A64" i="262" s="1"/>
  <c r="B63" i="262" a="1"/>
  <c r="B63" i="262" s="1"/>
  <c r="A63" i="262" a="1"/>
  <c r="A63" i="262" s="1"/>
  <c r="B62" i="262" a="1"/>
  <c r="B62" i="262" s="1"/>
  <c r="A62" i="262" a="1"/>
  <c r="A62" i="262" s="1"/>
  <c r="B61" i="262" a="1"/>
  <c r="B61" i="262" s="1"/>
  <c r="A61" i="262" a="1"/>
  <c r="A61" i="262" s="1"/>
  <c r="B60" i="262" a="1"/>
  <c r="B60" i="262" s="1"/>
  <c r="A60" i="262" a="1"/>
  <c r="A60" i="262" s="1"/>
  <c r="B59" i="262" a="1"/>
  <c r="B59" i="262" s="1"/>
  <c r="A59" i="262" a="1"/>
  <c r="A59" i="262" s="1"/>
  <c r="B58" i="262" a="1"/>
  <c r="B58" i="262" s="1"/>
  <c r="A58" i="262" a="1"/>
  <c r="A58" i="262" s="1"/>
  <c r="B57" i="262" a="1"/>
  <c r="B57" i="262" s="1"/>
  <c r="A57" i="262" a="1"/>
  <c r="A57" i="262" s="1"/>
  <c r="B56" i="262" a="1"/>
  <c r="B56" i="262" s="1"/>
  <c r="A56" i="262" a="1"/>
  <c r="A56" i="262" s="1"/>
  <c r="B55" i="262" a="1"/>
  <c r="B55" i="262" s="1"/>
  <c r="A55" i="262" a="1"/>
  <c r="A55" i="262" s="1"/>
  <c r="B54" i="262" a="1"/>
  <c r="B54" i="262" s="1"/>
  <c r="A54" i="262" a="1"/>
  <c r="A54" i="262" s="1"/>
  <c r="B53" i="262" a="1"/>
  <c r="B53" i="262" s="1"/>
  <c r="A53" i="262" a="1"/>
  <c r="A53" i="262" s="1"/>
  <c r="B52" i="262" a="1"/>
  <c r="B52" i="262" s="1"/>
  <c r="A52" i="262" a="1"/>
  <c r="A52" i="262" s="1"/>
  <c r="B51" i="262" a="1"/>
  <c r="B51" i="262" s="1"/>
  <c r="A51" i="262" a="1"/>
  <c r="A51" i="262" s="1"/>
  <c r="B50" i="262" a="1"/>
  <c r="B50" i="262" s="1"/>
  <c r="A50" i="262" a="1"/>
  <c r="A50" i="262" s="1"/>
  <c r="B49" i="262" a="1"/>
  <c r="B49" i="262" s="1"/>
  <c r="A49" i="262" a="1"/>
  <c r="A49" i="262" s="1"/>
  <c r="B48" i="262" a="1"/>
  <c r="B48" i="262" s="1"/>
  <c r="A48" i="262" a="1"/>
  <c r="A48" i="262" s="1"/>
  <c r="B47" i="262" a="1"/>
  <c r="B47" i="262" s="1"/>
  <c r="A47" i="262" a="1"/>
  <c r="A47" i="262" s="1"/>
  <c r="B46" i="262" a="1"/>
  <c r="B46" i="262" s="1"/>
  <c r="A46" i="262" a="1"/>
  <c r="A46" i="262" s="1"/>
  <c r="B45" i="262"/>
  <c r="B45" i="262" a="1"/>
  <c r="A45" i="262" a="1"/>
  <c r="A45" i="262" s="1"/>
  <c r="B44" i="262" a="1"/>
  <c r="B44" i="262" s="1"/>
  <c r="A44" i="262" a="1"/>
  <c r="A44" i="262" s="1"/>
  <c r="B43" i="262" a="1"/>
  <c r="B43" i="262" s="1"/>
  <c r="A43" i="262" a="1"/>
  <c r="A43" i="262" s="1"/>
  <c r="B42" i="262" a="1"/>
  <c r="B42" i="262" s="1"/>
  <c r="A42" i="262" a="1"/>
  <c r="A42" i="262" s="1"/>
  <c r="B41" i="262" a="1"/>
  <c r="B41" i="262" s="1"/>
  <c r="A41" i="262" a="1"/>
  <c r="A41" i="262" s="1"/>
  <c r="B40" i="262" a="1"/>
  <c r="B40" i="262" s="1"/>
  <c r="A40" i="262" a="1"/>
  <c r="A40" i="262" s="1"/>
  <c r="B39" i="262" a="1"/>
  <c r="B39" i="262" s="1"/>
  <c r="A39" i="262" a="1"/>
  <c r="A39" i="262" s="1"/>
  <c r="B38" i="262" a="1"/>
  <c r="B38" i="262" s="1"/>
  <c r="A38" i="262" a="1"/>
  <c r="A38" i="262" s="1"/>
  <c r="B37" i="262" a="1"/>
  <c r="B37" i="262" s="1"/>
  <c r="A37" i="262" a="1"/>
  <c r="A37" i="262" s="1"/>
  <c r="B36" i="262" a="1"/>
  <c r="B36" i="262" s="1"/>
  <c r="A36" i="262" a="1"/>
  <c r="A36" i="262" s="1"/>
  <c r="B35" i="262" a="1"/>
  <c r="B35" i="262" s="1"/>
  <c r="A35" i="262" a="1"/>
  <c r="A35" i="262" s="1"/>
  <c r="B34" i="262" a="1"/>
  <c r="B34" i="262" s="1"/>
  <c r="A34" i="262" a="1"/>
  <c r="A34" i="262" s="1"/>
  <c r="B33" i="262" a="1"/>
  <c r="B33" i="262" s="1"/>
  <c r="A33" i="262" a="1"/>
  <c r="A33" i="262" s="1"/>
  <c r="B32" i="262" a="1"/>
  <c r="B32" i="262" s="1"/>
  <c r="A32" i="262" a="1"/>
  <c r="A32" i="262" s="1"/>
  <c r="B31" i="262" a="1"/>
  <c r="B31" i="262" s="1"/>
  <c r="A31" i="262" a="1"/>
  <c r="A31" i="262" s="1"/>
  <c r="B30" i="262" a="1"/>
  <c r="B30" i="262" s="1"/>
  <c r="A30" i="262" a="1"/>
  <c r="A30" i="262" s="1"/>
  <c r="B29" i="262" a="1"/>
  <c r="B29" i="262" s="1"/>
  <c r="A29" i="262" a="1"/>
  <c r="A29" i="262" s="1"/>
  <c r="B28" i="262" a="1"/>
  <c r="B28" i="262" s="1"/>
  <c r="A28" i="262" a="1"/>
  <c r="A28" i="262" s="1"/>
  <c r="B27" i="262" a="1"/>
  <c r="B27" i="262" s="1"/>
  <c r="A27" i="262" a="1"/>
  <c r="A27" i="262" s="1"/>
  <c r="B26" i="262" a="1"/>
  <c r="B26" i="262" s="1"/>
  <c r="A26" i="262" a="1"/>
  <c r="A26" i="262" s="1"/>
  <c r="B25" i="262" a="1"/>
  <c r="B25" i="262" s="1"/>
  <c r="A25" i="262" a="1"/>
  <c r="A25" i="262" s="1"/>
  <c r="C232" i="261" a="1"/>
  <c r="C232" i="261" s="1"/>
  <c r="B232" i="261" a="1"/>
  <c r="B232" i="261" s="1"/>
  <c r="A232" i="261" a="1"/>
  <c r="A232" i="261" s="1"/>
  <c r="B214" i="261"/>
  <c r="B213" i="261"/>
  <c r="B212" i="261"/>
  <c r="B211" i="261"/>
  <c r="B210" i="261"/>
  <c r="B209" i="261"/>
  <c r="C203" i="261"/>
  <c r="B203" i="261"/>
  <c r="C202" i="261"/>
  <c r="B202" i="261"/>
  <c r="C201" i="261"/>
  <c r="B201" i="261"/>
  <c r="C200" i="261"/>
  <c r="B200" i="261"/>
  <c r="C199" i="261"/>
  <c r="B199" i="261"/>
  <c r="C198" i="261"/>
  <c r="B198" i="261"/>
  <c r="C197" i="261"/>
  <c r="B197" i="261"/>
  <c r="C196" i="261"/>
  <c r="B196" i="261"/>
  <c r="C195" i="261"/>
  <c r="B195" i="261"/>
  <c r="C194" i="261"/>
  <c r="B194" i="261"/>
  <c r="C193" i="261"/>
  <c r="B193" i="261"/>
  <c r="C192" i="261"/>
  <c r="B192" i="261"/>
  <c r="C191" i="261"/>
  <c r="B191" i="261"/>
  <c r="C190" i="261"/>
  <c r="B190" i="261"/>
  <c r="C189" i="261"/>
  <c r="B189" i="261"/>
  <c r="C188" i="261"/>
  <c r="B188" i="261"/>
  <c r="C187" i="261"/>
  <c r="B187" i="261"/>
  <c r="C186" i="261"/>
  <c r="B186" i="261"/>
  <c r="C185" i="261"/>
  <c r="B185" i="261"/>
  <c r="H181" i="261"/>
  <c r="B180" i="261"/>
  <c r="B179" i="261"/>
  <c r="B178" i="261"/>
  <c r="B177" i="261"/>
  <c r="B176" i="261"/>
  <c r="B175" i="261"/>
  <c r="B174" i="261"/>
  <c r="B173" i="261"/>
  <c r="B172" i="261"/>
  <c r="B171" i="261"/>
  <c r="B170" i="261"/>
  <c r="B169" i="261"/>
  <c r="B168" i="261"/>
  <c r="B167" i="261"/>
  <c r="B166" i="261"/>
  <c r="B165" i="261"/>
  <c r="B164" i="261"/>
  <c r="B163" i="261"/>
  <c r="B162" i="261"/>
  <c r="B161" i="261"/>
  <c r="B160" i="261"/>
  <c r="B159" i="261"/>
  <c r="B158" i="261"/>
  <c r="B157" i="261"/>
  <c r="B156" i="261"/>
  <c r="B155" i="261"/>
  <c r="B154" i="261"/>
  <c r="B153" i="261"/>
  <c r="B152" i="261"/>
  <c r="B151" i="261"/>
  <c r="B150" i="261"/>
  <c r="B149" i="261"/>
  <c r="B148" i="261"/>
  <c r="B147" i="261"/>
  <c r="B146" i="261"/>
  <c r="B145" i="261"/>
  <c r="B144" i="261"/>
  <c r="B143" i="261"/>
  <c r="B142" i="261"/>
  <c r="B141" i="261"/>
  <c r="B140" i="261"/>
  <c r="B139" i="261"/>
  <c r="B138" i="261"/>
  <c r="B137" i="261"/>
  <c r="B136" i="261"/>
  <c r="B135" i="261"/>
  <c r="B134" i="261"/>
  <c r="B133" i="261"/>
  <c r="B132" i="261"/>
  <c r="B131" i="261"/>
  <c r="C127" i="261"/>
  <c r="F126" i="261"/>
  <c r="G126" i="261" s="1"/>
  <c r="F125" i="261"/>
  <c r="G125" i="261" s="1"/>
  <c r="G124" i="261"/>
  <c r="F124" i="261"/>
  <c r="F123" i="261"/>
  <c r="G123" i="261" s="1"/>
  <c r="F122" i="261"/>
  <c r="G122" i="261" s="1"/>
  <c r="F121" i="261"/>
  <c r="G121" i="261" s="1"/>
  <c r="G120" i="261"/>
  <c r="F120" i="261"/>
  <c r="F119" i="261"/>
  <c r="G119" i="261" s="1"/>
  <c r="F118" i="261"/>
  <c r="G118" i="261" s="1"/>
  <c r="F117" i="261"/>
  <c r="G117" i="261" s="1"/>
  <c r="G116" i="261"/>
  <c r="F116" i="261"/>
  <c r="F115" i="261"/>
  <c r="G115" i="261" s="1"/>
  <c r="F114" i="261"/>
  <c r="G114" i="261" s="1"/>
  <c r="F113" i="261"/>
  <c r="G113" i="261" s="1"/>
  <c r="G112" i="261"/>
  <c r="F112" i="261"/>
  <c r="F111" i="261"/>
  <c r="G111" i="261" s="1"/>
  <c r="F110" i="261"/>
  <c r="G110" i="261" s="1"/>
  <c r="F109" i="261"/>
  <c r="G109" i="261" s="1"/>
  <c r="G108" i="261"/>
  <c r="F108" i="261"/>
  <c r="F107" i="261"/>
  <c r="C101" i="261"/>
  <c r="B100" i="261" a="1"/>
  <c r="B100" i="261" s="1"/>
  <c r="A100" i="261" a="1"/>
  <c r="A100" i="261" s="1"/>
  <c r="B99" i="261" a="1"/>
  <c r="B99" i="261" s="1"/>
  <c r="A99" i="261" a="1"/>
  <c r="A99" i="261" s="1"/>
  <c r="B98" i="261" a="1"/>
  <c r="B98" i="261" s="1"/>
  <c r="A98" i="261" a="1"/>
  <c r="A98" i="261" s="1"/>
  <c r="B97" i="261" a="1"/>
  <c r="B97" i="261" s="1"/>
  <c r="A97" i="261" a="1"/>
  <c r="A97" i="261" s="1"/>
  <c r="B96" i="261" a="1"/>
  <c r="B96" i="261" s="1"/>
  <c r="A96" i="261" a="1"/>
  <c r="A96" i="261" s="1"/>
  <c r="B95" i="261" a="1"/>
  <c r="B95" i="261" s="1"/>
  <c r="A95" i="261" a="1"/>
  <c r="A95" i="261" s="1"/>
  <c r="B94" i="261" a="1"/>
  <c r="B94" i="261" s="1"/>
  <c r="A94" i="261" a="1"/>
  <c r="A94" i="261" s="1"/>
  <c r="B93" i="261" a="1"/>
  <c r="B93" i="261" s="1"/>
  <c r="A93" i="261" a="1"/>
  <c r="A93" i="261" s="1"/>
  <c r="B92" i="261" a="1"/>
  <c r="B92" i="261" s="1"/>
  <c r="A92" i="261" a="1"/>
  <c r="A92" i="261" s="1"/>
  <c r="B91" i="261" a="1"/>
  <c r="B91" i="261" s="1"/>
  <c r="A91" i="261" a="1"/>
  <c r="A91" i="261" s="1"/>
  <c r="B90" i="261" a="1"/>
  <c r="B90" i="261" s="1"/>
  <c r="A90" i="261" a="1"/>
  <c r="A90" i="261" s="1"/>
  <c r="B89" i="261" a="1"/>
  <c r="B89" i="261" s="1"/>
  <c r="A89" i="261" a="1"/>
  <c r="A89" i="261" s="1"/>
  <c r="B88" i="261" a="1"/>
  <c r="B88" i="261" s="1"/>
  <c r="A88" i="261" a="1"/>
  <c r="A88" i="261" s="1"/>
  <c r="B87" i="261" a="1"/>
  <c r="B87" i="261" s="1"/>
  <c r="A87" i="261" a="1"/>
  <c r="A87" i="261" s="1"/>
  <c r="B86" i="261" a="1"/>
  <c r="B86" i="261" s="1"/>
  <c r="A86" i="261" a="1"/>
  <c r="A86" i="261" s="1"/>
  <c r="B85" i="261" a="1"/>
  <c r="B85" i="261" s="1"/>
  <c r="A85" i="261" a="1"/>
  <c r="A85" i="261" s="1"/>
  <c r="B84" i="261" a="1"/>
  <c r="B84" i="261" s="1"/>
  <c r="A84" i="261" a="1"/>
  <c r="A84" i="261" s="1"/>
  <c r="B83" i="261" a="1"/>
  <c r="B83" i="261" s="1"/>
  <c r="A83" i="261" a="1"/>
  <c r="A83" i="261" s="1"/>
  <c r="B82" i="261" a="1"/>
  <c r="B82" i="261" s="1"/>
  <c r="A82" i="261" a="1"/>
  <c r="A82" i="261" s="1"/>
  <c r="B81" i="261" a="1"/>
  <c r="B81" i="261" s="1"/>
  <c r="A81" i="261" a="1"/>
  <c r="A81" i="261" s="1"/>
  <c r="B80" i="261" a="1"/>
  <c r="B80" i="261" s="1"/>
  <c r="A80" i="261" a="1"/>
  <c r="A80" i="261" s="1"/>
  <c r="B79" i="261" a="1"/>
  <c r="B79" i="261" s="1"/>
  <c r="A79" i="261" a="1"/>
  <c r="A79" i="261" s="1"/>
  <c r="B78" i="261" a="1"/>
  <c r="B78" i="261" s="1"/>
  <c r="A78" i="261" a="1"/>
  <c r="A78" i="261" s="1"/>
  <c r="B77" i="261" a="1"/>
  <c r="B77" i="261" s="1"/>
  <c r="A77" i="261" a="1"/>
  <c r="A77" i="261" s="1"/>
  <c r="B76" i="261" a="1"/>
  <c r="B76" i="261" s="1"/>
  <c r="A76" i="261" a="1"/>
  <c r="A76" i="261" s="1"/>
  <c r="B75" i="261" a="1"/>
  <c r="B75" i="261" s="1"/>
  <c r="A75" i="261" a="1"/>
  <c r="A75" i="261" s="1"/>
  <c r="B74" i="261" a="1"/>
  <c r="B74" i="261" s="1"/>
  <c r="A74" i="261" a="1"/>
  <c r="A74" i="261" s="1"/>
  <c r="B73" i="261" a="1"/>
  <c r="B73" i="261" s="1"/>
  <c r="A73" i="261" a="1"/>
  <c r="A73" i="261" s="1"/>
  <c r="B72" i="261" a="1"/>
  <c r="B72" i="261" s="1"/>
  <c r="A72" i="261" a="1"/>
  <c r="A72" i="261" s="1"/>
  <c r="B71" i="261" a="1"/>
  <c r="B71" i="261" s="1"/>
  <c r="A71" i="261" a="1"/>
  <c r="A71" i="261" s="1"/>
  <c r="B70" i="261" a="1"/>
  <c r="B70" i="261" s="1"/>
  <c r="A70" i="261" a="1"/>
  <c r="A70" i="261" s="1"/>
  <c r="B69" i="261" a="1"/>
  <c r="B69" i="261" s="1"/>
  <c r="A69" i="261" a="1"/>
  <c r="A69" i="261" s="1"/>
  <c r="B68" i="261" a="1"/>
  <c r="B68" i="261" s="1"/>
  <c r="A68" i="261" a="1"/>
  <c r="A68" i="261" s="1"/>
  <c r="B67" i="261" a="1"/>
  <c r="B67" i="261" s="1"/>
  <c r="A67" i="261" a="1"/>
  <c r="A67" i="261" s="1"/>
  <c r="B66" i="261" a="1"/>
  <c r="B66" i="261" s="1"/>
  <c r="A66" i="261" a="1"/>
  <c r="A66" i="261" s="1"/>
  <c r="B65" i="261" a="1"/>
  <c r="B65" i="261" s="1"/>
  <c r="A65" i="261" a="1"/>
  <c r="A65" i="261" s="1"/>
  <c r="B64" i="261" a="1"/>
  <c r="B64" i="261" s="1"/>
  <c r="A64" i="261" a="1"/>
  <c r="A64" i="261" s="1"/>
  <c r="B63" i="261" a="1"/>
  <c r="B63" i="261" s="1"/>
  <c r="A63" i="261" a="1"/>
  <c r="A63" i="261" s="1"/>
  <c r="B62" i="261" a="1"/>
  <c r="B62" i="261" s="1"/>
  <c r="A62" i="261" a="1"/>
  <c r="A62" i="261" s="1"/>
  <c r="B61" i="261" a="1"/>
  <c r="B61" i="261" s="1"/>
  <c r="A61" i="261" a="1"/>
  <c r="A61" i="261" s="1"/>
  <c r="B60" i="261" a="1"/>
  <c r="B60" i="261" s="1"/>
  <c r="A60" i="261" a="1"/>
  <c r="A60" i="261" s="1"/>
  <c r="B59" i="261" a="1"/>
  <c r="B59" i="261" s="1"/>
  <c r="A59" i="261" a="1"/>
  <c r="A59" i="261" s="1"/>
  <c r="B58" i="261" a="1"/>
  <c r="B58" i="261" s="1"/>
  <c r="A58" i="261" a="1"/>
  <c r="A58" i="261" s="1"/>
  <c r="B57" i="261" a="1"/>
  <c r="B57" i="261" s="1"/>
  <c r="A57" i="261" a="1"/>
  <c r="A57" i="261" s="1"/>
  <c r="B56" i="261" a="1"/>
  <c r="B56" i="261" s="1"/>
  <c r="A56" i="261" a="1"/>
  <c r="A56" i="261" s="1"/>
  <c r="B55" i="261" a="1"/>
  <c r="B55" i="261" s="1"/>
  <c r="A55" i="261" a="1"/>
  <c r="A55" i="261" s="1"/>
  <c r="B54" i="261" a="1"/>
  <c r="B54" i="261" s="1"/>
  <c r="A54" i="261" a="1"/>
  <c r="A54" i="261" s="1"/>
  <c r="B53" i="261" a="1"/>
  <c r="B53" i="261" s="1"/>
  <c r="A53" i="261" a="1"/>
  <c r="A53" i="261" s="1"/>
  <c r="B52" i="261" a="1"/>
  <c r="B52" i="261" s="1"/>
  <c r="A52" i="261" a="1"/>
  <c r="A52" i="261" s="1"/>
  <c r="B51" i="261" a="1"/>
  <c r="B51" i="261" s="1"/>
  <c r="A51" i="261" a="1"/>
  <c r="A51" i="261" s="1"/>
  <c r="B50" i="261" a="1"/>
  <c r="B50" i="261" s="1"/>
  <c r="A50" i="261" a="1"/>
  <c r="A50" i="261" s="1"/>
  <c r="B49" i="261"/>
  <c r="B49" i="261" a="1"/>
  <c r="A49" i="261" a="1"/>
  <c r="A49" i="261" s="1"/>
  <c r="B48" i="261" a="1"/>
  <c r="B48" i="261" s="1"/>
  <c r="A48" i="261" a="1"/>
  <c r="A48" i="261" s="1"/>
  <c r="B47" i="261" a="1"/>
  <c r="B47" i="261" s="1"/>
  <c r="A47" i="261" a="1"/>
  <c r="A47" i="261" s="1"/>
  <c r="B46" i="261" a="1"/>
  <c r="B46" i="261" s="1"/>
  <c r="A46" i="261" a="1"/>
  <c r="A46" i="261" s="1"/>
  <c r="B45" i="261" a="1"/>
  <c r="B45" i="261" s="1"/>
  <c r="A45" i="261" a="1"/>
  <c r="A45" i="261" s="1"/>
  <c r="B44" i="261" a="1"/>
  <c r="B44" i="261" s="1"/>
  <c r="A44" i="261" a="1"/>
  <c r="A44" i="261" s="1"/>
  <c r="B43" i="261" a="1"/>
  <c r="B43" i="261" s="1"/>
  <c r="A43" i="261" a="1"/>
  <c r="A43" i="261" s="1"/>
  <c r="B42" i="261" a="1"/>
  <c r="B42" i="261" s="1"/>
  <c r="A42" i="261" a="1"/>
  <c r="A42" i="261" s="1"/>
  <c r="B41" i="261" a="1"/>
  <c r="B41" i="261" s="1"/>
  <c r="A41" i="261" a="1"/>
  <c r="A41" i="261" s="1"/>
  <c r="B40" i="261" a="1"/>
  <c r="B40" i="261" s="1"/>
  <c r="A40" i="261" a="1"/>
  <c r="A40" i="261" s="1"/>
  <c r="B39" i="261" a="1"/>
  <c r="B39" i="261" s="1"/>
  <c r="A39" i="261" a="1"/>
  <c r="A39" i="261" s="1"/>
  <c r="B38" i="261" a="1"/>
  <c r="B38" i="261" s="1"/>
  <c r="A38" i="261" a="1"/>
  <c r="A38" i="261" s="1"/>
  <c r="B37" i="261" a="1"/>
  <c r="B37" i="261" s="1"/>
  <c r="A37" i="261" a="1"/>
  <c r="A37" i="261" s="1"/>
  <c r="B36" i="261" a="1"/>
  <c r="B36" i="261" s="1"/>
  <c r="A36" i="261" a="1"/>
  <c r="A36" i="261" s="1"/>
  <c r="B35" i="261" a="1"/>
  <c r="B35" i="261" s="1"/>
  <c r="A35" i="261" a="1"/>
  <c r="A35" i="261" s="1"/>
  <c r="B34" i="261" a="1"/>
  <c r="B34" i="261" s="1"/>
  <c r="A34" i="261" a="1"/>
  <c r="A34" i="261" s="1"/>
  <c r="B33" i="261" a="1"/>
  <c r="B33" i="261" s="1"/>
  <c r="A33" i="261" a="1"/>
  <c r="A33" i="261" s="1"/>
  <c r="B32" i="261" a="1"/>
  <c r="B32" i="261" s="1"/>
  <c r="A32" i="261" a="1"/>
  <c r="A32" i="261" s="1"/>
  <c r="B31" i="261" a="1"/>
  <c r="B31" i="261" s="1"/>
  <c r="A31" i="261" a="1"/>
  <c r="A31" i="261" s="1"/>
  <c r="B30" i="261" a="1"/>
  <c r="B30" i="261" s="1"/>
  <c r="A30" i="261" a="1"/>
  <c r="A30" i="261" s="1"/>
  <c r="B29" i="261" a="1"/>
  <c r="B29" i="261" s="1"/>
  <c r="A29" i="261" a="1"/>
  <c r="A29" i="261" s="1"/>
  <c r="B28" i="261" a="1"/>
  <c r="B28" i="261" s="1"/>
  <c r="A28" i="261" a="1"/>
  <c r="A28" i="261" s="1"/>
  <c r="B27" i="261" a="1"/>
  <c r="B27" i="261" s="1"/>
  <c r="A27" i="261"/>
  <c r="A27" i="261" a="1"/>
  <c r="B26" i="261" a="1"/>
  <c r="B26" i="261" s="1"/>
  <c r="A26" i="261" a="1"/>
  <c r="A26" i="261" s="1"/>
  <c r="B25" i="261" a="1"/>
  <c r="B25" i="261" s="1"/>
  <c r="A25" i="261" a="1"/>
  <c r="A25" i="261" s="1"/>
  <c r="C232" i="260" a="1"/>
  <c r="C232" i="260" s="1"/>
  <c r="B232" i="260" a="1"/>
  <c r="B232" i="260" s="1"/>
  <c r="A232" i="260" a="1"/>
  <c r="A232" i="260" s="1"/>
  <c r="B214" i="260"/>
  <c r="B213" i="260"/>
  <c r="B212" i="260"/>
  <c r="B211" i="260"/>
  <c r="B210" i="260"/>
  <c r="B209" i="260"/>
  <c r="C203" i="260"/>
  <c r="B203" i="260"/>
  <c r="C202" i="260"/>
  <c r="B202" i="260"/>
  <c r="C201" i="260"/>
  <c r="B201" i="260"/>
  <c r="C200" i="260"/>
  <c r="B200" i="260"/>
  <c r="C199" i="260"/>
  <c r="B199" i="260"/>
  <c r="C198" i="260"/>
  <c r="B198" i="260"/>
  <c r="C197" i="260"/>
  <c r="B197" i="260"/>
  <c r="C196" i="260"/>
  <c r="B196" i="260"/>
  <c r="C195" i="260"/>
  <c r="B195" i="260"/>
  <c r="C194" i="260"/>
  <c r="B194" i="260"/>
  <c r="C193" i="260"/>
  <c r="B193" i="260"/>
  <c r="C192" i="260"/>
  <c r="B192" i="260"/>
  <c r="C191" i="260"/>
  <c r="B191" i="260"/>
  <c r="C190" i="260"/>
  <c r="B190" i="260"/>
  <c r="C189" i="260"/>
  <c r="B189" i="260"/>
  <c r="C188" i="260"/>
  <c r="B188" i="260"/>
  <c r="C187" i="260"/>
  <c r="B187" i="260"/>
  <c r="C186" i="260"/>
  <c r="B186" i="260"/>
  <c r="C185" i="260"/>
  <c r="B185" i="260"/>
  <c r="H181" i="260"/>
  <c r="B180" i="260"/>
  <c r="B179" i="260"/>
  <c r="B178" i="260"/>
  <c r="B177" i="260"/>
  <c r="B176" i="260"/>
  <c r="B175" i="260"/>
  <c r="B174" i="260"/>
  <c r="B173" i="260"/>
  <c r="B172" i="260"/>
  <c r="B171" i="260"/>
  <c r="B170" i="260"/>
  <c r="B169" i="260"/>
  <c r="B168" i="260"/>
  <c r="B167" i="260"/>
  <c r="B166" i="260"/>
  <c r="B165" i="260"/>
  <c r="B164" i="260"/>
  <c r="B163" i="260"/>
  <c r="B162" i="260"/>
  <c r="B161" i="260"/>
  <c r="B160" i="260"/>
  <c r="B159" i="260"/>
  <c r="B158" i="260"/>
  <c r="B157" i="260"/>
  <c r="B156" i="260"/>
  <c r="B155" i="260"/>
  <c r="B154" i="260"/>
  <c r="B153" i="260"/>
  <c r="B152" i="260"/>
  <c r="B151" i="260"/>
  <c r="B150" i="260"/>
  <c r="B149" i="260"/>
  <c r="B148" i="260"/>
  <c r="B147" i="260"/>
  <c r="B146" i="260"/>
  <c r="B145" i="260"/>
  <c r="B144" i="260"/>
  <c r="B143" i="260"/>
  <c r="B142" i="260"/>
  <c r="B141" i="260"/>
  <c r="B140" i="260"/>
  <c r="B139" i="260"/>
  <c r="B138" i="260"/>
  <c r="B137" i="260"/>
  <c r="B136" i="260"/>
  <c r="B135" i="260"/>
  <c r="B134" i="260"/>
  <c r="B133" i="260"/>
  <c r="B132" i="260"/>
  <c r="B131" i="260"/>
  <c r="C127" i="260"/>
  <c r="F126" i="260"/>
  <c r="G126" i="260" s="1"/>
  <c r="F125" i="260"/>
  <c r="G125" i="260" s="1"/>
  <c r="G124" i="260"/>
  <c r="F124" i="260"/>
  <c r="F123" i="260"/>
  <c r="G123" i="260" s="1"/>
  <c r="F122" i="260"/>
  <c r="G122" i="260" s="1"/>
  <c r="F121" i="260"/>
  <c r="G121" i="260" s="1"/>
  <c r="G120" i="260"/>
  <c r="F120" i="260"/>
  <c r="F119" i="260"/>
  <c r="G119" i="260" s="1"/>
  <c r="F118" i="260"/>
  <c r="G118" i="260" s="1"/>
  <c r="F117" i="260"/>
  <c r="G117" i="260" s="1"/>
  <c r="G116" i="260"/>
  <c r="F116" i="260"/>
  <c r="F115" i="260"/>
  <c r="G115" i="260" s="1"/>
  <c r="F114" i="260"/>
  <c r="G114" i="260" s="1"/>
  <c r="F113" i="260"/>
  <c r="G113" i="260" s="1"/>
  <c r="G112" i="260"/>
  <c r="F112" i="260"/>
  <c r="F111" i="260"/>
  <c r="G111" i="260" s="1"/>
  <c r="F110" i="260"/>
  <c r="G110" i="260" s="1"/>
  <c r="F109" i="260"/>
  <c r="G109" i="260" s="1"/>
  <c r="G108" i="260"/>
  <c r="F108" i="260"/>
  <c r="F107" i="260"/>
  <c r="C101" i="260"/>
  <c r="B100" i="260" a="1"/>
  <c r="B100" i="260" s="1"/>
  <c r="A100" i="260" a="1"/>
  <c r="A100" i="260" s="1"/>
  <c r="B99" i="260" a="1"/>
  <c r="B99" i="260" s="1"/>
  <c r="A99" i="260" a="1"/>
  <c r="A99" i="260" s="1"/>
  <c r="B98" i="260" a="1"/>
  <c r="B98" i="260" s="1"/>
  <c r="A98" i="260" a="1"/>
  <c r="A98" i="260" s="1"/>
  <c r="B97" i="260" a="1"/>
  <c r="B97" i="260" s="1"/>
  <c r="A97" i="260" a="1"/>
  <c r="A97" i="260" s="1"/>
  <c r="B96" i="260" a="1"/>
  <c r="B96" i="260" s="1"/>
  <c r="A96" i="260" a="1"/>
  <c r="A96" i="260" s="1"/>
  <c r="B95" i="260" a="1"/>
  <c r="B95" i="260" s="1"/>
  <c r="A95" i="260" a="1"/>
  <c r="A95" i="260" s="1"/>
  <c r="B94" i="260" a="1"/>
  <c r="B94" i="260" s="1"/>
  <c r="A94" i="260" a="1"/>
  <c r="A94" i="260" s="1"/>
  <c r="B93" i="260" a="1"/>
  <c r="B93" i="260" s="1"/>
  <c r="A93" i="260" a="1"/>
  <c r="A93" i="260" s="1"/>
  <c r="B92" i="260" a="1"/>
  <c r="B92" i="260" s="1"/>
  <c r="A92" i="260" a="1"/>
  <c r="A92" i="260" s="1"/>
  <c r="B91" i="260" a="1"/>
  <c r="B91" i="260" s="1"/>
  <c r="A91" i="260" a="1"/>
  <c r="A91" i="260" s="1"/>
  <c r="B90" i="260" a="1"/>
  <c r="B90" i="260" s="1"/>
  <c r="A90" i="260" a="1"/>
  <c r="A90" i="260" s="1"/>
  <c r="B89" i="260" a="1"/>
  <c r="B89" i="260" s="1"/>
  <c r="A89" i="260" a="1"/>
  <c r="A89" i="260" s="1"/>
  <c r="B88" i="260" a="1"/>
  <c r="B88" i="260" s="1"/>
  <c r="A88" i="260" a="1"/>
  <c r="A88" i="260" s="1"/>
  <c r="B87" i="260" a="1"/>
  <c r="B87" i="260" s="1"/>
  <c r="A87" i="260" a="1"/>
  <c r="A87" i="260" s="1"/>
  <c r="B86" i="260" a="1"/>
  <c r="B86" i="260" s="1"/>
  <c r="A86" i="260" a="1"/>
  <c r="A86" i="260" s="1"/>
  <c r="B85" i="260" a="1"/>
  <c r="B85" i="260" s="1"/>
  <c r="A85" i="260" a="1"/>
  <c r="A85" i="260" s="1"/>
  <c r="B84" i="260" a="1"/>
  <c r="B84" i="260" s="1"/>
  <c r="A84" i="260" a="1"/>
  <c r="A84" i="260" s="1"/>
  <c r="B83" i="260" a="1"/>
  <c r="B83" i="260" s="1"/>
  <c r="A83" i="260" a="1"/>
  <c r="A83" i="260" s="1"/>
  <c r="B82" i="260" a="1"/>
  <c r="B82" i="260" s="1"/>
  <c r="A82" i="260" a="1"/>
  <c r="A82" i="260" s="1"/>
  <c r="B81" i="260" a="1"/>
  <c r="B81" i="260" s="1"/>
  <c r="A81" i="260" a="1"/>
  <c r="A81" i="260" s="1"/>
  <c r="B80" i="260" a="1"/>
  <c r="B80" i="260" s="1"/>
  <c r="A80" i="260" a="1"/>
  <c r="A80" i="260" s="1"/>
  <c r="B79" i="260" a="1"/>
  <c r="B79" i="260" s="1"/>
  <c r="E79" i="260" s="1" a="1"/>
  <c r="E79" i="260" s="1"/>
  <c r="A79" i="260" a="1"/>
  <c r="A79" i="260" s="1"/>
  <c r="B78" i="260" a="1"/>
  <c r="B78" i="260" s="1"/>
  <c r="A78" i="260" a="1"/>
  <c r="A78" i="260" s="1"/>
  <c r="B77" i="260" a="1"/>
  <c r="B77" i="260" s="1"/>
  <c r="A77" i="260" a="1"/>
  <c r="A77" i="260" s="1"/>
  <c r="B76" i="260" a="1"/>
  <c r="B76" i="260" s="1"/>
  <c r="A76" i="260" a="1"/>
  <c r="A76" i="260" s="1"/>
  <c r="B75" i="260" a="1"/>
  <c r="B75" i="260" s="1"/>
  <c r="A75" i="260" a="1"/>
  <c r="A75" i="260" s="1"/>
  <c r="B74" i="260" a="1"/>
  <c r="B74" i="260" s="1"/>
  <c r="A74" i="260" a="1"/>
  <c r="A74" i="260" s="1"/>
  <c r="B73" i="260" a="1"/>
  <c r="B73" i="260" s="1"/>
  <c r="A73" i="260" a="1"/>
  <c r="A73" i="260" s="1"/>
  <c r="B72" i="260" a="1"/>
  <c r="B72" i="260" s="1"/>
  <c r="A72" i="260" a="1"/>
  <c r="A72" i="260" s="1"/>
  <c r="B71" i="260" a="1"/>
  <c r="B71" i="260" s="1"/>
  <c r="A71" i="260" a="1"/>
  <c r="A71" i="260" s="1"/>
  <c r="B70" i="260" a="1"/>
  <c r="B70" i="260" s="1"/>
  <c r="A70" i="260" a="1"/>
  <c r="A70" i="260" s="1"/>
  <c r="B69" i="260" a="1"/>
  <c r="B69" i="260" s="1"/>
  <c r="A69" i="260" a="1"/>
  <c r="A69" i="260" s="1"/>
  <c r="B68" i="260" a="1"/>
  <c r="B68" i="260" s="1"/>
  <c r="A68" i="260" a="1"/>
  <c r="A68" i="260" s="1"/>
  <c r="B67" i="260" a="1"/>
  <c r="B67" i="260" s="1"/>
  <c r="A67" i="260" a="1"/>
  <c r="A67" i="260" s="1"/>
  <c r="B66" i="260" a="1"/>
  <c r="B66" i="260" s="1"/>
  <c r="A66" i="260" a="1"/>
  <c r="A66" i="260" s="1"/>
  <c r="B65" i="260" a="1"/>
  <c r="B65" i="260" s="1"/>
  <c r="A65" i="260" a="1"/>
  <c r="A65" i="260" s="1"/>
  <c r="B64" i="260" a="1"/>
  <c r="B64" i="260" s="1"/>
  <c r="A64" i="260" a="1"/>
  <c r="A64" i="260" s="1"/>
  <c r="B63" i="260" a="1"/>
  <c r="B63" i="260" s="1"/>
  <c r="A63" i="260" a="1"/>
  <c r="A63" i="260" s="1"/>
  <c r="B62" i="260" a="1"/>
  <c r="B62" i="260" s="1"/>
  <c r="A62" i="260" a="1"/>
  <c r="A62" i="260" s="1"/>
  <c r="B61" i="260" a="1"/>
  <c r="B61" i="260" s="1"/>
  <c r="A61" i="260" a="1"/>
  <c r="A61" i="260" s="1"/>
  <c r="B60" i="260" a="1"/>
  <c r="B60" i="260" s="1"/>
  <c r="A60" i="260" a="1"/>
  <c r="A60" i="260" s="1"/>
  <c r="B59" i="260" a="1"/>
  <c r="B59" i="260" s="1"/>
  <c r="A59" i="260" a="1"/>
  <c r="A59" i="260" s="1"/>
  <c r="B58" i="260" a="1"/>
  <c r="B58" i="260" s="1"/>
  <c r="A58" i="260" a="1"/>
  <c r="A58" i="260" s="1"/>
  <c r="B57" i="260" a="1"/>
  <c r="B57" i="260" s="1"/>
  <c r="A57" i="260" a="1"/>
  <c r="A57" i="260" s="1"/>
  <c r="B56" i="260" a="1"/>
  <c r="B56" i="260" s="1"/>
  <c r="A56" i="260" a="1"/>
  <c r="A56" i="260" s="1"/>
  <c r="B55" i="260" a="1"/>
  <c r="B55" i="260" s="1"/>
  <c r="A55" i="260" a="1"/>
  <c r="A55" i="260" s="1"/>
  <c r="B54" i="260" a="1"/>
  <c r="B54" i="260" s="1"/>
  <c r="A54" i="260" a="1"/>
  <c r="A54" i="260" s="1"/>
  <c r="B53" i="260" a="1"/>
  <c r="B53" i="260" s="1"/>
  <c r="A53" i="260" a="1"/>
  <c r="A53" i="260" s="1"/>
  <c r="B52" i="260" a="1"/>
  <c r="B52" i="260" s="1"/>
  <c r="A52" i="260" a="1"/>
  <c r="A52" i="260" s="1"/>
  <c r="B51" i="260" a="1"/>
  <c r="B51" i="260" s="1"/>
  <c r="A51" i="260" a="1"/>
  <c r="A51" i="260" s="1"/>
  <c r="B50" i="260" a="1"/>
  <c r="B50" i="260" s="1"/>
  <c r="A50" i="260" a="1"/>
  <c r="A50" i="260" s="1"/>
  <c r="B49" i="260" a="1"/>
  <c r="B49" i="260" s="1"/>
  <c r="A49" i="260" a="1"/>
  <c r="A49" i="260" s="1"/>
  <c r="B48" i="260" a="1"/>
  <c r="B48" i="260" s="1"/>
  <c r="A48" i="260" a="1"/>
  <c r="A48" i="260" s="1"/>
  <c r="B47" i="260" a="1"/>
  <c r="B47" i="260" s="1"/>
  <c r="A47" i="260" a="1"/>
  <c r="A47" i="260" s="1"/>
  <c r="B46" i="260" a="1"/>
  <c r="B46" i="260" s="1"/>
  <c r="A46" i="260" a="1"/>
  <c r="A46" i="260" s="1"/>
  <c r="B45" i="260" a="1"/>
  <c r="B45" i="260" s="1"/>
  <c r="A45" i="260" a="1"/>
  <c r="A45" i="260" s="1"/>
  <c r="B44" i="260" a="1"/>
  <c r="B44" i="260" s="1"/>
  <c r="A44" i="260" a="1"/>
  <c r="A44" i="260" s="1"/>
  <c r="B43" i="260" a="1"/>
  <c r="B43" i="260" s="1"/>
  <c r="A43" i="260" a="1"/>
  <c r="A43" i="260" s="1"/>
  <c r="B42" i="260" a="1"/>
  <c r="B42" i="260" s="1"/>
  <c r="A42" i="260" a="1"/>
  <c r="A42" i="260" s="1"/>
  <c r="B41" i="260" a="1"/>
  <c r="B41" i="260" s="1"/>
  <c r="A41" i="260" a="1"/>
  <c r="A41" i="260" s="1"/>
  <c r="B40" i="260" a="1"/>
  <c r="B40" i="260" s="1"/>
  <c r="A40" i="260" a="1"/>
  <c r="A40" i="260" s="1"/>
  <c r="B39" i="260" a="1"/>
  <c r="B39" i="260" s="1"/>
  <c r="A39" i="260" a="1"/>
  <c r="A39" i="260" s="1"/>
  <c r="B38" i="260" a="1"/>
  <c r="B38" i="260" s="1"/>
  <c r="A38" i="260" a="1"/>
  <c r="A38" i="260" s="1"/>
  <c r="B37" i="260" a="1"/>
  <c r="B37" i="260" s="1"/>
  <c r="A37" i="260" a="1"/>
  <c r="A37" i="260" s="1"/>
  <c r="B36" i="260" a="1"/>
  <c r="B36" i="260" s="1"/>
  <c r="A36" i="260" a="1"/>
  <c r="A36" i="260" s="1"/>
  <c r="B35" i="260" a="1"/>
  <c r="B35" i="260" s="1"/>
  <c r="A35" i="260" a="1"/>
  <c r="A35" i="260" s="1"/>
  <c r="B34" i="260" a="1"/>
  <c r="B34" i="260" s="1"/>
  <c r="A34" i="260" a="1"/>
  <c r="A34" i="260" s="1"/>
  <c r="B33" i="260" a="1"/>
  <c r="B33" i="260" s="1"/>
  <c r="A33" i="260" a="1"/>
  <c r="A33" i="260" s="1"/>
  <c r="B32" i="260" a="1"/>
  <c r="B32" i="260" s="1"/>
  <c r="A32" i="260" a="1"/>
  <c r="A32" i="260" s="1"/>
  <c r="B31" i="260" a="1"/>
  <c r="B31" i="260" s="1"/>
  <c r="A31" i="260" a="1"/>
  <c r="A31" i="260" s="1"/>
  <c r="B30" i="260" a="1"/>
  <c r="B30" i="260" s="1"/>
  <c r="A30" i="260" a="1"/>
  <c r="A30" i="260" s="1"/>
  <c r="B29" i="260" a="1"/>
  <c r="B29" i="260" s="1"/>
  <c r="A29" i="260" a="1"/>
  <c r="A29" i="260" s="1"/>
  <c r="B28" i="260" a="1"/>
  <c r="B28" i="260" s="1"/>
  <c r="A28" i="260" a="1"/>
  <c r="A28" i="260" s="1"/>
  <c r="B27" i="260" a="1"/>
  <c r="B27" i="260" s="1"/>
  <c r="A27" i="260" a="1"/>
  <c r="A27" i="260" s="1"/>
  <c r="B26" i="260" a="1"/>
  <c r="B26" i="260" s="1"/>
  <c r="A26" i="260" a="1"/>
  <c r="A26" i="260" s="1"/>
  <c r="B25" i="260" a="1"/>
  <c r="B25" i="260" s="1"/>
  <c r="A25" i="260" a="1"/>
  <c r="A25" i="260" s="1"/>
  <c r="C232" i="259" a="1"/>
  <c r="C232" i="259" s="1"/>
  <c r="B232" i="259" a="1"/>
  <c r="B232" i="259" s="1"/>
  <c r="A232" i="259" a="1"/>
  <c r="A232" i="259" s="1"/>
  <c r="B214" i="259"/>
  <c r="B213" i="259"/>
  <c r="B212" i="259"/>
  <c r="B211" i="259"/>
  <c r="B210" i="259"/>
  <c r="B209" i="259"/>
  <c r="C203" i="259"/>
  <c r="B203" i="259"/>
  <c r="C202" i="259"/>
  <c r="B202" i="259"/>
  <c r="C201" i="259"/>
  <c r="B201" i="259"/>
  <c r="C200" i="259"/>
  <c r="B200" i="259"/>
  <c r="C199" i="259"/>
  <c r="B199" i="259"/>
  <c r="C198" i="259"/>
  <c r="B198" i="259"/>
  <c r="C197" i="259"/>
  <c r="B197" i="259"/>
  <c r="C196" i="259"/>
  <c r="B196" i="259"/>
  <c r="C195" i="259"/>
  <c r="B195" i="259"/>
  <c r="C194" i="259"/>
  <c r="B194" i="259"/>
  <c r="C193" i="259"/>
  <c r="B193" i="259"/>
  <c r="C192" i="259"/>
  <c r="B192" i="259"/>
  <c r="C191" i="259"/>
  <c r="B191" i="259"/>
  <c r="C190" i="259"/>
  <c r="B190" i="259"/>
  <c r="C189" i="259"/>
  <c r="B189" i="259"/>
  <c r="C188" i="259"/>
  <c r="B188" i="259"/>
  <c r="C187" i="259"/>
  <c r="B187" i="259"/>
  <c r="C186" i="259"/>
  <c r="B186" i="259"/>
  <c r="C185" i="259"/>
  <c r="B185" i="259"/>
  <c r="H181" i="259"/>
  <c r="B180" i="259"/>
  <c r="B179" i="259"/>
  <c r="B178" i="259"/>
  <c r="B177" i="259"/>
  <c r="B176" i="259"/>
  <c r="B175" i="259"/>
  <c r="B174" i="259"/>
  <c r="B173" i="259"/>
  <c r="B172" i="259"/>
  <c r="B171" i="259"/>
  <c r="B170" i="259"/>
  <c r="B169" i="259"/>
  <c r="B168" i="259"/>
  <c r="B167" i="259"/>
  <c r="B166" i="259"/>
  <c r="B165" i="259"/>
  <c r="B164" i="259"/>
  <c r="B163" i="259"/>
  <c r="B162" i="259"/>
  <c r="B161" i="259"/>
  <c r="B160" i="259"/>
  <c r="B159" i="259"/>
  <c r="B158" i="259"/>
  <c r="B157" i="259"/>
  <c r="B156" i="259"/>
  <c r="B155" i="259"/>
  <c r="B154" i="259"/>
  <c r="B153" i="259"/>
  <c r="B152" i="259"/>
  <c r="B151" i="259"/>
  <c r="B150" i="259"/>
  <c r="B149" i="259"/>
  <c r="B148" i="259"/>
  <c r="B147" i="259"/>
  <c r="B146" i="259"/>
  <c r="B145" i="259"/>
  <c r="B144" i="259"/>
  <c r="B143" i="259"/>
  <c r="B142" i="259"/>
  <c r="B141" i="259"/>
  <c r="B140" i="259"/>
  <c r="B139" i="259"/>
  <c r="B138" i="259"/>
  <c r="B137" i="259"/>
  <c r="B136" i="259"/>
  <c r="B135" i="259"/>
  <c r="B134" i="259"/>
  <c r="B133" i="259"/>
  <c r="B132" i="259"/>
  <c r="B131" i="259"/>
  <c r="C127" i="259"/>
  <c r="F126" i="259"/>
  <c r="G126" i="259" s="1"/>
  <c r="F125" i="259"/>
  <c r="G125" i="259" s="1"/>
  <c r="G124" i="259"/>
  <c r="F124" i="259"/>
  <c r="G123" i="259"/>
  <c r="F123" i="259"/>
  <c r="F122" i="259"/>
  <c r="G122" i="259" s="1"/>
  <c r="F121" i="259"/>
  <c r="G121" i="259" s="1"/>
  <c r="G120" i="259"/>
  <c r="F120" i="259"/>
  <c r="G119" i="259"/>
  <c r="F119" i="259"/>
  <c r="F118" i="259"/>
  <c r="G118" i="259" s="1"/>
  <c r="F117" i="259"/>
  <c r="G117" i="259" s="1"/>
  <c r="G116" i="259"/>
  <c r="F116" i="259"/>
  <c r="G115" i="259"/>
  <c r="F115" i="259"/>
  <c r="F114" i="259"/>
  <c r="G114" i="259" s="1"/>
  <c r="F113" i="259"/>
  <c r="G113" i="259" s="1"/>
  <c r="G112" i="259"/>
  <c r="F112" i="259"/>
  <c r="F111" i="259"/>
  <c r="G111" i="259" s="1"/>
  <c r="F110" i="259"/>
  <c r="G110" i="259" s="1"/>
  <c r="F109" i="259"/>
  <c r="G109" i="259" s="1"/>
  <c r="G108" i="259"/>
  <c r="F108" i="259"/>
  <c r="F107" i="259"/>
  <c r="C101" i="259"/>
  <c r="B100" i="259" a="1"/>
  <c r="B100" i="259" s="1"/>
  <c r="A100" i="259" a="1"/>
  <c r="A100" i="259" s="1"/>
  <c r="B99" i="259" a="1"/>
  <c r="B99" i="259" s="1"/>
  <c r="A99" i="259" a="1"/>
  <c r="A99" i="259" s="1"/>
  <c r="B98" i="259" a="1"/>
  <c r="B98" i="259" s="1"/>
  <c r="A98" i="259" a="1"/>
  <c r="A98" i="259" s="1"/>
  <c r="B97" i="259" a="1"/>
  <c r="B97" i="259" s="1"/>
  <c r="A97" i="259" a="1"/>
  <c r="A97" i="259" s="1"/>
  <c r="B96" i="259" a="1"/>
  <c r="B96" i="259" s="1"/>
  <c r="A96" i="259" a="1"/>
  <c r="A96" i="259" s="1"/>
  <c r="B95" i="259" a="1"/>
  <c r="B95" i="259" s="1"/>
  <c r="A95" i="259" a="1"/>
  <c r="A95" i="259" s="1"/>
  <c r="B94" i="259" a="1"/>
  <c r="B94" i="259" s="1"/>
  <c r="A94" i="259" a="1"/>
  <c r="A94" i="259" s="1"/>
  <c r="B93" i="259" a="1"/>
  <c r="B93" i="259" s="1"/>
  <c r="A93" i="259" a="1"/>
  <c r="A93" i="259" s="1"/>
  <c r="B92" i="259" a="1"/>
  <c r="B92" i="259" s="1"/>
  <c r="A92" i="259" a="1"/>
  <c r="A92" i="259" s="1"/>
  <c r="B91" i="259" a="1"/>
  <c r="B91" i="259" s="1"/>
  <c r="A91" i="259" a="1"/>
  <c r="A91" i="259" s="1"/>
  <c r="B90" i="259" a="1"/>
  <c r="B90" i="259" s="1"/>
  <c r="A90" i="259" a="1"/>
  <c r="A90" i="259" s="1"/>
  <c r="B89" i="259" a="1"/>
  <c r="B89" i="259" s="1"/>
  <c r="A89" i="259" a="1"/>
  <c r="A89" i="259" s="1"/>
  <c r="B88" i="259" a="1"/>
  <c r="B88" i="259" s="1"/>
  <c r="A88" i="259" a="1"/>
  <c r="A88" i="259" s="1"/>
  <c r="B87" i="259" a="1"/>
  <c r="B87" i="259" s="1"/>
  <c r="E87" i="259" s="1" a="1"/>
  <c r="E87" i="259" s="1"/>
  <c r="A87" i="259" a="1"/>
  <c r="A87" i="259" s="1"/>
  <c r="B86" i="259" a="1"/>
  <c r="B86" i="259" s="1"/>
  <c r="A86" i="259" a="1"/>
  <c r="A86" i="259" s="1"/>
  <c r="B85" i="259" a="1"/>
  <c r="B85" i="259" s="1"/>
  <c r="A85" i="259" a="1"/>
  <c r="A85" i="259" s="1"/>
  <c r="B84" i="259" a="1"/>
  <c r="B84" i="259" s="1"/>
  <c r="A84" i="259" a="1"/>
  <c r="A84" i="259" s="1"/>
  <c r="B83" i="259" a="1"/>
  <c r="B83" i="259" s="1"/>
  <c r="A83" i="259" a="1"/>
  <c r="A83" i="259" s="1"/>
  <c r="B82" i="259" a="1"/>
  <c r="B82" i="259" s="1"/>
  <c r="A82" i="259" a="1"/>
  <c r="A82" i="259" s="1"/>
  <c r="B81" i="259" a="1"/>
  <c r="B81" i="259" s="1"/>
  <c r="A81" i="259" a="1"/>
  <c r="A81" i="259" s="1"/>
  <c r="B80" i="259" a="1"/>
  <c r="B80" i="259" s="1"/>
  <c r="A80" i="259" a="1"/>
  <c r="A80" i="259" s="1"/>
  <c r="B79" i="259" a="1"/>
  <c r="B79" i="259" s="1"/>
  <c r="A79" i="259" a="1"/>
  <c r="A79" i="259" s="1"/>
  <c r="B78" i="259" a="1"/>
  <c r="B78" i="259" s="1"/>
  <c r="A78" i="259" a="1"/>
  <c r="A78" i="259" s="1"/>
  <c r="B77" i="259" a="1"/>
  <c r="B77" i="259" s="1"/>
  <c r="A77" i="259" a="1"/>
  <c r="A77" i="259" s="1"/>
  <c r="B76" i="259" a="1"/>
  <c r="B76" i="259" s="1"/>
  <c r="A76" i="259" a="1"/>
  <c r="A76" i="259" s="1"/>
  <c r="B75" i="259" a="1"/>
  <c r="B75" i="259" s="1"/>
  <c r="A75" i="259" a="1"/>
  <c r="A75" i="259" s="1"/>
  <c r="B74" i="259" a="1"/>
  <c r="B74" i="259" s="1"/>
  <c r="A74" i="259" a="1"/>
  <c r="A74" i="259" s="1"/>
  <c r="B73" i="259" a="1"/>
  <c r="B73" i="259" s="1"/>
  <c r="A73" i="259" a="1"/>
  <c r="A73" i="259" s="1"/>
  <c r="B72" i="259" a="1"/>
  <c r="B72" i="259" s="1"/>
  <c r="A72" i="259" a="1"/>
  <c r="A72" i="259" s="1"/>
  <c r="B71" i="259" a="1"/>
  <c r="B71" i="259" s="1"/>
  <c r="A71" i="259" a="1"/>
  <c r="A71" i="259" s="1"/>
  <c r="B70" i="259" a="1"/>
  <c r="B70" i="259" s="1"/>
  <c r="A70" i="259" a="1"/>
  <c r="A70" i="259" s="1"/>
  <c r="B69" i="259" a="1"/>
  <c r="B69" i="259" s="1"/>
  <c r="A69" i="259" a="1"/>
  <c r="A69" i="259" s="1"/>
  <c r="B68" i="259" a="1"/>
  <c r="B68" i="259" s="1"/>
  <c r="A68" i="259" a="1"/>
  <c r="A68" i="259" s="1"/>
  <c r="B67" i="259" a="1"/>
  <c r="B67" i="259" s="1"/>
  <c r="A67" i="259" a="1"/>
  <c r="A67" i="259" s="1"/>
  <c r="B66" i="259" a="1"/>
  <c r="B66" i="259" s="1"/>
  <c r="A66" i="259" a="1"/>
  <c r="A66" i="259" s="1"/>
  <c r="B65" i="259" a="1"/>
  <c r="B65" i="259" s="1"/>
  <c r="A65" i="259" a="1"/>
  <c r="A65" i="259" s="1"/>
  <c r="B64" i="259" a="1"/>
  <c r="B64" i="259" s="1"/>
  <c r="A64" i="259" a="1"/>
  <c r="A64" i="259" s="1"/>
  <c r="B63" i="259" a="1"/>
  <c r="B63" i="259" s="1"/>
  <c r="A63" i="259" a="1"/>
  <c r="A63" i="259" s="1"/>
  <c r="B62" i="259" a="1"/>
  <c r="B62" i="259" s="1"/>
  <c r="A62" i="259" a="1"/>
  <c r="A62" i="259" s="1"/>
  <c r="B61" i="259" a="1"/>
  <c r="B61" i="259" s="1"/>
  <c r="A61" i="259" a="1"/>
  <c r="A61" i="259" s="1"/>
  <c r="B60" i="259" a="1"/>
  <c r="B60" i="259" s="1"/>
  <c r="A60" i="259" a="1"/>
  <c r="A60" i="259" s="1"/>
  <c r="B59" i="259"/>
  <c r="B59" i="259" a="1"/>
  <c r="A59" i="259" a="1"/>
  <c r="A59" i="259" s="1"/>
  <c r="B58" i="259" a="1"/>
  <c r="B58" i="259" s="1"/>
  <c r="A58" i="259" a="1"/>
  <c r="A58" i="259" s="1"/>
  <c r="B57" i="259" a="1"/>
  <c r="B57" i="259" s="1"/>
  <c r="A57" i="259" a="1"/>
  <c r="A57" i="259" s="1"/>
  <c r="B56" i="259" a="1"/>
  <c r="B56" i="259" s="1"/>
  <c r="A56" i="259" a="1"/>
  <c r="A56" i="259" s="1"/>
  <c r="B55" i="259" a="1"/>
  <c r="B55" i="259" s="1"/>
  <c r="A55" i="259" a="1"/>
  <c r="A55" i="259" s="1"/>
  <c r="B54" i="259" a="1"/>
  <c r="B54" i="259" s="1"/>
  <c r="A54" i="259" a="1"/>
  <c r="A54" i="259" s="1"/>
  <c r="B53" i="259" a="1"/>
  <c r="B53" i="259" s="1"/>
  <c r="A53" i="259" a="1"/>
  <c r="A53" i="259" s="1"/>
  <c r="B52" i="259" a="1"/>
  <c r="B52" i="259" s="1"/>
  <c r="A52" i="259" a="1"/>
  <c r="A52" i="259" s="1"/>
  <c r="B51" i="259" a="1"/>
  <c r="B51" i="259" s="1"/>
  <c r="A51" i="259" a="1"/>
  <c r="A51" i="259" s="1"/>
  <c r="B50" i="259" a="1"/>
  <c r="B50" i="259" s="1"/>
  <c r="A50" i="259" a="1"/>
  <c r="A50" i="259" s="1"/>
  <c r="B49" i="259" a="1"/>
  <c r="B49" i="259" s="1"/>
  <c r="A49" i="259" a="1"/>
  <c r="A49" i="259" s="1"/>
  <c r="B48" i="259" a="1"/>
  <c r="B48" i="259" s="1"/>
  <c r="A48" i="259" a="1"/>
  <c r="A48" i="259" s="1"/>
  <c r="B47" i="259" a="1"/>
  <c r="B47" i="259" s="1"/>
  <c r="A47" i="259" a="1"/>
  <c r="A47" i="259" s="1"/>
  <c r="B46" i="259" a="1"/>
  <c r="B46" i="259" s="1"/>
  <c r="A46" i="259" a="1"/>
  <c r="A46" i="259" s="1"/>
  <c r="B45" i="259" a="1"/>
  <c r="B45" i="259" s="1"/>
  <c r="A45" i="259" a="1"/>
  <c r="A45" i="259" s="1"/>
  <c r="B44" i="259" a="1"/>
  <c r="B44" i="259" s="1"/>
  <c r="A44" i="259" a="1"/>
  <c r="A44" i="259" s="1"/>
  <c r="B43" i="259" a="1"/>
  <c r="B43" i="259" s="1"/>
  <c r="A43" i="259" a="1"/>
  <c r="A43" i="259" s="1"/>
  <c r="B42" i="259" a="1"/>
  <c r="B42" i="259" s="1"/>
  <c r="A42" i="259" a="1"/>
  <c r="A42" i="259" s="1"/>
  <c r="B41" i="259" a="1"/>
  <c r="B41" i="259" s="1"/>
  <c r="A41" i="259" a="1"/>
  <c r="A41" i="259" s="1"/>
  <c r="B40" i="259" a="1"/>
  <c r="B40" i="259" s="1"/>
  <c r="A40" i="259" a="1"/>
  <c r="A40" i="259" s="1"/>
  <c r="B39" i="259" a="1"/>
  <c r="B39" i="259" s="1"/>
  <c r="A39" i="259" a="1"/>
  <c r="A39" i="259" s="1"/>
  <c r="B38" i="259" a="1"/>
  <c r="B38" i="259" s="1"/>
  <c r="A38" i="259" a="1"/>
  <c r="A38" i="259" s="1"/>
  <c r="B37" i="259" a="1"/>
  <c r="B37" i="259" s="1"/>
  <c r="A37" i="259" a="1"/>
  <c r="A37" i="259" s="1"/>
  <c r="B36" i="259" a="1"/>
  <c r="B36" i="259" s="1"/>
  <c r="A36" i="259" a="1"/>
  <c r="A36" i="259" s="1"/>
  <c r="B35" i="259" a="1"/>
  <c r="B35" i="259" s="1"/>
  <c r="A35" i="259" a="1"/>
  <c r="A35" i="259" s="1"/>
  <c r="B34" i="259" a="1"/>
  <c r="B34" i="259" s="1"/>
  <c r="A34" i="259" a="1"/>
  <c r="A34" i="259" s="1"/>
  <c r="B33" i="259" a="1"/>
  <c r="B33" i="259" s="1"/>
  <c r="A33" i="259" a="1"/>
  <c r="A33" i="259" s="1"/>
  <c r="B32" i="259" a="1"/>
  <c r="B32" i="259" s="1"/>
  <c r="A32" i="259" a="1"/>
  <c r="A32" i="259" s="1"/>
  <c r="B31" i="259" a="1"/>
  <c r="B31" i="259" s="1"/>
  <c r="A31" i="259" a="1"/>
  <c r="A31" i="259" s="1"/>
  <c r="B30" i="259" a="1"/>
  <c r="B30" i="259" s="1"/>
  <c r="A30" i="259" a="1"/>
  <c r="A30" i="259" s="1"/>
  <c r="B29" i="259" a="1"/>
  <c r="B29" i="259" s="1"/>
  <c r="A29" i="259" a="1"/>
  <c r="A29" i="259" s="1"/>
  <c r="B28" i="259" a="1"/>
  <c r="B28" i="259" s="1"/>
  <c r="A28" i="259" a="1"/>
  <c r="A28" i="259" s="1"/>
  <c r="B27" i="259" a="1"/>
  <c r="B27" i="259" s="1"/>
  <c r="A27" i="259" a="1"/>
  <c r="A27" i="259" s="1"/>
  <c r="B26" i="259" a="1"/>
  <c r="B26" i="259" s="1"/>
  <c r="A26" i="259" a="1"/>
  <c r="A26" i="259" s="1"/>
  <c r="B25" i="259" a="1"/>
  <c r="B25" i="259" s="1"/>
  <c r="A25" i="259" a="1"/>
  <c r="A25" i="259" s="1"/>
  <c r="C232" i="258" a="1"/>
  <c r="C232" i="258" s="1"/>
  <c r="B232" i="258" a="1"/>
  <c r="B232" i="258" s="1"/>
  <c r="A232" i="258" a="1"/>
  <c r="A232" i="258" s="1"/>
  <c r="B214" i="258"/>
  <c r="B213" i="258"/>
  <c r="B212" i="258"/>
  <c r="B211" i="258"/>
  <c r="B210" i="258"/>
  <c r="B209" i="258"/>
  <c r="C203" i="258"/>
  <c r="B203" i="258"/>
  <c r="C202" i="258"/>
  <c r="B202" i="258"/>
  <c r="C201" i="258"/>
  <c r="B201" i="258"/>
  <c r="C200" i="258"/>
  <c r="B200" i="258"/>
  <c r="C199" i="258"/>
  <c r="B199" i="258"/>
  <c r="C198" i="258"/>
  <c r="B198" i="258"/>
  <c r="C197" i="258"/>
  <c r="B197" i="258"/>
  <c r="C196" i="258"/>
  <c r="B196" i="258"/>
  <c r="C195" i="258"/>
  <c r="B195" i="258"/>
  <c r="C194" i="258"/>
  <c r="B194" i="258"/>
  <c r="C193" i="258"/>
  <c r="B193" i="258"/>
  <c r="C192" i="258"/>
  <c r="B192" i="258"/>
  <c r="C191" i="258"/>
  <c r="B191" i="258"/>
  <c r="C190" i="258"/>
  <c r="B190" i="258"/>
  <c r="C189" i="258"/>
  <c r="B189" i="258"/>
  <c r="C188" i="258"/>
  <c r="B188" i="258"/>
  <c r="C187" i="258"/>
  <c r="B187" i="258"/>
  <c r="C186" i="258"/>
  <c r="B186" i="258"/>
  <c r="C185" i="258"/>
  <c r="B185" i="258"/>
  <c r="H181" i="258"/>
  <c r="B180" i="258"/>
  <c r="B179" i="258"/>
  <c r="B178" i="258"/>
  <c r="B177" i="258"/>
  <c r="B176" i="258"/>
  <c r="B175" i="258"/>
  <c r="B174" i="258"/>
  <c r="B173" i="258"/>
  <c r="B172" i="258"/>
  <c r="B171" i="258"/>
  <c r="B170" i="258"/>
  <c r="B169" i="258"/>
  <c r="B168" i="258"/>
  <c r="B167" i="258"/>
  <c r="B166" i="258"/>
  <c r="B165" i="258"/>
  <c r="B164" i="258"/>
  <c r="B163" i="258"/>
  <c r="B162" i="258"/>
  <c r="B161" i="258"/>
  <c r="B160" i="258"/>
  <c r="B159" i="258"/>
  <c r="B158" i="258"/>
  <c r="B157" i="258"/>
  <c r="B156" i="258"/>
  <c r="B155" i="258"/>
  <c r="B154" i="258"/>
  <c r="B153" i="258"/>
  <c r="B152" i="258"/>
  <c r="B151" i="258"/>
  <c r="B150" i="258"/>
  <c r="B149" i="258"/>
  <c r="B148" i="258"/>
  <c r="B147" i="258"/>
  <c r="B146" i="258"/>
  <c r="B145" i="258"/>
  <c r="B144" i="258"/>
  <c r="B143" i="258"/>
  <c r="B142" i="258"/>
  <c r="B141" i="258"/>
  <c r="B140" i="258"/>
  <c r="B139" i="258"/>
  <c r="B138" i="258"/>
  <c r="B137" i="258"/>
  <c r="B136" i="258"/>
  <c r="B135" i="258"/>
  <c r="B134" i="258"/>
  <c r="B133" i="258"/>
  <c r="B132" i="258"/>
  <c r="B131" i="258"/>
  <c r="C127" i="258"/>
  <c r="G126" i="258"/>
  <c r="F126" i="258"/>
  <c r="G125" i="258"/>
  <c r="F125" i="258"/>
  <c r="G124" i="258"/>
  <c r="F124" i="258"/>
  <c r="F123" i="258"/>
  <c r="G123" i="258" s="1"/>
  <c r="F122" i="258"/>
  <c r="G122" i="258" s="1"/>
  <c r="F121" i="258"/>
  <c r="G121" i="258" s="1"/>
  <c r="G120" i="258"/>
  <c r="F120" i="258"/>
  <c r="F119" i="258"/>
  <c r="G119" i="258" s="1"/>
  <c r="G118" i="258"/>
  <c r="F118" i="258"/>
  <c r="G117" i="258"/>
  <c r="F117" i="258"/>
  <c r="G116" i="258"/>
  <c r="F116" i="258"/>
  <c r="F115" i="258"/>
  <c r="G115" i="258" s="1"/>
  <c r="F114" i="258"/>
  <c r="G114" i="258" s="1"/>
  <c r="F113" i="258"/>
  <c r="G113" i="258" s="1"/>
  <c r="G112" i="258"/>
  <c r="F112" i="258"/>
  <c r="F111" i="258"/>
  <c r="G111" i="258" s="1"/>
  <c r="G110" i="258"/>
  <c r="F110" i="258"/>
  <c r="G109" i="258"/>
  <c r="F109" i="258"/>
  <c r="G108" i="258"/>
  <c r="F108" i="258"/>
  <c r="F107" i="258"/>
  <c r="C101" i="258"/>
  <c r="B100" i="258" a="1"/>
  <c r="B100" i="258" s="1"/>
  <c r="A100" i="258" a="1"/>
  <c r="A100" i="258" s="1"/>
  <c r="B99" i="258" a="1"/>
  <c r="B99" i="258" s="1"/>
  <c r="A99" i="258" a="1"/>
  <c r="A99" i="258" s="1"/>
  <c r="B98" i="258" a="1"/>
  <c r="B98" i="258" s="1"/>
  <c r="A98" i="258" a="1"/>
  <c r="A98" i="258" s="1"/>
  <c r="B97" i="258" a="1"/>
  <c r="B97" i="258" s="1"/>
  <c r="A97" i="258" a="1"/>
  <c r="A97" i="258" s="1"/>
  <c r="B96" i="258" a="1"/>
  <c r="B96" i="258" s="1"/>
  <c r="A96" i="258" a="1"/>
  <c r="A96" i="258" s="1"/>
  <c r="B95" i="258" a="1"/>
  <c r="B95" i="258" s="1"/>
  <c r="A95" i="258" a="1"/>
  <c r="A95" i="258" s="1"/>
  <c r="B94" i="258" a="1"/>
  <c r="B94" i="258" s="1"/>
  <c r="A94" i="258" a="1"/>
  <c r="A94" i="258" s="1"/>
  <c r="B93" i="258" a="1"/>
  <c r="B93" i="258" s="1"/>
  <c r="A93" i="258" a="1"/>
  <c r="A93" i="258" s="1"/>
  <c r="B92" i="258" a="1"/>
  <c r="B92" i="258" s="1"/>
  <c r="A92" i="258" a="1"/>
  <c r="A92" i="258" s="1"/>
  <c r="B91" i="258" a="1"/>
  <c r="B91" i="258" s="1"/>
  <c r="A91" i="258" a="1"/>
  <c r="A91" i="258" s="1"/>
  <c r="B90" i="258" a="1"/>
  <c r="B90" i="258" s="1"/>
  <c r="A90" i="258" a="1"/>
  <c r="A90" i="258" s="1"/>
  <c r="B89" i="258" a="1"/>
  <c r="B89" i="258" s="1"/>
  <c r="A89" i="258" a="1"/>
  <c r="A89" i="258" s="1"/>
  <c r="B88" i="258" a="1"/>
  <c r="B88" i="258" s="1"/>
  <c r="A88" i="258" a="1"/>
  <c r="A88" i="258" s="1"/>
  <c r="B87" i="258" a="1"/>
  <c r="B87" i="258" s="1"/>
  <c r="A87" i="258" a="1"/>
  <c r="A87" i="258" s="1"/>
  <c r="B86" i="258" a="1"/>
  <c r="B86" i="258" s="1"/>
  <c r="A86" i="258" a="1"/>
  <c r="A86" i="258" s="1"/>
  <c r="B85" i="258" a="1"/>
  <c r="B85" i="258" s="1"/>
  <c r="A85" i="258" a="1"/>
  <c r="A85" i="258" s="1"/>
  <c r="B84" i="258" a="1"/>
  <c r="B84" i="258" s="1"/>
  <c r="A84" i="258" a="1"/>
  <c r="A84" i="258" s="1"/>
  <c r="B83" i="258" a="1"/>
  <c r="B83" i="258" s="1"/>
  <c r="A83" i="258" a="1"/>
  <c r="A83" i="258" s="1"/>
  <c r="B82" i="258" a="1"/>
  <c r="B82" i="258" s="1"/>
  <c r="A82" i="258" a="1"/>
  <c r="A82" i="258" s="1"/>
  <c r="B81" i="258" a="1"/>
  <c r="B81" i="258" s="1"/>
  <c r="A81" i="258" a="1"/>
  <c r="A81" i="258" s="1"/>
  <c r="B80" i="258" a="1"/>
  <c r="B80" i="258" s="1"/>
  <c r="A80" i="258" a="1"/>
  <c r="A80" i="258" s="1"/>
  <c r="B79" i="258" a="1"/>
  <c r="B79" i="258" s="1"/>
  <c r="A79" i="258" a="1"/>
  <c r="A79" i="258" s="1"/>
  <c r="B78" i="258" a="1"/>
  <c r="B78" i="258" s="1"/>
  <c r="A78" i="258" a="1"/>
  <c r="A78" i="258" s="1"/>
  <c r="B77" i="258" a="1"/>
  <c r="B77" i="258" s="1"/>
  <c r="A77" i="258" a="1"/>
  <c r="A77" i="258" s="1"/>
  <c r="B76" i="258" a="1"/>
  <c r="B76" i="258" s="1"/>
  <c r="A76" i="258" a="1"/>
  <c r="A76" i="258" s="1"/>
  <c r="B75" i="258" a="1"/>
  <c r="B75" i="258" s="1"/>
  <c r="A75" i="258" a="1"/>
  <c r="A75" i="258" s="1"/>
  <c r="B74" i="258" a="1"/>
  <c r="B74" i="258" s="1"/>
  <c r="A74" i="258" a="1"/>
  <c r="A74" i="258" s="1"/>
  <c r="B73" i="258" a="1"/>
  <c r="B73" i="258" s="1"/>
  <c r="A73" i="258" a="1"/>
  <c r="A73" i="258" s="1"/>
  <c r="B72" i="258" a="1"/>
  <c r="B72" i="258" s="1"/>
  <c r="A72" i="258" a="1"/>
  <c r="A72" i="258" s="1"/>
  <c r="B71" i="258" a="1"/>
  <c r="B71" i="258" s="1"/>
  <c r="A71" i="258" a="1"/>
  <c r="A71" i="258" s="1"/>
  <c r="B70" i="258" a="1"/>
  <c r="B70" i="258" s="1"/>
  <c r="A70" i="258" a="1"/>
  <c r="A70" i="258" s="1"/>
  <c r="B69" i="258" a="1"/>
  <c r="B69" i="258" s="1"/>
  <c r="A69" i="258" a="1"/>
  <c r="A69" i="258" s="1"/>
  <c r="B68" i="258" a="1"/>
  <c r="B68" i="258" s="1"/>
  <c r="A68" i="258" a="1"/>
  <c r="A68" i="258" s="1"/>
  <c r="B67" i="258" a="1"/>
  <c r="B67" i="258" s="1"/>
  <c r="A67" i="258" a="1"/>
  <c r="A67" i="258" s="1"/>
  <c r="B66" i="258" a="1"/>
  <c r="B66" i="258" s="1"/>
  <c r="A66" i="258" a="1"/>
  <c r="A66" i="258" s="1"/>
  <c r="B65" i="258" a="1"/>
  <c r="B65" i="258" s="1"/>
  <c r="A65" i="258" a="1"/>
  <c r="A65" i="258" s="1"/>
  <c r="B64" i="258" a="1"/>
  <c r="B64" i="258" s="1"/>
  <c r="A64" i="258" a="1"/>
  <c r="A64" i="258" s="1"/>
  <c r="B63" i="258" a="1"/>
  <c r="B63" i="258" s="1"/>
  <c r="A63" i="258" a="1"/>
  <c r="A63" i="258" s="1"/>
  <c r="B62" i="258" a="1"/>
  <c r="B62" i="258" s="1"/>
  <c r="A62" i="258" a="1"/>
  <c r="A62" i="258" s="1"/>
  <c r="B61" i="258" a="1"/>
  <c r="B61" i="258" s="1"/>
  <c r="A61" i="258" a="1"/>
  <c r="A61" i="258" s="1"/>
  <c r="B60" i="258" a="1"/>
  <c r="B60" i="258" s="1"/>
  <c r="A60" i="258" a="1"/>
  <c r="A60" i="258" s="1"/>
  <c r="B59" i="258" a="1"/>
  <c r="B59" i="258" s="1"/>
  <c r="A59" i="258" a="1"/>
  <c r="A59" i="258" s="1"/>
  <c r="B58" i="258" a="1"/>
  <c r="B58" i="258" s="1"/>
  <c r="A58" i="258" a="1"/>
  <c r="A58" i="258" s="1"/>
  <c r="B57" i="258" a="1"/>
  <c r="B57" i="258" s="1"/>
  <c r="A57" i="258" a="1"/>
  <c r="A57" i="258" s="1"/>
  <c r="B56" i="258" a="1"/>
  <c r="B56" i="258" s="1"/>
  <c r="A56" i="258" a="1"/>
  <c r="A56" i="258" s="1"/>
  <c r="B55" i="258" a="1"/>
  <c r="B55" i="258" s="1"/>
  <c r="A55" i="258" a="1"/>
  <c r="A55" i="258" s="1"/>
  <c r="B54" i="258" a="1"/>
  <c r="B54" i="258" s="1"/>
  <c r="A54" i="258" a="1"/>
  <c r="A54" i="258" s="1"/>
  <c r="B53" i="258" a="1"/>
  <c r="B53" i="258" s="1"/>
  <c r="A53" i="258" a="1"/>
  <c r="A53" i="258" s="1"/>
  <c r="B52" i="258" a="1"/>
  <c r="B52" i="258" s="1"/>
  <c r="A52" i="258" a="1"/>
  <c r="A52" i="258" s="1"/>
  <c r="B51" i="258" a="1"/>
  <c r="B51" i="258" s="1"/>
  <c r="A51" i="258" a="1"/>
  <c r="A51" i="258" s="1"/>
  <c r="B50" i="258" a="1"/>
  <c r="B50" i="258" s="1"/>
  <c r="A50" i="258" a="1"/>
  <c r="A50" i="258" s="1"/>
  <c r="B49" i="258" a="1"/>
  <c r="B49" i="258" s="1"/>
  <c r="A49" i="258" a="1"/>
  <c r="A49" i="258" s="1"/>
  <c r="B48" i="258" a="1"/>
  <c r="B48" i="258" s="1"/>
  <c r="A48" i="258" a="1"/>
  <c r="A48" i="258" s="1"/>
  <c r="B47" i="258" a="1"/>
  <c r="B47" i="258" s="1"/>
  <c r="A47" i="258" a="1"/>
  <c r="A47" i="258" s="1"/>
  <c r="B46" i="258" a="1"/>
  <c r="B46" i="258" s="1"/>
  <c r="A46" i="258" a="1"/>
  <c r="A46" i="258" s="1"/>
  <c r="B45" i="258" a="1"/>
  <c r="B45" i="258" s="1"/>
  <c r="A45" i="258" a="1"/>
  <c r="A45" i="258" s="1"/>
  <c r="B44" i="258" a="1"/>
  <c r="B44" i="258" s="1"/>
  <c r="A44" i="258" a="1"/>
  <c r="A44" i="258" s="1"/>
  <c r="B43" i="258" a="1"/>
  <c r="B43" i="258" s="1"/>
  <c r="A43" i="258" a="1"/>
  <c r="A43" i="258" s="1"/>
  <c r="B42" i="258" a="1"/>
  <c r="B42" i="258" s="1"/>
  <c r="A42" i="258" a="1"/>
  <c r="A42" i="258" s="1"/>
  <c r="B41" i="258" a="1"/>
  <c r="B41" i="258" s="1"/>
  <c r="A41" i="258" a="1"/>
  <c r="A41" i="258" s="1"/>
  <c r="B40" i="258" a="1"/>
  <c r="B40" i="258" s="1"/>
  <c r="A40" i="258" a="1"/>
  <c r="A40" i="258" s="1"/>
  <c r="B39" i="258" a="1"/>
  <c r="B39" i="258" s="1"/>
  <c r="A39" i="258" a="1"/>
  <c r="A39" i="258" s="1"/>
  <c r="B38" i="258" a="1"/>
  <c r="B38" i="258" s="1"/>
  <c r="A38" i="258" a="1"/>
  <c r="A38" i="258" s="1"/>
  <c r="B37" i="258" a="1"/>
  <c r="B37" i="258" s="1"/>
  <c r="A37" i="258" a="1"/>
  <c r="A37" i="258" s="1"/>
  <c r="B36" i="258" a="1"/>
  <c r="B36" i="258" s="1"/>
  <c r="A36" i="258" a="1"/>
  <c r="A36" i="258" s="1"/>
  <c r="B35" i="258" a="1"/>
  <c r="B35" i="258" s="1"/>
  <c r="A35" i="258" a="1"/>
  <c r="A35" i="258" s="1"/>
  <c r="B34" i="258" a="1"/>
  <c r="B34" i="258" s="1"/>
  <c r="A34" i="258" a="1"/>
  <c r="A34" i="258" s="1"/>
  <c r="B33" i="258" a="1"/>
  <c r="B33" i="258" s="1"/>
  <c r="A33" i="258" a="1"/>
  <c r="A33" i="258" s="1"/>
  <c r="B32" i="258" a="1"/>
  <c r="B32" i="258" s="1"/>
  <c r="A32" i="258" a="1"/>
  <c r="A32" i="258" s="1"/>
  <c r="B31" i="258" a="1"/>
  <c r="B31" i="258" s="1"/>
  <c r="A31" i="258" a="1"/>
  <c r="A31" i="258" s="1"/>
  <c r="B30" i="258" a="1"/>
  <c r="B30" i="258" s="1"/>
  <c r="A30" i="258" a="1"/>
  <c r="A30" i="258" s="1"/>
  <c r="B29" i="258" a="1"/>
  <c r="B29" i="258" s="1"/>
  <c r="A29" i="258" a="1"/>
  <c r="A29" i="258" s="1"/>
  <c r="B28" i="258" a="1"/>
  <c r="B28" i="258" s="1"/>
  <c r="A28" i="258" a="1"/>
  <c r="A28" i="258" s="1"/>
  <c r="B27" i="258" a="1"/>
  <c r="B27" i="258" s="1"/>
  <c r="A27" i="258" a="1"/>
  <c r="A27" i="258" s="1"/>
  <c r="B26" i="258" a="1"/>
  <c r="B26" i="258" s="1"/>
  <c r="A26" i="258" a="1"/>
  <c r="A26" i="258" s="1"/>
  <c r="B25" i="258" a="1"/>
  <c r="B25" i="258" s="1"/>
  <c r="A25" i="258" a="1"/>
  <c r="A25" i="258" s="1"/>
  <c r="C232" i="257" a="1"/>
  <c r="C232" i="257" s="1"/>
  <c r="B232" i="257" a="1"/>
  <c r="B232" i="257" s="1"/>
  <c r="A232" i="257" a="1"/>
  <c r="A232" i="257" s="1"/>
  <c r="B214" i="257"/>
  <c r="B213" i="257"/>
  <c r="B212" i="257"/>
  <c r="B211" i="257"/>
  <c r="B210" i="257"/>
  <c r="B209" i="257"/>
  <c r="C203" i="257"/>
  <c r="B203" i="257"/>
  <c r="C202" i="257"/>
  <c r="B202" i="257"/>
  <c r="C201" i="257"/>
  <c r="B201" i="257"/>
  <c r="C200" i="257"/>
  <c r="B200" i="257"/>
  <c r="C199" i="257"/>
  <c r="B199" i="257"/>
  <c r="C198" i="257"/>
  <c r="B198" i="257"/>
  <c r="C197" i="257"/>
  <c r="B197" i="257"/>
  <c r="C196" i="257"/>
  <c r="B196" i="257"/>
  <c r="C195" i="257"/>
  <c r="B195" i="257"/>
  <c r="C194" i="257"/>
  <c r="B194" i="257"/>
  <c r="C193" i="257"/>
  <c r="B193" i="257"/>
  <c r="C192" i="257"/>
  <c r="B192" i="257"/>
  <c r="C191" i="257"/>
  <c r="B191" i="257"/>
  <c r="C190" i="257"/>
  <c r="B190" i="257"/>
  <c r="C189" i="257"/>
  <c r="B189" i="257"/>
  <c r="C188" i="257"/>
  <c r="B188" i="257"/>
  <c r="C187" i="257"/>
  <c r="B187" i="257"/>
  <c r="C186" i="257"/>
  <c r="B186" i="257"/>
  <c r="C185" i="257"/>
  <c r="B185" i="257"/>
  <c r="H181" i="257"/>
  <c r="B180" i="257"/>
  <c r="B179" i="257"/>
  <c r="B178" i="257"/>
  <c r="B177" i="257"/>
  <c r="B176" i="257"/>
  <c r="B175" i="257"/>
  <c r="B174" i="257"/>
  <c r="B173" i="257"/>
  <c r="B172" i="257"/>
  <c r="B171" i="257"/>
  <c r="B170" i="257"/>
  <c r="B169" i="257"/>
  <c r="B168" i="257"/>
  <c r="B167" i="257"/>
  <c r="B166" i="257"/>
  <c r="B165" i="257"/>
  <c r="B164" i="257"/>
  <c r="B163" i="257"/>
  <c r="B162" i="257"/>
  <c r="B161" i="257"/>
  <c r="B160" i="257"/>
  <c r="B159" i="257"/>
  <c r="B158" i="257"/>
  <c r="B157" i="257"/>
  <c r="B156" i="257"/>
  <c r="B155" i="257"/>
  <c r="B154" i="257"/>
  <c r="B153" i="257"/>
  <c r="B152" i="257"/>
  <c r="B151" i="257"/>
  <c r="B150" i="257"/>
  <c r="B149" i="257"/>
  <c r="B148" i="257"/>
  <c r="B147" i="257"/>
  <c r="B146" i="257"/>
  <c r="B145" i="257"/>
  <c r="B144" i="257"/>
  <c r="B143" i="257"/>
  <c r="B142" i="257"/>
  <c r="B141" i="257"/>
  <c r="B140" i="257"/>
  <c r="B139" i="257"/>
  <c r="B138" i="257"/>
  <c r="B137" i="257"/>
  <c r="B136" i="257"/>
  <c r="B135" i="257"/>
  <c r="B134" i="257"/>
  <c r="B133" i="257"/>
  <c r="B132" i="257"/>
  <c r="B131" i="257"/>
  <c r="C127" i="257"/>
  <c r="F126" i="257"/>
  <c r="G126" i="257" s="1"/>
  <c r="G125" i="257"/>
  <c r="F125" i="257"/>
  <c r="F124" i="257"/>
  <c r="G124" i="257" s="1"/>
  <c r="F123" i="257"/>
  <c r="G123" i="257" s="1"/>
  <c r="F122" i="257"/>
  <c r="G122" i="257" s="1"/>
  <c r="G121" i="257"/>
  <c r="F121" i="257"/>
  <c r="G120" i="257"/>
  <c r="F120" i="257"/>
  <c r="F119" i="257"/>
  <c r="G119" i="257" s="1"/>
  <c r="F118" i="257"/>
  <c r="G118" i="257" s="1"/>
  <c r="G117" i="257"/>
  <c r="F117" i="257"/>
  <c r="F116" i="257"/>
  <c r="G116" i="257" s="1"/>
  <c r="F115" i="257"/>
  <c r="G115" i="257" s="1"/>
  <c r="F114" i="257"/>
  <c r="G114" i="257" s="1"/>
  <c r="G113" i="257"/>
  <c r="F113" i="257"/>
  <c r="G112" i="257"/>
  <c r="F112" i="257"/>
  <c r="F111" i="257"/>
  <c r="G111" i="257" s="1"/>
  <c r="F110" i="257"/>
  <c r="G110" i="257" s="1"/>
  <c r="G109" i="257"/>
  <c r="F109" i="257"/>
  <c r="F108" i="257"/>
  <c r="G108" i="257" s="1"/>
  <c r="F107" i="257"/>
  <c r="C101" i="257"/>
  <c r="B100" i="257" a="1"/>
  <c r="B100" i="257" s="1"/>
  <c r="A100" i="257" a="1"/>
  <c r="A100" i="257" s="1"/>
  <c r="B99" i="257" a="1"/>
  <c r="B99" i="257" s="1"/>
  <c r="A99" i="257" a="1"/>
  <c r="A99" i="257" s="1"/>
  <c r="B98" i="257" a="1"/>
  <c r="B98" i="257" s="1"/>
  <c r="A98" i="257" a="1"/>
  <c r="A98" i="257" s="1"/>
  <c r="B97" i="257" a="1"/>
  <c r="B97" i="257" s="1"/>
  <c r="A97" i="257" a="1"/>
  <c r="A97" i="257" s="1"/>
  <c r="B96" i="257" a="1"/>
  <c r="B96" i="257" s="1"/>
  <c r="A96" i="257" a="1"/>
  <c r="A96" i="257" s="1"/>
  <c r="B95" i="257" a="1"/>
  <c r="B95" i="257" s="1"/>
  <c r="A95" i="257" a="1"/>
  <c r="A95" i="257" s="1"/>
  <c r="B94" i="257" a="1"/>
  <c r="B94" i="257" s="1"/>
  <c r="A94" i="257" a="1"/>
  <c r="A94" i="257" s="1"/>
  <c r="B93" i="257" a="1"/>
  <c r="B93" i="257" s="1"/>
  <c r="A93" i="257" a="1"/>
  <c r="A93" i="257" s="1"/>
  <c r="B92" i="257" a="1"/>
  <c r="B92" i="257" s="1"/>
  <c r="A92" i="257" a="1"/>
  <c r="A92" i="257" s="1"/>
  <c r="B91" i="257" a="1"/>
  <c r="B91" i="257" s="1"/>
  <c r="A91" i="257" a="1"/>
  <c r="A91" i="257" s="1"/>
  <c r="B90" i="257" a="1"/>
  <c r="B90" i="257" s="1"/>
  <c r="A90" i="257" a="1"/>
  <c r="A90" i="257" s="1"/>
  <c r="B89" i="257" a="1"/>
  <c r="B89" i="257" s="1"/>
  <c r="A89" i="257" a="1"/>
  <c r="A89" i="257" s="1"/>
  <c r="B88" i="257" a="1"/>
  <c r="B88" i="257" s="1"/>
  <c r="A88" i="257" a="1"/>
  <c r="A88" i="257" s="1"/>
  <c r="B87" i="257" a="1"/>
  <c r="B87" i="257" s="1"/>
  <c r="A87" i="257" a="1"/>
  <c r="A87" i="257" s="1"/>
  <c r="B86" i="257" a="1"/>
  <c r="B86" i="257" s="1"/>
  <c r="A86" i="257" a="1"/>
  <c r="A86" i="257" s="1"/>
  <c r="B85" i="257" a="1"/>
  <c r="B85" i="257" s="1"/>
  <c r="A85" i="257" a="1"/>
  <c r="A85" i="257" s="1"/>
  <c r="B84" i="257" a="1"/>
  <c r="B84" i="257" s="1"/>
  <c r="A84" i="257" a="1"/>
  <c r="A84" i="257" s="1"/>
  <c r="B83" i="257" a="1"/>
  <c r="B83" i="257" s="1"/>
  <c r="A83" i="257" a="1"/>
  <c r="A83" i="257" s="1"/>
  <c r="B82" i="257" a="1"/>
  <c r="B82" i="257" s="1"/>
  <c r="A82" i="257" a="1"/>
  <c r="A82" i="257" s="1"/>
  <c r="B81" i="257" a="1"/>
  <c r="B81" i="257" s="1"/>
  <c r="A81" i="257" a="1"/>
  <c r="A81" i="257" s="1"/>
  <c r="B80" i="257" a="1"/>
  <c r="B80" i="257" s="1"/>
  <c r="A80" i="257" a="1"/>
  <c r="A80" i="257" s="1"/>
  <c r="B79" i="257" a="1"/>
  <c r="B79" i="257" s="1"/>
  <c r="A79" i="257" a="1"/>
  <c r="A79" i="257" s="1"/>
  <c r="B78" i="257" a="1"/>
  <c r="B78" i="257" s="1"/>
  <c r="A78" i="257" a="1"/>
  <c r="A78" i="257" s="1"/>
  <c r="B77" i="257" a="1"/>
  <c r="B77" i="257" s="1"/>
  <c r="A77" i="257" a="1"/>
  <c r="A77" i="257" s="1"/>
  <c r="B76" i="257" a="1"/>
  <c r="B76" i="257" s="1"/>
  <c r="A76" i="257" a="1"/>
  <c r="A76" i="257" s="1"/>
  <c r="B75" i="257" a="1"/>
  <c r="B75" i="257" s="1"/>
  <c r="A75" i="257" a="1"/>
  <c r="A75" i="257" s="1"/>
  <c r="B74" i="257" a="1"/>
  <c r="B74" i="257" s="1"/>
  <c r="A74" i="257" a="1"/>
  <c r="A74" i="257" s="1"/>
  <c r="B73" i="257" a="1"/>
  <c r="B73" i="257" s="1"/>
  <c r="A73" i="257" a="1"/>
  <c r="A73" i="257" s="1"/>
  <c r="B72" i="257" a="1"/>
  <c r="B72" i="257" s="1"/>
  <c r="A72" i="257" a="1"/>
  <c r="A72" i="257" s="1"/>
  <c r="B71" i="257" a="1"/>
  <c r="B71" i="257" s="1"/>
  <c r="A71" i="257" a="1"/>
  <c r="A71" i="257" s="1"/>
  <c r="B70" i="257" a="1"/>
  <c r="B70" i="257" s="1"/>
  <c r="A70" i="257" a="1"/>
  <c r="A70" i="257" s="1"/>
  <c r="B69" i="257" a="1"/>
  <c r="B69" i="257" s="1"/>
  <c r="A69" i="257" a="1"/>
  <c r="A69" i="257" s="1"/>
  <c r="B68" i="257" a="1"/>
  <c r="B68" i="257" s="1"/>
  <c r="A68" i="257" a="1"/>
  <c r="A68" i="257" s="1"/>
  <c r="B67" i="257" a="1"/>
  <c r="B67" i="257" s="1"/>
  <c r="A67" i="257" a="1"/>
  <c r="A67" i="257" s="1"/>
  <c r="B66" i="257" a="1"/>
  <c r="B66" i="257" s="1"/>
  <c r="A66" i="257" a="1"/>
  <c r="A66" i="257" s="1"/>
  <c r="B65" i="257" a="1"/>
  <c r="B65" i="257" s="1"/>
  <c r="A65" i="257" a="1"/>
  <c r="A65" i="257" s="1"/>
  <c r="B64" i="257" a="1"/>
  <c r="B64" i="257" s="1"/>
  <c r="A64" i="257" a="1"/>
  <c r="A64" i="257" s="1"/>
  <c r="B63" i="257" a="1"/>
  <c r="B63" i="257" s="1"/>
  <c r="A63" i="257" a="1"/>
  <c r="A63" i="257" s="1"/>
  <c r="B62" i="257" a="1"/>
  <c r="B62" i="257" s="1"/>
  <c r="A62" i="257" a="1"/>
  <c r="A62" i="257" s="1"/>
  <c r="B61" i="257" a="1"/>
  <c r="B61" i="257" s="1"/>
  <c r="A61" i="257" a="1"/>
  <c r="A61" i="257" s="1"/>
  <c r="B60" i="257" a="1"/>
  <c r="B60" i="257" s="1"/>
  <c r="A60" i="257" a="1"/>
  <c r="A60" i="257" s="1"/>
  <c r="B59" i="257" a="1"/>
  <c r="B59" i="257" s="1"/>
  <c r="A59" i="257" a="1"/>
  <c r="A59" i="257" s="1"/>
  <c r="B58" i="257" a="1"/>
  <c r="B58" i="257" s="1"/>
  <c r="A58" i="257" a="1"/>
  <c r="A58" i="257" s="1"/>
  <c r="B57" i="257" a="1"/>
  <c r="B57" i="257" s="1"/>
  <c r="A57" i="257" a="1"/>
  <c r="A57" i="257" s="1"/>
  <c r="B56" i="257" a="1"/>
  <c r="B56" i="257" s="1"/>
  <c r="A56" i="257" a="1"/>
  <c r="A56" i="257" s="1"/>
  <c r="B55" i="257" a="1"/>
  <c r="B55" i="257" s="1"/>
  <c r="A55" i="257" a="1"/>
  <c r="A55" i="257" s="1"/>
  <c r="B54" i="257" a="1"/>
  <c r="B54" i="257" s="1"/>
  <c r="A54" i="257" a="1"/>
  <c r="A54" i="257" s="1"/>
  <c r="B53" i="257" a="1"/>
  <c r="B53" i="257" s="1"/>
  <c r="A53" i="257" a="1"/>
  <c r="A53" i="257" s="1"/>
  <c r="B52" i="257" a="1"/>
  <c r="B52" i="257" s="1"/>
  <c r="A52" i="257" a="1"/>
  <c r="A52" i="257" s="1"/>
  <c r="B51" i="257" a="1"/>
  <c r="B51" i="257" s="1"/>
  <c r="A51" i="257" a="1"/>
  <c r="A51" i="257" s="1"/>
  <c r="B50" i="257" a="1"/>
  <c r="B50" i="257" s="1"/>
  <c r="A50" i="257" a="1"/>
  <c r="A50" i="257" s="1"/>
  <c r="B49" i="257" a="1"/>
  <c r="B49" i="257" s="1"/>
  <c r="A49" i="257" a="1"/>
  <c r="A49" i="257" s="1"/>
  <c r="B48" i="257" a="1"/>
  <c r="B48" i="257" s="1"/>
  <c r="A48" i="257" a="1"/>
  <c r="A48" i="257" s="1"/>
  <c r="B47" i="257" a="1"/>
  <c r="B47" i="257" s="1"/>
  <c r="A47" i="257"/>
  <c r="A47" i="257" a="1"/>
  <c r="B46" i="257" a="1"/>
  <c r="B46" i="257" s="1"/>
  <c r="A46" i="257" a="1"/>
  <c r="A46" i="257" s="1"/>
  <c r="B45" i="257" a="1"/>
  <c r="B45" i="257" s="1"/>
  <c r="A45" i="257" a="1"/>
  <c r="A45" i="257" s="1"/>
  <c r="B44" i="257" a="1"/>
  <c r="B44" i="257" s="1"/>
  <c r="A44" i="257" a="1"/>
  <c r="A44" i="257" s="1"/>
  <c r="B43" i="257" a="1"/>
  <c r="B43" i="257" s="1"/>
  <c r="A43" i="257" a="1"/>
  <c r="A43" i="257" s="1"/>
  <c r="B42" i="257" a="1"/>
  <c r="B42" i="257" s="1"/>
  <c r="A42" i="257" a="1"/>
  <c r="A42" i="257" s="1"/>
  <c r="B41" i="257" a="1"/>
  <c r="B41" i="257" s="1"/>
  <c r="A41" i="257" a="1"/>
  <c r="A41" i="257" s="1"/>
  <c r="B40" i="257" a="1"/>
  <c r="B40" i="257" s="1"/>
  <c r="A40" i="257" a="1"/>
  <c r="A40" i="257" s="1"/>
  <c r="B39" i="257" a="1"/>
  <c r="B39" i="257" s="1"/>
  <c r="A39" i="257" a="1"/>
  <c r="A39" i="257" s="1"/>
  <c r="B38" i="257" a="1"/>
  <c r="B38" i="257" s="1"/>
  <c r="A38" i="257" a="1"/>
  <c r="A38" i="257" s="1"/>
  <c r="B37" i="257" a="1"/>
  <c r="B37" i="257" s="1"/>
  <c r="A37" i="257" a="1"/>
  <c r="A37" i="257" s="1"/>
  <c r="B36" i="257" a="1"/>
  <c r="B36" i="257" s="1"/>
  <c r="A36" i="257" a="1"/>
  <c r="A36" i="257" s="1"/>
  <c r="B35" i="257" a="1"/>
  <c r="B35" i="257" s="1"/>
  <c r="A35" i="257" a="1"/>
  <c r="A35" i="257" s="1"/>
  <c r="B34" i="257" a="1"/>
  <c r="B34" i="257" s="1"/>
  <c r="A34" i="257" a="1"/>
  <c r="A34" i="257" s="1"/>
  <c r="B33" i="257" a="1"/>
  <c r="B33" i="257" s="1"/>
  <c r="A33" i="257" a="1"/>
  <c r="A33" i="257" s="1"/>
  <c r="B32" i="257" a="1"/>
  <c r="B32" i="257" s="1"/>
  <c r="A32" i="257" a="1"/>
  <c r="A32" i="257" s="1"/>
  <c r="B31" i="257" a="1"/>
  <c r="B31" i="257" s="1"/>
  <c r="A31" i="257" a="1"/>
  <c r="A31" i="257" s="1"/>
  <c r="B30" i="257" a="1"/>
  <c r="B30" i="257" s="1"/>
  <c r="A30" i="257" a="1"/>
  <c r="A30" i="257" s="1"/>
  <c r="B29" i="257" a="1"/>
  <c r="B29" i="257" s="1"/>
  <c r="A29" i="257" a="1"/>
  <c r="A29" i="257" s="1"/>
  <c r="B28" i="257" a="1"/>
  <c r="B28" i="257" s="1"/>
  <c r="A28" i="257" a="1"/>
  <c r="A28" i="257" s="1"/>
  <c r="B27" i="257" a="1"/>
  <c r="B27" i="257" s="1"/>
  <c r="A27" i="257" a="1"/>
  <c r="A27" i="257" s="1"/>
  <c r="B26" i="257" a="1"/>
  <c r="B26" i="257" s="1"/>
  <c r="A26" i="257" a="1"/>
  <c r="A26" i="257" s="1"/>
  <c r="B25" i="257" a="1"/>
  <c r="B25" i="257" s="1"/>
  <c r="A25" i="257" a="1"/>
  <c r="A25" i="257" s="1"/>
  <c r="C232" i="256" a="1"/>
  <c r="C232" i="256" s="1"/>
  <c r="B232" i="256" a="1"/>
  <c r="B232" i="256" s="1"/>
  <c r="A232" i="256" a="1"/>
  <c r="A232" i="256" s="1"/>
  <c r="B214" i="256"/>
  <c r="B213" i="256"/>
  <c r="B212" i="256"/>
  <c r="B211" i="256"/>
  <c r="B210" i="256"/>
  <c r="B209" i="256"/>
  <c r="C203" i="256"/>
  <c r="B203" i="256"/>
  <c r="C202" i="256"/>
  <c r="B202" i="256"/>
  <c r="C201" i="256"/>
  <c r="B201" i="256"/>
  <c r="C200" i="256"/>
  <c r="B200" i="256"/>
  <c r="C199" i="256"/>
  <c r="B199" i="256"/>
  <c r="C198" i="256"/>
  <c r="B198" i="256"/>
  <c r="C197" i="256"/>
  <c r="B197" i="256"/>
  <c r="C196" i="256"/>
  <c r="B196" i="256"/>
  <c r="C195" i="256"/>
  <c r="B195" i="256"/>
  <c r="C194" i="256"/>
  <c r="B194" i="256"/>
  <c r="C193" i="256"/>
  <c r="B193" i="256"/>
  <c r="C192" i="256"/>
  <c r="B192" i="256"/>
  <c r="C191" i="256"/>
  <c r="B191" i="256"/>
  <c r="C190" i="256"/>
  <c r="B190" i="256"/>
  <c r="C189" i="256"/>
  <c r="B189" i="256"/>
  <c r="C188" i="256"/>
  <c r="B188" i="256"/>
  <c r="C187" i="256"/>
  <c r="B187" i="256"/>
  <c r="C186" i="256"/>
  <c r="B186" i="256"/>
  <c r="C185" i="256"/>
  <c r="B185" i="256"/>
  <c r="H181" i="256"/>
  <c r="B180" i="256"/>
  <c r="B179" i="256"/>
  <c r="B178" i="256"/>
  <c r="B177" i="256"/>
  <c r="B176" i="256"/>
  <c r="B175" i="256"/>
  <c r="B174" i="256"/>
  <c r="B173" i="256"/>
  <c r="B172" i="256"/>
  <c r="B171" i="256"/>
  <c r="B170" i="256"/>
  <c r="B169" i="256"/>
  <c r="B168" i="256"/>
  <c r="B167" i="256"/>
  <c r="B166" i="256"/>
  <c r="B165" i="256"/>
  <c r="B164" i="256"/>
  <c r="B163" i="256"/>
  <c r="B162" i="256"/>
  <c r="B161" i="256"/>
  <c r="B160" i="256"/>
  <c r="B159" i="256"/>
  <c r="B158" i="256"/>
  <c r="B157" i="256"/>
  <c r="B156" i="256"/>
  <c r="B155" i="256"/>
  <c r="B154" i="256"/>
  <c r="B153" i="256"/>
  <c r="B152" i="256"/>
  <c r="B151" i="256"/>
  <c r="B150" i="256"/>
  <c r="B149" i="256"/>
  <c r="B148" i="256"/>
  <c r="B147" i="256"/>
  <c r="B146" i="256"/>
  <c r="B145" i="256"/>
  <c r="B144" i="256"/>
  <c r="B143" i="256"/>
  <c r="B142" i="256"/>
  <c r="B141" i="256"/>
  <c r="B140" i="256"/>
  <c r="B139" i="256"/>
  <c r="B138" i="256"/>
  <c r="B137" i="256"/>
  <c r="B136" i="256"/>
  <c r="B135" i="256"/>
  <c r="B134" i="256"/>
  <c r="B133" i="256"/>
  <c r="B132" i="256"/>
  <c r="B131" i="256"/>
  <c r="C127" i="256"/>
  <c r="F126" i="256"/>
  <c r="G126" i="256" s="1"/>
  <c r="G125" i="256"/>
  <c r="F125" i="256"/>
  <c r="F124" i="256"/>
  <c r="G124" i="256" s="1"/>
  <c r="G123" i="256"/>
  <c r="F123" i="256"/>
  <c r="F122" i="256"/>
  <c r="G122" i="256" s="1"/>
  <c r="G121" i="256"/>
  <c r="F121" i="256"/>
  <c r="F120" i="256"/>
  <c r="G120" i="256" s="1"/>
  <c r="G119" i="256"/>
  <c r="F119" i="256"/>
  <c r="F118" i="256"/>
  <c r="G118" i="256" s="1"/>
  <c r="G117" i="256"/>
  <c r="F117" i="256"/>
  <c r="G116" i="256"/>
  <c r="F116" i="256"/>
  <c r="G115" i="256"/>
  <c r="F115" i="256"/>
  <c r="F114" i="256"/>
  <c r="G114" i="256" s="1"/>
  <c r="G113" i="256"/>
  <c r="F113" i="256"/>
  <c r="G112" i="256"/>
  <c r="F112" i="256"/>
  <c r="G111" i="256"/>
  <c r="F111" i="256"/>
  <c r="F110" i="256"/>
  <c r="G110" i="256" s="1"/>
  <c r="G109" i="256"/>
  <c r="F109" i="256"/>
  <c r="G108" i="256"/>
  <c r="F108" i="256"/>
  <c r="G107" i="256"/>
  <c r="F107" i="256"/>
  <c r="C101" i="256"/>
  <c r="B100" i="256" a="1"/>
  <c r="B100" i="256" s="1"/>
  <c r="A100" i="256" a="1"/>
  <c r="A100" i="256" s="1"/>
  <c r="B99" i="256" a="1"/>
  <c r="B99" i="256" s="1"/>
  <c r="A99" i="256" a="1"/>
  <c r="A99" i="256" s="1"/>
  <c r="B98" i="256" a="1"/>
  <c r="B98" i="256" s="1"/>
  <c r="A98" i="256" a="1"/>
  <c r="A98" i="256" s="1"/>
  <c r="B97" i="256" a="1"/>
  <c r="B97" i="256" s="1"/>
  <c r="A97" i="256" a="1"/>
  <c r="A97" i="256" s="1"/>
  <c r="B96" i="256" a="1"/>
  <c r="B96" i="256" s="1"/>
  <c r="A96" i="256" a="1"/>
  <c r="A96" i="256" s="1"/>
  <c r="B95" i="256" a="1"/>
  <c r="B95" i="256" s="1"/>
  <c r="A95" i="256" a="1"/>
  <c r="A95" i="256" s="1"/>
  <c r="B94" i="256" a="1"/>
  <c r="B94" i="256" s="1"/>
  <c r="A94" i="256" a="1"/>
  <c r="A94" i="256" s="1"/>
  <c r="B93" i="256" a="1"/>
  <c r="B93" i="256" s="1"/>
  <c r="A93" i="256" a="1"/>
  <c r="A93" i="256" s="1"/>
  <c r="B92" i="256" a="1"/>
  <c r="B92" i="256" s="1"/>
  <c r="A92" i="256" a="1"/>
  <c r="A92" i="256" s="1"/>
  <c r="B91" i="256" a="1"/>
  <c r="B91" i="256" s="1"/>
  <c r="A91" i="256" a="1"/>
  <c r="A91" i="256" s="1"/>
  <c r="B90" i="256" a="1"/>
  <c r="B90" i="256" s="1"/>
  <c r="A90" i="256" a="1"/>
  <c r="A90" i="256" s="1"/>
  <c r="B89" i="256" a="1"/>
  <c r="B89" i="256" s="1"/>
  <c r="A89" i="256" a="1"/>
  <c r="A89" i="256" s="1"/>
  <c r="B88" i="256" a="1"/>
  <c r="B88" i="256" s="1"/>
  <c r="A88" i="256" a="1"/>
  <c r="A88" i="256" s="1"/>
  <c r="B87" i="256" a="1"/>
  <c r="B87" i="256" s="1"/>
  <c r="A87" i="256" a="1"/>
  <c r="A87" i="256" s="1"/>
  <c r="B86" i="256" a="1"/>
  <c r="B86" i="256" s="1"/>
  <c r="A86" i="256" a="1"/>
  <c r="A86" i="256" s="1"/>
  <c r="B85" i="256" a="1"/>
  <c r="B85" i="256" s="1"/>
  <c r="A85" i="256" a="1"/>
  <c r="A85" i="256" s="1"/>
  <c r="B84" i="256" a="1"/>
  <c r="B84" i="256" s="1"/>
  <c r="A84" i="256" a="1"/>
  <c r="A84" i="256" s="1"/>
  <c r="B83" i="256" a="1"/>
  <c r="B83" i="256" s="1"/>
  <c r="A83" i="256" a="1"/>
  <c r="A83" i="256" s="1"/>
  <c r="B82" i="256" a="1"/>
  <c r="B82" i="256" s="1"/>
  <c r="A82" i="256" a="1"/>
  <c r="A82" i="256" s="1"/>
  <c r="B81" i="256" a="1"/>
  <c r="B81" i="256" s="1"/>
  <c r="A81" i="256" a="1"/>
  <c r="A81" i="256" s="1"/>
  <c r="B80" i="256" a="1"/>
  <c r="B80" i="256" s="1"/>
  <c r="A80" i="256" a="1"/>
  <c r="A80" i="256" s="1"/>
  <c r="B79" i="256" a="1"/>
  <c r="B79" i="256" s="1"/>
  <c r="A79" i="256" a="1"/>
  <c r="A79" i="256" s="1"/>
  <c r="B78" i="256" a="1"/>
  <c r="B78" i="256" s="1"/>
  <c r="A78" i="256" a="1"/>
  <c r="A78" i="256" s="1"/>
  <c r="B77" i="256" a="1"/>
  <c r="B77" i="256" s="1"/>
  <c r="A77" i="256" a="1"/>
  <c r="A77" i="256" s="1"/>
  <c r="B76" i="256" a="1"/>
  <c r="B76" i="256" s="1"/>
  <c r="A76" i="256" a="1"/>
  <c r="A76" i="256" s="1"/>
  <c r="B75" i="256" a="1"/>
  <c r="B75" i="256" s="1"/>
  <c r="A75" i="256" a="1"/>
  <c r="A75" i="256" s="1"/>
  <c r="B74" i="256" a="1"/>
  <c r="B74" i="256" s="1"/>
  <c r="A74" i="256" a="1"/>
  <c r="A74" i="256" s="1"/>
  <c r="B73" i="256" a="1"/>
  <c r="B73" i="256" s="1"/>
  <c r="A73" i="256" a="1"/>
  <c r="A73" i="256" s="1"/>
  <c r="B72" i="256" a="1"/>
  <c r="B72" i="256" s="1"/>
  <c r="A72" i="256" a="1"/>
  <c r="A72" i="256" s="1"/>
  <c r="B71" i="256" a="1"/>
  <c r="B71" i="256" s="1"/>
  <c r="A71" i="256" a="1"/>
  <c r="A71" i="256" s="1"/>
  <c r="B70" i="256" a="1"/>
  <c r="B70" i="256" s="1"/>
  <c r="A70" i="256" a="1"/>
  <c r="A70" i="256" s="1"/>
  <c r="B69" i="256" a="1"/>
  <c r="B69" i="256" s="1"/>
  <c r="A69" i="256" a="1"/>
  <c r="A69" i="256" s="1"/>
  <c r="B68" i="256" a="1"/>
  <c r="B68" i="256" s="1"/>
  <c r="A68" i="256" a="1"/>
  <c r="A68" i="256" s="1"/>
  <c r="B67" i="256" a="1"/>
  <c r="B67" i="256" s="1"/>
  <c r="A67" i="256" a="1"/>
  <c r="A67" i="256" s="1"/>
  <c r="B66" i="256" a="1"/>
  <c r="B66" i="256" s="1"/>
  <c r="A66" i="256" a="1"/>
  <c r="A66" i="256" s="1"/>
  <c r="B65" i="256" a="1"/>
  <c r="B65" i="256" s="1"/>
  <c r="A65" i="256" a="1"/>
  <c r="A65" i="256" s="1"/>
  <c r="B64" i="256" a="1"/>
  <c r="B64" i="256" s="1"/>
  <c r="A64" i="256" a="1"/>
  <c r="A64" i="256" s="1"/>
  <c r="B63" i="256" a="1"/>
  <c r="B63" i="256" s="1"/>
  <c r="A63" i="256" a="1"/>
  <c r="A63" i="256" s="1"/>
  <c r="B62" i="256" a="1"/>
  <c r="B62" i="256" s="1"/>
  <c r="A62" i="256" a="1"/>
  <c r="A62" i="256" s="1"/>
  <c r="B61" i="256" a="1"/>
  <c r="B61" i="256" s="1"/>
  <c r="A61" i="256" a="1"/>
  <c r="A61" i="256" s="1"/>
  <c r="B60" i="256" a="1"/>
  <c r="B60" i="256" s="1"/>
  <c r="A60" i="256" a="1"/>
  <c r="A60" i="256" s="1"/>
  <c r="B59" i="256" a="1"/>
  <c r="B59" i="256" s="1"/>
  <c r="A59" i="256" a="1"/>
  <c r="A59" i="256" s="1"/>
  <c r="B58" i="256" a="1"/>
  <c r="B58" i="256" s="1"/>
  <c r="A58" i="256" a="1"/>
  <c r="A58" i="256" s="1"/>
  <c r="B57" i="256" a="1"/>
  <c r="B57" i="256" s="1"/>
  <c r="A57" i="256" a="1"/>
  <c r="A57" i="256" s="1"/>
  <c r="B56" i="256" a="1"/>
  <c r="B56" i="256" s="1"/>
  <c r="A56" i="256" a="1"/>
  <c r="A56" i="256" s="1"/>
  <c r="B55" i="256" a="1"/>
  <c r="B55" i="256" s="1"/>
  <c r="A55" i="256" a="1"/>
  <c r="A55" i="256" s="1"/>
  <c r="B54" i="256" a="1"/>
  <c r="B54" i="256" s="1"/>
  <c r="A54" i="256" a="1"/>
  <c r="A54" i="256" s="1"/>
  <c r="B53" i="256" a="1"/>
  <c r="B53" i="256" s="1"/>
  <c r="A53" i="256" a="1"/>
  <c r="A53" i="256" s="1"/>
  <c r="B52" i="256" a="1"/>
  <c r="B52" i="256" s="1"/>
  <c r="A52" i="256" a="1"/>
  <c r="A52" i="256" s="1"/>
  <c r="B51" i="256" a="1"/>
  <c r="B51" i="256" s="1"/>
  <c r="A51" i="256" a="1"/>
  <c r="A51" i="256" s="1"/>
  <c r="B50" i="256" a="1"/>
  <c r="B50" i="256" s="1"/>
  <c r="A50" i="256" a="1"/>
  <c r="A50" i="256" s="1"/>
  <c r="B49" i="256" a="1"/>
  <c r="B49" i="256" s="1"/>
  <c r="A49" i="256" a="1"/>
  <c r="A49" i="256" s="1"/>
  <c r="B48" i="256" a="1"/>
  <c r="B48" i="256" s="1"/>
  <c r="A48" i="256" a="1"/>
  <c r="A48" i="256" s="1"/>
  <c r="B47" i="256" a="1"/>
  <c r="B47" i="256" s="1"/>
  <c r="A47" i="256" a="1"/>
  <c r="A47" i="256" s="1"/>
  <c r="B46" i="256" a="1"/>
  <c r="B46" i="256" s="1"/>
  <c r="A46" i="256" a="1"/>
  <c r="A46" i="256" s="1"/>
  <c r="B45" i="256" a="1"/>
  <c r="B45" i="256" s="1"/>
  <c r="A45" i="256" a="1"/>
  <c r="A45" i="256" s="1"/>
  <c r="B44" i="256" a="1"/>
  <c r="B44" i="256" s="1"/>
  <c r="A44" i="256" a="1"/>
  <c r="A44" i="256" s="1"/>
  <c r="B43" i="256" a="1"/>
  <c r="B43" i="256" s="1"/>
  <c r="A43" i="256" a="1"/>
  <c r="A43" i="256" s="1"/>
  <c r="B42" i="256" a="1"/>
  <c r="B42" i="256" s="1"/>
  <c r="A42" i="256" a="1"/>
  <c r="A42" i="256" s="1"/>
  <c r="B41" i="256" a="1"/>
  <c r="B41" i="256" s="1"/>
  <c r="A41" i="256" a="1"/>
  <c r="A41" i="256" s="1"/>
  <c r="B40" i="256" a="1"/>
  <c r="B40" i="256" s="1"/>
  <c r="A40" i="256" a="1"/>
  <c r="A40" i="256" s="1"/>
  <c r="B39" i="256" a="1"/>
  <c r="B39" i="256" s="1"/>
  <c r="A39" i="256" a="1"/>
  <c r="A39" i="256" s="1"/>
  <c r="B38" i="256" a="1"/>
  <c r="B38" i="256" s="1"/>
  <c r="A38" i="256" a="1"/>
  <c r="A38" i="256" s="1"/>
  <c r="B37" i="256" a="1"/>
  <c r="B37" i="256" s="1"/>
  <c r="A37" i="256" a="1"/>
  <c r="A37" i="256" s="1"/>
  <c r="B36" i="256" a="1"/>
  <c r="B36" i="256" s="1"/>
  <c r="A36" i="256" a="1"/>
  <c r="A36" i="256" s="1"/>
  <c r="B35" i="256" a="1"/>
  <c r="B35" i="256" s="1"/>
  <c r="A35" i="256" a="1"/>
  <c r="A35" i="256" s="1"/>
  <c r="B34" i="256" a="1"/>
  <c r="B34" i="256" s="1"/>
  <c r="A34" i="256" a="1"/>
  <c r="A34" i="256" s="1"/>
  <c r="B33" i="256" a="1"/>
  <c r="B33" i="256" s="1"/>
  <c r="A33" i="256" a="1"/>
  <c r="A33" i="256" s="1"/>
  <c r="B32" i="256" a="1"/>
  <c r="B32" i="256" s="1"/>
  <c r="A32" i="256" a="1"/>
  <c r="A32" i="256" s="1"/>
  <c r="B31" i="256" a="1"/>
  <c r="B31" i="256" s="1"/>
  <c r="A31" i="256" a="1"/>
  <c r="A31" i="256" s="1"/>
  <c r="B30" i="256" a="1"/>
  <c r="B30" i="256" s="1"/>
  <c r="A30" i="256" a="1"/>
  <c r="A30" i="256" s="1"/>
  <c r="B29" i="256" a="1"/>
  <c r="B29" i="256" s="1"/>
  <c r="A29" i="256" a="1"/>
  <c r="A29" i="256" s="1"/>
  <c r="B28" i="256" a="1"/>
  <c r="B28" i="256" s="1"/>
  <c r="A28" i="256" a="1"/>
  <c r="A28" i="256" s="1"/>
  <c r="B27" i="256" a="1"/>
  <c r="B27" i="256" s="1"/>
  <c r="A27" i="256" a="1"/>
  <c r="A27" i="256" s="1"/>
  <c r="B26" i="256" a="1"/>
  <c r="B26" i="256" s="1"/>
  <c r="A26" i="256" a="1"/>
  <c r="A26" i="256" s="1"/>
  <c r="B25" i="256" a="1"/>
  <c r="B25" i="256" s="1"/>
  <c r="A25" i="256" a="1"/>
  <c r="A25" i="256" s="1"/>
  <c r="C232" i="255" a="1"/>
  <c r="C232" i="255" s="1"/>
  <c r="B232" i="255" a="1"/>
  <c r="B232" i="255" s="1"/>
  <c r="A232" i="255" a="1"/>
  <c r="A232" i="255" s="1"/>
  <c r="B214" i="255"/>
  <c r="B213" i="255"/>
  <c r="B212" i="255"/>
  <c r="B211" i="255"/>
  <c r="B210" i="255"/>
  <c r="B209" i="255"/>
  <c r="C203" i="255"/>
  <c r="B203" i="255"/>
  <c r="C202" i="255"/>
  <c r="B202" i="255"/>
  <c r="C201" i="255"/>
  <c r="B201" i="255"/>
  <c r="C200" i="255"/>
  <c r="B200" i="255"/>
  <c r="C199" i="255"/>
  <c r="B199" i="255"/>
  <c r="C198" i="255"/>
  <c r="B198" i="255"/>
  <c r="C197" i="255"/>
  <c r="B197" i="255"/>
  <c r="C196" i="255"/>
  <c r="B196" i="255"/>
  <c r="C195" i="255"/>
  <c r="B195" i="255"/>
  <c r="C194" i="255"/>
  <c r="B194" i="255"/>
  <c r="C193" i="255"/>
  <c r="B193" i="255"/>
  <c r="C192" i="255"/>
  <c r="B192" i="255"/>
  <c r="C191" i="255"/>
  <c r="B191" i="255"/>
  <c r="C190" i="255"/>
  <c r="B190" i="255"/>
  <c r="C189" i="255"/>
  <c r="B189" i="255"/>
  <c r="C188" i="255"/>
  <c r="B188" i="255"/>
  <c r="C187" i="255"/>
  <c r="B187" i="255"/>
  <c r="C186" i="255"/>
  <c r="B186" i="255"/>
  <c r="C185" i="255"/>
  <c r="B185" i="255"/>
  <c r="H181" i="255"/>
  <c r="B180" i="255"/>
  <c r="B179" i="255"/>
  <c r="B178" i="255"/>
  <c r="B177" i="255"/>
  <c r="B176" i="255"/>
  <c r="B175" i="255"/>
  <c r="B174" i="255"/>
  <c r="B173" i="255"/>
  <c r="B172" i="255"/>
  <c r="B171" i="255"/>
  <c r="B170" i="255"/>
  <c r="B169" i="255"/>
  <c r="B168" i="255"/>
  <c r="B167" i="255"/>
  <c r="B166" i="255"/>
  <c r="B165" i="255"/>
  <c r="B164" i="255"/>
  <c r="B163" i="255"/>
  <c r="B162" i="255"/>
  <c r="B161" i="255"/>
  <c r="B160" i="255"/>
  <c r="B159" i="255"/>
  <c r="B158" i="255"/>
  <c r="B157" i="255"/>
  <c r="B156" i="255"/>
  <c r="B155" i="255"/>
  <c r="B154" i="255"/>
  <c r="B153" i="255"/>
  <c r="B152" i="255"/>
  <c r="B151" i="255"/>
  <c r="B150" i="255"/>
  <c r="B149" i="255"/>
  <c r="B148" i="255"/>
  <c r="B147" i="255"/>
  <c r="B146" i="255"/>
  <c r="B145" i="255"/>
  <c r="B144" i="255"/>
  <c r="B143" i="255"/>
  <c r="B142" i="255"/>
  <c r="B141" i="255"/>
  <c r="B140" i="255"/>
  <c r="B139" i="255"/>
  <c r="B138" i="255"/>
  <c r="B137" i="255"/>
  <c r="B136" i="255"/>
  <c r="B135" i="255"/>
  <c r="B134" i="255"/>
  <c r="B133" i="255"/>
  <c r="B132" i="255"/>
  <c r="B131" i="255"/>
  <c r="C127" i="255"/>
  <c r="G126" i="255"/>
  <c r="F126" i="255"/>
  <c r="G125" i="255"/>
  <c r="F125" i="255"/>
  <c r="F124" i="255"/>
  <c r="G124" i="255" s="1"/>
  <c r="G123" i="255"/>
  <c r="F123" i="255"/>
  <c r="G122" i="255"/>
  <c r="F122" i="255"/>
  <c r="G121" i="255"/>
  <c r="F121" i="255"/>
  <c r="F120" i="255"/>
  <c r="G120" i="255" s="1"/>
  <c r="G119" i="255"/>
  <c r="F119" i="255"/>
  <c r="F118" i="255"/>
  <c r="G118" i="255" s="1"/>
  <c r="G117" i="255"/>
  <c r="F117" i="255"/>
  <c r="F116" i="255"/>
  <c r="G116" i="255" s="1"/>
  <c r="G115" i="255"/>
  <c r="F115" i="255"/>
  <c r="F114" i="255"/>
  <c r="G114" i="255" s="1"/>
  <c r="G113" i="255"/>
  <c r="F113" i="255"/>
  <c r="F112" i="255"/>
  <c r="G112" i="255" s="1"/>
  <c r="G111" i="255"/>
  <c r="F111" i="255"/>
  <c r="G110" i="255"/>
  <c r="F110" i="255"/>
  <c r="G109" i="255"/>
  <c r="F109" i="255"/>
  <c r="F108" i="255"/>
  <c r="G108" i="255" s="1"/>
  <c r="G107" i="255"/>
  <c r="G127" i="255" s="1"/>
  <c r="F107" i="255"/>
  <c r="C101" i="255"/>
  <c r="B100" i="255" a="1"/>
  <c r="B100" i="255" s="1"/>
  <c r="G100" i="255" s="1" a="1"/>
  <c r="G100" i="255" s="1"/>
  <c r="A100" i="255" a="1"/>
  <c r="A100" i="255" s="1"/>
  <c r="B99" i="255" a="1"/>
  <c r="B99" i="255" s="1"/>
  <c r="A99" i="255" a="1"/>
  <c r="A99" i="255" s="1"/>
  <c r="B98" i="255" a="1"/>
  <c r="B98" i="255" s="1"/>
  <c r="A98" i="255" a="1"/>
  <c r="A98" i="255" s="1"/>
  <c r="B97" i="255" a="1"/>
  <c r="B97" i="255" s="1"/>
  <c r="A97" i="255" a="1"/>
  <c r="A97" i="255" s="1"/>
  <c r="B96" i="255"/>
  <c r="B96" i="255" a="1"/>
  <c r="A96" i="255" a="1"/>
  <c r="A96" i="255" s="1"/>
  <c r="B95" i="255" a="1"/>
  <c r="B95" i="255" s="1"/>
  <c r="A95" i="255" a="1"/>
  <c r="A95" i="255" s="1"/>
  <c r="B94" i="255" a="1"/>
  <c r="B94" i="255" s="1"/>
  <c r="A94" i="255" a="1"/>
  <c r="A94" i="255" s="1"/>
  <c r="B93" i="255" a="1"/>
  <c r="B93" i="255" s="1"/>
  <c r="A93" i="255" a="1"/>
  <c r="A93" i="255" s="1"/>
  <c r="B92" i="255" a="1"/>
  <c r="B92" i="255" s="1"/>
  <c r="A92" i="255" a="1"/>
  <c r="A92" i="255" s="1"/>
  <c r="B91" i="255" a="1"/>
  <c r="B91" i="255" s="1"/>
  <c r="A91" i="255" a="1"/>
  <c r="A91" i="255" s="1"/>
  <c r="B90" i="255" a="1"/>
  <c r="B90" i="255" s="1"/>
  <c r="A90" i="255" a="1"/>
  <c r="A90" i="255" s="1"/>
  <c r="B89" i="255" a="1"/>
  <c r="B89" i="255" s="1"/>
  <c r="A89" i="255" a="1"/>
  <c r="A89" i="255" s="1"/>
  <c r="B88" i="255" a="1"/>
  <c r="B88" i="255" s="1"/>
  <c r="A88" i="255" a="1"/>
  <c r="A88" i="255" s="1"/>
  <c r="B87" i="255" a="1"/>
  <c r="B87" i="255" s="1"/>
  <c r="A87" i="255" a="1"/>
  <c r="A87" i="255" s="1"/>
  <c r="B86" i="255" a="1"/>
  <c r="B86" i="255" s="1"/>
  <c r="A86" i="255" a="1"/>
  <c r="A86" i="255" s="1"/>
  <c r="B85" i="255" a="1"/>
  <c r="B85" i="255" s="1"/>
  <c r="A85" i="255" a="1"/>
  <c r="A85" i="255" s="1"/>
  <c r="B84" i="255" a="1"/>
  <c r="B84" i="255" s="1"/>
  <c r="A84" i="255" a="1"/>
  <c r="A84" i="255" s="1"/>
  <c r="B83" i="255" a="1"/>
  <c r="B83" i="255" s="1"/>
  <c r="A83" i="255" a="1"/>
  <c r="A83" i="255" s="1"/>
  <c r="B82" i="255" a="1"/>
  <c r="B82" i="255" s="1"/>
  <c r="A82" i="255" a="1"/>
  <c r="A82" i="255" s="1"/>
  <c r="B81" i="255" a="1"/>
  <c r="B81" i="255" s="1"/>
  <c r="A81" i="255" a="1"/>
  <c r="A81" i="255" s="1"/>
  <c r="B80" i="255" a="1"/>
  <c r="B80" i="255" s="1"/>
  <c r="A80" i="255" a="1"/>
  <c r="A80" i="255" s="1"/>
  <c r="B79" i="255" a="1"/>
  <c r="B79" i="255" s="1"/>
  <c r="A79" i="255" a="1"/>
  <c r="A79" i="255" s="1"/>
  <c r="B78" i="255" a="1"/>
  <c r="B78" i="255" s="1"/>
  <c r="A78" i="255" a="1"/>
  <c r="A78" i="255" s="1"/>
  <c r="B77" i="255" a="1"/>
  <c r="B77" i="255" s="1"/>
  <c r="A77" i="255" a="1"/>
  <c r="A77" i="255" s="1"/>
  <c r="B76" i="255" a="1"/>
  <c r="B76" i="255" s="1"/>
  <c r="A76" i="255" a="1"/>
  <c r="A76" i="255" s="1"/>
  <c r="B75" i="255" a="1"/>
  <c r="B75" i="255" s="1"/>
  <c r="A75" i="255" a="1"/>
  <c r="A75" i="255" s="1"/>
  <c r="B74" i="255" a="1"/>
  <c r="B74" i="255" s="1"/>
  <c r="A74" i="255" a="1"/>
  <c r="A74" i="255" s="1"/>
  <c r="B73" i="255" a="1"/>
  <c r="B73" i="255" s="1"/>
  <c r="A73" i="255" a="1"/>
  <c r="A73" i="255" s="1"/>
  <c r="B72" i="255" a="1"/>
  <c r="B72" i="255" s="1"/>
  <c r="A72" i="255" a="1"/>
  <c r="A72" i="255" s="1"/>
  <c r="B71" i="255" a="1"/>
  <c r="B71" i="255" s="1"/>
  <c r="A71" i="255" a="1"/>
  <c r="A71" i="255" s="1"/>
  <c r="B70" i="255" a="1"/>
  <c r="B70" i="255" s="1"/>
  <c r="A70" i="255" a="1"/>
  <c r="A70" i="255" s="1"/>
  <c r="B69" i="255" a="1"/>
  <c r="B69" i="255" s="1"/>
  <c r="A69" i="255" a="1"/>
  <c r="A69" i="255" s="1"/>
  <c r="B68" i="255" a="1"/>
  <c r="B68" i="255" s="1"/>
  <c r="A68" i="255" a="1"/>
  <c r="A68" i="255" s="1"/>
  <c r="B67" i="255" a="1"/>
  <c r="B67" i="255" s="1"/>
  <c r="A67" i="255" a="1"/>
  <c r="A67" i="255" s="1"/>
  <c r="B66" i="255" a="1"/>
  <c r="B66" i="255" s="1"/>
  <c r="A66" i="255" a="1"/>
  <c r="A66" i="255" s="1"/>
  <c r="B65" i="255" a="1"/>
  <c r="B65" i="255" s="1"/>
  <c r="A65" i="255" a="1"/>
  <c r="A65" i="255" s="1"/>
  <c r="B64" i="255" a="1"/>
  <c r="B64" i="255" s="1"/>
  <c r="A64" i="255" a="1"/>
  <c r="A64" i="255" s="1"/>
  <c r="B63" i="255" a="1"/>
  <c r="B63" i="255" s="1"/>
  <c r="A63" i="255" a="1"/>
  <c r="A63" i="255" s="1"/>
  <c r="B62" i="255" a="1"/>
  <c r="B62" i="255" s="1"/>
  <c r="A62" i="255" a="1"/>
  <c r="A62" i="255" s="1"/>
  <c r="B61" i="255" a="1"/>
  <c r="B61" i="255" s="1"/>
  <c r="A61" i="255" a="1"/>
  <c r="A61" i="255" s="1"/>
  <c r="B60" i="255" a="1"/>
  <c r="B60" i="255" s="1"/>
  <c r="A60" i="255" a="1"/>
  <c r="A60" i="255" s="1"/>
  <c r="B59" i="255" a="1"/>
  <c r="B59" i="255" s="1"/>
  <c r="A59" i="255" a="1"/>
  <c r="A59" i="255" s="1"/>
  <c r="B58" i="255" a="1"/>
  <c r="B58" i="255" s="1"/>
  <c r="A58" i="255" a="1"/>
  <c r="A58" i="255" s="1"/>
  <c r="B57" i="255" a="1"/>
  <c r="B57" i="255" s="1"/>
  <c r="A57" i="255" a="1"/>
  <c r="A57" i="255" s="1"/>
  <c r="B56" i="255" a="1"/>
  <c r="B56" i="255" s="1"/>
  <c r="A56" i="255" a="1"/>
  <c r="A56" i="255" s="1"/>
  <c r="B55" i="255" a="1"/>
  <c r="B55" i="255" s="1"/>
  <c r="A55" i="255" a="1"/>
  <c r="A55" i="255" s="1"/>
  <c r="B54" i="255" a="1"/>
  <c r="B54" i="255" s="1"/>
  <c r="A54" i="255" a="1"/>
  <c r="A54" i="255" s="1"/>
  <c r="B53" i="255" a="1"/>
  <c r="B53" i="255" s="1"/>
  <c r="A53" i="255" a="1"/>
  <c r="A53" i="255" s="1"/>
  <c r="B52" i="255" a="1"/>
  <c r="B52" i="255" s="1"/>
  <c r="A52" i="255" a="1"/>
  <c r="A52" i="255" s="1"/>
  <c r="B51" i="255" a="1"/>
  <c r="B51" i="255" s="1"/>
  <c r="A51" i="255" a="1"/>
  <c r="A51" i="255" s="1"/>
  <c r="B50" i="255" a="1"/>
  <c r="B50" i="255" s="1"/>
  <c r="A50" i="255" a="1"/>
  <c r="A50" i="255" s="1"/>
  <c r="B49" i="255" a="1"/>
  <c r="B49" i="255" s="1"/>
  <c r="A49" i="255" a="1"/>
  <c r="A49" i="255" s="1"/>
  <c r="B48" i="255" a="1"/>
  <c r="B48" i="255" s="1"/>
  <c r="A48" i="255" a="1"/>
  <c r="A48" i="255" s="1"/>
  <c r="B47" i="255" a="1"/>
  <c r="B47" i="255" s="1"/>
  <c r="A47" i="255" a="1"/>
  <c r="A47" i="255" s="1"/>
  <c r="B46" i="255" a="1"/>
  <c r="B46" i="255" s="1"/>
  <c r="A46" i="255" a="1"/>
  <c r="A46" i="255" s="1"/>
  <c r="B45" i="255" a="1"/>
  <c r="B45" i="255" s="1"/>
  <c r="A45" i="255" a="1"/>
  <c r="A45" i="255" s="1"/>
  <c r="B44" i="255" a="1"/>
  <c r="B44" i="255" s="1"/>
  <c r="A44" i="255" a="1"/>
  <c r="A44" i="255" s="1"/>
  <c r="B43" i="255" a="1"/>
  <c r="B43" i="255" s="1"/>
  <c r="A43" i="255" a="1"/>
  <c r="A43" i="255" s="1"/>
  <c r="B42" i="255" a="1"/>
  <c r="B42" i="255" s="1"/>
  <c r="A42" i="255" a="1"/>
  <c r="A42" i="255" s="1"/>
  <c r="B41" i="255" a="1"/>
  <c r="B41" i="255" s="1"/>
  <c r="A41" i="255" a="1"/>
  <c r="A41" i="255" s="1"/>
  <c r="B40" i="255" a="1"/>
  <c r="B40" i="255" s="1"/>
  <c r="A40" i="255" a="1"/>
  <c r="A40" i="255" s="1"/>
  <c r="B39" i="255" a="1"/>
  <c r="B39" i="255" s="1"/>
  <c r="A39" i="255" a="1"/>
  <c r="A39" i="255" s="1"/>
  <c r="B38" i="255" a="1"/>
  <c r="B38" i="255" s="1"/>
  <c r="A38" i="255" a="1"/>
  <c r="A38" i="255" s="1"/>
  <c r="B37" i="255" a="1"/>
  <c r="B37" i="255" s="1"/>
  <c r="A37" i="255" a="1"/>
  <c r="A37" i="255" s="1"/>
  <c r="B36" i="255" a="1"/>
  <c r="B36" i="255" s="1"/>
  <c r="A36" i="255" a="1"/>
  <c r="A36" i="255" s="1"/>
  <c r="B35" i="255" a="1"/>
  <c r="B35" i="255" s="1"/>
  <c r="A35" i="255" a="1"/>
  <c r="A35" i="255" s="1"/>
  <c r="B34" i="255" a="1"/>
  <c r="B34" i="255" s="1"/>
  <c r="A34" i="255" a="1"/>
  <c r="A34" i="255" s="1"/>
  <c r="B33" i="255" a="1"/>
  <c r="B33" i="255" s="1"/>
  <c r="A33" i="255" a="1"/>
  <c r="A33" i="255" s="1"/>
  <c r="B32" i="255" a="1"/>
  <c r="B32" i="255" s="1"/>
  <c r="A32" i="255" a="1"/>
  <c r="A32" i="255" s="1"/>
  <c r="B31" i="255" a="1"/>
  <c r="B31" i="255" s="1"/>
  <c r="A31" i="255" a="1"/>
  <c r="A31" i="255" s="1"/>
  <c r="B30" i="255" a="1"/>
  <c r="B30" i="255" s="1"/>
  <c r="A30" i="255" a="1"/>
  <c r="A30" i="255" s="1"/>
  <c r="B29" i="255" a="1"/>
  <c r="B29" i="255" s="1"/>
  <c r="A29" i="255" a="1"/>
  <c r="A29" i="255" s="1"/>
  <c r="B28" i="255" a="1"/>
  <c r="B28" i="255" s="1"/>
  <c r="A28" i="255" a="1"/>
  <c r="A28" i="255" s="1"/>
  <c r="B27" i="255" a="1"/>
  <c r="B27" i="255" s="1"/>
  <c r="A27" i="255" a="1"/>
  <c r="A27" i="255" s="1"/>
  <c r="B26" i="255" a="1"/>
  <c r="B26" i="255" s="1"/>
  <c r="A26" i="255" a="1"/>
  <c r="A26" i="255" s="1"/>
  <c r="B25" i="255" a="1"/>
  <c r="B25" i="255" s="1"/>
  <c r="A25" i="255" a="1"/>
  <c r="A25" i="255" s="1"/>
  <c r="C232" i="254" a="1"/>
  <c r="C232" i="254" s="1"/>
  <c r="B232" i="254" a="1"/>
  <c r="B232" i="254" s="1"/>
  <c r="A232" i="254" a="1"/>
  <c r="A232" i="254" s="1"/>
  <c r="B214" i="254"/>
  <c r="B213" i="254"/>
  <c r="B212" i="254"/>
  <c r="B211" i="254"/>
  <c r="B210" i="254"/>
  <c r="B209" i="254"/>
  <c r="C203" i="254"/>
  <c r="B203" i="254"/>
  <c r="C202" i="254"/>
  <c r="B202" i="254"/>
  <c r="C201" i="254"/>
  <c r="B201" i="254"/>
  <c r="C200" i="254"/>
  <c r="B200" i="254"/>
  <c r="C199" i="254"/>
  <c r="B199" i="254"/>
  <c r="C198" i="254"/>
  <c r="B198" i="254"/>
  <c r="C197" i="254"/>
  <c r="B197" i="254"/>
  <c r="C196" i="254"/>
  <c r="B196" i="254"/>
  <c r="C195" i="254"/>
  <c r="B195" i="254"/>
  <c r="C194" i="254"/>
  <c r="B194" i="254"/>
  <c r="C193" i="254"/>
  <c r="B193" i="254"/>
  <c r="C192" i="254"/>
  <c r="B192" i="254"/>
  <c r="C191" i="254"/>
  <c r="B191" i="254"/>
  <c r="C190" i="254"/>
  <c r="B190" i="254"/>
  <c r="C189" i="254"/>
  <c r="B189" i="254"/>
  <c r="C188" i="254"/>
  <c r="B188" i="254"/>
  <c r="C187" i="254"/>
  <c r="B187" i="254"/>
  <c r="C186" i="254"/>
  <c r="B186" i="254"/>
  <c r="C185" i="254"/>
  <c r="B185" i="254"/>
  <c r="H181" i="254"/>
  <c r="B180" i="254"/>
  <c r="B179" i="254"/>
  <c r="B178" i="254"/>
  <c r="B177" i="254"/>
  <c r="B176" i="254"/>
  <c r="B175" i="254"/>
  <c r="B174" i="254"/>
  <c r="B173" i="254"/>
  <c r="B172" i="254"/>
  <c r="B171" i="254"/>
  <c r="B170" i="254"/>
  <c r="B169" i="254"/>
  <c r="B168" i="254"/>
  <c r="B167" i="254"/>
  <c r="B166" i="254"/>
  <c r="B165" i="254"/>
  <c r="B164" i="254"/>
  <c r="B163" i="254"/>
  <c r="B162" i="254"/>
  <c r="B161" i="254"/>
  <c r="B160" i="254"/>
  <c r="B159" i="254"/>
  <c r="B158" i="254"/>
  <c r="B157" i="254"/>
  <c r="B156" i="254"/>
  <c r="B155" i="254"/>
  <c r="B154" i="254"/>
  <c r="B153" i="254"/>
  <c r="B152" i="254"/>
  <c r="B151" i="254"/>
  <c r="B150" i="254"/>
  <c r="B149" i="254"/>
  <c r="B148" i="254"/>
  <c r="B147" i="254"/>
  <c r="B146" i="254"/>
  <c r="B145" i="254"/>
  <c r="B144" i="254"/>
  <c r="B143" i="254"/>
  <c r="B142" i="254"/>
  <c r="B141" i="254"/>
  <c r="B140" i="254"/>
  <c r="B139" i="254"/>
  <c r="B138" i="254"/>
  <c r="B137" i="254"/>
  <c r="B136" i="254"/>
  <c r="B135" i="254"/>
  <c r="B134" i="254"/>
  <c r="B133" i="254"/>
  <c r="B132" i="254"/>
  <c r="B131" i="254"/>
  <c r="C127" i="254"/>
  <c r="F126" i="254"/>
  <c r="G126" i="254" s="1"/>
  <c r="F125" i="254"/>
  <c r="G125" i="254" s="1"/>
  <c r="G124" i="254"/>
  <c r="F124" i="254"/>
  <c r="F123" i="254"/>
  <c r="G123" i="254" s="1"/>
  <c r="F122" i="254"/>
  <c r="G122" i="254" s="1"/>
  <c r="F121" i="254"/>
  <c r="G121" i="254" s="1"/>
  <c r="G120" i="254"/>
  <c r="F120" i="254"/>
  <c r="F119" i="254"/>
  <c r="G119" i="254" s="1"/>
  <c r="F118" i="254"/>
  <c r="G118" i="254" s="1"/>
  <c r="F117" i="254"/>
  <c r="G117" i="254" s="1"/>
  <c r="G116" i="254"/>
  <c r="F116" i="254"/>
  <c r="F115" i="254"/>
  <c r="G115" i="254" s="1"/>
  <c r="F114" i="254"/>
  <c r="G114" i="254" s="1"/>
  <c r="F113" i="254"/>
  <c r="G113" i="254" s="1"/>
  <c r="G112" i="254"/>
  <c r="F112" i="254"/>
  <c r="F111" i="254"/>
  <c r="G111" i="254" s="1"/>
  <c r="F110" i="254"/>
  <c r="G110" i="254" s="1"/>
  <c r="F109" i="254"/>
  <c r="G109" i="254" s="1"/>
  <c r="G108" i="254"/>
  <c r="F108" i="254"/>
  <c r="F107" i="254"/>
  <c r="F127" i="254" s="1"/>
  <c r="C101" i="254"/>
  <c r="B100" i="254" a="1"/>
  <c r="B100" i="254" s="1"/>
  <c r="A100" i="254" a="1"/>
  <c r="A100" i="254" s="1"/>
  <c r="B99" i="254" a="1"/>
  <c r="B99" i="254" s="1"/>
  <c r="A99" i="254" a="1"/>
  <c r="A99" i="254" s="1"/>
  <c r="B98" i="254" a="1"/>
  <c r="B98" i="254" s="1"/>
  <c r="A98" i="254" a="1"/>
  <c r="A98" i="254" s="1"/>
  <c r="B97" i="254" a="1"/>
  <c r="B97" i="254" s="1"/>
  <c r="A97" i="254" a="1"/>
  <c r="A97" i="254" s="1"/>
  <c r="B96" i="254" a="1"/>
  <c r="B96" i="254" s="1"/>
  <c r="A96" i="254" a="1"/>
  <c r="A96" i="254" s="1"/>
  <c r="B95" i="254" a="1"/>
  <c r="B95" i="254" s="1"/>
  <c r="A95" i="254" a="1"/>
  <c r="A95" i="254" s="1"/>
  <c r="B94" i="254" a="1"/>
  <c r="B94" i="254" s="1"/>
  <c r="A94" i="254" a="1"/>
  <c r="A94" i="254" s="1"/>
  <c r="B93" i="254" a="1"/>
  <c r="B93" i="254" s="1"/>
  <c r="A93" i="254" a="1"/>
  <c r="A93" i="254" s="1"/>
  <c r="B92" i="254" a="1"/>
  <c r="B92" i="254" s="1"/>
  <c r="A92" i="254" a="1"/>
  <c r="A92" i="254" s="1"/>
  <c r="B91" i="254" a="1"/>
  <c r="B91" i="254" s="1"/>
  <c r="A91" i="254" a="1"/>
  <c r="A91" i="254" s="1"/>
  <c r="B90" i="254" a="1"/>
  <c r="B90" i="254" s="1"/>
  <c r="A90" i="254" a="1"/>
  <c r="A90" i="254" s="1"/>
  <c r="B89" i="254" a="1"/>
  <c r="B89" i="254" s="1"/>
  <c r="A89" i="254" a="1"/>
  <c r="A89" i="254" s="1"/>
  <c r="B88" i="254" a="1"/>
  <c r="B88" i="254" s="1"/>
  <c r="A88" i="254" a="1"/>
  <c r="A88" i="254" s="1"/>
  <c r="B87" i="254" a="1"/>
  <c r="B87" i="254" s="1"/>
  <c r="A87" i="254" a="1"/>
  <c r="A87" i="254" s="1"/>
  <c r="B86" i="254" a="1"/>
  <c r="B86" i="254" s="1"/>
  <c r="A86" i="254" a="1"/>
  <c r="A86" i="254" s="1"/>
  <c r="B85" i="254" a="1"/>
  <c r="B85" i="254" s="1"/>
  <c r="A85" i="254" a="1"/>
  <c r="A85" i="254" s="1"/>
  <c r="B84" i="254" a="1"/>
  <c r="B84" i="254" s="1"/>
  <c r="A84" i="254" a="1"/>
  <c r="A84" i="254" s="1"/>
  <c r="B83" i="254" a="1"/>
  <c r="B83" i="254" s="1"/>
  <c r="A83" i="254" a="1"/>
  <c r="A83" i="254" s="1"/>
  <c r="B82" i="254" a="1"/>
  <c r="B82" i="254" s="1"/>
  <c r="A82" i="254" a="1"/>
  <c r="A82" i="254" s="1"/>
  <c r="B81" i="254" a="1"/>
  <c r="B81" i="254" s="1"/>
  <c r="A81" i="254" a="1"/>
  <c r="A81" i="254" s="1"/>
  <c r="B80" i="254" a="1"/>
  <c r="B80" i="254" s="1"/>
  <c r="A80" i="254" a="1"/>
  <c r="A80" i="254" s="1"/>
  <c r="B79" i="254" a="1"/>
  <c r="B79" i="254" s="1"/>
  <c r="A79" i="254" a="1"/>
  <c r="A79" i="254" s="1"/>
  <c r="B78" i="254" a="1"/>
  <c r="B78" i="254" s="1"/>
  <c r="A78" i="254" a="1"/>
  <c r="A78" i="254" s="1"/>
  <c r="B77" i="254" a="1"/>
  <c r="B77" i="254" s="1"/>
  <c r="A77" i="254" a="1"/>
  <c r="A77" i="254" s="1"/>
  <c r="B76" i="254" a="1"/>
  <c r="B76" i="254" s="1"/>
  <c r="A76" i="254" a="1"/>
  <c r="A76" i="254" s="1"/>
  <c r="B75" i="254" a="1"/>
  <c r="B75" i="254" s="1"/>
  <c r="A75" i="254" a="1"/>
  <c r="A75" i="254" s="1"/>
  <c r="B74" i="254" a="1"/>
  <c r="B74" i="254" s="1"/>
  <c r="A74" i="254" a="1"/>
  <c r="A74" i="254" s="1"/>
  <c r="B73" i="254" a="1"/>
  <c r="B73" i="254" s="1"/>
  <c r="A73" i="254" a="1"/>
  <c r="A73" i="254" s="1"/>
  <c r="B72" i="254" a="1"/>
  <c r="B72" i="254" s="1"/>
  <c r="A72" i="254" a="1"/>
  <c r="A72" i="254" s="1"/>
  <c r="B71" i="254" a="1"/>
  <c r="B71" i="254" s="1"/>
  <c r="A71" i="254" a="1"/>
  <c r="A71" i="254" s="1"/>
  <c r="B70" i="254" a="1"/>
  <c r="B70" i="254" s="1"/>
  <c r="A70" i="254" a="1"/>
  <c r="A70" i="254" s="1"/>
  <c r="B69" i="254" a="1"/>
  <c r="B69" i="254" s="1"/>
  <c r="A69" i="254" a="1"/>
  <c r="A69" i="254" s="1"/>
  <c r="B68" i="254" a="1"/>
  <c r="B68" i="254" s="1"/>
  <c r="A68" i="254" a="1"/>
  <c r="A68" i="254" s="1"/>
  <c r="B67" i="254" a="1"/>
  <c r="B67" i="254" s="1"/>
  <c r="A67" i="254" a="1"/>
  <c r="A67" i="254" s="1"/>
  <c r="B66" i="254" a="1"/>
  <c r="B66" i="254" s="1"/>
  <c r="A66" i="254" a="1"/>
  <c r="A66" i="254" s="1"/>
  <c r="B65" i="254" a="1"/>
  <c r="B65" i="254" s="1"/>
  <c r="A65" i="254" a="1"/>
  <c r="A65" i="254" s="1"/>
  <c r="B64" i="254" a="1"/>
  <c r="B64" i="254" s="1"/>
  <c r="A64" i="254" a="1"/>
  <c r="A64" i="254" s="1"/>
  <c r="B63" i="254" a="1"/>
  <c r="B63" i="254" s="1"/>
  <c r="A63" i="254" a="1"/>
  <c r="A63" i="254" s="1"/>
  <c r="B62" i="254" a="1"/>
  <c r="B62" i="254" s="1"/>
  <c r="A62" i="254" a="1"/>
  <c r="A62" i="254" s="1"/>
  <c r="B61" i="254" a="1"/>
  <c r="B61" i="254" s="1"/>
  <c r="A61" i="254" a="1"/>
  <c r="A61" i="254" s="1"/>
  <c r="B60" i="254" a="1"/>
  <c r="B60" i="254" s="1"/>
  <c r="A60" i="254" a="1"/>
  <c r="A60" i="254" s="1"/>
  <c r="B59" i="254" a="1"/>
  <c r="B59" i="254" s="1"/>
  <c r="A59" i="254" a="1"/>
  <c r="A59" i="254" s="1"/>
  <c r="B58" i="254" a="1"/>
  <c r="B58" i="254" s="1"/>
  <c r="A58" i="254" a="1"/>
  <c r="A58" i="254" s="1"/>
  <c r="B57" i="254" a="1"/>
  <c r="B57" i="254" s="1"/>
  <c r="A57" i="254" a="1"/>
  <c r="A57" i="254" s="1"/>
  <c r="B56" i="254" a="1"/>
  <c r="B56" i="254" s="1"/>
  <c r="A56" i="254" a="1"/>
  <c r="A56" i="254" s="1"/>
  <c r="B55" i="254" a="1"/>
  <c r="B55" i="254" s="1"/>
  <c r="A55" i="254" a="1"/>
  <c r="A55" i="254" s="1"/>
  <c r="B54" i="254" a="1"/>
  <c r="B54" i="254" s="1"/>
  <c r="A54" i="254" a="1"/>
  <c r="A54" i="254" s="1"/>
  <c r="B53" i="254" a="1"/>
  <c r="B53" i="254" s="1"/>
  <c r="A53" i="254" a="1"/>
  <c r="A53" i="254" s="1"/>
  <c r="B52" i="254" a="1"/>
  <c r="B52" i="254" s="1"/>
  <c r="A52" i="254" a="1"/>
  <c r="A52" i="254" s="1"/>
  <c r="B51" i="254" a="1"/>
  <c r="B51" i="254" s="1"/>
  <c r="A51" i="254" a="1"/>
  <c r="A51" i="254" s="1"/>
  <c r="B50" i="254" a="1"/>
  <c r="B50" i="254" s="1"/>
  <c r="A50" i="254" a="1"/>
  <c r="A50" i="254" s="1"/>
  <c r="B49" i="254" a="1"/>
  <c r="B49" i="254" s="1"/>
  <c r="A49" i="254" a="1"/>
  <c r="A49" i="254" s="1"/>
  <c r="B48" i="254" a="1"/>
  <c r="B48" i="254" s="1"/>
  <c r="A48" i="254" a="1"/>
  <c r="A48" i="254" s="1"/>
  <c r="B47" i="254" a="1"/>
  <c r="B47" i="254" s="1"/>
  <c r="A47" i="254" a="1"/>
  <c r="A47" i="254" s="1"/>
  <c r="B46" i="254" a="1"/>
  <c r="B46" i="254" s="1"/>
  <c r="A46" i="254" a="1"/>
  <c r="A46" i="254" s="1"/>
  <c r="B45" i="254" a="1"/>
  <c r="B45" i="254" s="1"/>
  <c r="A45" i="254" a="1"/>
  <c r="A45" i="254" s="1"/>
  <c r="B44" i="254" a="1"/>
  <c r="B44" i="254" s="1"/>
  <c r="A44" i="254" a="1"/>
  <c r="A44" i="254" s="1"/>
  <c r="B43" i="254" a="1"/>
  <c r="B43" i="254" s="1"/>
  <c r="A43" i="254" a="1"/>
  <c r="A43" i="254" s="1"/>
  <c r="B42" i="254" a="1"/>
  <c r="B42" i="254" s="1"/>
  <c r="A42" i="254" a="1"/>
  <c r="A42" i="254" s="1"/>
  <c r="B41" i="254" a="1"/>
  <c r="B41" i="254" s="1"/>
  <c r="A41" i="254" a="1"/>
  <c r="A41" i="254" s="1"/>
  <c r="B40" i="254" a="1"/>
  <c r="B40" i="254" s="1"/>
  <c r="A40" i="254" a="1"/>
  <c r="A40" i="254" s="1"/>
  <c r="B39" i="254" a="1"/>
  <c r="B39" i="254" s="1"/>
  <c r="A39" i="254" a="1"/>
  <c r="A39" i="254" s="1"/>
  <c r="B38" i="254" a="1"/>
  <c r="B38" i="254" s="1"/>
  <c r="A38" i="254" a="1"/>
  <c r="A38" i="254" s="1"/>
  <c r="B37" i="254" a="1"/>
  <c r="B37" i="254" s="1"/>
  <c r="A37" i="254" a="1"/>
  <c r="A37" i="254" s="1"/>
  <c r="B36" i="254" a="1"/>
  <c r="B36" i="254" s="1"/>
  <c r="A36" i="254" a="1"/>
  <c r="A36" i="254" s="1"/>
  <c r="B35" i="254" a="1"/>
  <c r="B35" i="254" s="1"/>
  <c r="A35" i="254" a="1"/>
  <c r="A35" i="254" s="1"/>
  <c r="B34" i="254" a="1"/>
  <c r="B34" i="254" s="1"/>
  <c r="A34" i="254" a="1"/>
  <c r="A34" i="254" s="1"/>
  <c r="B33" i="254" a="1"/>
  <c r="B33" i="254" s="1"/>
  <c r="A33" i="254" a="1"/>
  <c r="A33" i="254" s="1"/>
  <c r="B32" i="254" a="1"/>
  <c r="B32" i="254" s="1"/>
  <c r="A32" i="254" a="1"/>
  <c r="A32" i="254" s="1"/>
  <c r="B31" i="254" a="1"/>
  <c r="B31" i="254" s="1"/>
  <c r="A31" i="254" a="1"/>
  <c r="A31" i="254" s="1"/>
  <c r="B30" i="254" a="1"/>
  <c r="B30" i="254" s="1"/>
  <c r="A30" i="254" a="1"/>
  <c r="A30" i="254" s="1"/>
  <c r="B29" i="254" a="1"/>
  <c r="B29" i="254" s="1"/>
  <c r="A29" i="254" a="1"/>
  <c r="A29" i="254" s="1"/>
  <c r="B28" i="254" a="1"/>
  <c r="B28" i="254" s="1"/>
  <c r="A28" i="254" a="1"/>
  <c r="A28" i="254" s="1"/>
  <c r="B27" i="254" a="1"/>
  <c r="B27" i="254" s="1"/>
  <c r="A27" i="254" a="1"/>
  <c r="A27" i="254" s="1"/>
  <c r="B26" i="254" a="1"/>
  <c r="B26" i="254" s="1"/>
  <c r="A26" i="254" a="1"/>
  <c r="A26" i="254" s="1"/>
  <c r="B25" i="254" a="1"/>
  <c r="B25" i="254" s="1"/>
  <c r="A25" i="254" a="1"/>
  <c r="A25" i="254" s="1"/>
  <c r="C232" i="253" a="1"/>
  <c r="C232" i="253" s="1"/>
  <c r="B232" i="253" a="1"/>
  <c r="B232" i="253" s="1"/>
  <c r="A232" i="253" a="1"/>
  <c r="A232" i="253" s="1"/>
  <c r="B214" i="253"/>
  <c r="B213" i="253"/>
  <c r="B212" i="253"/>
  <c r="B211" i="253"/>
  <c r="B210" i="253"/>
  <c r="B209" i="253"/>
  <c r="C203" i="253"/>
  <c r="B203" i="253"/>
  <c r="C202" i="253"/>
  <c r="B202" i="253"/>
  <c r="C201" i="253"/>
  <c r="B201" i="253"/>
  <c r="C200" i="253"/>
  <c r="B200" i="253"/>
  <c r="C199" i="253"/>
  <c r="B199" i="253"/>
  <c r="C198" i="253"/>
  <c r="B198" i="253"/>
  <c r="C197" i="253"/>
  <c r="B197" i="253"/>
  <c r="C196" i="253"/>
  <c r="B196" i="253"/>
  <c r="C195" i="253"/>
  <c r="B195" i="253"/>
  <c r="C194" i="253"/>
  <c r="B194" i="253"/>
  <c r="C193" i="253"/>
  <c r="B193" i="253"/>
  <c r="C192" i="253"/>
  <c r="B192" i="253"/>
  <c r="C191" i="253"/>
  <c r="B191" i="253"/>
  <c r="C190" i="253"/>
  <c r="B190" i="253"/>
  <c r="C189" i="253"/>
  <c r="B189" i="253"/>
  <c r="C188" i="253"/>
  <c r="B188" i="253"/>
  <c r="C187" i="253"/>
  <c r="B187" i="253"/>
  <c r="C186" i="253"/>
  <c r="B186" i="253"/>
  <c r="C185" i="253"/>
  <c r="B185" i="253"/>
  <c r="H181" i="253"/>
  <c r="B180" i="253"/>
  <c r="B179" i="253"/>
  <c r="B178" i="253"/>
  <c r="B177" i="253"/>
  <c r="B176" i="253"/>
  <c r="B175" i="253"/>
  <c r="B174" i="253"/>
  <c r="B173" i="253"/>
  <c r="B172" i="253"/>
  <c r="B171" i="253"/>
  <c r="B170" i="253"/>
  <c r="B169" i="253"/>
  <c r="B168" i="253"/>
  <c r="B167" i="253"/>
  <c r="B166" i="253"/>
  <c r="B165" i="253"/>
  <c r="B164" i="253"/>
  <c r="B163" i="253"/>
  <c r="B162" i="253"/>
  <c r="B161" i="253"/>
  <c r="B160" i="253"/>
  <c r="B159" i="253"/>
  <c r="B158" i="253"/>
  <c r="B157" i="253"/>
  <c r="B156" i="253"/>
  <c r="B155" i="253"/>
  <c r="B154" i="253"/>
  <c r="B153" i="253"/>
  <c r="B152" i="253"/>
  <c r="B151" i="253"/>
  <c r="B150" i="253"/>
  <c r="B149" i="253"/>
  <c r="B148" i="253"/>
  <c r="B147" i="253"/>
  <c r="B146" i="253"/>
  <c r="B145" i="253"/>
  <c r="B144" i="253"/>
  <c r="B143" i="253"/>
  <c r="B142" i="253"/>
  <c r="B141" i="253"/>
  <c r="B140" i="253"/>
  <c r="B139" i="253"/>
  <c r="B138" i="253"/>
  <c r="B137" i="253"/>
  <c r="B136" i="253"/>
  <c r="B135" i="253"/>
  <c r="B134" i="253"/>
  <c r="B133" i="253"/>
  <c r="B132" i="253"/>
  <c r="B131" i="253"/>
  <c r="C127" i="253"/>
  <c r="F126" i="253"/>
  <c r="G126" i="253" s="1"/>
  <c r="F125" i="253"/>
  <c r="G125" i="253" s="1"/>
  <c r="F124" i="253"/>
  <c r="G124" i="253" s="1"/>
  <c r="F123" i="253"/>
  <c r="G123" i="253" s="1"/>
  <c r="G122" i="253"/>
  <c r="F122" i="253"/>
  <c r="F121" i="253"/>
  <c r="G121" i="253" s="1"/>
  <c r="G120" i="253"/>
  <c r="F120" i="253"/>
  <c r="F119" i="253"/>
  <c r="G119" i="253" s="1"/>
  <c r="G118" i="253"/>
  <c r="F118" i="253"/>
  <c r="F117" i="253"/>
  <c r="G117" i="253" s="1"/>
  <c r="F116" i="253"/>
  <c r="G116" i="253" s="1"/>
  <c r="F115" i="253"/>
  <c r="G115" i="253" s="1"/>
  <c r="G114" i="253"/>
  <c r="F114" i="253"/>
  <c r="F113" i="253"/>
  <c r="G113" i="253" s="1"/>
  <c r="F112" i="253"/>
  <c r="G112" i="253" s="1"/>
  <c r="F111" i="253"/>
  <c r="G111" i="253" s="1"/>
  <c r="F110" i="253"/>
  <c r="G110" i="253" s="1"/>
  <c r="F109" i="253"/>
  <c r="G109" i="253" s="1"/>
  <c r="F108" i="253"/>
  <c r="G108" i="253" s="1"/>
  <c r="F107" i="253"/>
  <c r="C101" i="253"/>
  <c r="B100" i="253" a="1"/>
  <c r="B100" i="253" s="1"/>
  <c r="A100" i="253" a="1"/>
  <c r="A100" i="253" s="1"/>
  <c r="B99" i="253" a="1"/>
  <c r="B99" i="253" s="1"/>
  <c r="A99" i="253" a="1"/>
  <c r="A99" i="253" s="1"/>
  <c r="B98" i="253" a="1"/>
  <c r="B98" i="253" s="1"/>
  <c r="A98" i="253" a="1"/>
  <c r="A98" i="253" s="1"/>
  <c r="B97" i="253" a="1"/>
  <c r="B97" i="253" s="1"/>
  <c r="A97" i="253" a="1"/>
  <c r="A97" i="253" s="1"/>
  <c r="B96" i="253" a="1"/>
  <c r="B96" i="253" s="1"/>
  <c r="A96" i="253" a="1"/>
  <c r="A96" i="253" s="1"/>
  <c r="B95" i="253" a="1"/>
  <c r="B95" i="253" s="1"/>
  <c r="A95" i="253" a="1"/>
  <c r="A95" i="253" s="1"/>
  <c r="B94" i="253" a="1"/>
  <c r="B94" i="253" s="1"/>
  <c r="A94" i="253" a="1"/>
  <c r="A94" i="253" s="1"/>
  <c r="B93" i="253" a="1"/>
  <c r="B93" i="253" s="1"/>
  <c r="A93" i="253" a="1"/>
  <c r="A93" i="253" s="1"/>
  <c r="B92" i="253" a="1"/>
  <c r="B92" i="253" s="1"/>
  <c r="A92" i="253" a="1"/>
  <c r="A92" i="253" s="1"/>
  <c r="B91" i="253" a="1"/>
  <c r="B91" i="253" s="1"/>
  <c r="A91" i="253" a="1"/>
  <c r="A91" i="253" s="1"/>
  <c r="B90" i="253" a="1"/>
  <c r="B90" i="253" s="1"/>
  <c r="A90" i="253" a="1"/>
  <c r="A90" i="253" s="1"/>
  <c r="B89" i="253" a="1"/>
  <c r="B89" i="253" s="1"/>
  <c r="A89" i="253" a="1"/>
  <c r="A89" i="253" s="1"/>
  <c r="B88" i="253" a="1"/>
  <c r="B88" i="253" s="1"/>
  <c r="A88" i="253" a="1"/>
  <c r="A88" i="253" s="1"/>
  <c r="B87" i="253" a="1"/>
  <c r="B87" i="253" s="1"/>
  <c r="A87" i="253" a="1"/>
  <c r="A87" i="253" s="1"/>
  <c r="B86" i="253" a="1"/>
  <c r="B86" i="253" s="1"/>
  <c r="A86" i="253" a="1"/>
  <c r="A86" i="253" s="1"/>
  <c r="B85" i="253" a="1"/>
  <c r="B85" i="253" s="1"/>
  <c r="A85" i="253" a="1"/>
  <c r="A85" i="253" s="1"/>
  <c r="B84" i="253" a="1"/>
  <c r="B84" i="253" s="1"/>
  <c r="A84" i="253" a="1"/>
  <c r="A84" i="253" s="1"/>
  <c r="B83" i="253" a="1"/>
  <c r="B83" i="253" s="1"/>
  <c r="A83" i="253" a="1"/>
  <c r="A83" i="253" s="1"/>
  <c r="B82" i="253" a="1"/>
  <c r="B82" i="253" s="1"/>
  <c r="A82" i="253" a="1"/>
  <c r="A82" i="253" s="1"/>
  <c r="B81" i="253" a="1"/>
  <c r="B81" i="253" s="1"/>
  <c r="A81" i="253" a="1"/>
  <c r="A81" i="253" s="1"/>
  <c r="B80" i="253" a="1"/>
  <c r="B80" i="253" s="1"/>
  <c r="A80" i="253" a="1"/>
  <c r="A80" i="253" s="1"/>
  <c r="B79" i="253" a="1"/>
  <c r="B79" i="253" s="1"/>
  <c r="A79" i="253" a="1"/>
  <c r="A79" i="253" s="1"/>
  <c r="B78" i="253" a="1"/>
  <c r="B78" i="253" s="1"/>
  <c r="A78" i="253" a="1"/>
  <c r="A78" i="253" s="1"/>
  <c r="B77" i="253" a="1"/>
  <c r="B77" i="253" s="1"/>
  <c r="A77" i="253" a="1"/>
  <c r="A77" i="253" s="1"/>
  <c r="B76" i="253" a="1"/>
  <c r="B76" i="253" s="1"/>
  <c r="A76" i="253" a="1"/>
  <c r="A76" i="253" s="1"/>
  <c r="B75" i="253" a="1"/>
  <c r="B75" i="253" s="1"/>
  <c r="A75" i="253" a="1"/>
  <c r="A75" i="253" s="1"/>
  <c r="B74" i="253" a="1"/>
  <c r="B74" i="253" s="1"/>
  <c r="A74" i="253" a="1"/>
  <c r="A74" i="253" s="1"/>
  <c r="B73" i="253" a="1"/>
  <c r="B73" i="253" s="1"/>
  <c r="A73" i="253" a="1"/>
  <c r="A73" i="253" s="1"/>
  <c r="B72" i="253" a="1"/>
  <c r="B72" i="253" s="1"/>
  <c r="A72" i="253" a="1"/>
  <c r="A72" i="253" s="1"/>
  <c r="B71" i="253" a="1"/>
  <c r="B71" i="253" s="1"/>
  <c r="A71" i="253" a="1"/>
  <c r="A71" i="253" s="1"/>
  <c r="B70" i="253" a="1"/>
  <c r="B70" i="253" s="1"/>
  <c r="A70" i="253" a="1"/>
  <c r="A70" i="253" s="1"/>
  <c r="B69" i="253" a="1"/>
  <c r="B69" i="253" s="1"/>
  <c r="A69" i="253" a="1"/>
  <c r="A69" i="253" s="1"/>
  <c r="B68" i="253" a="1"/>
  <c r="B68" i="253" s="1"/>
  <c r="A68" i="253" a="1"/>
  <c r="A68" i="253" s="1"/>
  <c r="B67" i="253" a="1"/>
  <c r="B67" i="253" s="1"/>
  <c r="A67" i="253" a="1"/>
  <c r="A67" i="253" s="1"/>
  <c r="B66" i="253" a="1"/>
  <c r="B66" i="253" s="1"/>
  <c r="A66" i="253" a="1"/>
  <c r="A66" i="253" s="1"/>
  <c r="B65" i="253" a="1"/>
  <c r="B65" i="253" s="1"/>
  <c r="A65" i="253" a="1"/>
  <c r="A65" i="253" s="1"/>
  <c r="B64" i="253" a="1"/>
  <c r="B64" i="253" s="1"/>
  <c r="A64" i="253" a="1"/>
  <c r="A64" i="253" s="1"/>
  <c r="B63" i="253" a="1"/>
  <c r="B63" i="253" s="1"/>
  <c r="A63" i="253" a="1"/>
  <c r="A63" i="253" s="1"/>
  <c r="B62" i="253" a="1"/>
  <c r="B62" i="253" s="1"/>
  <c r="A62" i="253" a="1"/>
  <c r="A62" i="253" s="1"/>
  <c r="B61" i="253" a="1"/>
  <c r="B61" i="253" s="1"/>
  <c r="A61" i="253" a="1"/>
  <c r="A61" i="253" s="1"/>
  <c r="B60" i="253" a="1"/>
  <c r="B60" i="253" s="1"/>
  <c r="A60" i="253" a="1"/>
  <c r="A60" i="253" s="1"/>
  <c r="B59" i="253" a="1"/>
  <c r="B59" i="253" s="1"/>
  <c r="A59" i="253" a="1"/>
  <c r="A59" i="253" s="1"/>
  <c r="B58" i="253" a="1"/>
  <c r="B58" i="253" s="1"/>
  <c r="A58" i="253" a="1"/>
  <c r="A58" i="253" s="1"/>
  <c r="B57" i="253" a="1"/>
  <c r="B57" i="253" s="1"/>
  <c r="A57" i="253" a="1"/>
  <c r="A57" i="253" s="1"/>
  <c r="B56" i="253" a="1"/>
  <c r="B56" i="253" s="1"/>
  <c r="A56" i="253" a="1"/>
  <c r="A56" i="253" s="1"/>
  <c r="B55" i="253" a="1"/>
  <c r="B55" i="253" s="1"/>
  <c r="A55" i="253" a="1"/>
  <c r="A55" i="253" s="1"/>
  <c r="B54" i="253" a="1"/>
  <c r="B54" i="253" s="1"/>
  <c r="A54" i="253" a="1"/>
  <c r="A54" i="253" s="1"/>
  <c r="B53" i="253" a="1"/>
  <c r="B53" i="253" s="1"/>
  <c r="A53" i="253" a="1"/>
  <c r="A53" i="253" s="1"/>
  <c r="B52" i="253" a="1"/>
  <c r="B52" i="253" s="1"/>
  <c r="A52" i="253" a="1"/>
  <c r="A52" i="253" s="1"/>
  <c r="B51" i="253" a="1"/>
  <c r="B51" i="253" s="1"/>
  <c r="A51" i="253" a="1"/>
  <c r="A51" i="253" s="1"/>
  <c r="B50" i="253" a="1"/>
  <c r="B50" i="253" s="1"/>
  <c r="A50" i="253" a="1"/>
  <c r="A50" i="253" s="1"/>
  <c r="B49" i="253" a="1"/>
  <c r="B49" i="253" s="1"/>
  <c r="A49" i="253" a="1"/>
  <c r="A49" i="253" s="1"/>
  <c r="B48" i="253" a="1"/>
  <c r="B48" i="253" s="1"/>
  <c r="A48" i="253" a="1"/>
  <c r="A48" i="253" s="1"/>
  <c r="B47" i="253" a="1"/>
  <c r="B47" i="253" s="1"/>
  <c r="A47" i="253" a="1"/>
  <c r="A47" i="253" s="1"/>
  <c r="B46" i="253" a="1"/>
  <c r="B46" i="253" s="1"/>
  <c r="A46" i="253" a="1"/>
  <c r="A46" i="253" s="1"/>
  <c r="B45" i="253" a="1"/>
  <c r="B45" i="253" s="1"/>
  <c r="A45" i="253" a="1"/>
  <c r="A45" i="253" s="1"/>
  <c r="B44" i="253" a="1"/>
  <c r="B44" i="253" s="1"/>
  <c r="A44" i="253" a="1"/>
  <c r="A44" i="253" s="1"/>
  <c r="B43" i="253" a="1"/>
  <c r="B43" i="253" s="1"/>
  <c r="A43" i="253" a="1"/>
  <c r="A43" i="253" s="1"/>
  <c r="B42" i="253" a="1"/>
  <c r="B42" i="253" s="1"/>
  <c r="A42" i="253" a="1"/>
  <c r="A42" i="253" s="1"/>
  <c r="B41" i="253" a="1"/>
  <c r="B41" i="253" s="1"/>
  <c r="A41" i="253" a="1"/>
  <c r="A41" i="253" s="1"/>
  <c r="B40" i="253" a="1"/>
  <c r="B40" i="253" s="1"/>
  <c r="A40" i="253" a="1"/>
  <c r="A40" i="253" s="1"/>
  <c r="B39" i="253" a="1"/>
  <c r="B39" i="253" s="1"/>
  <c r="A39" i="253" a="1"/>
  <c r="A39" i="253" s="1"/>
  <c r="B38" i="253" a="1"/>
  <c r="B38" i="253" s="1"/>
  <c r="A38" i="253" a="1"/>
  <c r="A38" i="253" s="1"/>
  <c r="B37" i="253" a="1"/>
  <c r="B37" i="253" s="1"/>
  <c r="A37" i="253" a="1"/>
  <c r="A37" i="253" s="1"/>
  <c r="B36" i="253" a="1"/>
  <c r="B36" i="253" s="1"/>
  <c r="A36" i="253" a="1"/>
  <c r="A36" i="253" s="1"/>
  <c r="B35" i="253" a="1"/>
  <c r="B35" i="253" s="1"/>
  <c r="A35" i="253" a="1"/>
  <c r="A35" i="253" s="1"/>
  <c r="B34" i="253" a="1"/>
  <c r="B34" i="253" s="1"/>
  <c r="A34" i="253" a="1"/>
  <c r="A34" i="253" s="1"/>
  <c r="B33" i="253" a="1"/>
  <c r="B33" i="253" s="1"/>
  <c r="A33" i="253" a="1"/>
  <c r="A33" i="253" s="1"/>
  <c r="B32" i="253" a="1"/>
  <c r="B32" i="253" s="1"/>
  <c r="A32" i="253" a="1"/>
  <c r="A32" i="253" s="1"/>
  <c r="B31" i="253" a="1"/>
  <c r="B31" i="253" s="1"/>
  <c r="A31" i="253" a="1"/>
  <c r="A31" i="253" s="1"/>
  <c r="B30" i="253" a="1"/>
  <c r="B30" i="253" s="1"/>
  <c r="A30" i="253" a="1"/>
  <c r="A30" i="253" s="1"/>
  <c r="B29" i="253" a="1"/>
  <c r="B29" i="253" s="1"/>
  <c r="A29" i="253" a="1"/>
  <c r="A29" i="253" s="1"/>
  <c r="B28" i="253" a="1"/>
  <c r="B28" i="253" s="1"/>
  <c r="A28" i="253" a="1"/>
  <c r="A28" i="253" s="1"/>
  <c r="B27" i="253" a="1"/>
  <c r="B27" i="253" s="1"/>
  <c r="A27" i="253" a="1"/>
  <c r="A27" i="253" s="1"/>
  <c r="B26" i="253" a="1"/>
  <c r="B26" i="253" s="1"/>
  <c r="A26" i="253" a="1"/>
  <c r="A26" i="253" s="1"/>
  <c r="B25" i="253" a="1"/>
  <c r="B25" i="253" s="1"/>
  <c r="A25" i="253" a="1"/>
  <c r="A25" i="253" s="1"/>
  <c r="C232" i="252" a="1"/>
  <c r="C232" i="252" s="1"/>
  <c r="B232" i="252" a="1"/>
  <c r="B232" i="252" s="1"/>
  <c r="A232" i="252" a="1"/>
  <c r="A232" i="252" s="1"/>
  <c r="B214" i="252"/>
  <c r="B213" i="252"/>
  <c r="B212" i="252"/>
  <c r="B211" i="252"/>
  <c r="B210" i="252"/>
  <c r="B209" i="252"/>
  <c r="C203" i="252"/>
  <c r="B203" i="252"/>
  <c r="C202" i="252"/>
  <c r="B202" i="252"/>
  <c r="C201" i="252"/>
  <c r="B201" i="252"/>
  <c r="C200" i="252"/>
  <c r="B200" i="252"/>
  <c r="C199" i="252"/>
  <c r="B199" i="252"/>
  <c r="C198" i="252"/>
  <c r="B198" i="252"/>
  <c r="C197" i="252"/>
  <c r="B197" i="252"/>
  <c r="C196" i="252"/>
  <c r="B196" i="252"/>
  <c r="C195" i="252"/>
  <c r="B195" i="252"/>
  <c r="C194" i="252"/>
  <c r="B194" i="252"/>
  <c r="C193" i="252"/>
  <c r="B193" i="252"/>
  <c r="C192" i="252"/>
  <c r="B192" i="252"/>
  <c r="C191" i="252"/>
  <c r="B191" i="252"/>
  <c r="C190" i="252"/>
  <c r="B190" i="252"/>
  <c r="C189" i="252"/>
  <c r="B189" i="252"/>
  <c r="C188" i="252"/>
  <c r="B188" i="252"/>
  <c r="C187" i="252"/>
  <c r="B187" i="252"/>
  <c r="C186" i="252"/>
  <c r="B186" i="252"/>
  <c r="C185" i="252"/>
  <c r="B185" i="252"/>
  <c r="H181" i="252"/>
  <c r="B180" i="252"/>
  <c r="B179" i="252"/>
  <c r="B178" i="252"/>
  <c r="B177" i="252"/>
  <c r="B176" i="252"/>
  <c r="B175" i="252"/>
  <c r="B174" i="252"/>
  <c r="B173" i="252"/>
  <c r="B172" i="252"/>
  <c r="B171" i="252"/>
  <c r="B170" i="252"/>
  <c r="B169" i="252"/>
  <c r="B168" i="252"/>
  <c r="B167" i="252"/>
  <c r="B166" i="252"/>
  <c r="B165" i="252"/>
  <c r="B164" i="252"/>
  <c r="B163" i="252"/>
  <c r="B162" i="252"/>
  <c r="B161" i="252"/>
  <c r="B160" i="252"/>
  <c r="B159" i="252"/>
  <c r="B158" i="252"/>
  <c r="B157" i="252"/>
  <c r="B156" i="252"/>
  <c r="B155" i="252"/>
  <c r="B154" i="252"/>
  <c r="B153" i="252"/>
  <c r="B152" i="252"/>
  <c r="B151" i="252"/>
  <c r="B150" i="252"/>
  <c r="B149" i="252"/>
  <c r="B148" i="252"/>
  <c r="B147" i="252"/>
  <c r="B146" i="252"/>
  <c r="B145" i="252"/>
  <c r="B144" i="252"/>
  <c r="B143" i="252"/>
  <c r="B142" i="252"/>
  <c r="B141" i="252"/>
  <c r="B140" i="252"/>
  <c r="B139" i="252"/>
  <c r="B138" i="252"/>
  <c r="B137" i="252"/>
  <c r="B136" i="252"/>
  <c r="B135" i="252"/>
  <c r="B134" i="252"/>
  <c r="B133" i="252"/>
  <c r="B132" i="252"/>
  <c r="B131" i="252"/>
  <c r="C127" i="252"/>
  <c r="F126" i="252"/>
  <c r="G126" i="252" s="1"/>
  <c r="F125" i="252"/>
  <c r="G125" i="252" s="1"/>
  <c r="F124" i="252"/>
  <c r="G124" i="252" s="1"/>
  <c r="G123" i="252"/>
  <c r="F123" i="252"/>
  <c r="F122" i="252"/>
  <c r="G122" i="252" s="1"/>
  <c r="F121" i="252"/>
  <c r="G121" i="252" s="1"/>
  <c r="F120" i="252"/>
  <c r="G120" i="252" s="1"/>
  <c r="G119" i="252"/>
  <c r="F119" i="252"/>
  <c r="F118" i="252"/>
  <c r="G118" i="252" s="1"/>
  <c r="F117" i="252"/>
  <c r="G117" i="252" s="1"/>
  <c r="F116" i="252"/>
  <c r="G116" i="252" s="1"/>
  <c r="G115" i="252"/>
  <c r="F115" i="252"/>
  <c r="F114" i="252"/>
  <c r="G114" i="252" s="1"/>
  <c r="F113" i="252"/>
  <c r="G113" i="252" s="1"/>
  <c r="F112" i="252"/>
  <c r="G112" i="252" s="1"/>
  <c r="F111" i="252"/>
  <c r="G111" i="252" s="1"/>
  <c r="F110" i="252"/>
  <c r="G110" i="252" s="1"/>
  <c r="F109" i="252"/>
  <c r="G109" i="252" s="1"/>
  <c r="G108" i="252"/>
  <c r="F108" i="252"/>
  <c r="F107" i="252"/>
  <c r="C101" i="252"/>
  <c r="B100" i="252" a="1"/>
  <c r="B100" i="252" s="1"/>
  <c r="A100" i="252" a="1"/>
  <c r="A100" i="252" s="1"/>
  <c r="B99" i="252" a="1"/>
  <c r="B99" i="252" s="1"/>
  <c r="A99" i="252" a="1"/>
  <c r="A99" i="252" s="1"/>
  <c r="B98" i="252" a="1"/>
  <c r="B98" i="252" s="1"/>
  <c r="A98" i="252" a="1"/>
  <c r="A98" i="252" s="1"/>
  <c r="B97" i="252" a="1"/>
  <c r="B97" i="252" s="1"/>
  <c r="A97" i="252" a="1"/>
  <c r="A97" i="252" s="1"/>
  <c r="B96" i="252" a="1"/>
  <c r="B96" i="252" s="1"/>
  <c r="A96" i="252" a="1"/>
  <c r="A96" i="252" s="1"/>
  <c r="B95" i="252" a="1"/>
  <c r="B95" i="252" s="1"/>
  <c r="A95" i="252" a="1"/>
  <c r="A95" i="252" s="1"/>
  <c r="B94" i="252" a="1"/>
  <c r="B94" i="252" s="1"/>
  <c r="A94" i="252" a="1"/>
  <c r="A94" i="252" s="1"/>
  <c r="B93" i="252" a="1"/>
  <c r="B93" i="252" s="1"/>
  <c r="A93" i="252" a="1"/>
  <c r="A93" i="252" s="1"/>
  <c r="B92" i="252" a="1"/>
  <c r="B92" i="252" s="1"/>
  <c r="A92" i="252" a="1"/>
  <c r="A92" i="252" s="1"/>
  <c r="B91" i="252" a="1"/>
  <c r="B91" i="252" s="1"/>
  <c r="A91" i="252" a="1"/>
  <c r="A91" i="252" s="1"/>
  <c r="B90" i="252" a="1"/>
  <c r="B90" i="252" s="1"/>
  <c r="A90" i="252" a="1"/>
  <c r="A90" i="252" s="1"/>
  <c r="B89" i="252" a="1"/>
  <c r="B89" i="252" s="1"/>
  <c r="A89" i="252" a="1"/>
  <c r="A89" i="252" s="1"/>
  <c r="B88" i="252" a="1"/>
  <c r="B88" i="252" s="1"/>
  <c r="A88" i="252" a="1"/>
  <c r="A88" i="252" s="1"/>
  <c r="B87" i="252" a="1"/>
  <c r="B87" i="252" s="1"/>
  <c r="A87" i="252" a="1"/>
  <c r="A87" i="252" s="1"/>
  <c r="B86" i="252" a="1"/>
  <c r="B86" i="252" s="1"/>
  <c r="A86" i="252" a="1"/>
  <c r="A86" i="252" s="1"/>
  <c r="B85" i="252" a="1"/>
  <c r="B85" i="252" s="1"/>
  <c r="A85" i="252" a="1"/>
  <c r="A85" i="252" s="1"/>
  <c r="B84" i="252" a="1"/>
  <c r="B84" i="252" s="1"/>
  <c r="A84" i="252" a="1"/>
  <c r="A84" i="252" s="1"/>
  <c r="B83" i="252" a="1"/>
  <c r="B83" i="252" s="1"/>
  <c r="A83" i="252" a="1"/>
  <c r="A83" i="252" s="1"/>
  <c r="B82" i="252" a="1"/>
  <c r="B82" i="252" s="1"/>
  <c r="A82" i="252" a="1"/>
  <c r="A82" i="252" s="1"/>
  <c r="B81" i="252" a="1"/>
  <c r="B81" i="252" s="1"/>
  <c r="A81" i="252" a="1"/>
  <c r="A81" i="252" s="1"/>
  <c r="B80" i="252" a="1"/>
  <c r="B80" i="252" s="1"/>
  <c r="A80" i="252" a="1"/>
  <c r="A80" i="252" s="1"/>
  <c r="B79" i="252" a="1"/>
  <c r="B79" i="252" s="1"/>
  <c r="A79" i="252" a="1"/>
  <c r="A79" i="252" s="1"/>
  <c r="B78" i="252" a="1"/>
  <c r="B78" i="252" s="1"/>
  <c r="A78" i="252" a="1"/>
  <c r="A78" i="252" s="1"/>
  <c r="B77" i="252" a="1"/>
  <c r="B77" i="252" s="1"/>
  <c r="A77" i="252" a="1"/>
  <c r="A77" i="252" s="1"/>
  <c r="B76" i="252" a="1"/>
  <c r="B76" i="252" s="1"/>
  <c r="A76" i="252" a="1"/>
  <c r="A76" i="252" s="1"/>
  <c r="B75" i="252" a="1"/>
  <c r="B75" i="252" s="1"/>
  <c r="A75" i="252" a="1"/>
  <c r="A75" i="252" s="1"/>
  <c r="B74" i="252" a="1"/>
  <c r="B74" i="252" s="1"/>
  <c r="A74" i="252" a="1"/>
  <c r="A74" i="252" s="1"/>
  <c r="B73" i="252" a="1"/>
  <c r="B73" i="252" s="1"/>
  <c r="A73" i="252" a="1"/>
  <c r="A73" i="252" s="1"/>
  <c r="B72" i="252" a="1"/>
  <c r="B72" i="252" s="1"/>
  <c r="A72" i="252" a="1"/>
  <c r="A72" i="252" s="1"/>
  <c r="B71" i="252" a="1"/>
  <c r="B71" i="252" s="1"/>
  <c r="A71" i="252" a="1"/>
  <c r="A71" i="252" s="1"/>
  <c r="B70" i="252" a="1"/>
  <c r="B70" i="252" s="1"/>
  <c r="A70" i="252" a="1"/>
  <c r="A70" i="252" s="1"/>
  <c r="B69" i="252" a="1"/>
  <c r="B69" i="252" s="1"/>
  <c r="A69" i="252" a="1"/>
  <c r="A69" i="252" s="1"/>
  <c r="B68" i="252" a="1"/>
  <c r="B68" i="252" s="1"/>
  <c r="A68" i="252" a="1"/>
  <c r="A68" i="252" s="1"/>
  <c r="B67" i="252" a="1"/>
  <c r="B67" i="252" s="1"/>
  <c r="A67" i="252" a="1"/>
  <c r="A67" i="252" s="1"/>
  <c r="B66" i="252" a="1"/>
  <c r="B66" i="252" s="1"/>
  <c r="A66" i="252" a="1"/>
  <c r="A66" i="252" s="1"/>
  <c r="B65" i="252" a="1"/>
  <c r="B65" i="252" s="1"/>
  <c r="A65" i="252" a="1"/>
  <c r="A65" i="252" s="1"/>
  <c r="B64" i="252" a="1"/>
  <c r="B64" i="252" s="1"/>
  <c r="A64" i="252" a="1"/>
  <c r="A64" i="252" s="1"/>
  <c r="B63" i="252" a="1"/>
  <c r="B63" i="252" s="1"/>
  <c r="A63" i="252" a="1"/>
  <c r="A63" i="252" s="1"/>
  <c r="B62" i="252" a="1"/>
  <c r="B62" i="252" s="1"/>
  <c r="A62" i="252" a="1"/>
  <c r="A62" i="252" s="1"/>
  <c r="B61" i="252" a="1"/>
  <c r="B61" i="252" s="1"/>
  <c r="A61" i="252" a="1"/>
  <c r="A61" i="252" s="1"/>
  <c r="B60" i="252" a="1"/>
  <c r="B60" i="252" s="1"/>
  <c r="A60" i="252" a="1"/>
  <c r="A60" i="252" s="1"/>
  <c r="B59" i="252" a="1"/>
  <c r="B59" i="252" s="1"/>
  <c r="A59" i="252" a="1"/>
  <c r="A59" i="252" s="1"/>
  <c r="B58" i="252" a="1"/>
  <c r="B58" i="252" s="1"/>
  <c r="A58" i="252" a="1"/>
  <c r="A58" i="252" s="1"/>
  <c r="B57" i="252" a="1"/>
  <c r="B57" i="252" s="1"/>
  <c r="A57" i="252" a="1"/>
  <c r="A57" i="252" s="1"/>
  <c r="B56" i="252" a="1"/>
  <c r="B56" i="252" s="1"/>
  <c r="A56" i="252" a="1"/>
  <c r="A56" i="252" s="1"/>
  <c r="B55" i="252" a="1"/>
  <c r="B55" i="252" s="1"/>
  <c r="A55" i="252" a="1"/>
  <c r="A55" i="252" s="1"/>
  <c r="B54" i="252" a="1"/>
  <c r="B54" i="252" s="1"/>
  <c r="A54" i="252" a="1"/>
  <c r="A54" i="252" s="1"/>
  <c r="B53" i="252" a="1"/>
  <c r="B53" i="252" s="1"/>
  <c r="A53" i="252" a="1"/>
  <c r="A53" i="252" s="1"/>
  <c r="B52" i="252" a="1"/>
  <c r="B52" i="252" s="1"/>
  <c r="A52" i="252" a="1"/>
  <c r="A52" i="252" s="1"/>
  <c r="B51" i="252" a="1"/>
  <c r="B51" i="252" s="1"/>
  <c r="A51" i="252" a="1"/>
  <c r="A51" i="252" s="1"/>
  <c r="B50" i="252" a="1"/>
  <c r="B50" i="252" s="1"/>
  <c r="A50" i="252" a="1"/>
  <c r="A50" i="252" s="1"/>
  <c r="B49" i="252" a="1"/>
  <c r="B49" i="252" s="1"/>
  <c r="A49" i="252" a="1"/>
  <c r="A49" i="252" s="1"/>
  <c r="B48" i="252" a="1"/>
  <c r="B48" i="252" s="1"/>
  <c r="A48" i="252" a="1"/>
  <c r="A48" i="252" s="1"/>
  <c r="B47" i="252" a="1"/>
  <c r="B47" i="252" s="1"/>
  <c r="A47" i="252" a="1"/>
  <c r="A47" i="252" s="1"/>
  <c r="B46" i="252" a="1"/>
  <c r="B46" i="252" s="1"/>
  <c r="A46" i="252" a="1"/>
  <c r="A46" i="252" s="1"/>
  <c r="B45" i="252" a="1"/>
  <c r="B45" i="252" s="1"/>
  <c r="A45" i="252" a="1"/>
  <c r="A45" i="252" s="1"/>
  <c r="B44" i="252" a="1"/>
  <c r="B44" i="252" s="1"/>
  <c r="A44" i="252" a="1"/>
  <c r="A44" i="252" s="1"/>
  <c r="B43" i="252" a="1"/>
  <c r="B43" i="252" s="1"/>
  <c r="A43" i="252" a="1"/>
  <c r="A43" i="252" s="1"/>
  <c r="B42" i="252" a="1"/>
  <c r="B42" i="252" s="1"/>
  <c r="A42" i="252" a="1"/>
  <c r="A42" i="252" s="1"/>
  <c r="B41" i="252" a="1"/>
  <c r="B41" i="252" s="1"/>
  <c r="A41" i="252" a="1"/>
  <c r="A41" i="252" s="1"/>
  <c r="B40" i="252" a="1"/>
  <c r="B40" i="252" s="1"/>
  <c r="A40" i="252" a="1"/>
  <c r="A40" i="252" s="1"/>
  <c r="B39" i="252" a="1"/>
  <c r="B39" i="252" s="1"/>
  <c r="A39" i="252" a="1"/>
  <c r="A39" i="252" s="1"/>
  <c r="B38" i="252" a="1"/>
  <c r="B38" i="252" s="1"/>
  <c r="A38" i="252" a="1"/>
  <c r="A38" i="252" s="1"/>
  <c r="B37" i="252" a="1"/>
  <c r="B37" i="252" s="1"/>
  <c r="A37" i="252" a="1"/>
  <c r="A37" i="252" s="1"/>
  <c r="B36" i="252" a="1"/>
  <c r="B36" i="252" s="1"/>
  <c r="A36" i="252" a="1"/>
  <c r="A36" i="252" s="1"/>
  <c r="B35" i="252" a="1"/>
  <c r="B35" i="252" s="1"/>
  <c r="A35" i="252" a="1"/>
  <c r="A35" i="252" s="1"/>
  <c r="B34" i="252" a="1"/>
  <c r="B34" i="252" s="1"/>
  <c r="A34" i="252" a="1"/>
  <c r="A34" i="252" s="1"/>
  <c r="B33" i="252" a="1"/>
  <c r="B33" i="252" s="1"/>
  <c r="A33" i="252" a="1"/>
  <c r="A33" i="252" s="1"/>
  <c r="B32" i="252" a="1"/>
  <c r="B32" i="252" s="1"/>
  <c r="A32" i="252" a="1"/>
  <c r="A32" i="252" s="1"/>
  <c r="B31" i="252" a="1"/>
  <c r="B31" i="252" s="1"/>
  <c r="A31" i="252" a="1"/>
  <c r="A31" i="252" s="1"/>
  <c r="B30" i="252" a="1"/>
  <c r="B30" i="252" s="1"/>
  <c r="A30" i="252" a="1"/>
  <c r="A30" i="252" s="1"/>
  <c r="B29" i="252" a="1"/>
  <c r="B29" i="252" s="1"/>
  <c r="A29" i="252" a="1"/>
  <c r="A29" i="252" s="1"/>
  <c r="B28" i="252" a="1"/>
  <c r="B28" i="252" s="1"/>
  <c r="A28" i="252" a="1"/>
  <c r="A28" i="252" s="1"/>
  <c r="B27" i="252" a="1"/>
  <c r="B27" i="252" s="1"/>
  <c r="A27" i="252" a="1"/>
  <c r="A27" i="252" s="1"/>
  <c r="B26" i="252" a="1"/>
  <c r="B26" i="252" s="1"/>
  <c r="A26" i="252" a="1"/>
  <c r="A26" i="252" s="1"/>
  <c r="B25" i="252" a="1"/>
  <c r="B25" i="252" s="1"/>
  <c r="A25" i="252" a="1"/>
  <c r="A25" i="252" s="1"/>
  <c r="C232" i="251" a="1"/>
  <c r="C232" i="251" s="1"/>
  <c r="B232" i="251" a="1"/>
  <c r="B232" i="251" s="1"/>
  <c r="A232" i="251" a="1"/>
  <c r="A232" i="251" s="1"/>
  <c r="B214" i="251"/>
  <c r="B213" i="251"/>
  <c r="B212" i="251"/>
  <c r="B211" i="251"/>
  <c r="B210" i="251"/>
  <c r="B209" i="251"/>
  <c r="C203" i="251"/>
  <c r="B203" i="251"/>
  <c r="C202" i="251"/>
  <c r="B202" i="251"/>
  <c r="C201" i="251"/>
  <c r="B201" i="251"/>
  <c r="C200" i="251"/>
  <c r="B200" i="251"/>
  <c r="C199" i="251"/>
  <c r="B199" i="251"/>
  <c r="C198" i="251"/>
  <c r="B198" i="251"/>
  <c r="C197" i="251"/>
  <c r="B197" i="251"/>
  <c r="C196" i="251"/>
  <c r="B196" i="251"/>
  <c r="C195" i="251"/>
  <c r="B195" i="251"/>
  <c r="C194" i="251"/>
  <c r="B194" i="251"/>
  <c r="C193" i="251"/>
  <c r="B193" i="251"/>
  <c r="C192" i="251"/>
  <c r="B192" i="251"/>
  <c r="C191" i="251"/>
  <c r="B191" i="251"/>
  <c r="C190" i="251"/>
  <c r="B190" i="251"/>
  <c r="C189" i="251"/>
  <c r="B189" i="251"/>
  <c r="C188" i="251"/>
  <c r="B188" i="251"/>
  <c r="C187" i="251"/>
  <c r="B187" i="251"/>
  <c r="C186" i="251"/>
  <c r="B186" i="251"/>
  <c r="C185" i="251"/>
  <c r="B185" i="251"/>
  <c r="H181" i="251"/>
  <c r="B180" i="251"/>
  <c r="B179" i="251"/>
  <c r="B178" i="251"/>
  <c r="B177" i="251"/>
  <c r="B176" i="251"/>
  <c r="B175" i="251"/>
  <c r="B174" i="251"/>
  <c r="B173" i="251"/>
  <c r="B172" i="251"/>
  <c r="B171" i="251"/>
  <c r="B170" i="251"/>
  <c r="B169" i="251"/>
  <c r="B168" i="251"/>
  <c r="B167" i="251"/>
  <c r="B166" i="251"/>
  <c r="B165" i="251"/>
  <c r="B164" i="251"/>
  <c r="B163" i="251"/>
  <c r="B162" i="251"/>
  <c r="B161" i="251"/>
  <c r="B160" i="251"/>
  <c r="B159" i="251"/>
  <c r="B158" i="251"/>
  <c r="B157" i="251"/>
  <c r="B156" i="251"/>
  <c r="B155" i="251"/>
  <c r="B154" i="251"/>
  <c r="B153" i="251"/>
  <c r="B152" i="251"/>
  <c r="B151" i="251"/>
  <c r="B150" i="251"/>
  <c r="B149" i="251"/>
  <c r="B148" i="251"/>
  <c r="B147" i="251"/>
  <c r="B146" i="251"/>
  <c r="B145" i="251"/>
  <c r="B144" i="251"/>
  <c r="B143" i="251"/>
  <c r="B142" i="251"/>
  <c r="B141" i="251"/>
  <c r="B140" i="251"/>
  <c r="B139" i="251"/>
  <c r="B138" i="251"/>
  <c r="B137" i="251"/>
  <c r="B136" i="251"/>
  <c r="B135" i="251"/>
  <c r="B134" i="251"/>
  <c r="B133" i="251"/>
  <c r="B132" i="251"/>
  <c r="B131" i="251"/>
  <c r="C127" i="251"/>
  <c r="F126" i="251"/>
  <c r="G126" i="251" s="1"/>
  <c r="G125" i="251"/>
  <c r="F125" i="251"/>
  <c r="G124" i="251"/>
  <c r="F124" i="251"/>
  <c r="G123" i="251"/>
  <c r="F123" i="251"/>
  <c r="F122" i="251"/>
  <c r="G122" i="251" s="1"/>
  <c r="G121" i="251"/>
  <c r="F121" i="251"/>
  <c r="F120" i="251"/>
  <c r="G120" i="251" s="1"/>
  <c r="G119" i="251"/>
  <c r="F119" i="251"/>
  <c r="F118" i="251"/>
  <c r="G118" i="251" s="1"/>
  <c r="G117" i="251"/>
  <c r="F117" i="251"/>
  <c r="F116" i="251"/>
  <c r="G116" i="251" s="1"/>
  <c r="F115" i="251"/>
  <c r="G115" i="251" s="1"/>
  <c r="F114" i="251"/>
  <c r="G114" i="251" s="1"/>
  <c r="G113" i="251"/>
  <c r="F113" i="251"/>
  <c r="G112" i="251"/>
  <c r="F112" i="251"/>
  <c r="F111" i="251"/>
  <c r="G111" i="251" s="1"/>
  <c r="F110" i="251"/>
  <c r="G110" i="251" s="1"/>
  <c r="G109" i="251"/>
  <c r="F109" i="251"/>
  <c r="G108" i="251"/>
  <c r="F108" i="251"/>
  <c r="F107" i="251"/>
  <c r="C101" i="251"/>
  <c r="B100" i="251" a="1"/>
  <c r="B100" i="251" s="1"/>
  <c r="A100" i="251" a="1"/>
  <c r="A100" i="251" s="1"/>
  <c r="B99" i="251" a="1"/>
  <c r="B99" i="251" s="1"/>
  <c r="A99" i="251" a="1"/>
  <c r="A99" i="251" s="1"/>
  <c r="B98" i="251" a="1"/>
  <c r="B98" i="251" s="1"/>
  <c r="A98" i="251" a="1"/>
  <c r="A98" i="251" s="1"/>
  <c r="B97" i="251" a="1"/>
  <c r="B97" i="251" s="1"/>
  <c r="A97" i="251" a="1"/>
  <c r="A97" i="251" s="1"/>
  <c r="B96" i="251" a="1"/>
  <c r="B96" i="251" s="1"/>
  <c r="A96" i="251" a="1"/>
  <c r="A96" i="251" s="1"/>
  <c r="B95" i="251" a="1"/>
  <c r="B95" i="251" s="1"/>
  <c r="A95" i="251" a="1"/>
  <c r="A95" i="251" s="1"/>
  <c r="B94" i="251" a="1"/>
  <c r="B94" i="251" s="1"/>
  <c r="A94" i="251" a="1"/>
  <c r="A94" i="251" s="1"/>
  <c r="B93" i="251" a="1"/>
  <c r="B93" i="251" s="1"/>
  <c r="A93" i="251" a="1"/>
  <c r="A93" i="251" s="1"/>
  <c r="B92" i="251" a="1"/>
  <c r="B92" i="251" s="1"/>
  <c r="A92" i="251" a="1"/>
  <c r="A92" i="251" s="1"/>
  <c r="B91" i="251" a="1"/>
  <c r="B91" i="251" s="1"/>
  <c r="A91" i="251" a="1"/>
  <c r="A91" i="251" s="1"/>
  <c r="B90" i="251" a="1"/>
  <c r="B90" i="251" s="1"/>
  <c r="A90" i="251" a="1"/>
  <c r="A90" i="251" s="1"/>
  <c r="B89" i="251" a="1"/>
  <c r="B89" i="251" s="1"/>
  <c r="A89" i="251" a="1"/>
  <c r="A89" i="251" s="1"/>
  <c r="B88" i="251" a="1"/>
  <c r="B88" i="251" s="1"/>
  <c r="A88" i="251" a="1"/>
  <c r="A88" i="251" s="1"/>
  <c r="B87" i="251" a="1"/>
  <c r="B87" i="251" s="1"/>
  <c r="A87" i="251" a="1"/>
  <c r="A87" i="251" s="1"/>
  <c r="B86" i="251" a="1"/>
  <c r="B86" i="251" s="1"/>
  <c r="A86" i="251" a="1"/>
  <c r="A86" i="251" s="1"/>
  <c r="B85" i="251" a="1"/>
  <c r="B85" i="251" s="1"/>
  <c r="A85" i="251" a="1"/>
  <c r="A85" i="251" s="1"/>
  <c r="B84" i="251" a="1"/>
  <c r="B84" i="251" s="1"/>
  <c r="A84" i="251" a="1"/>
  <c r="A84" i="251" s="1"/>
  <c r="B83" i="251" a="1"/>
  <c r="B83" i="251" s="1"/>
  <c r="A83" i="251" a="1"/>
  <c r="A83" i="251" s="1"/>
  <c r="B82" i="251" a="1"/>
  <c r="B82" i="251" s="1"/>
  <c r="A82" i="251" a="1"/>
  <c r="A82" i="251" s="1"/>
  <c r="B81" i="251" a="1"/>
  <c r="B81" i="251" s="1"/>
  <c r="A81" i="251" a="1"/>
  <c r="A81" i="251" s="1"/>
  <c r="B80" i="251" a="1"/>
  <c r="B80" i="251" s="1"/>
  <c r="A80" i="251" a="1"/>
  <c r="A80" i="251" s="1"/>
  <c r="B79" i="251" a="1"/>
  <c r="B79" i="251" s="1"/>
  <c r="A79" i="251" a="1"/>
  <c r="A79" i="251" s="1"/>
  <c r="B78" i="251" a="1"/>
  <c r="B78" i="251" s="1"/>
  <c r="A78" i="251" a="1"/>
  <c r="A78" i="251" s="1"/>
  <c r="B77" i="251" a="1"/>
  <c r="B77" i="251" s="1"/>
  <c r="A77" i="251" a="1"/>
  <c r="A77" i="251" s="1"/>
  <c r="B76" i="251" a="1"/>
  <c r="B76" i="251" s="1"/>
  <c r="A76" i="251" a="1"/>
  <c r="A76" i="251" s="1"/>
  <c r="B75" i="251" a="1"/>
  <c r="B75" i="251" s="1"/>
  <c r="A75" i="251" a="1"/>
  <c r="A75" i="251" s="1"/>
  <c r="B74" i="251" a="1"/>
  <c r="B74" i="251" s="1"/>
  <c r="A74" i="251" a="1"/>
  <c r="A74" i="251" s="1"/>
  <c r="B73" i="251" a="1"/>
  <c r="B73" i="251" s="1"/>
  <c r="A73" i="251" a="1"/>
  <c r="A73" i="251" s="1"/>
  <c r="B72" i="251" a="1"/>
  <c r="B72" i="251" s="1"/>
  <c r="A72" i="251" a="1"/>
  <c r="A72" i="251" s="1"/>
  <c r="B71" i="251" a="1"/>
  <c r="B71" i="251" s="1"/>
  <c r="A71" i="251" a="1"/>
  <c r="A71" i="251" s="1"/>
  <c r="B70" i="251" a="1"/>
  <c r="B70" i="251" s="1"/>
  <c r="A70" i="251" a="1"/>
  <c r="A70" i="251" s="1"/>
  <c r="B69" i="251" a="1"/>
  <c r="B69" i="251" s="1"/>
  <c r="A69" i="251" a="1"/>
  <c r="A69" i="251" s="1"/>
  <c r="B68" i="251" a="1"/>
  <c r="B68" i="251" s="1"/>
  <c r="A68" i="251" a="1"/>
  <c r="A68" i="251" s="1"/>
  <c r="B67" i="251" a="1"/>
  <c r="B67" i="251" s="1"/>
  <c r="A67" i="251" a="1"/>
  <c r="A67" i="251" s="1"/>
  <c r="B66" i="251" a="1"/>
  <c r="B66" i="251" s="1"/>
  <c r="A66" i="251" a="1"/>
  <c r="A66" i="251" s="1"/>
  <c r="B65" i="251" a="1"/>
  <c r="B65" i="251" s="1"/>
  <c r="A65" i="251" a="1"/>
  <c r="A65" i="251" s="1"/>
  <c r="B64" i="251" a="1"/>
  <c r="B64" i="251" s="1"/>
  <c r="A64" i="251" a="1"/>
  <c r="A64" i="251" s="1"/>
  <c r="B63" i="251" a="1"/>
  <c r="B63" i="251" s="1"/>
  <c r="A63" i="251" a="1"/>
  <c r="A63" i="251" s="1"/>
  <c r="B62" i="251" a="1"/>
  <c r="B62" i="251" s="1"/>
  <c r="A62" i="251" a="1"/>
  <c r="A62" i="251" s="1"/>
  <c r="B61" i="251" a="1"/>
  <c r="B61" i="251" s="1"/>
  <c r="A61" i="251" a="1"/>
  <c r="A61" i="251" s="1"/>
  <c r="B60" i="251" a="1"/>
  <c r="B60" i="251" s="1"/>
  <c r="A60" i="251" a="1"/>
  <c r="A60" i="251" s="1"/>
  <c r="B59" i="251" a="1"/>
  <c r="B59" i="251" s="1"/>
  <c r="A59" i="251" a="1"/>
  <c r="A59" i="251" s="1"/>
  <c r="B58" i="251" a="1"/>
  <c r="B58" i="251" s="1"/>
  <c r="A58" i="251" a="1"/>
  <c r="A58" i="251" s="1"/>
  <c r="B57" i="251" a="1"/>
  <c r="B57" i="251" s="1"/>
  <c r="A57" i="251" a="1"/>
  <c r="A57" i="251" s="1"/>
  <c r="B56" i="251" a="1"/>
  <c r="B56" i="251" s="1"/>
  <c r="A56" i="251" a="1"/>
  <c r="A56" i="251" s="1"/>
  <c r="B55" i="251" a="1"/>
  <c r="B55" i="251" s="1"/>
  <c r="A55" i="251" a="1"/>
  <c r="A55" i="251" s="1"/>
  <c r="B54" i="251" a="1"/>
  <c r="B54" i="251" s="1"/>
  <c r="A54" i="251" a="1"/>
  <c r="A54" i="251" s="1"/>
  <c r="B53" i="251" a="1"/>
  <c r="B53" i="251" s="1"/>
  <c r="A53" i="251" a="1"/>
  <c r="A53" i="251" s="1"/>
  <c r="B52" i="251" a="1"/>
  <c r="B52" i="251" s="1"/>
  <c r="A52" i="251" a="1"/>
  <c r="A52" i="251" s="1"/>
  <c r="B51" i="251" a="1"/>
  <c r="B51" i="251" s="1"/>
  <c r="A51" i="251" a="1"/>
  <c r="A51" i="251" s="1"/>
  <c r="B50" i="251" a="1"/>
  <c r="B50" i="251" s="1"/>
  <c r="A50" i="251" a="1"/>
  <c r="A50" i="251" s="1"/>
  <c r="B49" i="251" a="1"/>
  <c r="B49" i="251" s="1"/>
  <c r="A49" i="251" a="1"/>
  <c r="A49" i="251" s="1"/>
  <c r="B48" i="251" a="1"/>
  <c r="B48" i="251" s="1"/>
  <c r="A48" i="251" a="1"/>
  <c r="A48" i="251" s="1"/>
  <c r="B47" i="251" a="1"/>
  <c r="B47" i="251" s="1"/>
  <c r="A47" i="251" a="1"/>
  <c r="A47" i="251" s="1"/>
  <c r="B46" i="251" a="1"/>
  <c r="B46" i="251" s="1"/>
  <c r="A46" i="251" a="1"/>
  <c r="A46" i="251" s="1"/>
  <c r="B45" i="251" a="1"/>
  <c r="B45" i="251" s="1"/>
  <c r="A45" i="251" a="1"/>
  <c r="A45" i="251" s="1"/>
  <c r="B44" i="251" a="1"/>
  <c r="B44" i="251" s="1"/>
  <c r="A44" i="251" a="1"/>
  <c r="A44" i="251" s="1"/>
  <c r="B43" i="251" a="1"/>
  <c r="B43" i="251" s="1"/>
  <c r="A43" i="251" a="1"/>
  <c r="A43" i="251" s="1"/>
  <c r="B42" i="251" a="1"/>
  <c r="B42" i="251" s="1"/>
  <c r="A42" i="251" a="1"/>
  <c r="A42" i="251" s="1"/>
  <c r="B41" i="251" a="1"/>
  <c r="B41" i="251" s="1"/>
  <c r="A41" i="251" a="1"/>
  <c r="A41" i="251" s="1"/>
  <c r="B40" i="251" a="1"/>
  <c r="B40" i="251" s="1"/>
  <c r="A40" i="251" a="1"/>
  <c r="A40" i="251" s="1"/>
  <c r="B39" i="251" a="1"/>
  <c r="B39" i="251" s="1"/>
  <c r="A39" i="251" a="1"/>
  <c r="A39" i="251" s="1"/>
  <c r="B38" i="251" a="1"/>
  <c r="B38" i="251" s="1"/>
  <c r="A38" i="251" a="1"/>
  <c r="A38" i="251" s="1"/>
  <c r="B37" i="251" a="1"/>
  <c r="B37" i="251" s="1"/>
  <c r="A37" i="251" a="1"/>
  <c r="A37" i="251" s="1"/>
  <c r="B36" i="251" a="1"/>
  <c r="B36" i="251" s="1"/>
  <c r="A36" i="251" a="1"/>
  <c r="A36" i="251" s="1"/>
  <c r="B35" i="251" a="1"/>
  <c r="B35" i="251" s="1"/>
  <c r="A35" i="251" a="1"/>
  <c r="A35" i="251" s="1"/>
  <c r="B34" i="251" a="1"/>
  <c r="B34" i="251" s="1"/>
  <c r="A34" i="251" a="1"/>
  <c r="A34" i="251" s="1"/>
  <c r="B33" i="251" a="1"/>
  <c r="B33" i="251" s="1"/>
  <c r="A33" i="251" a="1"/>
  <c r="A33" i="251" s="1"/>
  <c r="B32" i="251" a="1"/>
  <c r="B32" i="251" s="1"/>
  <c r="A32" i="251" a="1"/>
  <c r="A32" i="251" s="1"/>
  <c r="B31" i="251" a="1"/>
  <c r="B31" i="251" s="1"/>
  <c r="A31" i="251" a="1"/>
  <c r="A31" i="251" s="1"/>
  <c r="B30" i="251" a="1"/>
  <c r="B30" i="251" s="1"/>
  <c r="A30" i="251" a="1"/>
  <c r="A30" i="251" s="1"/>
  <c r="B29" i="251" a="1"/>
  <c r="B29" i="251" s="1"/>
  <c r="A29" i="251" a="1"/>
  <c r="A29" i="251" s="1"/>
  <c r="B28" i="251" a="1"/>
  <c r="B28" i="251" s="1"/>
  <c r="A28" i="251" a="1"/>
  <c r="A28" i="251" s="1"/>
  <c r="B27" i="251" a="1"/>
  <c r="B27" i="251" s="1"/>
  <c r="A27" i="251" a="1"/>
  <c r="A27" i="251" s="1"/>
  <c r="B26" i="251" a="1"/>
  <c r="B26" i="251" s="1"/>
  <c r="A26" i="251" a="1"/>
  <c r="A26" i="251" s="1"/>
  <c r="B25" i="251" a="1"/>
  <c r="B25" i="251" s="1"/>
  <c r="A25" i="251" a="1"/>
  <c r="A25" i="251" s="1"/>
  <c r="C232" i="250" a="1"/>
  <c r="C232" i="250" s="1"/>
  <c r="B232" i="250" a="1"/>
  <c r="B232" i="250" s="1"/>
  <c r="A232" i="250" a="1"/>
  <c r="A232" i="250" s="1"/>
  <c r="B214" i="250"/>
  <c r="B213" i="250"/>
  <c r="B212" i="250"/>
  <c r="B211" i="250"/>
  <c r="B210" i="250"/>
  <c r="B209" i="250"/>
  <c r="C203" i="250"/>
  <c r="B203" i="250"/>
  <c r="C202" i="250"/>
  <c r="B202" i="250"/>
  <c r="C201" i="250"/>
  <c r="B201" i="250"/>
  <c r="C200" i="250"/>
  <c r="B200" i="250"/>
  <c r="C199" i="250"/>
  <c r="B199" i="250"/>
  <c r="C198" i="250"/>
  <c r="B198" i="250"/>
  <c r="C197" i="250"/>
  <c r="B197" i="250"/>
  <c r="C196" i="250"/>
  <c r="B196" i="250"/>
  <c r="C195" i="250"/>
  <c r="B195" i="250"/>
  <c r="C194" i="250"/>
  <c r="B194" i="250"/>
  <c r="C193" i="250"/>
  <c r="B193" i="250"/>
  <c r="C192" i="250"/>
  <c r="B192" i="250"/>
  <c r="C191" i="250"/>
  <c r="B191" i="250"/>
  <c r="C190" i="250"/>
  <c r="B190" i="250"/>
  <c r="C189" i="250"/>
  <c r="B189" i="250"/>
  <c r="C188" i="250"/>
  <c r="B188" i="250"/>
  <c r="C187" i="250"/>
  <c r="B187" i="250"/>
  <c r="C186" i="250"/>
  <c r="B186" i="250"/>
  <c r="C185" i="250"/>
  <c r="B185" i="250"/>
  <c r="H181" i="250"/>
  <c r="B180" i="250"/>
  <c r="B179" i="250"/>
  <c r="B178" i="250"/>
  <c r="B177" i="250"/>
  <c r="B176" i="250"/>
  <c r="B175" i="250"/>
  <c r="B174" i="250"/>
  <c r="B173" i="250"/>
  <c r="B172" i="250"/>
  <c r="B171" i="250"/>
  <c r="B170" i="250"/>
  <c r="B169" i="250"/>
  <c r="B168" i="250"/>
  <c r="B167" i="250"/>
  <c r="B166" i="250"/>
  <c r="B165" i="250"/>
  <c r="B164" i="250"/>
  <c r="B163" i="250"/>
  <c r="B162" i="250"/>
  <c r="B161" i="250"/>
  <c r="B160" i="250"/>
  <c r="B159" i="250"/>
  <c r="B158" i="250"/>
  <c r="B157" i="250"/>
  <c r="B156" i="250"/>
  <c r="B155" i="250"/>
  <c r="B154" i="250"/>
  <c r="B153" i="250"/>
  <c r="B152" i="250"/>
  <c r="B151" i="250"/>
  <c r="B150" i="250"/>
  <c r="B149" i="250"/>
  <c r="B148" i="250"/>
  <c r="B147" i="250"/>
  <c r="B146" i="250"/>
  <c r="B145" i="250"/>
  <c r="B144" i="250"/>
  <c r="B143" i="250"/>
  <c r="B142" i="250"/>
  <c r="B141" i="250"/>
  <c r="B140" i="250"/>
  <c r="B139" i="250"/>
  <c r="B138" i="250"/>
  <c r="B137" i="250"/>
  <c r="B136" i="250"/>
  <c r="B135" i="250"/>
  <c r="B134" i="250"/>
  <c r="B133" i="250"/>
  <c r="B132" i="250"/>
  <c r="B131" i="250"/>
  <c r="C127" i="250"/>
  <c r="F126" i="250"/>
  <c r="G126" i="250" s="1"/>
  <c r="F125" i="250"/>
  <c r="G125" i="250" s="1"/>
  <c r="G124" i="250"/>
  <c r="F124" i="250"/>
  <c r="G123" i="250"/>
  <c r="F123" i="250"/>
  <c r="F122" i="250"/>
  <c r="G122" i="250" s="1"/>
  <c r="F121" i="250"/>
  <c r="G121" i="250" s="1"/>
  <c r="G120" i="250"/>
  <c r="F120" i="250"/>
  <c r="G119" i="250"/>
  <c r="F119" i="250"/>
  <c r="F118" i="250"/>
  <c r="G118" i="250" s="1"/>
  <c r="F117" i="250"/>
  <c r="G117" i="250" s="1"/>
  <c r="G116" i="250"/>
  <c r="F116" i="250"/>
  <c r="G115" i="250"/>
  <c r="F115" i="250"/>
  <c r="F114" i="250"/>
  <c r="G114" i="250" s="1"/>
  <c r="F113" i="250"/>
  <c r="G113" i="250" s="1"/>
  <c r="G112" i="250"/>
  <c r="F112" i="250"/>
  <c r="G111" i="250"/>
  <c r="F111" i="250"/>
  <c r="F110" i="250"/>
  <c r="G110" i="250" s="1"/>
  <c r="F109" i="250"/>
  <c r="G109" i="250" s="1"/>
  <c r="G108" i="250"/>
  <c r="F108" i="250"/>
  <c r="G107" i="250"/>
  <c r="F107" i="250"/>
  <c r="C101" i="250"/>
  <c r="B100" i="250" a="1"/>
  <c r="B100" i="250" s="1"/>
  <c r="A100" i="250" a="1"/>
  <c r="A100" i="250" s="1"/>
  <c r="B99" i="250" a="1"/>
  <c r="B99" i="250" s="1"/>
  <c r="A99" i="250" a="1"/>
  <c r="A99" i="250" s="1"/>
  <c r="B98" i="250" a="1"/>
  <c r="B98" i="250" s="1"/>
  <c r="A98" i="250" a="1"/>
  <c r="A98" i="250" s="1"/>
  <c r="B97" i="250" a="1"/>
  <c r="B97" i="250" s="1"/>
  <c r="A97" i="250" a="1"/>
  <c r="A97" i="250" s="1"/>
  <c r="B96" i="250" a="1"/>
  <c r="B96" i="250" s="1"/>
  <c r="A96" i="250" a="1"/>
  <c r="A96" i="250" s="1"/>
  <c r="B95" i="250" a="1"/>
  <c r="B95" i="250" s="1"/>
  <c r="A95" i="250" a="1"/>
  <c r="A95" i="250" s="1"/>
  <c r="B94" i="250" a="1"/>
  <c r="B94" i="250" s="1"/>
  <c r="A94" i="250" a="1"/>
  <c r="A94" i="250" s="1"/>
  <c r="B93" i="250" a="1"/>
  <c r="B93" i="250" s="1"/>
  <c r="A93" i="250" a="1"/>
  <c r="A93" i="250" s="1"/>
  <c r="B92" i="250" a="1"/>
  <c r="B92" i="250" s="1"/>
  <c r="A92" i="250" a="1"/>
  <c r="A92" i="250" s="1"/>
  <c r="B91" i="250" a="1"/>
  <c r="B91" i="250" s="1"/>
  <c r="A91" i="250" a="1"/>
  <c r="A91" i="250" s="1"/>
  <c r="B90" i="250" a="1"/>
  <c r="B90" i="250" s="1"/>
  <c r="A90" i="250" a="1"/>
  <c r="A90" i="250" s="1"/>
  <c r="B89" i="250" a="1"/>
  <c r="B89" i="250" s="1"/>
  <c r="A89" i="250" a="1"/>
  <c r="A89" i="250" s="1"/>
  <c r="B88" i="250" a="1"/>
  <c r="B88" i="250" s="1"/>
  <c r="A88" i="250" a="1"/>
  <c r="A88" i="250" s="1"/>
  <c r="B87" i="250" a="1"/>
  <c r="B87" i="250" s="1"/>
  <c r="A87" i="250" a="1"/>
  <c r="A87" i="250" s="1"/>
  <c r="B86" i="250" a="1"/>
  <c r="B86" i="250" s="1"/>
  <c r="A86" i="250" a="1"/>
  <c r="A86" i="250" s="1"/>
  <c r="B85" i="250" a="1"/>
  <c r="B85" i="250" s="1"/>
  <c r="A85" i="250" a="1"/>
  <c r="A85" i="250" s="1"/>
  <c r="B84" i="250" a="1"/>
  <c r="B84" i="250" s="1"/>
  <c r="A84" i="250" a="1"/>
  <c r="A84" i="250" s="1"/>
  <c r="B83" i="250" a="1"/>
  <c r="B83" i="250" s="1"/>
  <c r="A83" i="250" a="1"/>
  <c r="A83" i="250" s="1"/>
  <c r="B82" i="250" a="1"/>
  <c r="B82" i="250" s="1"/>
  <c r="A82" i="250" a="1"/>
  <c r="A82" i="250" s="1"/>
  <c r="B81" i="250" a="1"/>
  <c r="B81" i="250" s="1"/>
  <c r="A81" i="250" a="1"/>
  <c r="A81" i="250" s="1"/>
  <c r="B80" i="250" a="1"/>
  <c r="B80" i="250" s="1"/>
  <c r="A80" i="250" a="1"/>
  <c r="A80" i="250" s="1"/>
  <c r="B79" i="250" a="1"/>
  <c r="B79" i="250" s="1"/>
  <c r="A79" i="250" a="1"/>
  <c r="A79" i="250" s="1"/>
  <c r="B78" i="250" a="1"/>
  <c r="B78" i="250" s="1"/>
  <c r="A78" i="250" a="1"/>
  <c r="A78" i="250" s="1"/>
  <c r="B77" i="250" a="1"/>
  <c r="B77" i="250" s="1"/>
  <c r="A77" i="250" a="1"/>
  <c r="A77" i="250" s="1"/>
  <c r="B76" i="250" a="1"/>
  <c r="B76" i="250" s="1"/>
  <c r="A76" i="250" a="1"/>
  <c r="A76" i="250" s="1"/>
  <c r="B75" i="250" a="1"/>
  <c r="B75" i="250" s="1"/>
  <c r="A75" i="250" a="1"/>
  <c r="A75" i="250" s="1"/>
  <c r="B74" i="250" a="1"/>
  <c r="B74" i="250" s="1"/>
  <c r="A74" i="250" a="1"/>
  <c r="A74" i="250" s="1"/>
  <c r="B73" i="250" a="1"/>
  <c r="B73" i="250" s="1"/>
  <c r="A73" i="250" a="1"/>
  <c r="A73" i="250" s="1"/>
  <c r="B72" i="250" a="1"/>
  <c r="B72" i="250" s="1"/>
  <c r="A72" i="250" a="1"/>
  <c r="A72" i="250" s="1"/>
  <c r="B71" i="250" a="1"/>
  <c r="B71" i="250" s="1"/>
  <c r="A71" i="250" a="1"/>
  <c r="A71" i="250" s="1"/>
  <c r="B70" i="250" a="1"/>
  <c r="B70" i="250" s="1"/>
  <c r="A70" i="250" a="1"/>
  <c r="A70" i="250" s="1"/>
  <c r="B69" i="250" a="1"/>
  <c r="B69" i="250" s="1"/>
  <c r="A69" i="250" a="1"/>
  <c r="A69" i="250" s="1"/>
  <c r="B68" i="250" a="1"/>
  <c r="B68" i="250" s="1"/>
  <c r="A68" i="250" a="1"/>
  <c r="A68" i="250" s="1"/>
  <c r="B67" i="250" a="1"/>
  <c r="B67" i="250" s="1"/>
  <c r="A67" i="250" a="1"/>
  <c r="A67" i="250" s="1"/>
  <c r="B66" i="250" a="1"/>
  <c r="B66" i="250" s="1"/>
  <c r="A66" i="250" a="1"/>
  <c r="A66" i="250" s="1"/>
  <c r="B65" i="250" a="1"/>
  <c r="B65" i="250" s="1"/>
  <c r="A65" i="250" a="1"/>
  <c r="A65" i="250" s="1"/>
  <c r="B64" i="250" a="1"/>
  <c r="B64" i="250" s="1"/>
  <c r="A64" i="250" a="1"/>
  <c r="A64" i="250" s="1"/>
  <c r="B63" i="250" a="1"/>
  <c r="B63" i="250" s="1"/>
  <c r="A63" i="250" a="1"/>
  <c r="A63" i="250" s="1"/>
  <c r="B62" i="250" a="1"/>
  <c r="B62" i="250" s="1"/>
  <c r="A62" i="250" a="1"/>
  <c r="A62" i="250" s="1"/>
  <c r="B61" i="250" a="1"/>
  <c r="B61" i="250" s="1"/>
  <c r="A61" i="250" a="1"/>
  <c r="A61" i="250" s="1"/>
  <c r="B60" i="250" a="1"/>
  <c r="B60" i="250" s="1"/>
  <c r="A60" i="250" a="1"/>
  <c r="A60" i="250" s="1"/>
  <c r="B59" i="250" a="1"/>
  <c r="B59" i="250" s="1"/>
  <c r="A59" i="250" a="1"/>
  <c r="A59" i="250" s="1"/>
  <c r="B58" i="250" a="1"/>
  <c r="B58" i="250" s="1"/>
  <c r="A58" i="250" a="1"/>
  <c r="A58" i="250" s="1"/>
  <c r="B57" i="250" a="1"/>
  <c r="B57" i="250" s="1"/>
  <c r="A57" i="250" a="1"/>
  <c r="A57" i="250" s="1"/>
  <c r="B56" i="250" a="1"/>
  <c r="B56" i="250" s="1"/>
  <c r="A56" i="250" a="1"/>
  <c r="A56" i="250" s="1"/>
  <c r="B55" i="250" a="1"/>
  <c r="B55" i="250" s="1"/>
  <c r="A55" i="250" a="1"/>
  <c r="A55" i="250" s="1"/>
  <c r="B54" i="250" a="1"/>
  <c r="B54" i="250" s="1"/>
  <c r="A54" i="250" a="1"/>
  <c r="A54" i="250" s="1"/>
  <c r="B53" i="250" a="1"/>
  <c r="B53" i="250" s="1"/>
  <c r="A53" i="250" a="1"/>
  <c r="A53" i="250" s="1"/>
  <c r="B52" i="250" a="1"/>
  <c r="B52" i="250" s="1"/>
  <c r="A52" i="250" a="1"/>
  <c r="A52" i="250" s="1"/>
  <c r="B51" i="250" a="1"/>
  <c r="B51" i="250" s="1"/>
  <c r="A51" i="250" a="1"/>
  <c r="A51" i="250" s="1"/>
  <c r="B50" i="250" a="1"/>
  <c r="B50" i="250" s="1"/>
  <c r="A50" i="250" a="1"/>
  <c r="A50" i="250" s="1"/>
  <c r="B49" i="250" a="1"/>
  <c r="B49" i="250" s="1"/>
  <c r="A49" i="250" a="1"/>
  <c r="A49" i="250" s="1"/>
  <c r="B48" i="250" a="1"/>
  <c r="B48" i="250" s="1"/>
  <c r="A48" i="250" a="1"/>
  <c r="A48" i="250" s="1"/>
  <c r="B47" i="250" a="1"/>
  <c r="B47" i="250" s="1"/>
  <c r="A47" i="250" a="1"/>
  <c r="A47" i="250" s="1"/>
  <c r="B46" i="250" a="1"/>
  <c r="B46" i="250" s="1"/>
  <c r="A46" i="250" a="1"/>
  <c r="A46" i="250" s="1"/>
  <c r="B45" i="250" a="1"/>
  <c r="B45" i="250" s="1"/>
  <c r="A45" i="250" a="1"/>
  <c r="A45" i="250" s="1"/>
  <c r="B44" i="250" a="1"/>
  <c r="B44" i="250" s="1"/>
  <c r="A44" i="250" a="1"/>
  <c r="A44" i="250" s="1"/>
  <c r="B43" i="250" a="1"/>
  <c r="B43" i="250" s="1"/>
  <c r="A43" i="250" a="1"/>
  <c r="A43" i="250" s="1"/>
  <c r="B42" i="250" a="1"/>
  <c r="B42" i="250" s="1"/>
  <c r="A42" i="250" a="1"/>
  <c r="A42" i="250" s="1"/>
  <c r="B41" i="250" a="1"/>
  <c r="B41" i="250" s="1"/>
  <c r="A41" i="250" a="1"/>
  <c r="A41" i="250" s="1"/>
  <c r="B40" i="250" a="1"/>
  <c r="B40" i="250" s="1"/>
  <c r="A40" i="250" a="1"/>
  <c r="A40" i="250" s="1"/>
  <c r="B39" i="250" a="1"/>
  <c r="B39" i="250" s="1"/>
  <c r="A39" i="250" a="1"/>
  <c r="A39" i="250" s="1"/>
  <c r="B38" i="250" a="1"/>
  <c r="B38" i="250" s="1"/>
  <c r="A38" i="250" a="1"/>
  <c r="A38" i="250" s="1"/>
  <c r="B37" i="250" a="1"/>
  <c r="B37" i="250" s="1"/>
  <c r="A37" i="250" a="1"/>
  <c r="A37" i="250" s="1"/>
  <c r="B36" i="250" a="1"/>
  <c r="B36" i="250" s="1"/>
  <c r="A36" i="250" a="1"/>
  <c r="A36" i="250" s="1"/>
  <c r="B35" i="250" a="1"/>
  <c r="B35" i="250" s="1"/>
  <c r="A35" i="250" a="1"/>
  <c r="A35" i="250" s="1"/>
  <c r="B34" i="250" a="1"/>
  <c r="B34" i="250" s="1"/>
  <c r="A34" i="250" a="1"/>
  <c r="A34" i="250" s="1"/>
  <c r="B33" i="250" a="1"/>
  <c r="B33" i="250" s="1"/>
  <c r="A33" i="250" a="1"/>
  <c r="A33" i="250" s="1"/>
  <c r="B32" i="250" a="1"/>
  <c r="B32" i="250" s="1"/>
  <c r="A32" i="250" a="1"/>
  <c r="A32" i="250" s="1"/>
  <c r="B31" i="250" a="1"/>
  <c r="B31" i="250" s="1"/>
  <c r="A31" i="250" a="1"/>
  <c r="A31" i="250" s="1"/>
  <c r="B30" i="250" a="1"/>
  <c r="B30" i="250" s="1"/>
  <c r="A30" i="250" a="1"/>
  <c r="A30" i="250" s="1"/>
  <c r="B29" i="250" a="1"/>
  <c r="B29" i="250" s="1"/>
  <c r="A29" i="250" a="1"/>
  <c r="A29" i="250" s="1"/>
  <c r="B28" i="250" a="1"/>
  <c r="B28" i="250" s="1"/>
  <c r="A28" i="250" a="1"/>
  <c r="A28" i="250" s="1"/>
  <c r="B27" i="250" a="1"/>
  <c r="B27" i="250" s="1"/>
  <c r="A27" i="250" a="1"/>
  <c r="A27" i="250" s="1"/>
  <c r="B26" i="250" a="1"/>
  <c r="B26" i="250" s="1"/>
  <c r="A26" i="250" a="1"/>
  <c r="A26" i="250" s="1"/>
  <c r="B25" i="250" a="1"/>
  <c r="B25" i="250" s="1"/>
  <c r="A25" i="250" a="1"/>
  <c r="A25" i="250" s="1"/>
  <c r="C232" i="249" a="1"/>
  <c r="C232" i="249" s="1"/>
  <c r="B232" i="249" a="1"/>
  <c r="B232" i="249" s="1"/>
  <c r="A232" i="249" a="1"/>
  <c r="A232" i="249" s="1"/>
  <c r="B214" i="249"/>
  <c r="B213" i="249"/>
  <c r="B212" i="249"/>
  <c r="B211" i="249"/>
  <c r="B210" i="249"/>
  <c r="B209" i="249"/>
  <c r="C203" i="249"/>
  <c r="B203" i="249"/>
  <c r="C202" i="249"/>
  <c r="B202" i="249"/>
  <c r="C201" i="249"/>
  <c r="B201" i="249"/>
  <c r="C200" i="249"/>
  <c r="B200" i="249"/>
  <c r="C199" i="249"/>
  <c r="B199" i="249"/>
  <c r="C198" i="249"/>
  <c r="B198" i="249"/>
  <c r="C197" i="249"/>
  <c r="B197" i="249"/>
  <c r="C196" i="249"/>
  <c r="B196" i="249"/>
  <c r="C195" i="249"/>
  <c r="B195" i="249"/>
  <c r="C194" i="249"/>
  <c r="B194" i="249"/>
  <c r="C193" i="249"/>
  <c r="B193" i="249"/>
  <c r="C192" i="249"/>
  <c r="B192" i="249"/>
  <c r="C191" i="249"/>
  <c r="B191" i="249"/>
  <c r="C190" i="249"/>
  <c r="B190" i="249"/>
  <c r="C189" i="249"/>
  <c r="B189" i="249"/>
  <c r="C188" i="249"/>
  <c r="B188" i="249"/>
  <c r="C187" i="249"/>
  <c r="B187" i="249"/>
  <c r="C186" i="249"/>
  <c r="B186" i="249"/>
  <c r="C185" i="249"/>
  <c r="B185" i="249"/>
  <c r="H181" i="249"/>
  <c r="B180" i="249"/>
  <c r="B179" i="249"/>
  <c r="B178" i="249"/>
  <c r="B177" i="249"/>
  <c r="B176" i="249"/>
  <c r="B175" i="249"/>
  <c r="B174" i="249"/>
  <c r="B173" i="249"/>
  <c r="B172" i="249"/>
  <c r="B171" i="249"/>
  <c r="B170" i="249"/>
  <c r="B169" i="249"/>
  <c r="B168" i="249"/>
  <c r="B167" i="249"/>
  <c r="B166" i="249"/>
  <c r="B165" i="249"/>
  <c r="B164" i="249"/>
  <c r="B163" i="249"/>
  <c r="B162" i="249"/>
  <c r="B161" i="249"/>
  <c r="B160" i="249"/>
  <c r="B159" i="249"/>
  <c r="B158" i="249"/>
  <c r="B157" i="249"/>
  <c r="B156" i="249"/>
  <c r="B155" i="249"/>
  <c r="B154" i="249"/>
  <c r="B153" i="249"/>
  <c r="B152" i="249"/>
  <c r="B151" i="249"/>
  <c r="B150" i="249"/>
  <c r="B149" i="249"/>
  <c r="B148" i="249"/>
  <c r="B147" i="249"/>
  <c r="B146" i="249"/>
  <c r="B145" i="249"/>
  <c r="B144" i="249"/>
  <c r="B143" i="249"/>
  <c r="B142" i="249"/>
  <c r="B141" i="249"/>
  <c r="B140" i="249"/>
  <c r="B139" i="249"/>
  <c r="B138" i="249"/>
  <c r="B137" i="249"/>
  <c r="B136" i="249"/>
  <c r="B135" i="249"/>
  <c r="B134" i="249"/>
  <c r="B133" i="249"/>
  <c r="B132" i="249"/>
  <c r="B131" i="249"/>
  <c r="C127" i="249"/>
  <c r="F126" i="249"/>
  <c r="G126" i="249" s="1"/>
  <c r="F125" i="249"/>
  <c r="G125" i="249" s="1"/>
  <c r="G124" i="249"/>
  <c r="F124" i="249"/>
  <c r="G123" i="249"/>
  <c r="F123" i="249"/>
  <c r="F122" i="249"/>
  <c r="G122" i="249" s="1"/>
  <c r="F121" i="249"/>
  <c r="G121" i="249" s="1"/>
  <c r="G120" i="249"/>
  <c r="F120" i="249"/>
  <c r="G119" i="249"/>
  <c r="F119" i="249"/>
  <c r="F118" i="249"/>
  <c r="G118" i="249" s="1"/>
  <c r="F117" i="249"/>
  <c r="G117" i="249" s="1"/>
  <c r="G116" i="249"/>
  <c r="F116" i="249"/>
  <c r="G115" i="249"/>
  <c r="F115" i="249"/>
  <c r="F114" i="249"/>
  <c r="G114" i="249" s="1"/>
  <c r="F113" i="249"/>
  <c r="G113" i="249" s="1"/>
  <c r="G112" i="249"/>
  <c r="F112" i="249"/>
  <c r="G111" i="249"/>
  <c r="F111" i="249"/>
  <c r="F110" i="249"/>
  <c r="G110" i="249" s="1"/>
  <c r="F109" i="249"/>
  <c r="G109" i="249" s="1"/>
  <c r="G108" i="249"/>
  <c r="F108" i="249"/>
  <c r="G107" i="249"/>
  <c r="F107" i="249"/>
  <c r="C101" i="249"/>
  <c r="B100" i="249" a="1"/>
  <c r="B100" i="249" s="1"/>
  <c r="A100" i="249" a="1"/>
  <c r="A100" i="249" s="1"/>
  <c r="B99" i="249" a="1"/>
  <c r="B99" i="249" s="1"/>
  <c r="A99" i="249" a="1"/>
  <c r="A99" i="249" s="1"/>
  <c r="B98" i="249" a="1"/>
  <c r="B98" i="249" s="1"/>
  <c r="A98" i="249" a="1"/>
  <c r="A98" i="249" s="1"/>
  <c r="B97" i="249" a="1"/>
  <c r="B97" i="249" s="1"/>
  <c r="A97" i="249" a="1"/>
  <c r="A97" i="249" s="1"/>
  <c r="B96" i="249" a="1"/>
  <c r="B96" i="249" s="1"/>
  <c r="A96" i="249" a="1"/>
  <c r="A96" i="249" s="1"/>
  <c r="B95" i="249" a="1"/>
  <c r="B95" i="249" s="1"/>
  <c r="A95" i="249" a="1"/>
  <c r="A95" i="249" s="1"/>
  <c r="B94" i="249" a="1"/>
  <c r="B94" i="249" s="1"/>
  <c r="A94" i="249" a="1"/>
  <c r="A94" i="249" s="1"/>
  <c r="B93" i="249" a="1"/>
  <c r="B93" i="249" s="1"/>
  <c r="A93" i="249" a="1"/>
  <c r="A93" i="249" s="1"/>
  <c r="B92" i="249" a="1"/>
  <c r="B92" i="249" s="1"/>
  <c r="A92" i="249" a="1"/>
  <c r="A92" i="249" s="1"/>
  <c r="B91" i="249" a="1"/>
  <c r="B91" i="249" s="1"/>
  <c r="A91" i="249" a="1"/>
  <c r="A91" i="249" s="1"/>
  <c r="B90" i="249" a="1"/>
  <c r="B90" i="249" s="1"/>
  <c r="A90" i="249" a="1"/>
  <c r="A90" i="249" s="1"/>
  <c r="B89" i="249" a="1"/>
  <c r="B89" i="249" s="1"/>
  <c r="A89" i="249" a="1"/>
  <c r="A89" i="249" s="1"/>
  <c r="B88" i="249" a="1"/>
  <c r="B88" i="249" s="1"/>
  <c r="A88" i="249" a="1"/>
  <c r="A88" i="249" s="1"/>
  <c r="B87" i="249" a="1"/>
  <c r="B87" i="249" s="1"/>
  <c r="A87" i="249" a="1"/>
  <c r="A87" i="249" s="1"/>
  <c r="B86" i="249" a="1"/>
  <c r="B86" i="249" s="1"/>
  <c r="A86" i="249" a="1"/>
  <c r="A86" i="249" s="1"/>
  <c r="B85" i="249" a="1"/>
  <c r="B85" i="249" s="1"/>
  <c r="A85" i="249" a="1"/>
  <c r="A85" i="249" s="1"/>
  <c r="B84" i="249" a="1"/>
  <c r="B84" i="249" s="1"/>
  <c r="A84" i="249" a="1"/>
  <c r="A84" i="249" s="1"/>
  <c r="B83" i="249" a="1"/>
  <c r="B83" i="249" s="1"/>
  <c r="A83" i="249" a="1"/>
  <c r="A83" i="249" s="1"/>
  <c r="B82" i="249" a="1"/>
  <c r="B82" i="249" s="1"/>
  <c r="A82" i="249" a="1"/>
  <c r="A82" i="249" s="1"/>
  <c r="B81" i="249" a="1"/>
  <c r="B81" i="249" s="1"/>
  <c r="A81" i="249" a="1"/>
  <c r="A81" i="249" s="1"/>
  <c r="B80" i="249" a="1"/>
  <c r="B80" i="249" s="1"/>
  <c r="A80" i="249" a="1"/>
  <c r="A80" i="249" s="1"/>
  <c r="B79" i="249" a="1"/>
  <c r="B79" i="249" s="1"/>
  <c r="A79" i="249" a="1"/>
  <c r="A79" i="249" s="1"/>
  <c r="B78" i="249" a="1"/>
  <c r="B78" i="249" s="1"/>
  <c r="A78" i="249" a="1"/>
  <c r="A78" i="249" s="1"/>
  <c r="B77" i="249" a="1"/>
  <c r="B77" i="249" s="1"/>
  <c r="A77" i="249" a="1"/>
  <c r="A77" i="249" s="1"/>
  <c r="B76" i="249" a="1"/>
  <c r="B76" i="249" s="1"/>
  <c r="A76" i="249" a="1"/>
  <c r="A76" i="249" s="1"/>
  <c r="B75" i="249" a="1"/>
  <c r="B75" i="249" s="1"/>
  <c r="A75" i="249" a="1"/>
  <c r="A75" i="249" s="1"/>
  <c r="B74" i="249" a="1"/>
  <c r="B74" i="249" s="1"/>
  <c r="A74" i="249" a="1"/>
  <c r="A74" i="249" s="1"/>
  <c r="B73" i="249" a="1"/>
  <c r="B73" i="249" s="1"/>
  <c r="A73" i="249" a="1"/>
  <c r="A73" i="249" s="1"/>
  <c r="B72" i="249" a="1"/>
  <c r="B72" i="249" s="1"/>
  <c r="A72" i="249" a="1"/>
  <c r="A72" i="249" s="1"/>
  <c r="B71" i="249" a="1"/>
  <c r="B71" i="249" s="1"/>
  <c r="A71" i="249" a="1"/>
  <c r="A71" i="249" s="1"/>
  <c r="B70" i="249" a="1"/>
  <c r="B70" i="249" s="1"/>
  <c r="A70" i="249" a="1"/>
  <c r="A70" i="249" s="1"/>
  <c r="B69" i="249" a="1"/>
  <c r="B69" i="249" s="1"/>
  <c r="A69" i="249" a="1"/>
  <c r="A69" i="249" s="1"/>
  <c r="B68" i="249" a="1"/>
  <c r="B68" i="249" s="1"/>
  <c r="A68" i="249" a="1"/>
  <c r="A68" i="249" s="1"/>
  <c r="B67" i="249" a="1"/>
  <c r="B67" i="249" s="1"/>
  <c r="A67" i="249" a="1"/>
  <c r="A67" i="249" s="1"/>
  <c r="B66" i="249" a="1"/>
  <c r="B66" i="249" s="1"/>
  <c r="A66" i="249" a="1"/>
  <c r="A66" i="249" s="1"/>
  <c r="B65" i="249" a="1"/>
  <c r="B65" i="249" s="1"/>
  <c r="A65" i="249" a="1"/>
  <c r="A65" i="249" s="1"/>
  <c r="B64" i="249" a="1"/>
  <c r="B64" i="249" s="1"/>
  <c r="A64" i="249" a="1"/>
  <c r="A64" i="249" s="1"/>
  <c r="B63" i="249" a="1"/>
  <c r="B63" i="249" s="1"/>
  <c r="A63" i="249" a="1"/>
  <c r="A63" i="249" s="1"/>
  <c r="B62" i="249" a="1"/>
  <c r="B62" i="249" s="1"/>
  <c r="A62" i="249" a="1"/>
  <c r="A62" i="249" s="1"/>
  <c r="B61" i="249" a="1"/>
  <c r="B61" i="249" s="1"/>
  <c r="A61" i="249" a="1"/>
  <c r="A61" i="249" s="1"/>
  <c r="B60" i="249" a="1"/>
  <c r="B60" i="249" s="1"/>
  <c r="A60" i="249" a="1"/>
  <c r="A60" i="249" s="1"/>
  <c r="B59" i="249" a="1"/>
  <c r="B59" i="249" s="1"/>
  <c r="A59" i="249" a="1"/>
  <c r="A59" i="249" s="1"/>
  <c r="B58" i="249" a="1"/>
  <c r="B58" i="249" s="1"/>
  <c r="A58" i="249" a="1"/>
  <c r="A58" i="249" s="1"/>
  <c r="B57" i="249" a="1"/>
  <c r="B57" i="249" s="1"/>
  <c r="A57" i="249" a="1"/>
  <c r="A57" i="249" s="1"/>
  <c r="B56" i="249" a="1"/>
  <c r="B56" i="249" s="1"/>
  <c r="A56" i="249" a="1"/>
  <c r="A56" i="249" s="1"/>
  <c r="B55" i="249" a="1"/>
  <c r="B55" i="249" s="1"/>
  <c r="A55" i="249" a="1"/>
  <c r="A55" i="249" s="1"/>
  <c r="B54" i="249" a="1"/>
  <c r="B54" i="249" s="1"/>
  <c r="A54" i="249" a="1"/>
  <c r="A54" i="249" s="1"/>
  <c r="B53" i="249" a="1"/>
  <c r="B53" i="249" s="1"/>
  <c r="A53" i="249" a="1"/>
  <c r="A53" i="249" s="1"/>
  <c r="B52" i="249" a="1"/>
  <c r="B52" i="249" s="1"/>
  <c r="A52" i="249" a="1"/>
  <c r="A52" i="249" s="1"/>
  <c r="B51" i="249" a="1"/>
  <c r="B51" i="249" s="1"/>
  <c r="A51" i="249" a="1"/>
  <c r="A51" i="249" s="1"/>
  <c r="B50" i="249" a="1"/>
  <c r="B50" i="249" s="1"/>
  <c r="A50" i="249" a="1"/>
  <c r="A50" i="249" s="1"/>
  <c r="B49" i="249" a="1"/>
  <c r="B49" i="249" s="1"/>
  <c r="A49" i="249" a="1"/>
  <c r="A49" i="249" s="1"/>
  <c r="B48" i="249" a="1"/>
  <c r="B48" i="249" s="1"/>
  <c r="A48" i="249" a="1"/>
  <c r="A48" i="249" s="1"/>
  <c r="B47" i="249" a="1"/>
  <c r="B47" i="249" s="1"/>
  <c r="A47" i="249" a="1"/>
  <c r="A47" i="249" s="1"/>
  <c r="B46" i="249" a="1"/>
  <c r="B46" i="249" s="1"/>
  <c r="A46" i="249" a="1"/>
  <c r="A46" i="249" s="1"/>
  <c r="B45" i="249" a="1"/>
  <c r="B45" i="249" s="1"/>
  <c r="A45" i="249" a="1"/>
  <c r="A45" i="249" s="1"/>
  <c r="B44" i="249" a="1"/>
  <c r="B44" i="249" s="1"/>
  <c r="A44" i="249" a="1"/>
  <c r="A44" i="249" s="1"/>
  <c r="B43" i="249" a="1"/>
  <c r="B43" i="249" s="1"/>
  <c r="A43" i="249" a="1"/>
  <c r="A43" i="249" s="1"/>
  <c r="B42" i="249" a="1"/>
  <c r="B42" i="249" s="1"/>
  <c r="A42" i="249" a="1"/>
  <c r="A42" i="249" s="1"/>
  <c r="B41" i="249" a="1"/>
  <c r="B41" i="249" s="1"/>
  <c r="A41" i="249" a="1"/>
  <c r="A41" i="249" s="1"/>
  <c r="B40" i="249" a="1"/>
  <c r="B40" i="249" s="1"/>
  <c r="A40" i="249" a="1"/>
  <c r="A40" i="249" s="1"/>
  <c r="B39" i="249" a="1"/>
  <c r="B39" i="249" s="1"/>
  <c r="A39" i="249" a="1"/>
  <c r="A39" i="249" s="1"/>
  <c r="B38" i="249" a="1"/>
  <c r="B38" i="249" s="1"/>
  <c r="A38" i="249" a="1"/>
  <c r="A38" i="249" s="1"/>
  <c r="B37" i="249" a="1"/>
  <c r="B37" i="249" s="1"/>
  <c r="A37" i="249" a="1"/>
  <c r="A37" i="249" s="1"/>
  <c r="B36" i="249" a="1"/>
  <c r="B36" i="249" s="1"/>
  <c r="A36" i="249" a="1"/>
  <c r="A36" i="249" s="1"/>
  <c r="B35" i="249" a="1"/>
  <c r="B35" i="249" s="1"/>
  <c r="A35" i="249" a="1"/>
  <c r="A35" i="249" s="1"/>
  <c r="B34" i="249" a="1"/>
  <c r="B34" i="249" s="1"/>
  <c r="A34" i="249" a="1"/>
  <c r="A34" i="249" s="1"/>
  <c r="B33" i="249" a="1"/>
  <c r="B33" i="249" s="1"/>
  <c r="A33" i="249" a="1"/>
  <c r="A33" i="249" s="1"/>
  <c r="B32" i="249" a="1"/>
  <c r="B32" i="249" s="1"/>
  <c r="A32" i="249" a="1"/>
  <c r="A32" i="249" s="1"/>
  <c r="B31" i="249" a="1"/>
  <c r="B31" i="249" s="1"/>
  <c r="A31" i="249" a="1"/>
  <c r="A31" i="249" s="1"/>
  <c r="B30" i="249" a="1"/>
  <c r="B30" i="249" s="1"/>
  <c r="A30" i="249" a="1"/>
  <c r="A30" i="249" s="1"/>
  <c r="B29" i="249" a="1"/>
  <c r="B29" i="249" s="1"/>
  <c r="A29" i="249" a="1"/>
  <c r="A29" i="249" s="1"/>
  <c r="B28" i="249" a="1"/>
  <c r="B28" i="249" s="1"/>
  <c r="A28" i="249" a="1"/>
  <c r="A28" i="249" s="1"/>
  <c r="B27" i="249" a="1"/>
  <c r="B27" i="249" s="1"/>
  <c r="A27" i="249" a="1"/>
  <c r="A27" i="249" s="1"/>
  <c r="B26" i="249" a="1"/>
  <c r="B26" i="249" s="1"/>
  <c r="A26" i="249" a="1"/>
  <c r="A26" i="249" s="1"/>
  <c r="B25" i="249" a="1"/>
  <c r="B25" i="249" s="1"/>
  <c r="A25" i="249" a="1"/>
  <c r="A25" i="249" s="1"/>
  <c r="C232" i="248" a="1"/>
  <c r="C232" i="248" s="1"/>
  <c r="B232" i="248" a="1"/>
  <c r="B232" i="248" s="1"/>
  <c r="A232" i="248" a="1"/>
  <c r="A232" i="248" s="1"/>
  <c r="B214" i="248"/>
  <c r="B213" i="248"/>
  <c r="B212" i="248"/>
  <c r="B211" i="248"/>
  <c r="B210" i="248"/>
  <c r="B209" i="248"/>
  <c r="C203" i="248"/>
  <c r="B203" i="248"/>
  <c r="C202" i="248"/>
  <c r="B202" i="248"/>
  <c r="C201" i="248"/>
  <c r="B201" i="248"/>
  <c r="C200" i="248"/>
  <c r="B200" i="248"/>
  <c r="C199" i="248"/>
  <c r="B199" i="248"/>
  <c r="C198" i="248"/>
  <c r="B198" i="248"/>
  <c r="C197" i="248"/>
  <c r="B197" i="248"/>
  <c r="C196" i="248"/>
  <c r="B196" i="248"/>
  <c r="C195" i="248"/>
  <c r="B195" i="248"/>
  <c r="C194" i="248"/>
  <c r="B194" i="248"/>
  <c r="C193" i="248"/>
  <c r="B193" i="248"/>
  <c r="C192" i="248"/>
  <c r="B192" i="248"/>
  <c r="C191" i="248"/>
  <c r="B191" i="248"/>
  <c r="C190" i="248"/>
  <c r="B190" i="248"/>
  <c r="C189" i="248"/>
  <c r="B189" i="248"/>
  <c r="C188" i="248"/>
  <c r="B188" i="248"/>
  <c r="C187" i="248"/>
  <c r="B187" i="248"/>
  <c r="C186" i="248"/>
  <c r="B186" i="248"/>
  <c r="C185" i="248"/>
  <c r="B185" i="248"/>
  <c r="H181" i="248"/>
  <c r="B180" i="248"/>
  <c r="B179" i="248"/>
  <c r="B178" i="248"/>
  <c r="B177" i="248"/>
  <c r="B176" i="248"/>
  <c r="B175" i="248"/>
  <c r="B174" i="248"/>
  <c r="B173" i="248"/>
  <c r="B172" i="248"/>
  <c r="B171" i="248"/>
  <c r="B170" i="248"/>
  <c r="B169" i="248"/>
  <c r="B168" i="248"/>
  <c r="B167" i="248"/>
  <c r="B166" i="248"/>
  <c r="B165" i="248"/>
  <c r="B164" i="248"/>
  <c r="B163" i="248"/>
  <c r="B162" i="248"/>
  <c r="B161" i="248"/>
  <c r="B160" i="248"/>
  <c r="B159" i="248"/>
  <c r="B158" i="248"/>
  <c r="B157" i="248"/>
  <c r="B156" i="248"/>
  <c r="B155" i="248"/>
  <c r="B154" i="248"/>
  <c r="B153" i="248"/>
  <c r="B152" i="248"/>
  <c r="B151" i="248"/>
  <c r="B150" i="248"/>
  <c r="B149" i="248"/>
  <c r="B148" i="248"/>
  <c r="B147" i="248"/>
  <c r="B146" i="248"/>
  <c r="B145" i="248"/>
  <c r="B144" i="248"/>
  <c r="B143" i="248"/>
  <c r="B142" i="248"/>
  <c r="B141" i="248"/>
  <c r="B140" i="248"/>
  <c r="B139" i="248"/>
  <c r="B138" i="248"/>
  <c r="B137" i="248"/>
  <c r="B136" i="248"/>
  <c r="B135" i="248"/>
  <c r="B134" i="248"/>
  <c r="B133" i="248"/>
  <c r="B132" i="248"/>
  <c r="B131" i="248"/>
  <c r="C127" i="248"/>
  <c r="F126" i="248"/>
  <c r="G126" i="248" s="1"/>
  <c r="G125" i="248"/>
  <c r="F125" i="248"/>
  <c r="G124" i="248"/>
  <c r="F124" i="248"/>
  <c r="G123" i="248"/>
  <c r="F123" i="248"/>
  <c r="F122" i="248"/>
  <c r="G122" i="248" s="1"/>
  <c r="G121" i="248"/>
  <c r="F121" i="248"/>
  <c r="F120" i="248"/>
  <c r="G120" i="248" s="1"/>
  <c r="G119" i="248"/>
  <c r="F119" i="248"/>
  <c r="F118" i="248"/>
  <c r="G118" i="248" s="1"/>
  <c r="G117" i="248"/>
  <c r="F117" i="248"/>
  <c r="G116" i="248"/>
  <c r="F116" i="248"/>
  <c r="G115" i="248"/>
  <c r="F115" i="248"/>
  <c r="F114" i="248"/>
  <c r="G114" i="248" s="1"/>
  <c r="G113" i="248"/>
  <c r="F113" i="248"/>
  <c r="F112" i="248"/>
  <c r="G112" i="248" s="1"/>
  <c r="G111" i="248"/>
  <c r="F111" i="248"/>
  <c r="F110" i="248"/>
  <c r="G110" i="248" s="1"/>
  <c r="G109" i="248"/>
  <c r="F109" i="248"/>
  <c r="G108" i="248"/>
  <c r="F108" i="248"/>
  <c r="G107" i="248"/>
  <c r="F107" i="248"/>
  <c r="C101" i="248"/>
  <c r="B100" i="248" a="1"/>
  <c r="B100" i="248" s="1"/>
  <c r="A100" i="248" a="1"/>
  <c r="A100" i="248" s="1"/>
  <c r="B99" i="248" a="1"/>
  <c r="B99" i="248" s="1"/>
  <c r="A99" i="248" a="1"/>
  <c r="A99" i="248" s="1"/>
  <c r="B98" i="248" a="1"/>
  <c r="B98" i="248" s="1"/>
  <c r="A98" i="248" a="1"/>
  <c r="A98" i="248" s="1"/>
  <c r="B97" i="248" a="1"/>
  <c r="B97" i="248" s="1"/>
  <c r="A97" i="248" a="1"/>
  <c r="A97" i="248" s="1"/>
  <c r="B96" i="248" a="1"/>
  <c r="B96" i="248" s="1"/>
  <c r="A96" i="248" a="1"/>
  <c r="A96" i="248" s="1"/>
  <c r="B95" i="248" a="1"/>
  <c r="B95" i="248" s="1"/>
  <c r="A95" i="248" a="1"/>
  <c r="A95" i="248" s="1"/>
  <c r="B94" i="248" a="1"/>
  <c r="B94" i="248" s="1"/>
  <c r="A94" i="248" a="1"/>
  <c r="A94" i="248" s="1"/>
  <c r="B93" i="248" a="1"/>
  <c r="B93" i="248" s="1"/>
  <c r="A93" i="248" a="1"/>
  <c r="A93" i="248" s="1"/>
  <c r="B92" i="248" a="1"/>
  <c r="B92" i="248" s="1"/>
  <c r="A92" i="248" a="1"/>
  <c r="A92" i="248" s="1"/>
  <c r="B91" i="248" a="1"/>
  <c r="B91" i="248" s="1"/>
  <c r="A91" i="248" a="1"/>
  <c r="A91" i="248" s="1"/>
  <c r="B90" i="248" a="1"/>
  <c r="B90" i="248" s="1"/>
  <c r="A90" i="248" a="1"/>
  <c r="A90" i="248" s="1"/>
  <c r="B89" i="248" a="1"/>
  <c r="B89" i="248" s="1"/>
  <c r="A89" i="248" a="1"/>
  <c r="A89" i="248" s="1"/>
  <c r="B88" i="248" a="1"/>
  <c r="B88" i="248" s="1"/>
  <c r="A88" i="248" a="1"/>
  <c r="A88" i="248" s="1"/>
  <c r="B87" i="248" a="1"/>
  <c r="B87" i="248" s="1"/>
  <c r="A87" i="248" a="1"/>
  <c r="A87" i="248" s="1"/>
  <c r="B86" i="248" a="1"/>
  <c r="B86" i="248" s="1"/>
  <c r="A86" i="248" a="1"/>
  <c r="A86" i="248" s="1"/>
  <c r="B85" i="248" a="1"/>
  <c r="B85" i="248" s="1"/>
  <c r="A85" i="248" a="1"/>
  <c r="A85" i="248" s="1"/>
  <c r="B84" i="248" a="1"/>
  <c r="B84" i="248" s="1"/>
  <c r="A84" i="248" a="1"/>
  <c r="A84" i="248" s="1"/>
  <c r="B83" i="248" a="1"/>
  <c r="B83" i="248" s="1"/>
  <c r="A83" i="248" a="1"/>
  <c r="A83" i="248" s="1"/>
  <c r="B82" i="248" a="1"/>
  <c r="B82" i="248" s="1"/>
  <c r="A82" i="248" a="1"/>
  <c r="A82" i="248" s="1"/>
  <c r="B81" i="248" a="1"/>
  <c r="B81" i="248" s="1"/>
  <c r="A81" i="248" a="1"/>
  <c r="A81" i="248" s="1"/>
  <c r="B80" i="248" a="1"/>
  <c r="B80" i="248" s="1"/>
  <c r="A80" i="248" a="1"/>
  <c r="A80" i="248" s="1"/>
  <c r="B79" i="248" a="1"/>
  <c r="B79" i="248" s="1"/>
  <c r="A79" i="248" a="1"/>
  <c r="A79" i="248" s="1"/>
  <c r="B78" i="248" a="1"/>
  <c r="B78" i="248" s="1"/>
  <c r="A78" i="248" a="1"/>
  <c r="A78" i="248" s="1"/>
  <c r="B77" i="248" a="1"/>
  <c r="B77" i="248" s="1"/>
  <c r="A77" i="248" a="1"/>
  <c r="A77" i="248" s="1"/>
  <c r="B76" i="248" a="1"/>
  <c r="B76" i="248" s="1"/>
  <c r="A76" i="248" a="1"/>
  <c r="A76" i="248" s="1"/>
  <c r="B75" i="248" a="1"/>
  <c r="B75" i="248" s="1"/>
  <c r="A75" i="248" a="1"/>
  <c r="A75" i="248" s="1"/>
  <c r="B74" i="248" a="1"/>
  <c r="B74" i="248" s="1"/>
  <c r="A74" i="248" a="1"/>
  <c r="A74" i="248" s="1"/>
  <c r="B73" i="248" a="1"/>
  <c r="B73" i="248" s="1"/>
  <c r="A73" i="248" a="1"/>
  <c r="A73" i="248" s="1"/>
  <c r="B72" i="248" a="1"/>
  <c r="B72" i="248" s="1"/>
  <c r="A72" i="248" a="1"/>
  <c r="A72" i="248" s="1"/>
  <c r="B71" i="248" a="1"/>
  <c r="B71" i="248" s="1"/>
  <c r="A71" i="248" a="1"/>
  <c r="A71" i="248" s="1"/>
  <c r="B70" i="248" a="1"/>
  <c r="B70" i="248" s="1"/>
  <c r="A70" i="248" a="1"/>
  <c r="A70" i="248" s="1"/>
  <c r="B69" i="248" a="1"/>
  <c r="B69" i="248" s="1"/>
  <c r="A69" i="248" a="1"/>
  <c r="A69" i="248" s="1"/>
  <c r="B68" i="248" a="1"/>
  <c r="B68" i="248" s="1"/>
  <c r="A68" i="248" a="1"/>
  <c r="A68" i="248" s="1"/>
  <c r="B67" i="248" a="1"/>
  <c r="B67" i="248" s="1"/>
  <c r="A67" i="248" a="1"/>
  <c r="A67" i="248" s="1"/>
  <c r="B66" i="248" a="1"/>
  <c r="B66" i="248" s="1"/>
  <c r="A66" i="248" a="1"/>
  <c r="A66" i="248" s="1"/>
  <c r="B65" i="248" a="1"/>
  <c r="B65" i="248" s="1"/>
  <c r="A65" i="248" a="1"/>
  <c r="A65" i="248" s="1"/>
  <c r="B64" i="248" a="1"/>
  <c r="B64" i="248" s="1"/>
  <c r="A64" i="248" a="1"/>
  <c r="A64" i="248" s="1"/>
  <c r="B63" i="248" a="1"/>
  <c r="B63" i="248" s="1"/>
  <c r="A63" i="248" a="1"/>
  <c r="A63" i="248" s="1"/>
  <c r="B62" i="248" a="1"/>
  <c r="B62" i="248" s="1"/>
  <c r="A62" i="248" a="1"/>
  <c r="A62" i="248" s="1"/>
  <c r="B61" i="248" a="1"/>
  <c r="B61" i="248" s="1"/>
  <c r="A61" i="248" a="1"/>
  <c r="A61" i="248" s="1"/>
  <c r="B60" i="248" a="1"/>
  <c r="B60" i="248" s="1"/>
  <c r="A60" i="248" a="1"/>
  <c r="A60" i="248" s="1"/>
  <c r="B59" i="248" a="1"/>
  <c r="B59" i="248" s="1"/>
  <c r="A59" i="248" a="1"/>
  <c r="A59" i="248" s="1"/>
  <c r="B58" i="248" a="1"/>
  <c r="B58" i="248" s="1"/>
  <c r="A58" i="248" a="1"/>
  <c r="A58" i="248" s="1"/>
  <c r="B57" i="248" a="1"/>
  <c r="B57" i="248" s="1"/>
  <c r="A57" i="248" a="1"/>
  <c r="A57" i="248" s="1"/>
  <c r="B56" i="248" a="1"/>
  <c r="B56" i="248" s="1"/>
  <c r="A56" i="248" a="1"/>
  <c r="A56" i="248" s="1"/>
  <c r="B55" i="248" a="1"/>
  <c r="B55" i="248" s="1"/>
  <c r="A55" i="248" a="1"/>
  <c r="A55" i="248" s="1"/>
  <c r="B54" i="248" a="1"/>
  <c r="B54" i="248" s="1"/>
  <c r="A54" i="248" a="1"/>
  <c r="A54" i="248" s="1"/>
  <c r="B53" i="248" a="1"/>
  <c r="B53" i="248" s="1"/>
  <c r="A53" i="248" a="1"/>
  <c r="A53" i="248" s="1"/>
  <c r="B52" i="248" a="1"/>
  <c r="B52" i="248" s="1"/>
  <c r="A52" i="248" a="1"/>
  <c r="A52" i="248" s="1"/>
  <c r="B51" i="248" a="1"/>
  <c r="B51" i="248" s="1"/>
  <c r="A51" i="248" a="1"/>
  <c r="A51" i="248" s="1"/>
  <c r="B50" i="248" a="1"/>
  <c r="B50" i="248" s="1"/>
  <c r="A50" i="248" a="1"/>
  <c r="A50" i="248" s="1"/>
  <c r="B49" i="248" a="1"/>
  <c r="B49" i="248" s="1"/>
  <c r="A49" i="248" a="1"/>
  <c r="A49" i="248" s="1"/>
  <c r="B48" i="248" a="1"/>
  <c r="B48" i="248" s="1"/>
  <c r="A48" i="248" a="1"/>
  <c r="A48" i="248" s="1"/>
  <c r="B47" i="248" a="1"/>
  <c r="B47" i="248" s="1"/>
  <c r="A47" i="248" a="1"/>
  <c r="A47" i="248" s="1"/>
  <c r="B46" i="248" a="1"/>
  <c r="B46" i="248" s="1"/>
  <c r="A46" i="248" a="1"/>
  <c r="A46" i="248" s="1"/>
  <c r="B45" i="248" a="1"/>
  <c r="B45" i="248" s="1"/>
  <c r="A45" i="248" a="1"/>
  <c r="A45" i="248" s="1"/>
  <c r="B44" i="248" a="1"/>
  <c r="B44" i="248" s="1"/>
  <c r="A44" i="248" a="1"/>
  <c r="A44" i="248" s="1"/>
  <c r="B43" i="248" a="1"/>
  <c r="B43" i="248" s="1"/>
  <c r="A43" i="248" a="1"/>
  <c r="A43" i="248" s="1"/>
  <c r="B42" i="248" a="1"/>
  <c r="B42" i="248" s="1"/>
  <c r="A42" i="248" a="1"/>
  <c r="A42" i="248" s="1"/>
  <c r="B41" i="248" a="1"/>
  <c r="B41" i="248" s="1"/>
  <c r="A41" i="248" a="1"/>
  <c r="A41" i="248" s="1"/>
  <c r="B40" i="248" a="1"/>
  <c r="B40" i="248" s="1"/>
  <c r="A40" i="248" a="1"/>
  <c r="A40" i="248" s="1"/>
  <c r="B39" i="248" a="1"/>
  <c r="B39" i="248" s="1"/>
  <c r="A39" i="248" a="1"/>
  <c r="A39" i="248" s="1"/>
  <c r="B38" i="248" a="1"/>
  <c r="B38" i="248" s="1"/>
  <c r="A38" i="248" a="1"/>
  <c r="A38" i="248" s="1"/>
  <c r="B37" i="248" a="1"/>
  <c r="B37" i="248" s="1"/>
  <c r="A37" i="248" a="1"/>
  <c r="A37" i="248" s="1"/>
  <c r="B36" i="248" a="1"/>
  <c r="B36" i="248" s="1"/>
  <c r="A36" i="248" a="1"/>
  <c r="A36" i="248" s="1"/>
  <c r="B35" i="248" a="1"/>
  <c r="B35" i="248" s="1"/>
  <c r="A35" i="248" a="1"/>
  <c r="A35" i="248" s="1"/>
  <c r="B34" i="248" a="1"/>
  <c r="B34" i="248" s="1"/>
  <c r="A34" i="248" a="1"/>
  <c r="A34" i="248" s="1"/>
  <c r="B33" i="248" a="1"/>
  <c r="B33" i="248" s="1"/>
  <c r="A33" i="248" a="1"/>
  <c r="A33" i="248" s="1"/>
  <c r="B32" i="248" a="1"/>
  <c r="B32" i="248" s="1"/>
  <c r="A32" i="248" a="1"/>
  <c r="A32" i="248" s="1"/>
  <c r="B31" i="248" a="1"/>
  <c r="B31" i="248" s="1"/>
  <c r="A31" i="248" a="1"/>
  <c r="A31" i="248" s="1"/>
  <c r="B30" i="248" a="1"/>
  <c r="B30" i="248" s="1"/>
  <c r="A30" i="248" a="1"/>
  <c r="A30" i="248" s="1"/>
  <c r="B29" i="248" a="1"/>
  <c r="B29" i="248" s="1"/>
  <c r="A29" i="248" a="1"/>
  <c r="A29" i="248" s="1"/>
  <c r="B28" i="248" a="1"/>
  <c r="B28" i="248" s="1"/>
  <c r="A28" i="248" a="1"/>
  <c r="A28" i="248" s="1"/>
  <c r="B27" i="248" a="1"/>
  <c r="B27" i="248" s="1"/>
  <c r="A27" i="248" a="1"/>
  <c r="A27" i="248" s="1"/>
  <c r="B26" i="248" a="1"/>
  <c r="B26" i="248" s="1"/>
  <c r="A26" i="248" a="1"/>
  <c r="A26" i="248" s="1"/>
  <c r="B25" i="248" a="1"/>
  <c r="B25" i="248" s="1"/>
  <c r="A25" i="248" a="1"/>
  <c r="A25" i="248" s="1"/>
  <c r="C232" i="247" a="1"/>
  <c r="C232" i="247" s="1"/>
  <c r="B232" i="247" a="1"/>
  <c r="B232" i="247" s="1"/>
  <c r="A232" i="247" a="1"/>
  <c r="A232" i="247" s="1"/>
  <c r="B214" i="247"/>
  <c r="B213" i="247"/>
  <c r="B212" i="247"/>
  <c r="B211" i="247"/>
  <c r="B210" i="247"/>
  <c r="B209" i="247"/>
  <c r="C203" i="247"/>
  <c r="B203" i="247"/>
  <c r="C202" i="247"/>
  <c r="B202" i="247"/>
  <c r="C201" i="247"/>
  <c r="B201" i="247"/>
  <c r="C200" i="247"/>
  <c r="B200" i="247"/>
  <c r="C199" i="247"/>
  <c r="B199" i="247"/>
  <c r="C198" i="247"/>
  <c r="B198" i="247"/>
  <c r="C197" i="247"/>
  <c r="B197" i="247"/>
  <c r="C196" i="247"/>
  <c r="B196" i="247"/>
  <c r="C195" i="247"/>
  <c r="B195" i="247"/>
  <c r="C194" i="247"/>
  <c r="B194" i="247"/>
  <c r="C193" i="247"/>
  <c r="B193" i="247"/>
  <c r="C192" i="247"/>
  <c r="B192" i="247"/>
  <c r="C191" i="247"/>
  <c r="B191" i="247"/>
  <c r="C190" i="247"/>
  <c r="B190" i="247"/>
  <c r="C189" i="247"/>
  <c r="B189" i="247"/>
  <c r="C188" i="247"/>
  <c r="B188" i="247"/>
  <c r="C187" i="247"/>
  <c r="B187" i="247"/>
  <c r="C186" i="247"/>
  <c r="B186" i="247"/>
  <c r="C185" i="247"/>
  <c r="B185" i="247"/>
  <c r="H181" i="247"/>
  <c r="B180" i="247"/>
  <c r="B179" i="247"/>
  <c r="B178" i="247"/>
  <c r="B177" i="247"/>
  <c r="B176" i="247"/>
  <c r="B175" i="247"/>
  <c r="B174" i="247"/>
  <c r="B173" i="247"/>
  <c r="B172" i="247"/>
  <c r="B171" i="247"/>
  <c r="B170" i="247"/>
  <c r="B169" i="247"/>
  <c r="B168" i="247"/>
  <c r="B167" i="247"/>
  <c r="B166" i="247"/>
  <c r="B165" i="247"/>
  <c r="B164" i="247"/>
  <c r="B163" i="247"/>
  <c r="B162" i="247"/>
  <c r="B161" i="247"/>
  <c r="B160" i="247"/>
  <c r="B159" i="247"/>
  <c r="B158" i="247"/>
  <c r="B157" i="247"/>
  <c r="B156" i="247"/>
  <c r="B155" i="247"/>
  <c r="B154" i="247"/>
  <c r="B153" i="247"/>
  <c r="B152" i="247"/>
  <c r="B151" i="247"/>
  <c r="B150" i="247"/>
  <c r="B149" i="247"/>
  <c r="B148" i="247"/>
  <c r="B147" i="247"/>
  <c r="B146" i="247"/>
  <c r="B145" i="247"/>
  <c r="B144" i="247"/>
  <c r="B143" i="247"/>
  <c r="B142" i="247"/>
  <c r="B141" i="247"/>
  <c r="B140" i="247"/>
  <c r="B139" i="247"/>
  <c r="B138" i="247"/>
  <c r="B137" i="247"/>
  <c r="B136" i="247"/>
  <c r="B135" i="247"/>
  <c r="B134" i="247"/>
  <c r="B133" i="247"/>
  <c r="B132" i="247"/>
  <c r="B131" i="247"/>
  <c r="C127" i="247"/>
  <c r="F126" i="247"/>
  <c r="G126" i="247" s="1"/>
  <c r="F125" i="247"/>
  <c r="G125" i="247" s="1"/>
  <c r="G124" i="247"/>
  <c r="F124" i="247"/>
  <c r="G123" i="247"/>
  <c r="F123" i="247"/>
  <c r="F122" i="247"/>
  <c r="G122" i="247" s="1"/>
  <c r="F121" i="247"/>
  <c r="G121" i="247" s="1"/>
  <c r="F120" i="247"/>
  <c r="G120" i="247" s="1"/>
  <c r="G119" i="247"/>
  <c r="F119" i="247"/>
  <c r="F118" i="247"/>
  <c r="G118" i="247" s="1"/>
  <c r="F117" i="247"/>
  <c r="G117" i="247" s="1"/>
  <c r="G116" i="247"/>
  <c r="F116" i="247"/>
  <c r="G115" i="247"/>
  <c r="F115" i="247"/>
  <c r="F114" i="247"/>
  <c r="G114" i="247" s="1"/>
  <c r="F113" i="247"/>
  <c r="G113" i="247" s="1"/>
  <c r="F112" i="247"/>
  <c r="G112" i="247" s="1"/>
  <c r="G111" i="247"/>
  <c r="F111" i="247"/>
  <c r="F110" i="247"/>
  <c r="G110" i="247" s="1"/>
  <c r="G127" i="247" s="1"/>
  <c r="F109" i="247"/>
  <c r="G109" i="247" s="1"/>
  <c r="G108" i="247"/>
  <c r="F108" i="247"/>
  <c r="G107" i="247"/>
  <c r="F107" i="247"/>
  <c r="C101" i="247"/>
  <c r="B100" i="247" a="1"/>
  <c r="B100" i="247" s="1"/>
  <c r="A100" i="247" a="1"/>
  <c r="A100" i="247" s="1"/>
  <c r="B99" i="247" a="1"/>
  <c r="B99" i="247" s="1"/>
  <c r="A99" i="247" a="1"/>
  <c r="A99" i="247" s="1"/>
  <c r="B98" i="247" a="1"/>
  <c r="B98" i="247" s="1"/>
  <c r="A98" i="247" a="1"/>
  <c r="A98" i="247" s="1"/>
  <c r="B97" i="247" a="1"/>
  <c r="B97" i="247" s="1"/>
  <c r="A97" i="247" a="1"/>
  <c r="A97" i="247" s="1"/>
  <c r="B96" i="247" a="1"/>
  <c r="B96" i="247" s="1"/>
  <c r="A96" i="247" a="1"/>
  <c r="A96" i="247" s="1"/>
  <c r="B95" i="247" a="1"/>
  <c r="B95" i="247" s="1"/>
  <c r="A95" i="247" a="1"/>
  <c r="A95" i="247" s="1"/>
  <c r="B94" i="247" a="1"/>
  <c r="B94" i="247" s="1"/>
  <c r="A94" i="247" a="1"/>
  <c r="A94" i="247" s="1"/>
  <c r="B93" i="247" a="1"/>
  <c r="B93" i="247" s="1"/>
  <c r="A93" i="247" a="1"/>
  <c r="A93" i="247" s="1"/>
  <c r="B92" i="247" a="1"/>
  <c r="B92" i="247" s="1"/>
  <c r="A92" i="247" a="1"/>
  <c r="A92" i="247" s="1"/>
  <c r="B91" i="247" a="1"/>
  <c r="B91" i="247" s="1"/>
  <c r="A91" i="247" a="1"/>
  <c r="A91" i="247" s="1"/>
  <c r="B90" i="247" a="1"/>
  <c r="B90" i="247" s="1"/>
  <c r="A90" i="247" a="1"/>
  <c r="A90" i="247" s="1"/>
  <c r="B89" i="247" a="1"/>
  <c r="B89" i="247" s="1"/>
  <c r="A89" i="247" a="1"/>
  <c r="A89" i="247" s="1"/>
  <c r="B88" i="247" a="1"/>
  <c r="B88" i="247" s="1"/>
  <c r="A88" i="247" a="1"/>
  <c r="A88" i="247" s="1"/>
  <c r="B87" i="247" a="1"/>
  <c r="B87" i="247" s="1"/>
  <c r="A87" i="247" a="1"/>
  <c r="A87" i="247" s="1"/>
  <c r="B86" i="247" a="1"/>
  <c r="B86" i="247" s="1"/>
  <c r="A86" i="247" a="1"/>
  <c r="A86" i="247" s="1"/>
  <c r="B85" i="247" a="1"/>
  <c r="B85" i="247" s="1"/>
  <c r="A85" i="247" a="1"/>
  <c r="A85" i="247" s="1"/>
  <c r="B84" i="247" a="1"/>
  <c r="B84" i="247" s="1"/>
  <c r="A84" i="247" a="1"/>
  <c r="A84" i="247" s="1"/>
  <c r="B83" i="247" a="1"/>
  <c r="B83" i="247" s="1"/>
  <c r="A83" i="247" a="1"/>
  <c r="A83" i="247" s="1"/>
  <c r="B82" i="247" a="1"/>
  <c r="B82" i="247" s="1"/>
  <c r="A82" i="247" a="1"/>
  <c r="A82" i="247" s="1"/>
  <c r="B81" i="247" a="1"/>
  <c r="B81" i="247" s="1"/>
  <c r="A81" i="247" a="1"/>
  <c r="A81" i="247" s="1"/>
  <c r="B80" i="247" a="1"/>
  <c r="B80" i="247" s="1"/>
  <c r="A80" i="247" a="1"/>
  <c r="A80" i="247" s="1"/>
  <c r="B79" i="247" a="1"/>
  <c r="B79" i="247" s="1"/>
  <c r="A79" i="247" a="1"/>
  <c r="A79" i="247" s="1"/>
  <c r="B78" i="247" a="1"/>
  <c r="B78" i="247" s="1"/>
  <c r="A78" i="247" a="1"/>
  <c r="A78" i="247" s="1"/>
  <c r="B77" i="247" a="1"/>
  <c r="B77" i="247" s="1"/>
  <c r="A77" i="247" a="1"/>
  <c r="A77" i="247" s="1"/>
  <c r="B76" i="247" a="1"/>
  <c r="B76" i="247" s="1"/>
  <c r="A76" i="247" a="1"/>
  <c r="A76" i="247" s="1"/>
  <c r="B75" i="247" a="1"/>
  <c r="B75" i="247" s="1"/>
  <c r="A75" i="247" a="1"/>
  <c r="A75" i="247" s="1"/>
  <c r="B74" i="247" a="1"/>
  <c r="B74" i="247" s="1"/>
  <c r="A74" i="247" a="1"/>
  <c r="A74" i="247" s="1"/>
  <c r="B73" i="247" a="1"/>
  <c r="B73" i="247" s="1"/>
  <c r="A73" i="247" a="1"/>
  <c r="A73" i="247" s="1"/>
  <c r="B72" i="247" a="1"/>
  <c r="B72" i="247" s="1"/>
  <c r="A72" i="247" a="1"/>
  <c r="A72" i="247" s="1"/>
  <c r="B71" i="247" a="1"/>
  <c r="B71" i="247" s="1"/>
  <c r="A71" i="247" a="1"/>
  <c r="A71" i="247" s="1"/>
  <c r="B70" i="247" a="1"/>
  <c r="B70" i="247" s="1"/>
  <c r="A70" i="247" a="1"/>
  <c r="A70" i="247" s="1"/>
  <c r="B69" i="247" a="1"/>
  <c r="B69" i="247" s="1"/>
  <c r="A69" i="247" a="1"/>
  <c r="A69" i="247" s="1"/>
  <c r="B68" i="247" a="1"/>
  <c r="B68" i="247" s="1"/>
  <c r="A68" i="247" a="1"/>
  <c r="A68" i="247" s="1"/>
  <c r="B67" i="247" a="1"/>
  <c r="B67" i="247" s="1"/>
  <c r="A67" i="247" a="1"/>
  <c r="A67" i="247" s="1"/>
  <c r="B66" i="247" a="1"/>
  <c r="B66" i="247" s="1"/>
  <c r="A66" i="247" a="1"/>
  <c r="A66" i="247" s="1"/>
  <c r="B65" i="247" a="1"/>
  <c r="B65" i="247" s="1"/>
  <c r="A65" i="247" a="1"/>
  <c r="A65" i="247" s="1"/>
  <c r="B64" i="247" a="1"/>
  <c r="B64" i="247" s="1"/>
  <c r="A64" i="247" a="1"/>
  <c r="A64" i="247" s="1"/>
  <c r="B63" i="247" a="1"/>
  <c r="B63" i="247" s="1"/>
  <c r="A63" i="247" a="1"/>
  <c r="A63" i="247" s="1"/>
  <c r="B62" i="247" a="1"/>
  <c r="B62" i="247" s="1"/>
  <c r="A62" i="247" a="1"/>
  <c r="A62" i="247" s="1"/>
  <c r="B61" i="247" a="1"/>
  <c r="B61" i="247" s="1"/>
  <c r="A61" i="247" a="1"/>
  <c r="A61" i="247" s="1"/>
  <c r="B60" i="247" a="1"/>
  <c r="B60" i="247" s="1"/>
  <c r="A60" i="247" a="1"/>
  <c r="A60" i="247" s="1"/>
  <c r="B59" i="247" a="1"/>
  <c r="B59" i="247" s="1"/>
  <c r="A59" i="247" a="1"/>
  <c r="A59" i="247" s="1"/>
  <c r="B58" i="247" a="1"/>
  <c r="B58" i="247" s="1"/>
  <c r="A58" i="247" a="1"/>
  <c r="A58" i="247" s="1"/>
  <c r="B57" i="247" a="1"/>
  <c r="B57" i="247" s="1"/>
  <c r="A57" i="247" a="1"/>
  <c r="A57" i="247" s="1"/>
  <c r="B56" i="247" a="1"/>
  <c r="B56" i="247" s="1"/>
  <c r="A56" i="247" a="1"/>
  <c r="A56" i="247" s="1"/>
  <c r="B55" i="247" a="1"/>
  <c r="B55" i="247" s="1"/>
  <c r="A55" i="247" a="1"/>
  <c r="A55" i="247" s="1"/>
  <c r="B54" i="247" a="1"/>
  <c r="B54" i="247" s="1"/>
  <c r="A54" i="247" a="1"/>
  <c r="A54" i="247" s="1"/>
  <c r="B53" i="247" a="1"/>
  <c r="B53" i="247" s="1"/>
  <c r="A53" i="247" a="1"/>
  <c r="A53" i="247" s="1"/>
  <c r="B52" i="247" a="1"/>
  <c r="B52" i="247" s="1"/>
  <c r="A52" i="247" a="1"/>
  <c r="A52" i="247" s="1"/>
  <c r="B51" i="247" a="1"/>
  <c r="B51" i="247" s="1"/>
  <c r="A51" i="247" a="1"/>
  <c r="A51" i="247" s="1"/>
  <c r="B50" i="247" a="1"/>
  <c r="B50" i="247" s="1"/>
  <c r="A50" i="247" a="1"/>
  <c r="A50" i="247" s="1"/>
  <c r="B49" i="247" a="1"/>
  <c r="B49" i="247" s="1"/>
  <c r="A49" i="247" a="1"/>
  <c r="A49" i="247" s="1"/>
  <c r="B48" i="247" a="1"/>
  <c r="B48" i="247" s="1"/>
  <c r="A48" i="247" a="1"/>
  <c r="A48" i="247" s="1"/>
  <c r="B47" i="247" a="1"/>
  <c r="B47" i="247" s="1"/>
  <c r="A47" i="247" a="1"/>
  <c r="A47" i="247" s="1"/>
  <c r="B46" i="247" a="1"/>
  <c r="B46" i="247" s="1"/>
  <c r="A46" i="247" a="1"/>
  <c r="A46" i="247" s="1"/>
  <c r="B45" i="247" a="1"/>
  <c r="B45" i="247" s="1"/>
  <c r="A45" i="247" a="1"/>
  <c r="A45" i="247" s="1"/>
  <c r="B44" i="247" a="1"/>
  <c r="B44" i="247" s="1"/>
  <c r="A44" i="247" a="1"/>
  <c r="A44" i="247" s="1"/>
  <c r="B43" i="247" a="1"/>
  <c r="B43" i="247" s="1"/>
  <c r="A43" i="247" a="1"/>
  <c r="A43" i="247" s="1"/>
  <c r="B42" i="247" a="1"/>
  <c r="B42" i="247" s="1"/>
  <c r="A42" i="247" a="1"/>
  <c r="A42" i="247" s="1"/>
  <c r="B41" i="247" a="1"/>
  <c r="B41" i="247" s="1"/>
  <c r="A41" i="247" a="1"/>
  <c r="A41" i="247" s="1"/>
  <c r="B40" i="247" a="1"/>
  <c r="B40" i="247" s="1"/>
  <c r="A40" i="247" a="1"/>
  <c r="A40" i="247" s="1"/>
  <c r="B39" i="247" a="1"/>
  <c r="B39" i="247" s="1"/>
  <c r="A39" i="247" a="1"/>
  <c r="A39" i="247" s="1"/>
  <c r="B38" i="247" a="1"/>
  <c r="B38" i="247" s="1"/>
  <c r="A38" i="247" a="1"/>
  <c r="A38" i="247" s="1"/>
  <c r="B37" i="247" a="1"/>
  <c r="B37" i="247" s="1"/>
  <c r="A37" i="247" a="1"/>
  <c r="A37" i="247" s="1"/>
  <c r="B36" i="247" a="1"/>
  <c r="B36" i="247" s="1"/>
  <c r="A36" i="247" a="1"/>
  <c r="A36" i="247" s="1"/>
  <c r="B35" i="247" a="1"/>
  <c r="B35" i="247" s="1"/>
  <c r="A35" i="247" a="1"/>
  <c r="A35" i="247" s="1"/>
  <c r="B34" i="247" a="1"/>
  <c r="B34" i="247" s="1"/>
  <c r="A34" i="247" a="1"/>
  <c r="A34" i="247" s="1"/>
  <c r="B33" i="247" a="1"/>
  <c r="B33" i="247" s="1"/>
  <c r="A33" i="247" a="1"/>
  <c r="A33" i="247" s="1"/>
  <c r="B32" i="247" a="1"/>
  <c r="B32" i="247" s="1"/>
  <c r="A32" i="247" a="1"/>
  <c r="A32" i="247" s="1"/>
  <c r="B31" i="247" a="1"/>
  <c r="B31" i="247" s="1"/>
  <c r="A31" i="247" a="1"/>
  <c r="A31" i="247" s="1"/>
  <c r="B30" i="247" a="1"/>
  <c r="B30" i="247" s="1"/>
  <c r="A30" i="247" a="1"/>
  <c r="A30" i="247" s="1"/>
  <c r="B29" i="247" a="1"/>
  <c r="B29" i="247" s="1"/>
  <c r="A29" i="247" a="1"/>
  <c r="A29" i="247" s="1"/>
  <c r="B28" i="247" a="1"/>
  <c r="B28" i="247" s="1"/>
  <c r="A28" i="247" a="1"/>
  <c r="A28" i="247" s="1"/>
  <c r="B27" i="247" a="1"/>
  <c r="B27" i="247" s="1"/>
  <c r="A27" i="247" a="1"/>
  <c r="A27" i="247" s="1"/>
  <c r="B26" i="247" a="1"/>
  <c r="B26" i="247" s="1"/>
  <c r="A26" i="247" a="1"/>
  <c r="A26" i="247" s="1"/>
  <c r="B25" i="247" a="1"/>
  <c r="B25" i="247" s="1"/>
  <c r="A25" i="247" a="1"/>
  <c r="A25" i="247" s="1"/>
  <c r="C232" i="246" a="1"/>
  <c r="C232" i="246" s="1"/>
  <c r="B232" i="246" a="1"/>
  <c r="B232" i="246" s="1"/>
  <c r="A232" i="246" a="1"/>
  <c r="A232" i="246" s="1"/>
  <c r="B214" i="246"/>
  <c r="B213" i="246"/>
  <c r="B212" i="246"/>
  <c r="B211" i="246"/>
  <c r="B210" i="246"/>
  <c r="B209" i="246"/>
  <c r="C203" i="246"/>
  <c r="B203" i="246"/>
  <c r="C202" i="246"/>
  <c r="B202" i="246"/>
  <c r="C201" i="246"/>
  <c r="B201" i="246"/>
  <c r="C200" i="246"/>
  <c r="B200" i="246"/>
  <c r="C199" i="246"/>
  <c r="B199" i="246"/>
  <c r="C198" i="246"/>
  <c r="B198" i="246"/>
  <c r="C197" i="246"/>
  <c r="B197" i="246"/>
  <c r="C196" i="246"/>
  <c r="B196" i="246"/>
  <c r="C195" i="246"/>
  <c r="B195" i="246"/>
  <c r="C194" i="246"/>
  <c r="B194" i="246"/>
  <c r="C193" i="246"/>
  <c r="B193" i="246"/>
  <c r="C192" i="246"/>
  <c r="B192" i="246"/>
  <c r="C191" i="246"/>
  <c r="B191" i="246"/>
  <c r="C190" i="246"/>
  <c r="B190" i="246"/>
  <c r="C189" i="246"/>
  <c r="B189" i="246"/>
  <c r="C188" i="246"/>
  <c r="B188" i="246"/>
  <c r="C187" i="246"/>
  <c r="B187" i="246"/>
  <c r="C186" i="246"/>
  <c r="B186" i="246"/>
  <c r="C185" i="246"/>
  <c r="B185" i="246"/>
  <c r="H181" i="246"/>
  <c r="B180" i="246"/>
  <c r="B179" i="246"/>
  <c r="B178" i="246"/>
  <c r="B177" i="246"/>
  <c r="B176" i="246"/>
  <c r="B175" i="246"/>
  <c r="B174" i="246"/>
  <c r="B173" i="246"/>
  <c r="B172" i="246"/>
  <c r="B171" i="246"/>
  <c r="B170" i="246"/>
  <c r="B169" i="246"/>
  <c r="B168" i="246"/>
  <c r="B167" i="246"/>
  <c r="B166" i="246"/>
  <c r="B165" i="246"/>
  <c r="B164" i="246"/>
  <c r="B163" i="246"/>
  <c r="B162" i="246"/>
  <c r="B161" i="246"/>
  <c r="B160" i="246"/>
  <c r="B159" i="246"/>
  <c r="B158" i="246"/>
  <c r="B157" i="246"/>
  <c r="B156" i="246"/>
  <c r="B155" i="246"/>
  <c r="B154" i="246"/>
  <c r="B153" i="246"/>
  <c r="B152" i="246"/>
  <c r="B151" i="246"/>
  <c r="B150" i="246"/>
  <c r="B149" i="246"/>
  <c r="B148" i="246"/>
  <c r="B147" i="246"/>
  <c r="B146" i="246"/>
  <c r="B145" i="246"/>
  <c r="B144" i="246"/>
  <c r="B143" i="246"/>
  <c r="B142" i="246"/>
  <c r="B141" i="246"/>
  <c r="B140" i="246"/>
  <c r="B139" i="246"/>
  <c r="B138" i="246"/>
  <c r="B137" i="246"/>
  <c r="B136" i="246"/>
  <c r="B135" i="246"/>
  <c r="B134" i="246"/>
  <c r="B133" i="246"/>
  <c r="B132" i="246"/>
  <c r="B131" i="246"/>
  <c r="C127" i="246"/>
  <c r="F126" i="246"/>
  <c r="G126" i="246" s="1"/>
  <c r="F125" i="246"/>
  <c r="G125" i="246" s="1"/>
  <c r="F124" i="246"/>
  <c r="G124" i="246" s="1"/>
  <c r="G123" i="246"/>
  <c r="F123" i="246"/>
  <c r="F122" i="246"/>
  <c r="G122" i="246" s="1"/>
  <c r="F121" i="246"/>
  <c r="G121" i="246" s="1"/>
  <c r="G120" i="246"/>
  <c r="F120" i="246"/>
  <c r="G119" i="246"/>
  <c r="F119" i="246"/>
  <c r="F118" i="246"/>
  <c r="G118" i="246" s="1"/>
  <c r="F117" i="246"/>
  <c r="G117" i="246" s="1"/>
  <c r="G116" i="246"/>
  <c r="F116" i="246"/>
  <c r="G115" i="246"/>
  <c r="F115" i="246"/>
  <c r="G114" i="246"/>
  <c r="F114" i="246"/>
  <c r="F113" i="246"/>
  <c r="G113" i="246" s="1"/>
  <c r="F112" i="246"/>
  <c r="G112" i="246" s="1"/>
  <c r="G111" i="246"/>
  <c r="F111" i="246"/>
  <c r="G110" i="246"/>
  <c r="F110" i="246"/>
  <c r="F109" i="246"/>
  <c r="G109" i="246" s="1"/>
  <c r="F108" i="246"/>
  <c r="G107" i="246"/>
  <c r="F107" i="246"/>
  <c r="C101" i="246"/>
  <c r="B100" i="246" a="1"/>
  <c r="B100" i="246" s="1"/>
  <c r="A100" i="246" a="1"/>
  <c r="A100" i="246" s="1"/>
  <c r="B99" i="246" a="1"/>
  <c r="B99" i="246" s="1"/>
  <c r="A99" i="246" a="1"/>
  <c r="A99" i="246" s="1"/>
  <c r="B98" i="246" a="1"/>
  <c r="B98" i="246" s="1"/>
  <c r="A98" i="246" a="1"/>
  <c r="A98" i="246" s="1"/>
  <c r="B97" i="246" a="1"/>
  <c r="B97" i="246" s="1"/>
  <c r="A97" i="246" a="1"/>
  <c r="A97" i="246" s="1"/>
  <c r="B96" i="246" a="1"/>
  <c r="B96" i="246" s="1"/>
  <c r="A96" i="246" a="1"/>
  <c r="A96" i="246" s="1"/>
  <c r="B95" i="246" a="1"/>
  <c r="B95" i="246" s="1"/>
  <c r="A95" i="246" a="1"/>
  <c r="A95" i="246" s="1"/>
  <c r="B94" i="246" a="1"/>
  <c r="B94" i="246" s="1"/>
  <c r="A94" i="246" a="1"/>
  <c r="A94" i="246" s="1"/>
  <c r="B93" i="246" a="1"/>
  <c r="B93" i="246" s="1"/>
  <c r="A93" i="246" a="1"/>
  <c r="A93" i="246" s="1"/>
  <c r="B92" i="246" a="1"/>
  <c r="B92" i="246" s="1"/>
  <c r="A92" i="246" a="1"/>
  <c r="A92" i="246" s="1"/>
  <c r="B91" i="246" a="1"/>
  <c r="B91" i="246" s="1"/>
  <c r="A91" i="246" a="1"/>
  <c r="A91" i="246" s="1"/>
  <c r="B90" i="246" a="1"/>
  <c r="B90" i="246" s="1"/>
  <c r="A90" i="246" a="1"/>
  <c r="A90" i="246" s="1"/>
  <c r="B89" i="246" a="1"/>
  <c r="B89" i="246" s="1"/>
  <c r="A89" i="246" a="1"/>
  <c r="A89" i="246" s="1"/>
  <c r="B88" i="246" a="1"/>
  <c r="B88" i="246" s="1"/>
  <c r="A88" i="246" a="1"/>
  <c r="A88" i="246" s="1"/>
  <c r="B87" i="246" a="1"/>
  <c r="B87" i="246" s="1"/>
  <c r="A87" i="246" a="1"/>
  <c r="A87" i="246" s="1"/>
  <c r="B86" i="246" a="1"/>
  <c r="B86" i="246" s="1"/>
  <c r="A86" i="246" a="1"/>
  <c r="A86" i="246" s="1"/>
  <c r="B85" i="246" a="1"/>
  <c r="B85" i="246" s="1"/>
  <c r="A85" i="246" a="1"/>
  <c r="A85" i="246" s="1"/>
  <c r="B84" i="246" a="1"/>
  <c r="B84" i="246" s="1"/>
  <c r="A84" i="246" a="1"/>
  <c r="A84" i="246" s="1"/>
  <c r="B83" i="246" a="1"/>
  <c r="B83" i="246" s="1"/>
  <c r="A83" i="246" a="1"/>
  <c r="A83" i="246" s="1"/>
  <c r="B82" i="246" a="1"/>
  <c r="B82" i="246" s="1"/>
  <c r="A82" i="246" a="1"/>
  <c r="A82" i="246" s="1"/>
  <c r="B81" i="246" a="1"/>
  <c r="B81" i="246" s="1"/>
  <c r="A81" i="246" a="1"/>
  <c r="A81" i="246" s="1"/>
  <c r="B80" i="246" a="1"/>
  <c r="B80" i="246" s="1"/>
  <c r="A80" i="246" a="1"/>
  <c r="A80" i="246" s="1"/>
  <c r="B79" i="246" a="1"/>
  <c r="B79" i="246" s="1"/>
  <c r="A79" i="246" a="1"/>
  <c r="A79" i="246" s="1"/>
  <c r="B78" i="246" a="1"/>
  <c r="B78" i="246" s="1"/>
  <c r="A78" i="246" a="1"/>
  <c r="A78" i="246" s="1"/>
  <c r="B77" i="246" a="1"/>
  <c r="B77" i="246" s="1"/>
  <c r="A77" i="246" a="1"/>
  <c r="A77" i="246" s="1"/>
  <c r="B76" i="246" a="1"/>
  <c r="B76" i="246" s="1"/>
  <c r="A76" i="246" a="1"/>
  <c r="A76" i="246" s="1"/>
  <c r="B75" i="246" a="1"/>
  <c r="B75" i="246" s="1"/>
  <c r="A75" i="246" a="1"/>
  <c r="A75" i="246" s="1"/>
  <c r="B74" i="246" a="1"/>
  <c r="B74" i="246" s="1"/>
  <c r="A74" i="246" a="1"/>
  <c r="A74" i="246" s="1"/>
  <c r="B73" i="246" a="1"/>
  <c r="B73" i="246" s="1"/>
  <c r="A73" i="246" a="1"/>
  <c r="A73" i="246" s="1"/>
  <c r="B72" i="246" a="1"/>
  <c r="B72" i="246" s="1"/>
  <c r="A72" i="246" a="1"/>
  <c r="A72" i="246" s="1"/>
  <c r="B71" i="246" a="1"/>
  <c r="B71" i="246" s="1"/>
  <c r="A71" i="246" a="1"/>
  <c r="A71" i="246" s="1"/>
  <c r="B70" i="246" a="1"/>
  <c r="B70" i="246" s="1"/>
  <c r="A70" i="246" a="1"/>
  <c r="A70" i="246" s="1"/>
  <c r="B69" i="246" a="1"/>
  <c r="B69" i="246" s="1"/>
  <c r="A69" i="246" a="1"/>
  <c r="A69" i="246" s="1"/>
  <c r="B68" i="246" a="1"/>
  <c r="B68" i="246" s="1"/>
  <c r="A68" i="246" a="1"/>
  <c r="A68" i="246" s="1"/>
  <c r="B67" i="246" a="1"/>
  <c r="B67" i="246" s="1"/>
  <c r="A67" i="246" a="1"/>
  <c r="A67" i="246" s="1"/>
  <c r="B66" i="246" a="1"/>
  <c r="B66" i="246" s="1"/>
  <c r="A66" i="246" a="1"/>
  <c r="A66" i="246" s="1"/>
  <c r="B65" i="246" a="1"/>
  <c r="B65" i="246" s="1"/>
  <c r="A65" i="246" a="1"/>
  <c r="A65" i="246" s="1"/>
  <c r="B64" i="246" a="1"/>
  <c r="B64" i="246" s="1"/>
  <c r="A64" i="246" a="1"/>
  <c r="A64" i="246" s="1"/>
  <c r="B63" i="246" a="1"/>
  <c r="B63" i="246" s="1"/>
  <c r="A63" i="246" a="1"/>
  <c r="A63" i="246" s="1"/>
  <c r="B62" i="246" a="1"/>
  <c r="B62" i="246" s="1"/>
  <c r="A62" i="246" a="1"/>
  <c r="A62" i="246" s="1"/>
  <c r="B61" i="246" a="1"/>
  <c r="B61" i="246" s="1"/>
  <c r="A61" i="246" a="1"/>
  <c r="A61" i="246" s="1"/>
  <c r="B60" i="246" a="1"/>
  <c r="B60" i="246" s="1"/>
  <c r="A60" i="246" a="1"/>
  <c r="A60" i="246" s="1"/>
  <c r="B59" i="246" a="1"/>
  <c r="B59" i="246" s="1"/>
  <c r="A59" i="246" a="1"/>
  <c r="A59" i="246" s="1"/>
  <c r="B58" i="246" a="1"/>
  <c r="B58" i="246" s="1"/>
  <c r="A58" i="246" a="1"/>
  <c r="A58" i="246" s="1"/>
  <c r="B57" i="246" a="1"/>
  <c r="B57" i="246" s="1"/>
  <c r="A57" i="246" a="1"/>
  <c r="A57" i="246" s="1"/>
  <c r="B56" i="246" a="1"/>
  <c r="B56" i="246" s="1"/>
  <c r="A56" i="246" a="1"/>
  <c r="A56" i="246" s="1"/>
  <c r="B55" i="246" a="1"/>
  <c r="B55" i="246" s="1"/>
  <c r="A55" i="246" a="1"/>
  <c r="A55" i="246" s="1"/>
  <c r="B54" i="246" a="1"/>
  <c r="B54" i="246" s="1"/>
  <c r="A54" i="246" a="1"/>
  <c r="A54" i="246" s="1"/>
  <c r="B53" i="246" a="1"/>
  <c r="B53" i="246" s="1"/>
  <c r="A53" i="246" a="1"/>
  <c r="A53" i="246" s="1"/>
  <c r="B52" i="246" a="1"/>
  <c r="B52" i="246" s="1"/>
  <c r="A52" i="246" a="1"/>
  <c r="A52" i="246" s="1"/>
  <c r="B51" i="246" a="1"/>
  <c r="B51" i="246" s="1"/>
  <c r="A51" i="246" a="1"/>
  <c r="A51" i="246" s="1"/>
  <c r="B50" i="246" a="1"/>
  <c r="B50" i="246" s="1"/>
  <c r="A50" i="246" a="1"/>
  <c r="A50" i="246" s="1"/>
  <c r="B49" i="246" a="1"/>
  <c r="B49" i="246" s="1"/>
  <c r="A49" i="246" a="1"/>
  <c r="A49" i="246" s="1"/>
  <c r="B48" i="246" a="1"/>
  <c r="B48" i="246" s="1"/>
  <c r="A48" i="246" a="1"/>
  <c r="A48" i="246" s="1"/>
  <c r="B47" i="246" a="1"/>
  <c r="B47" i="246" s="1"/>
  <c r="A47" i="246" a="1"/>
  <c r="A47" i="246" s="1"/>
  <c r="B46" i="246" a="1"/>
  <c r="B46" i="246" s="1"/>
  <c r="A46" i="246" a="1"/>
  <c r="A46" i="246" s="1"/>
  <c r="B45" i="246" a="1"/>
  <c r="B45" i="246" s="1"/>
  <c r="A45" i="246" a="1"/>
  <c r="A45" i="246" s="1"/>
  <c r="B44" i="246" a="1"/>
  <c r="B44" i="246" s="1"/>
  <c r="A44" i="246" a="1"/>
  <c r="A44" i="246" s="1"/>
  <c r="B43" i="246" a="1"/>
  <c r="B43" i="246" s="1"/>
  <c r="A43" i="246" a="1"/>
  <c r="A43" i="246" s="1"/>
  <c r="B42" i="246" a="1"/>
  <c r="B42" i="246" s="1"/>
  <c r="A42" i="246" a="1"/>
  <c r="A42" i="246" s="1"/>
  <c r="B41" i="246" a="1"/>
  <c r="B41" i="246" s="1"/>
  <c r="A41" i="246" a="1"/>
  <c r="A41" i="246" s="1"/>
  <c r="B40" i="246" a="1"/>
  <c r="B40" i="246" s="1"/>
  <c r="A40" i="246" a="1"/>
  <c r="A40" i="246" s="1"/>
  <c r="B39" i="246" a="1"/>
  <c r="B39" i="246" s="1"/>
  <c r="A39" i="246" a="1"/>
  <c r="A39" i="246" s="1"/>
  <c r="B38" i="246" a="1"/>
  <c r="B38" i="246" s="1"/>
  <c r="A38" i="246" a="1"/>
  <c r="A38" i="246" s="1"/>
  <c r="B37" i="246" a="1"/>
  <c r="B37" i="246" s="1"/>
  <c r="A37" i="246" a="1"/>
  <c r="A37" i="246" s="1"/>
  <c r="B36" i="246" a="1"/>
  <c r="B36" i="246" s="1"/>
  <c r="A36" i="246" a="1"/>
  <c r="A36" i="246" s="1"/>
  <c r="B35" i="246" a="1"/>
  <c r="B35" i="246" s="1"/>
  <c r="A35" i="246" a="1"/>
  <c r="A35" i="246" s="1"/>
  <c r="B34" i="246" a="1"/>
  <c r="B34" i="246" s="1"/>
  <c r="A34" i="246" a="1"/>
  <c r="A34" i="246" s="1"/>
  <c r="B33" i="246" a="1"/>
  <c r="B33" i="246" s="1"/>
  <c r="A33" i="246" a="1"/>
  <c r="A33" i="246" s="1"/>
  <c r="B32" i="246" a="1"/>
  <c r="B32" i="246" s="1"/>
  <c r="A32" i="246" a="1"/>
  <c r="A32" i="246" s="1"/>
  <c r="B31" i="246" a="1"/>
  <c r="B31" i="246" s="1"/>
  <c r="A31" i="246" a="1"/>
  <c r="A31" i="246" s="1"/>
  <c r="B30" i="246" a="1"/>
  <c r="B30" i="246" s="1"/>
  <c r="A30" i="246" a="1"/>
  <c r="A30" i="246" s="1"/>
  <c r="B29" i="246" a="1"/>
  <c r="B29" i="246" s="1"/>
  <c r="A29" i="246" a="1"/>
  <c r="A29" i="246" s="1"/>
  <c r="B28" i="246" a="1"/>
  <c r="B28" i="246" s="1"/>
  <c r="A28" i="246" a="1"/>
  <c r="A28" i="246" s="1"/>
  <c r="B27" i="246" a="1"/>
  <c r="B27" i="246" s="1"/>
  <c r="A27" i="246" a="1"/>
  <c r="A27" i="246" s="1"/>
  <c r="B26" i="246" a="1"/>
  <c r="B26" i="246" s="1"/>
  <c r="A26" i="246" a="1"/>
  <c r="A26" i="246" s="1"/>
  <c r="B25" i="246" a="1"/>
  <c r="B25" i="246" s="1"/>
  <c r="A25" i="246" a="1"/>
  <c r="A25" i="246" s="1"/>
  <c r="C232" i="245" a="1"/>
  <c r="C232" i="245" s="1"/>
  <c r="B232" i="245" a="1"/>
  <c r="B232" i="245" s="1"/>
  <c r="A232" i="245" a="1"/>
  <c r="A232" i="245" s="1"/>
  <c r="B214" i="245"/>
  <c r="B213" i="245"/>
  <c r="B212" i="245"/>
  <c r="B211" i="245"/>
  <c r="B210" i="245"/>
  <c r="B209" i="245"/>
  <c r="C203" i="245"/>
  <c r="B203" i="245"/>
  <c r="C202" i="245"/>
  <c r="B202" i="245"/>
  <c r="C201" i="245"/>
  <c r="B201" i="245"/>
  <c r="C200" i="245"/>
  <c r="B200" i="245"/>
  <c r="C199" i="245"/>
  <c r="B199" i="245"/>
  <c r="C198" i="245"/>
  <c r="B198" i="245"/>
  <c r="C197" i="245"/>
  <c r="B197" i="245"/>
  <c r="C196" i="245"/>
  <c r="B196" i="245"/>
  <c r="C195" i="245"/>
  <c r="B195" i="245"/>
  <c r="C194" i="245"/>
  <c r="B194" i="245"/>
  <c r="C193" i="245"/>
  <c r="B193" i="245"/>
  <c r="C192" i="245"/>
  <c r="B192" i="245"/>
  <c r="C191" i="245"/>
  <c r="B191" i="245"/>
  <c r="C190" i="245"/>
  <c r="B190" i="245"/>
  <c r="C189" i="245"/>
  <c r="B189" i="245"/>
  <c r="C188" i="245"/>
  <c r="B188" i="245"/>
  <c r="C187" i="245"/>
  <c r="B187" i="245"/>
  <c r="C186" i="245"/>
  <c r="B186" i="245"/>
  <c r="C185" i="245"/>
  <c r="B185" i="245"/>
  <c r="H181" i="245"/>
  <c r="B180" i="245"/>
  <c r="B179" i="245"/>
  <c r="B178" i="245"/>
  <c r="B177" i="245"/>
  <c r="B176" i="245"/>
  <c r="B175" i="245"/>
  <c r="B174" i="245"/>
  <c r="B173" i="245"/>
  <c r="B172" i="245"/>
  <c r="B171" i="245"/>
  <c r="B170" i="245"/>
  <c r="B169" i="245"/>
  <c r="B168" i="245"/>
  <c r="B167" i="245"/>
  <c r="B166" i="245"/>
  <c r="B165" i="245"/>
  <c r="B164" i="245"/>
  <c r="B163" i="245"/>
  <c r="B162" i="245"/>
  <c r="B161" i="245"/>
  <c r="B160" i="245"/>
  <c r="B159" i="245"/>
  <c r="B158" i="245"/>
  <c r="B157" i="245"/>
  <c r="B156" i="245"/>
  <c r="B155" i="245"/>
  <c r="B154" i="245"/>
  <c r="B153" i="245"/>
  <c r="B152" i="245"/>
  <c r="B151" i="245"/>
  <c r="B150" i="245"/>
  <c r="B149" i="245"/>
  <c r="B148" i="245"/>
  <c r="B147" i="245"/>
  <c r="B146" i="245"/>
  <c r="B145" i="245"/>
  <c r="B144" i="245"/>
  <c r="B143" i="245"/>
  <c r="B142" i="245"/>
  <c r="B141" i="245"/>
  <c r="B140" i="245"/>
  <c r="B139" i="245"/>
  <c r="B138" i="245"/>
  <c r="B137" i="245"/>
  <c r="B136" i="245"/>
  <c r="B135" i="245"/>
  <c r="B134" i="245"/>
  <c r="B133" i="245"/>
  <c r="B132" i="245"/>
  <c r="B131" i="245"/>
  <c r="C127" i="245"/>
  <c r="F126" i="245"/>
  <c r="G126" i="245" s="1"/>
  <c r="G125" i="245"/>
  <c r="F125" i="245"/>
  <c r="G124" i="245"/>
  <c r="F124" i="245"/>
  <c r="G123" i="245"/>
  <c r="F123" i="245"/>
  <c r="F122" i="245"/>
  <c r="G122" i="245" s="1"/>
  <c r="G121" i="245"/>
  <c r="F121" i="245"/>
  <c r="G120" i="245"/>
  <c r="F120" i="245"/>
  <c r="G119" i="245"/>
  <c r="F119" i="245"/>
  <c r="F118" i="245"/>
  <c r="G118" i="245" s="1"/>
  <c r="G117" i="245"/>
  <c r="F117" i="245"/>
  <c r="G116" i="245"/>
  <c r="F116" i="245"/>
  <c r="G115" i="245"/>
  <c r="F115" i="245"/>
  <c r="F114" i="245"/>
  <c r="G114" i="245" s="1"/>
  <c r="G113" i="245"/>
  <c r="F113" i="245"/>
  <c r="G112" i="245"/>
  <c r="F112" i="245"/>
  <c r="G111" i="245"/>
  <c r="F111" i="245"/>
  <c r="F110" i="245"/>
  <c r="G109" i="245"/>
  <c r="F109" i="245"/>
  <c r="G108" i="245"/>
  <c r="F108" i="245"/>
  <c r="G107" i="245"/>
  <c r="F107" i="245"/>
  <c r="C101" i="245"/>
  <c r="B100" i="245" a="1"/>
  <c r="B100" i="245" s="1"/>
  <c r="A100" i="245" a="1"/>
  <c r="A100" i="245" s="1"/>
  <c r="B99" i="245" a="1"/>
  <c r="B99" i="245" s="1"/>
  <c r="A99" i="245" a="1"/>
  <c r="A99" i="245" s="1"/>
  <c r="B98" i="245" a="1"/>
  <c r="B98" i="245" s="1"/>
  <c r="A98" i="245" a="1"/>
  <c r="A98" i="245" s="1"/>
  <c r="B97" i="245" a="1"/>
  <c r="B97" i="245" s="1"/>
  <c r="A97" i="245" a="1"/>
  <c r="A97" i="245" s="1"/>
  <c r="B96" i="245" a="1"/>
  <c r="B96" i="245" s="1"/>
  <c r="A96" i="245" a="1"/>
  <c r="A96" i="245" s="1"/>
  <c r="B95" i="245" a="1"/>
  <c r="B95" i="245" s="1"/>
  <c r="A95" i="245" a="1"/>
  <c r="A95" i="245" s="1"/>
  <c r="B94" i="245" a="1"/>
  <c r="B94" i="245" s="1"/>
  <c r="A94" i="245" a="1"/>
  <c r="A94" i="245" s="1"/>
  <c r="B93" i="245" a="1"/>
  <c r="B93" i="245" s="1"/>
  <c r="A93" i="245" a="1"/>
  <c r="A93" i="245" s="1"/>
  <c r="B92" i="245" a="1"/>
  <c r="B92" i="245" s="1"/>
  <c r="A92" i="245" a="1"/>
  <c r="A92" i="245" s="1"/>
  <c r="B91" i="245" a="1"/>
  <c r="B91" i="245" s="1"/>
  <c r="A91" i="245" a="1"/>
  <c r="A91" i="245" s="1"/>
  <c r="B90" i="245" a="1"/>
  <c r="B90" i="245" s="1"/>
  <c r="A90" i="245" a="1"/>
  <c r="A90" i="245" s="1"/>
  <c r="B89" i="245" a="1"/>
  <c r="B89" i="245" s="1"/>
  <c r="A89" i="245" a="1"/>
  <c r="A89" i="245" s="1"/>
  <c r="B88" i="245" a="1"/>
  <c r="B88" i="245" s="1"/>
  <c r="A88" i="245" a="1"/>
  <c r="A88" i="245" s="1"/>
  <c r="B87" i="245" a="1"/>
  <c r="B87" i="245" s="1"/>
  <c r="A87" i="245" a="1"/>
  <c r="A87" i="245" s="1"/>
  <c r="B86" i="245" a="1"/>
  <c r="B86" i="245" s="1"/>
  <c r="A86" i="245" a="1"/>
  <c r="A86" i="245" s="1"/>
  <c r="B85" i="245" a="1"/>
  <c r="B85" i="245" s="1"/>
  <c r="A85" i="245" a="1"/>
  <c r="A85" i="245" s="1"/>
  <c r="B84" i="245" a="1"/>
  <c r="B84" i="245" s="1"/>
  <c r="A84" i="245" a="1"/>
  <c r="A84" i="245" s="1"/>
  <c r="B83" i="245" a="1"/>
  <c r="B83" i="245" s="1"/>
  <c r="A83" i="245" a="1"/>
  <c r="A83" i="245" s="1"/>
  <c r="B82" i="245" a="1"/>
  <c r="B82" i="245" s="1"/>
  <c r="A82" i="245" a="1"/>
  <c r="A82" i="245" s="1"/>
  <c r="B81" i="245" a="1"/>
  <c r="B81" i="245" s="1"/>
  <c r="A81" i="245" a="1"/>
  <c r="A81" i="245" s="1"/>
  <c r="B80" i="245" a="1"/>
  <c r="B80" i="245" s="1"/>
  <c r="A80" i="245" a="1"/>
  <c r="A80" i="245" s="1"/>
  <c r="B79" i="245" a="1"/>
  <c r="B79" i="245" s="1"/>
  <c r="A79" i="245" a="1"/>
  <c r="A79" i="245" s="1"/>
  <c r="B78" i="245" a="1"/>
  <c r="B78" i="245" s="1"/>
  <c r="A78" i="245" a="1"/>
  <c r="A78" i="245" s="1"/>
  <c r="B77" i="245" a="1"/>
  <c r="B77" i="245" s="1"/>
  <c r="A77" i="245" a="1"/>
  <c r="A77" i="245" s="1"/>
  <c r="B76" i="245" a="1"/>
  <c r="B76" i="245" s="1"/>
  <c r="A76" i="245" a="1"/>
  <c r="A76" i="245" s="1"/>
  <c r="B75" i="245" a="1"/>
  <c r="B75" i="245" s="1"/>
  <c r="A75" i="245" a="1"/>
  <c r="A75" i="245" s="1"/>
  <c r="B74" i="245" a="1"/>
  <c r="B74" i="245" s="1"/>
  <c r="A74" i="245" a="1"/>
  <c r="A74" i="245" s="1"/>
  <c r="B73" i="245" a="1"/>
  <c r="B73" i="245" s="1"/>
  <c r="A73" i="245" a="1"/>
  <c r="A73" i="245" s="1"/>
  <c r="B72" i="245" a="1"/>
  <c r="B72" i="245" s="1"/>
  <c r="A72" i="245" a="1"/>
  <c r="A72" i="245" s="1"/>
  <c r="B71" i="245" a="1"/>
  <c r="B71" i="245" s="1"/>
  <c r="A71" i="245" a="1"/>
  <c r="A71" i="245" s="1"/>
  <c r="B70" i="245" a="1"/>
  <c r="B70" i="245" s="1"/>
  <c r="A70" i="245" a="1"/>
  <c r="A70" i="245" s="1"/>
  <c r="B69" i="245" a="1"/>
  <c r="B69" i="245" s="1"/>
  <c r="A69" i="245" a="1"/>
  <c r="A69" i="245" s="1"/>
  <c r="B68" i="245" a="1"/>
  <c r="B68" i="245" s="1"/>
  <c r="A68" i="245" a="1"/>
  <c r="A68" i="245" s="1"/>
  <c r="B67" i="245" a="1"/>
  <c r="B67" i="245" s="1"/>
  <c r="A67" i="245" a="1"/>
  <c r="A67" i="245" s="1"/>
  <c r="B66" i="245" a="1"/>
  <c r="B66" i="245" s="1"/>
  <c r="A66" i="245" a="1"/>
  <c r="A66" i="245" s="1"/>
  <c r="B65" i="245" a="1"/>
  <c r="B65" i="245" s="1"/>
  <c r="A65" i="245" a="1"/>
  <c r="A65" i="245" s="1"/>
  <c r="B64" i="245" a="1"/>
  <c r="B64" i="245" s="1"/>
  <c r="A64" i="245" a="1"/>
  <c r="A64" i="245" s="1"/>
  <c r="B63" i="245" a="1"/>
  <c r="B63" i="245" s="1"/>
  <c r="A63" i="245" a="1"/>
  <c r="A63" i="245" s="1"/>
  <c r="B62" i="245" a="1"/>
  <c r="B62" i="245" s="1"/>
  <c r="A62" i="245" a="1"/>
  <c r="A62" i="245" s="1"/>
  <c r="B61" i="245" a="1"/>
  <c r="B61" i="245" s="1"/>
  <c r="A61" i="245" a="1"/>
  <c r="A61" i="245" s="1"/>
  <c r="B60" i="245" a="1"/>
  <c r="B60" i="245" s="1"/>
  <c r="A60" i="245" a="1"/>
  <c r="A60" i="245" s="1"/>
  <c r="B59" i="245" a="1"/>
  <c r="B59" i="245" s="1"/>
  <c r="A59" i="245" a="1"/>
  <c r="A59" i="245" s="1"/>
  <c r="B58" i="245" a="1"/>
  <c r="B58" i="245" s="1"/>
  <c r="A58" i="245" a="1"/>
  <c r="A58" i="245" s="1"/>
  <c r="B57" i="245" a="1"/>
  <c r="B57" i="245" s="1"/>
  <c r="A57" i="245" a="1"/>
  <c r="A57" i="245" s="1"/>
  <c r="B56" i="245" a="1"/>
  <c r="B56" i="245" s="1"/>
  <c r="A56" i="245" a="1"/>
  <c r="A56" i="245" s="1"/>
  <c r="B55" i="245" a="1"/>
  <c r="B55" i="245" s="1"/>
  <c r="A55" i="245" a="1"/>
  <c r="A55" i="245" s="1"/>
  <c r="B54" i="245" a="1"/>
  <c r="B54" i="245" s="1"/>
  <c r="A54" i="245" a="1"/>
  <c r="A54" i="245" s="1"/>
  <c r="B53" i="245" a="1"/>
  <c r="B53" i="245" s="1"/>
  <c r="A53" i="245" a="1"/>
  <c r="A53" i="245" s="1"/>
  <c r="B52" i="245" a="1"/>
  <c r="B52" i="245" s="1"/>
  <c r="A52" i="245" a="1"/>
  <c r="A52" i="245" s="1"/>
  <c r="B51" i="245" a="1"/>
  <c r="B51" i="245" s="1"/>
  <c r="A51" i="245" a="1"/>
  <c r="A51" i="245" s="1"/>
  <c r="B50" i="245" a="1"/>
  <c r="B50" i="245" s="1"/>
  <c r="A50" i="245" a="1"/>
  <c r="A50" i="245" s="1"/>
  <c r="B49" i="245" a="1"/>
  <c r="B49" i="245" s="1"/>
  <c r="A49" i="245" a="1"/>
  <c r="A49" i="245" s="1"/>
  <c r="B48" i="245" a="1"/>
  <c r="B48" i="245" s="1"/>
  <c r="A48" i="245" a="1"/>
  <c r="A48" i="245" s="1"/>
  <c r="B47" i="245" a="1"/>
  <c r="B47" i="245" s="1"/>
  <c r="A47" i="245" a="1"/>
  <c r="A47" i="245" s="1"/>
  <c r="B46" i="245" a="1"/>
  <c r="B46" i="245" s="1"/>
  <c r="A46" i="245" a="1"/>
  <c r="A46" i="245" s="1"/>
  <c r="B45" i="245" a="1"/>
  <c r="B45" i="245" s="1"/>
  <c r="A45" i="245" a="1"/>
  <c r="A45" i="245" s="1"/>
  <c r="B44" i="245" a="1"/>
  <c r="B44" i="245" s="1"/>
  <c r="A44" i="245" a="1"/>
  <c r="A44" i="245" s="1"/>
  <c r="B43" i="245" a="1"/>
  <c r="B43" i="245" s="1"/>
  <c r="A43" i="245" a="1"/>
  <c r="A43" i="245" s="1"/>
  <c r="B42" i="245" a="1"/>
  <c r="B42" i="245" s="1"/>
  <c r="A42" i="245" a="1"/>
  <c r="A42" i="245" s="1"/>
  <c r="B41" i="245" a="1"/>
  <c r="B41" i="245" s="1"/>
  <c r="A41" i="245" a="1"/>
  <c r="A41" i="245" s="1"/>
  <c r="B40" i="245" a="1"/>
  <c r="B40" i="245" s="1"/>
  <c r="A40" i="245" a="1"/>
  <c r="A40" i="245" s="1"/>
  <c r="B39" i="245" a="1"/>
  <c r="B39" i="245" s="1"/>
  <c r="A39" i="245" a="1"/>
  <c r="A39" i="245" s="1"/>
  <c r="B38" i="245" a="1"/>
  <c r="B38" i="245" s="1"/>
  <c r="A38" i="245" a="1"/>
  <c r="A38" i="245" s="1"/>
  <c r="B37" i="245" a="1"/>
  <c r="B37" i="245" s="1"/>
  <c r="A37" i="245" a="1"/>
  <c r="A37" i="245" s="1"/>
  <c r="B36" i="245" a="1"/>
  <c r="B36" i="245" s="1"/>
  <c r="A36" i="245" a="1"/>
  <c r="A36" i="245" s="1"/>
  <c r="B35" i="245" a="1"/>
  <c r="B35" i="245" s="1"/>
  <c r="A35" i="245" a="1"/>
  <c r="A35" i="245" s="1"/>
  <c r="B34" i="245" a="1"/>
  <c r="B34" i="245" s="1"/>
  <c r="A34" i="245" a="1"/>
  <c r="A34" i="245" s="1"/>
  <c r="B33" i="245" a="1"/>
  <c r="B33" i="245" s="1"/>
  <c r="A33" i="245" a="1"/>
  <c r="A33" i="245" s="1"/>
  <c r="B32" i="245" a="1"/>
  <c r="B32" i="245" s="1"/>
  <c r="A32" i="245" a="1"/>
  <c r="A32" i="245" s="1"/>
  <c r="B31" i="245" a="1"/>
  <c r="B31" i="245" s="1"/>
  <c r="A31" i="245" a="1"/>
  <c r="A31" i="245" s="1"/>
  <c r="B30" i="245" a="1"/>
  <c r="B30" i="245" s="1"/>
  <c r="A30" i="245" a="1"/>
  <c r="A30" i="245" s="1"/>
  <c r="B29" i="245" a="1"/>
  <c r="B29" i="245" s="1"/>
  <c r="A29" i="245" a="1"/>
  <c r="A29" i="245" s="1"/>
  <c r="B28" i="245" a="1"/>
  <c r="B28" i="245" s="1"/>
  <c r="A28" i="245" a="1"/>
  <c r="A28" i="245" s="1"/>
  <c r="B27" i="245" a="1"/>
  <c r="B27" i="245" s="1"/>
  <c r="A27" i="245" a="1"/>
  <c r="A27" i="245" s="1"/>
  <c r="B26" i="245" a="1"/>
  <c r="B26" i="245" s="1"/>
  <c r="A26" i="245" a="1"/>
  <c r="A26" i="245" s="1"/>
  <c r="B25" i="245" a="1"/>
  <c r="B25" i="245" s="1"/>
  <c r="A25" i="245" a="1"/>
  <c r="A25" i="245" s="1"/>
  <c r="C232" i="244" a="1"/>
  <c r="C232" i="244" s="1"/>
  <c r="B232" i="244" a="1"/>
  <c r="B232" i="244" s="1"/>
  <c r="A232" i="244" a="1"/>
  <c r="A232" i="244" s="1"/>
  <c r="B214" i="244"/>
  <c r="B213" i="244"/>
  <c r="B212" i="244"/>
  <c r="B211" i="244"/>
  <c r="B210" i="244"/>
  <c r="B209" i="244"/>
  <c r="C203" i="244"/>
  <c r="B203" i="244"/>
  <c r="C202" i="244"/>
  <c r="B202" i="244"/>
  <c r="C201" i="244"/>
  <c r="B201" i="244"/>
  <c r="C200" i="244"/>
  <c r="B200" i="244"/>
  <c r="C199" i="244"/>
  <c r="B199" i="244"/>
  <c r="C198" i="244"/>
  <c r="B198" i="244"/>
  <c r="C197" i="244"/>
  <c r="B197" i="244"/>
  <c r="C196" i="244"/>
  <c r="B196" i="244"/>
  <c r="C195" i="244"/>
  <c r="B195" i="244"/>
  <c r="C194" i="244"/>
  <c r="B194" i="244"/>
  <c r="C193" i="244"/>
  <c r="B193" i="244"/>
  <c r="C192" i="244"/>
  <c r="B192" i="244"/>
  <c r="C191" i="244"/>
  <c r="B191" i="244"/>
  <c r="C190" i="244"/>
  <c r="B190" i="244"/>
  <c r="C189" i="244"/>
  <c r="B189" i="244"/>
  <c r="C188" i="244"/>
  <c r="B188" i="244"/>
  <c r="C187" i="244"/>
  <c r="B187" i="244"/>
  <c r="C186" i="244"/>
  <c r="B186" i="244"/>
  <c r="C185" i="244"/>
  <c r="B185" i="244"/>
  <c r="H181" i="244"/>
  <c r="B180" i="244"/>
  <c r="B179" i="244"/>
  <c r="B178" i="244"/>
  <c r="B177" i="244"/>
  <c r="B176" i="244"/>
  <c r="B175" i="244"/>
  <c r="B174" i="244"/>
  <c r="B173" i="244"/>
  <c r="B172" i="244"/>
  <c r="B171" i="244"/>
  <c r="B170" i="244"/>
  <c r="B169" i="244"/>
  <c r="B168" i="244"/>
  <c r="B167" i="244"/>
  <c r="B166" i="244"/>
  <c r="B165" i="244"/>
  <c r="B164" i="244"/>
  <c r="B163" i="244"/>
  <c r="B162" i="244"/>
  <c r="B161" i="244"/>
  <c r="B160" i="244"/>
  <c r="B159" i="244"/>
  <c r="B158" i="244"/>
  <c r="B157" i="244"/>
  <c r="B156" i="244"/>
  <c r="B155" i="244"/>
  <c r="B154" i="244"/>
  <c r="B153" i="244"/>
  <c r="B152" i="244"/>
  <c r="B151" i="244"/>
  <c r="B150" i="244"/>
  <c r="B149" i="244"/>
  <c r="B148" i="244"/>
  <c r="B147" i="244"/>
  <c r="B146" i="244"/>
  <c r="B145" i="244"/>
  <c r="B144" i="244"/>
  <c r="B143" i="244"/>
  <c r="B142" i="244"/>
  <c r="B141" i="244"/>
  <c r="B140" i="244"/>
  <c r="B139" i="244"/>
  <c r="B138" i="244"/>
  <c r="B137" i="244"/>
  <c r="B136" i="244"/>
  <c r="B135" i="244"/>
  <c r="B134" i="244"/>
  <c r="B133" i="244"/>
  <c r="B132" i="244"/>
  <c r="B131" i="244"/>
  <c r="C127" i="244"/>
  <c r="G126" i="244"/>
  <c r="F126" i="244"/>
  <c r="G125" i="244"/>
  <c r="F125" i="244"/>
  <c r="G124" i="244"/>
  <c r="F124" i="244"/>
  <c r="G123" i="244"/>
  <c r="F123" i="244"/>
  <c r="G122" i="244"/>
  <c r="F122" i="244"/>
  <c r="G121" i="244"/>
  <c r="F121" i="244"/>
  <c r="G120" i="244"/>
  <c r="F120" i="244"/>
  <c r="G119" i="244"/>
  <c r="F119" i="244"/>
  <c r="G118" i="244"/>
  <c r="F118" i="244"/>
  <c r="G117" i="244"/>
  <c r="F117" i="244"/>
  <c r="G116" i="244"/>
  <c r="F116" i="244"/>
  <c r="G115" i="244"/>
  <c r="F115" i="244"/>
  <c r="G114" i="244"/>
  <c r="F114" i="244"/>
  <c r="G113" i="244"/>
  <c r="F113" i="244"/>
  <c r="G112" i="244"/>
  <c r="F112" i="244"/>
  <c r="G111" i="244"/>
  <c r="F111" i="244"/>
  <c r="G110" i="244"/>
  <c r="G127" i="244" s="1"/>
  <c r="F110" i="244"/>
  <c r="G109" i="244"/>
  <c r="F109" i="244"/>
  <c r="G108" i="244"/>
  <c r="F108" i="244"/>
  <c r="G107" i="244"/>
  <c r="F107" i="244"/>
  <c r="C101" i="244"/>
  <c r="B100" i="244" a="1"/>
  <c r="B100" i="244" s="1"/>
  <c r="A100" i="244" a="1"/>
  <c r="A100" i="244" s="1"/>
  <c r="B99" i="244" a="1"/>
  <c r="B99" i="244" s="1"/>
  <c r="A99" i="244" a="1"/>
  <c r="A99" i="244" s="1"/>
  <c r="B98" i="244" a="1"/>
  <c r="B98" i="244" s="1"/>
  <c r="A98" i="244" a="1"/>
  <c r="A98" i="244" s="1"/>
  <c r="B97" i="244" a="1"/>
  <c r="B97" i="244" s="1"/>
  <c r="A97" i="244" a="1"/>
  <c r="A97" i="244" s="1"/>
  <c r="B96" i="244" a="1"/>
  <c r="B96" i="244" s="1"/>
  <c r="A96" i="244" a="1"/>
  <c r="A96" i="244" s="1"/>
  <c r="B95" i="244" a="1"/>
  <c r="B95" i="244" s="1"/>
  <c r="A95" i="244" a="1"/>
  <c r="A95" i="244" s="1"/>
  <c r="B94" i="244" a="1"/>
  <c r="B94" i="244" s="1"/>
  <c r="A94" i="244" a="1"/>
  <c r="A94" i="244" s="1"/>
  <c r="B93" i="244" a="1"/>
  <c r="B93" i="244" s="1"/>
  <c r="A93" i="244" a="1"/>
  <c r="A93" i="244" s="1"/>
  <c r="B92" i="244" a="1"/>
  <c r="B92" i="244" s="1"/>
  <c r="A92" i="244" a="1"/>
  <c r="A92" i="244" s="1"/>
  <c r="B91" i="244" a="1"/>
  <c r="B91" i="244" s="1"/>
  <c r="A91" i="244" a="1"/>
  <c r="A91" i="244" s="1"/>
  <c r="B90" i="244" a="1"/>
  <c r="B90" i="244" s="1"/>
  <c r="A90" i="244" a="1"/>
  <c r="A90" i="244" s="1"/>
  <c r="B89" i="244" a="1"/>
  <c r="B89" i="244" s="1"/>
  <c r="A89" i="244" a="1"/>
  <c r="A89" i="244" s="1"/>
  <c r="B88" i="244" a="1"/>
  <c r="B88" i="244" s="1"/>
  <c r="A88" i="244" a="1"/>
  <c r="A88" i="244" s="1"/>
  <c r="B87" i="244" a="1"/>
  <c r="B87" i="244" s="1"/>
  <c r="A87" i="244" a="1"/>
  <c r="A87" i="244" s="1"/>
  <c r="B86" i="244" a="1"/>
  <c r="B86" i="244" s="1"/>
  <c r="A86" i="244" a="1"/>
  <c r="A86" i="244" s="1"/>
  <c r="B85" i="244" a="1"/>
  <c r="B85" i="244" s="1"/>
  <c r="A85" i="244" a="1"/>
  <c r="A85" i="244" s="1"/>
  <c r="B84" i="244" a="1"/>
  <c r="B84" i="244" s="1"/>
  <c r="A84" i="244" a="1"/>
  <c r="A84" i="244" s="1"/>
  <c r="B83" i="244" a="1"/>
  <c r="B83" i="244" s="1"/>
  <c r="A83" i="244" a="1"/>
  <c r="A83" i="244" s="1"/>
  <c r="B82" i="244" a="1"/>
  <c r="B82" i="244" s="1"/>
  <c r="A82" i="244" a="1"/>
  <c r="A82" i="244" s="1"/>
  <c r="B81" i="244" a="1"/>
  <c r="B81" i="244" s="1"/>
  <c r="A81" i="244" a="1"/>
  <c r="A81" i="244" s="1"/>
  <c r="B80" i="244" a="1"/>
  <c r="B80" i="244" s="1"/>
  <c r="A80" i="244" a="1"/>
  <c r="A80" i="244" s="1"/>
  <c r="B79" i="244" a="1"/>
  <c r="B79" i="244" s="1"/>
  <c r="A79" i="244" a="1"/>
  <c r="A79" i="244" s="1"/>
  <c r="B78" i="244" a="1"/>
  <c r="B78" i="244" s="1"/>
  <c r="A78" i="244" a="1"/>
  <c r="A78" i="244" s="1"/>
  <c r="B77" i="244" a="1"/>
  <c r="B77" i="244" s="1"/>
  <c r="A77" i="244" a="1"/>
  <c r="A77" i="244" s="1"/>
  <c r="B76" i="244" a="1"/>
  <c r="B76" i="244" s="1"/>
  <c r="A76" i="244" a="1"/>
  <c r="A76" i="244" s="1"/>
  <c r="B75" i="244" a="1"/>
  <c r="B75" i="244" s="1"/>
  <c r="A75" i="244" a="1"/>
  <c r="A75" i="244" s="1"/>
  <c r="B74" i="244" a="1"/>
  <c r="B74" i="244" s="1"/>
  <c r="A74" i="244" a="1"/>
  <c r="A74" i="244" s="1"/>
  <c r="B73" i="244" a="1"/>
  <c r="B73" i="244" s="1"/>
  <c r="A73" i="244" a="1"/>
  <c r="A73" i="244" s="1"/>
  <c r="B72" i="244" a="1"/>
  <c r="B72" i="244" s="1"/>
  <c r="A72" i="244" a="1"/>
  <c r="A72" i="244" s="1"/>
  <c r="B71" i="244" a="1"/>
  <c r="B71" i="244" s="1"/>
  <c r="A71" i="244" a="1"/>
  <c r="A71" i="244" s="1"/>
  <c r="B70" i="244" a="1"/>
  <c r="B70" i="244" s="1"/>
  <c r="A70" i="244" a="1"/>
  <c r="A70" i="244" s="1"/>
  <c r="B69" i="244" a="1"/>
  <c r="B69" i="244" s="1"/>
  <c r="A69" i="244" a="1"/>
  <c r="A69" i="244" s="1"/>
  <c r="B68" i="244" a="1"/>
  <c r="B68" i="244" s="1"/>
  <c r="A68" i="244" a="1"/>
  <c r="A68" i="244" s="1"/>
  <c r="B67" i="244" a="1"/>
  <c r="B67" i="244" s="1"/>
  <c r="A67" i="244" a="1"/>
  <c r="A67" i="244" s="1"/>
  <c r="B66" i="244" a="1"/>
  <c r="B66" i="244" s="1"/>
  <c r="A66" i="244" a="1"/>
  <c r="A66" i="244" s="1"/>
  <c r="B65" i="244" a="1"/>
  <c r="B65" i="244" s="1"/>
  <c r="A65" i="244" a="1"/>
  <c r="A65" i="244" s="1"/>
  <c r="B64" i="244" a="1"/>
  <c r="B64" i="244" s="1"/>
  <c r="A64" i="244" a="1"/>
  <c r="A64" i="244" s="1"/>
  <c r="B63" i="244" a="1"/>
  <c r="B63" i="244" s="1"/>
  <c r="A63" i="244" a="1"/>
  <c r="A63" i="244" s="1"/>
  <c r="B62" i="244" a="1"/>
  <c r="B62" i="244" s="1"/>
  <c r="A62" i="244" a="1"/>
  <c r="A62" i="244" s="1"/>
  <c r="B61" i="244" a="1"/>
  <c r="B61" i="244" s="1"/>
  <c r="A61" i="244" a="1"/>
  <c r="A61" i="244" s="1"/>
  <c r="B60" i="244" a="1"/>
  <c r="B60" i="244" s="1"/>
  <c r="A60" i="244" a="1"/>
  <c r="A60" i="244" s="1"/>
  <c r="B59" i="244" a="1"/>
  <c r="B59" i="244" s="1"/>
  <c r="A59" i="244" a="1"/>
  <c r="A59" i="244" s="1"/>
  <c r="B58" i="244" a="1"/>
  <c r="B58" i="244" s="1"/>
  <c r="A58" i="244" a="1"/>
  <c r="A58" i="244" s="1"/>
  <c r="B57" i="244" a="1"/>
  <c r="B57" i="244" s="1"/>
  <c r="A57" i="244" a="1"/>
  <c r="A57" i="244" s="1"/>
  <c r="B56" i="244" a="1"/>
  <c r="B56" i="244" s="1"/>
  <c r="A56" i="244" a="1"/>
  <c r="A56" i="244" s="1"/>
  <c r="B55" i="244" a="1"/>
  <c r="B55" i="244" s="1"/>
  <c r="A55" i="244" a="1"/>
  <c r="A55" i="244" s="1"/>
  <c r="B54" i="244" a="1"/>
  <c r="B54" i="244" s="1"/>
  <c r="A54" i="244" a="1"/>
  <c r="A54" i="244" s="1"/>
  <c r="B53" i="244" a="1"/>
  <c r="B53" i="244" s="1"/>
  <c r="A53" i="244" a="1"/>
  <c r="A53" i="244" s="1"/>
  <c r="B52" i="244" a="1"/>
  <c r="B52" i="244" s="1"/>
  <c r="A52" i="244" a="1"/>
  <c r="A52" i="244" s="1"/>
  <c r="B51" i="244" a="1"/>
  <c r="B51" i="244" s="1"/>
  <c r="A51" i="244" a="1"/>
  <c r="A51" i="244" s="1"/>
  <c r="B50" i="244" a="1"/>
  <c r="B50" i="244" s="1"/>
  <c r="A50" i="244" a="1"/>
  <c r="A50" i="244" s="1"/>
  <c r="B49" i="244" a="1"/>
  <c r="B49" i="244" s="1"/>
  <c r="A49" i="244" a="1"/>
  <c r="A49" i="244" s="1"/>
  <c r="B48" i="244" a="1"/>
  <c r="B48" i="244" s="1"/>
  <c r="A48" i="244" a="1"/>
  <c r="A48" i="244" s="1"/>
  <c r="B47" i="244" a="1"/>
  <c r="B47" i="244" s="1"/>
  <c r="A47" i="244" a="1"/>
  <c r="A47" i="244" s="1"/>
  <c r="B46" i="244" a="1"/>
  <c r="B46" i="244" s="1"/>
  <c r="A46" i="244" a="1"/>
  <c r="A46" i="244" s="1"/>
  <c r="B45" i="244" a="1"/>
  <c r="B45" i="244" s="1"/>
  <c r="A45" i="244" a="1"/>
  <c r="A45" i="244" s="1"/>
  <c r="B44" i="244" a="1"/>
  <c r="B44" i="244" s="1"/>
  <c r="A44" i="244" a="1"/>
  <c r="A44" i="244" s="1"/>
  <c r="B43" i="244" a="1"/>
  <c r="B43" i="244" s="1"/>
  <c r="A43" i="244" a="1"/>
  <c r="A43" i="244" s="1"/>
  <c r="B42" i="244" a="1"/>
  <c r="B42" i="244" s="1"/>
  <c r="A42" i="244" a="1"/>
  <c r="A42" i="244" s="1"/>
  <c r="B41" i="244" a="1"/>
  <c r="B41" i="244" s="1"/>
  <c r="A41" i="244" a="1"/>
  <c r="A41" i="244" s="1"/>
  <c r="B40" i="244" a="1"/>
  <c r="B40" i="244" s="1"/>
  <c r="A40" i="244" a="1"/>
  <c r="A40" i="244" s="1"/>
  <c r="B39" i="244" a="1"/>
  <c r="B39" i="244" s="1"/>
  <c r="A39" i="244" a="1"/>
  <c r="A39" i="244" s="1"/>
  <c r="B38" i="244" a="1"/>
  <c r="B38" i="244" s="1"/>
  <c r="A38" i="244" a="1"/>
  <c r="A38" i="244" s="1"/>
  <c r="B37" i="244" a="1"/>
  <c r="B37" i="244" s="1"/>
  <c r="A37" i="244" a="1"/>
  <c r="A37" i="244" s="1"/>
  <c r="B36" i="244" a="1"/>
  <c r="B36" i="244" s="1"/>
  <c r="A36" i="244" a="1"/>
  <c r="A36" i="244" s="1"/>
  <c r="B35" i="244" a="1"/>
  <c r="B35" i="244" s="1"/>
  <c r="A35" i="244" a="1"/>
  <c r="A35" i="244" s="1"/>
  <c r="B34" i="244" a="1"/>
  <c r="B34" i="244" s="1"/>
  <c r="A34" i="244" a="1"/>
  <c r="A34" i="244" s="1"/>
  <c r="B33" i="244" a="1"/>
  <c r="B33" i="244" s="1"/>
  <c r="A33" i="244" a="1"/>
  <c r="A33" i="244" s="1"/>
  <c r="B32" i="244" a="1"/>
  <c r="B32" i="244" s="1"/>
  <c r="A32" i="244" a="1"/>
  <c r="A32" i="244" s="1"/>
  <c r="B31" i="244" a="1"/>
  <c r="B31" i="244" s="1"/>
  <c r="A31" i="244" a="1"/>
  <c r="A31" i="244" s="1"/>
  <c r="B30" i="244" a="1"/>
  <c r="B30" i="244" s="1"/>
  <c r="A30" i="244" a="1"/>
  <c r="A30" i="244" s="1"/>
  <c r="B29" i="244" a="1"/>
  <c r="B29" i="244" s="1"/>
  <c r="A29" i="244" a="1"/>
  <c r="A29" i="244" s="1"/>
  <c r="B28" i="244" a="1"/>
  <c r="B28" i="244" s="1"/>
  <c r="A28" i="244" a="1"/>
  <c r="A28" i="244" s="1"/>
  <c r="B27" i="244" a="1"/>
  <c r="B27" i="244" s="1"/>
  <c r="A27" i="244" a="1"/>
  <c r="A27" i="244" s="1"/>
  <c r="B26" i="244" a="1"/>
  <c r="B26" i="244" s="1"/>
  <c r="A26" i="244" a="1"/>
  <c r="A26" i="244" s="1"/>
  <c r="B25" i="244" a="1"/>
  <c r="B25" i="244" s="1"/>
  <c r="A25" i="244" a="1"/>
  <c r="A25" i="244" s="1"/>
  <c r="C232" i="243" a="1"/>
  <c r="C232" i="243" s="1"/>
  <c r="B232" i="243" a="1"/>
  <c r="B232" i="243" s="1"/>
  <c r="A232" i="243" a="1"/>
  <c r="A232" i="243" s="1"/>
  <c r="B214" i="243"/>
  <c r="B213" i="243"/>
  <c r="B212" i="243"/>
  <c r="B211" i="243"/>
  <c r="B210" i="243"/>
  <c r="B209" i="243"/>
  <c r="C203" i="243"/>
  <c r="B203" i="243"/>
  <c r="C202" i="243"/>
  <c r="B202" i="243"/>
  <c r="C201" i="243"/>
  <c r="B201" i="243"/>
  <c r="C200" i="243"/>
  <c r="B200" i="243"/>
  <c r="C199" i="243"/>
  <c r="B199" i="243"/>
  <c r="C198" i="243"/>
  <c r="B198" i="243"/>
  <c r="C197" i="243"/>
  <c r="B197" i="243"/>
  <c r="C196" i="243"/>
  <c r="B196" i="243"/>
  <c r="C195" i="243"/>
  <c r="B195" i="243"/>
  <c r="C194" i="243"/>
  <c r="B194" i="243"/>
  <c r="C193" i="243"/>
  <c r="B193" i="243"/>
  <c r="C192" i="243"/>
  <c r="B192" i="243"/>
  <c r="C191" i="243"/>
  <c r="B191" i="243"/>
  <c r="C190" i="243"/>
  <c r="B190" i="243"/>
  <c r="C189" i="243"/>
  <c r="B189" i="243"/>
  <c r="C188" i="243"/>
  <c r="B188" i="243"/>
  <c r="C187" i="243"/>
  <c r="B187" i="243"/>
  <c r="C186" i="243"/>
  <c r="B186" i="243"/>
  <c r="C185" i="243"/>
  <c r="B185" i="243"/>
  <c r="H181" i="243"/>
  <c r="B180" i="243"/>
  <c r="B179" i="243"/>
  <c r="B178" i="243"/>
  <c r="B177" i="243"/>
  <c r="B176" i="243"/>
  <c r="B175" i="243"/>
  <c r="B174" i="243"/>
  <c r="B173" i="243"/>
  <c r="B172" i="243"/>
  <c r="B171" i="243"/>
  <c r="B170" i="243"/>
  <c r="B169" i="243"/>
  <c r="B168" i="243"/>
  <c r="B167" i="243"/>
  <c r="B166" i="243"/>
  <c r="B165" i="243"/>
  <c r="B164" i="243"/>
  <c r="B163" i="243"/>
  <c r="B162" i="243"/>
  <c r="B161" i="243"/>
  <c r="B160" i="243"/>
  <c r="B159" i="243"/>
  <c r="B158" i="243"/>
  <c r="B157" i="243"/>
  <c r="B156" i="243"/>
  <c r="B155" i="243"/>
  <c r="B154" i="243"/>
  <c r="B153" i="243"/>
  <c r="B152" i="243"/>
  <c r="B151" i="243"/>
  <c r="B150" i="243"/>
  <c r="B149" i="243"/>
  <c r="B148" i="243"/>
  <c r="B147" i="243"/>
  <c r="B146" i="243"/>
  <c r="B145" i="243"/>
  <c r="B144" i="243"/>
  <c r="B143" i="243"/>
  <c r="B142" i="243"/>
  <c r="B141" i="243"/>
  <c r="B140" i="243"/>
  <c r="B139" i="243"/>
  <c r="B138" i="243"/>
  <c r="B137" i="243"/>
  <c r="B136" i="243"/>
  <c r="B135" i="243"/>
  <c r="B134" i="243"/>
  <c r="B133" i="243"/>
  <c r="B132" i="243"/>
  <c r="B131" i="243"/>
  <c r="C127" i="243"/>
  <c r="G126" i="243"/>
  <c r="F126" i="243"/>
  <c r="G125" i="243"/>
  <c r="F125" i="243"/>
  <c r="G124" i="243"/>
  <c r="F124" i="243"/>
  <c r="G123" i="243"/>
  <c r="F123" i="243"/>
  <c r="G122" i="243"/>
  <c r="F122" i="243"/>
  <c r="G121" i="243"/>
  <c r="F121" i="243"/>
  <c r="G120" i="243"/>
  <c r="F120" i="243"/>
  <c r="G119" i="243"/>
  <c r="F119" i="243"/>
  <c r="G118" i="243"/>
  <c r="F118" i="243"/>
  <c r="G117" i="243"/>
  <c r="F117" i="243"/>
  <c r="G116" i="243"/>
  <c r="F116" i="243"/>
  <c r="G115" i="243"/>
  <c r="F115" i="243"/>
  <c r="G114" i="243"/>
  <c r="F114" i="243"/>
  <c r="G113" i="243"/>
  <c r="F113" i="243"/>
  <c r="G112" i="243"/>
  <c r="F112" i="243"/>
  <c r="G111" i="243"/>
  <c r="F111" i="243"/>
  <c r="G110" i="243"/>
  <c r="F110" i="243"/>
  <c r="G109" i="243"/>
  <c r="F109" i="243"/>
  <c r="G108" i="243"/>
  <c r="G127" i="243" s="1"/>
  <c r="F108" i="243"/>
  <c r="F127" i="243" s="1"/>
  <c r="G107" i="243"/>
  <c r="F107" i="243"/>
  <c r="C101" i="243"/>
  <c r="B100" i="243" a="1"/>
  <c r="B100" i="243" s="1"/>
  <c r="A100" i="243" a="1"/>
  <c r="A100" i="243" s="1"/>
  <c r="B99" i="243" a="1"/>
  <c r="B99" i="243" s="1"/>
  <c r="A99" i="243" a="1"/>
  <c r="A99" i="243" s="1"/>
  <c r="B98" i="243" a="1"/>
  <c r="B98" i="243" s="1"/>
  <c r="A98" i="243" a="1"/>
  <c r="A98" i="243" s="1"/>
  <c r="B97" i="243" a="1"/>
  <c r="B97" i="243" s="1"/>
  <c r="A97" i="243" a="1"/>
  <c r="A97" i="243" s="1"/>
  <c r="B96" i="243" a="1"/>
  <c r="B96" i="243" s="1"/>
  <c r="A96" i="243" a="1"/>
  <c r="A96" i="243" s="1"/>
  <c r="B95" i="243" a="1"/>
  <c r="B95" i="243" s="1"/>
  <c r="A95" i="243" a="1"/>
  <c r="A95" i="243" s="1"/>
  <c r="B94" i="243" a="1"/>
  <c r="B94" i="243" s="1"/>
  <c r="A94" i="243" a="1"/>
  <c r="A94" i="243" s="1"/>
  <c r="B93" i="243" a="1"/>
  <c r="B93" i="243" s="1"/>
  <c r="A93" i="243" a="1"/>
  <c r="A93" i="243" s="1"/>
  <c r="B92" i="243" a="1"/>
  <c r="B92" i="243" s="1"/>
  <c r="A92" i="243" a="1"/>
  <c r="A92" i="243" s="1"/>
  <c r="B91" i="243" a="1"/>
  <c r="B91" i="243" s="1"/>
  <c r="A91" i="243" a="1"/>
  <c r="A91" i="243" s="1"/>
  <c r="B90" i="243" a="1"/>
  <c r="B90" i="243" s="1"/>
  <c r="A90" i="243" a="1"/>
  <c r="A90" i="243" s="1"/>
  <c r="B89" i="243" a="1"/>
  <c r="B89" i="243" s="1"/>
  <c r="A89" i="243" a="1"/>
  <c r="A89" i="243" s="1"/>
  <c r="B88" i="243" a="1"/>
  <c r="B88" i="243" s="1"/>
  <c r="A88" i="243" a="1"/>
  <c r="A88" i="243" s="1"/>
  <c r="B87" i="243" a="1"/>
  <c r="B87" i="243" s="1"/>
  <c r="A87" i="243" a="1"/>
  <c r="A87" i="243" s="1"/>
  <c r="B86" i="243" a="1"/>
  <c r="B86" i="243" s="1"/>
  <c r="A86" i="243" a="1"/>
  <c r="A86" i="243" s="1"/>
  <c r="B85" i="243" a="1"/>
  <c r="B85" i="243" s="1"/>
  <c r="A85" i="243" a="1"/>
  <c r="A85" i="243" s="1"/>
  <c r="B84" i="243" a="1"/>
  <c r="B84" i="243" s="1"/>
  <c r="A84" i="243" a="1"/>
  <c r="A84" i="243" s="1"/>
  <c r="B83" i="243" a="1"/>
  <c r="B83" i="243" s="1"/>
  <c r="A83" i="243" a="1"/>
  <c r="A83" i="243" s="1"/>
  <c r="B82" i="243" a="1"/>
  <c r="B82" i="243" s="1"/>
  <c r="A82" i="243" a="1"/>
  <c r="A82" i="243" s="1"/>
  <c r="B81" i="243" a="1"/>
  <c r="B81" i="243" s="1"/>
  <c r="A81" i="243" a="1"/>
  <c r="A81" i="243" s="1"/>
  <c r="B80" i="243" a="1"/>
  <c r="B80" i="243" s="1"/>
  <c r="A80" i="243" a="1"/>
  <c r="A80" i="243" s="1"/>
  <c r="B79" i="243" a="1"/>
  <c r="B79" i="243" s="1"/>
  <c r="A79" i="243" a="1"/>
  <c r="A79" i="243" s="1"/>
  <c r="B78" i="243" a="1"/>
  <c r="B78" i="243" s="1"/>
  <c r="A78" i="243" a="1"/>
  <c r="A78" i="243" s="1"/>
  <c r="B77" i="243" a="1"/>
  <c r="B77" i="243" s="1"/>
  <c r="A77" i="243" a="1"/>
  <c r="A77" i="243" s="1"/>
  <c r="B76" i="243" a="1"/>
  <c r="B76" i="243" s="1"/>
  <c r="A76" i="243" a="1"/>
  <c r="A76" i="243" s="1"/>
  <c r="B75" i="243" a="1"/>
  <c r="B75" i="243" s="1"/>
  <c r="A75" i="243" a="1"/>
  <c r="A75" i="243" s="1"/>
  <c r="B74" i="243" a="1"/>
  <c r="B74" i="243" s="1"/>
  <c r="A74" i="243" a="1"/>
  <c r="A74" i="243" s="1"/>
  <c r="B73" i="243" a="1"/>
  <c r="B73" i="243" s="1"/>
  <c r="A73" i="243" a="1"/>
  <c r="A73" i="243" s="1"/>
  <c r="B72" i="243" a="1"/>
  <c r="B72" i="243" s="1"/>
  <c r="A72" i="243" a="1"/>
  <c r="A72" i="243" s="1"/>
  <c r="B71" i="243" a="1"/>
  <c r="B71" i="243" s="1"/>
  <c r="A71" i="243" a="1"/>
  <c r="A71" i="243" s="1"/>
  <c r="B70" i="243" a="1"/>
  <c r="B70" i="243" s="1"/>
  <c r="A70" i="243" a="1"/>
  <c r="A70" i="243" s="1"/>
  <c r="B69" i="243" a="1"/>
  <c r="B69" i="243" s="1"/>
  <c r="A69" i="243" a="1"/>
  <c r="A69" i="243" s="1"/>
  <c r="B68" i="243" a="1"/>
  <c r="B68" i="243" s="1"/>
  <c r="A68" i="243" a="1"/>
  <c r="A68" i="243" s="1"/>
  <c r="B67" i="243" a="1"/>
  <c r="B67" i="243" s="1"/>
  <c r="A67" i="243" a="1"/>
  <c r="A67" i="243" s="1"/>
  <c r="B66" i="243" a="1"/>
  <c r="B66" i="243" s="1"/>
  <c r="A66" i="243" a="1"/>
  <c r="A66" i="243" s="1"/>
  <c r="B65" i="243" a="1"/>
  <c r="B65" i="243" s="1"/>
  <c r="A65" i="243" a="1"/>
  <c r="A65" i="243" s="1"/>
  <c r="B64" i="243" a="1"/>
  <c r="B64" i="243" s="1"/>
  <c r="A64" i="243" a="1"/>
  <c r="A64" i="243" s="1"/>
  <c r="B63" i="243" a="1"/>
  <c r="B63" i="243" s="1"/>
  <c r="A63" i="243" a="1"/>
  <c r="A63" i="243" s="1"/>
  <c r="B62" i="243" a="1"/>
  <c r="B62" i="243" s="1"/>
  <c r="A62" i="243" a="1"/>
  <c r="A62" i="243" s="1"/>
  <c r="B61" i="243" a="1"/>
  <c r="B61" i="243" s="1"/>
  <c r="A61" i="243" a="1"/>
  <c r="A61" i="243" s="1"/>
  <c r="B60" i="243" a="1"/>
  <c r="B60" i="243" s="1"/>
  <c r="A60" i="243" a="1"/>
  <c r="A60" i="243" s="1"/>
  <c r="B59" i="243" a="1"/>
  <c r="B59" i="243" s="1"/>
  <c r="A59" i="243" a="1"/>
  <c r="A59" i="243" s="1"/>
  <c r="B58" i="243" a="1"/>
  <c r="B58" i="243" s="1"/>
  <c r="A58" i="243" a="1"/>
  <c r="A58" i="243" s="1"/>
  <c r="B57" i="243" a="1"/>
  <c r="B57" i="243" s="1"/>
  <c r="A57" i="243" a="1"/>
  <c r="A57" i="243" s="1"/>
  <c r="B56" i="243" a="1"/>
  <c r="B56" i="243" s="1"/>
  <c r="A56" i="243" a="1"/>
  <c r="A56" i="243" s="1"/>
  <c r="B55" i="243" a="1"/>
  <c r="B55" i="243" s="1"/>
  <c r="A55" i="243" a="1"/>
  <c r="A55" i="243" s="1"/>
  <c r="B54" i="243" a="1"/>
  <c r="B54" i="243" s="1"/>
  <c r="A54" i="243" a="1"/>
  <c r="A54" i="243" s="1"/>
  <c r="B53" i="243" a="1"/>
  <c r="B53" i="243" s="1"/>
  <c r="A53" i="243" a="1"/>
  <c r="A53" i="243" s="1"/>
  <c r="B52" i="243" a="1"/>
  <c r="B52" i="243" s="1"/>
  <c r="A52" i="243" a="1"/>
  <c r="A52" i="243" s="1"/>
  <c r="B51" i="243" a="1"/>
  <c r="B51" i="243" s="1"/>
  <c r="A51" i="243" a="1"/>
  <c r="A51" i="243" s="1"/>
  <c r="B50" i="243" a="1"/>
  <c r="B50" i="243" s="1"/>
  <c r="A50" i="243" a="1"/>
  <c r="A50" i="243" s="1"/>
  <c r="B49" i="243" a="1"/>
  <c r="B49" i="243" s="1"/>
  <c r="A49" i="243" a="1"/>
  <c r="A49" i="243" s="1"/>
  <c r="B48" i="243" a="1"/>
  <c r="B48" i="243" s="1"/>
  <c r="A48" i="243" a="1"/>
  <c r="A48" i="243" s="1"/>
  <c r="B47" i="243" a="1"/>
  <c r="B47" i="243" s="1"/>
  <c r="A47" i="243" a="1"/>
  <c r="A47" i="243" s="1"/>
  <c r="B46" i="243" a="1"/>
  <c r="B46" i="243" s="1"/>
  <c r="A46" i="243" a="1"/>
  <c r="A46" i="243" s="1"/>
  <c r="B45" i="243" a="1"/>
  <c r="B45" i="243" s="1"/>
  <c r="A45" i="243" a="1"/>
  <c r="A45" i="243" s="1"/>
  <c r="B44" i="243" a="1"/>
  <c r="B44" i="243" s="1"/>
  <c r="A44" i="243" a="1"/>
  <c r="A44" i="243" s="1"/>
  <c r="B43" i="243" a="1"/>
  <c r="B43" i="243" s="1"/>
  <c r="A43" i="243" a="1"/>
  <c r="A43" i="243" s="1"/>
  <c r="B42" i="243" a="1"/>
  <c r="B42" i="243" s="1"/>
  <c r="A42" i="243" a="1"/>
  <c r="A42" i="243" s="1"/>
  <c r="B41" i="243" a="1"/>
  <c r="B41" i="243" s="1"/>
  <c r="A41" i="243" a="1"/>
  <c r="A41" i="243" s="1"/>
  <c r="B40" i="243" a="1"/>
  <c r="B40" i="243" s="1"/>
  <c r="A40" i="243" a="1"/>
  <c r="A40" i="243" s="1"/>
  <c r="B39" i="243" a="1"/>
  <c r="B39" i="243" s="1"/>
  <c r="A39" i="243" a="1"/>
  <c r="A39" i="243" s="1"/>
  <c r="B38" i="243" a="1"/>
  <c r="B38" i="243" s="1"/>
  <c r="A38" i="243" a="1"/>
  <c r="A38" i="243" s="1"/>
  <c r="B37" i="243" a="1"/>
  <c r="B37" i="243" s="1"/>
  <c r="A37" i="243" a="1"/>
  <c r="A37" i="243" s="1"/>
  <c r="B36" i="243" a="1"/>
  <c r="B36" i="243" s="1"/>
  <c r="A36" i="243" a="1"/>
  <c r="A36" i="243" s="1"/>
  <c r="B35" i="243" a="1"/>
  <c r="B35" i="243" s="1"/>
  <c r="A35" i="243" a="1"/>
  <c r="A35" i="243" s="1"/>
  <c r="B34" i="243" a="1"/>
  <c r="B34" i="243" s="1"/>
  <c r="A34" i="243" a="1"/>
  <c r="A34" i="243" s="1"/>
  <c r="B33" i="243" a="1"/>
  <c r="B33" i="243" s="1"/>
  <c r="A33" i="243" a="1"/>
  <c r="A33" i="243" s="1"/>
  <c r="B32" i="243" a="1"/>
  <c r="B32" i="243" s="1"/>
  <c r="A32" i="243" a="1"/>
  <c r="A32" i="243" s="1"/>
  <c r="B31" i="243" a="1"/>
  <c r="B31" i="243" s="1"/>
  <c r="A31" i="243" a="1"/>
  <c r="A31" i="243" s="1"/>
  <c r="B30" i="243" a="1"/>
  <c r="B30" i="243" s="1"/>
  <c r="A30" i="243" a="1"/>
  <c r="A30" i="243" s="1"/>
  <c r="B29" i="243" a="1"/>
  <c r="B29" i="243" s="1"/>
  <c r="A29" i="243" a="1"/>
  <c r="A29" i="243" s="1"/>
  <c r="B28" i="243" a="1"/>
  <c r="B28" i="243" s="1"/>
  <c r="A28" i="243" a="1"/>
  <c r="A28" i="243" s="1"/>
  <c r="B27" i="243" a="1"/>
  <c r="B27" i="243" s="1"/>
  <c r="A27" i="243" a="1"/>
  <c r="A27" i="243" s="1"/>
  <c r="B26" i="243" a="1"/>
  <c r="B26" i="243" s="1"/>
  <c r="A26" i="243" a="1"/>
  <c r="A26" i="243" s="1"/>
  <c r="B25" i="243" a="1"/>
  <c r="B25" i="243" s="1"/>
  <c r="A25" i="243" a="1"/>
  <c r="A25" i="243" s="1"/>
  <c r="D43" i="266" l="1" a="1"/>
  <c r="D43" i="266" s="1"/>
  <c r="E66" i="265" a="1"/>
  <c r="E66" i="265" s="1"/>
  <c r="D73" i="265" a="1"/>
  <c r="D73" i="265" s="1"/>
  <c r="F73" i="265" a="1"/>
  <c r="F73" i="265" s="1"/>
  <c r="G36" i="266" a="1"/>
  <c r="G36" i="266" s="1"/>
  <c r="E36" i="266" a="1"/>
  <c r="E36" i="266" s="1"/>
  <c r="D36" i="266" a="1"/>
  <c r="D36" i="266" s="1"/>
  <c r="F51" i="266" a="1"/>
  <c r="F51" i="266" s="1"/>
  <c r="E51" i="266" a="1"/>
  <c r="E51" i="266" s="1"/>
  <c r="D51" i="266" a="1"/>
  <c r="D51" i="266" s="1"/>
  <c r="G54" i="266" a="1"/>
  <c r="G54" i="266" s="1"/>
  <c r="F54" i="266" a="1"/>
  <c r="F54" i="266" s="1"/>
  <c r="E92" i="266" a="1"/>
  <c r="E92" i="266" s="1"/>
  <c r="G92" i="266" a="1"/>
  <c r="G92" i="266" s="1"/>
  <c r="D92" i="266" a="1"/>
  <c r="D92" i="266" s="1"/>
  <c r="D93" i="266" a="1"/>
  <c r="D93" i="266" s="1"/>
  <c r="G93" i="266" a="1"/>
  <c r="G93" i="266" s="1"/>
  <c r="E93" i="266" a="1"/>
  <c r="E93" i="266" s="1"/>
  <c r="G52" i="266" a="1"/>
  <c r="G52" i="266" s="1"/>
  <c r="E42" i="265" a="1"/>
  <c r="E42" i="265" s="1"/>
  <c r="D46" i="266" a="1"/>
  <c r="D46" i="266" s="1"/>
  <c r="F46" i="266" a="1"/>
  <c r="F46" i="266" s="1"/>
  <c r="G91" i="261" a="1"/>
  <c r="G91" i="261" s="1"/>
  <c r="E95" i="261" a="1"/>
  <c r="E95" i="261" s="1"/>
  <c r="E83" i="262" a="1"/>
  <c r="E83" i="262" s="1"/>
  <c r="F65" i="263" a="1"/>
  <c r="F65" i="263" s="1"/>
  <c r="G77" i="263" a="1"/>
  <c r="G77" i="263" s="1"/>
  <c r="E96" i="263" a="1"/>
  <c r="E96" i="263" s="1"/>
  <c r="F67" i="264" a="1"/>
  <c r="F67" i="264" s="1"/>
  <c r="D76" i="265" a="1"/>
  <c r="D76" i="265" s="1"/>
  <c r="F92" i="265" a="1"/>
  <c r="F92" i="265" s="1"/>
  <c r="G31" i="266" a="1"/>
  <c r="G31" i="266" s="1"/>
  <c r="F63" i="266" a="1"/>
  <c r="F63" i="266" s="1"/>
  <c r="E66" i="266" a="1"/>
  <c r="E66" i="266" s="1"/>
  <c r="F76" i="266" a="1"/>
  <c r="F76" i="266" s="1"/>
  <c r="G89" i="266" a="1"/>
  <c r="G89" i="266" s="1"/>
  <c r="F96" i="266" a="1"/>
  <c r="F96" i="266" s="1"/>
  <c r="F96" i="265" a="1"/>
  <c r="F96" i="265" s="1"/>
  <c r="E29" i="260" a="1"/>
  <c r="E29" i="260" s="1"/>
  <c r="E50" i="265" a="1"/>
  <c r="E50" i="265" s="1"/>
  <c r="E61" i="266" a="1"/>
  <c r="E61" i="266" s="1"/>
  <c r="D80" i="266" a="1"/>
  <c r="D80" i="266" s="1"/>
  <c r="D82" i="266" a="1"/>
  <c r="D82" i="266" s="1"/>
  <c r="D94" i="266" a="1"/>
  <c r="D94" i="266" s="1"/>
  <c r="G80" i="265" a="1"/>
  <c r="G80" i="265" s="1"/>
  <c r="F93" i="263" a="1"/>
  <c r="F93" i="263" s="1"/>
  <c r="F39" i="265" a="1"/>
  <c r="F39" i="265" s="1"/>
  <c r="E51" i="265" a="1"/>
  <c r="E51" i="265" s="1"/>
  <c r="D63" i="265" a="1"/>
  <c r="D63" i="265" s="1"/>
  <c r="F67" i="265" a="1"/>
  <c r="F67" i="265" s="1"/>
  <c r="F84" i="265" a="1"/>
  <c r="F84" i="265" s="1"/>
  <c r="F52" i="266" a="1"/>
  <c r="F52" i="266" s="1"/>
  <c r="F67" i="266" a="1"/>
  <c r="F67" i="266" s="1"/>
  <c r="E76" i="266" a="1"/>
  <c r="E76" i="266" s="1"/>
  <c r="E80" i="266" a="1"/>
  <c r="E80" i="266" s="1"/>
  <c r="G82" i="266" a="1"/>
  <c r="G82" i="266" s="1"/>
  <c r="F89" i="266" a="1"/>
  <c r="F89" i="266" s="1"/>
  <c r="D91" i="266" a="1"/>
  <c r="D91" i="266" s="1"/>
  <c r="E54" i="262" a="1"/>
  <c r="E54" i="262" s="1"/>
  <c r="E69" i="262" a="1"/>
  <c r="E69" i="262" s="1"/>
  <c r="G75" i="263" a="1"/>
  <c r="G75" i="263" s="1"/>
  <c r="F79" i="263" a="1"/>
  <c r="F79" i="263" s="1"/>
  <c r="D87" i="263" a="1"/>
  <c r="D87" i="263" s="1"/>
  <c r="D86" i="264" a="1"/>
  <c r="D86" i="264" s="1"/>
  <c r="D65" i="265" a="1"/>
  <c r="D65" i="265" s="1"/>
  <c r="G68" i="265" a="1"/>
  <c r="G68" i="265" s="1"/>
  <c r="G81" i="265" a="1"/>
  <c r="G81" i="265" s="1"/>
  <c r="F39" i="266" a="1"/>
  <c r="F39" i="266" s="1"/>
  <c r="G46" i="266" a="1"/>
  <c r="G46" i="266" s="1"/>
  <c r="G49" i="266" a="1"/>
  <c r="G49" i="266" s="1"/>
  <c r="G51" i="266" a="1"/>
  <c r="G51" i="266" s="1"/>
  <c r="E56" i="263" a="1"/>
  <c r="E56" i="263" s="1"/>
  <c r="D33" i="264" a="1"/>
  <c r="D33" i="264" s="1"/>
  <c r="D49" i="264" a="1"/>
  <c r="D49" i="264" s="1"/>
  <c r="D88" i="265" a="1"/>
  <c r="D88" i="265" s="1"/>
  <c r="G45" i="266" a="1"/>
  <c r="G45" i="266" s="1"/>
  <c r="G75" i="266" a="1"/>
  <c r="G75" i="266" s="1"/>
  <c r="G76" i="266" a="1"/>
  <c r="G76" i="266" s="1"/>
  <c r="F79" i="266" a="1"/>
  <c r="F79" i="266" s="1"/>
  <c r="F92" i="266" a="1"/>
  <c r="F92" i="266" s="1"/>
  <c r="E59" i="262" a="1"/>
  <c r="E59" i="262" s="1"/>
  <c r="G99" i="263" a="1"/>
  <c r="G99" i="263" s="1"/>
  <c r="G90" i="264" a="1"/>
  <c r="G90" i="264" s="1"/>
  <c r="F52" i="265" a="1"/>
  <c r="F52" i="265" s="1"/>
  <c r="F55" i="265" a="1"/>
  <c r="F55" i="265" s="1"/>
  <c r="F64" i="265" a="1"/>
  <c r="F64" i="265" s="1"/>
  <c r="E72" i="265" a="1"/>
  <c r="E72" i="265" s="1"/>
  <c r="E91" i="265" a="1"/>
  <c r="E91" i="265" s="1"/>
  <c r="G28" i="266" a="1"/>
  <c r="G28" i="266" s="1"/>
  <c r="F98" i="266" a="1"/>
  <c r="F98" i="266" s="1"/>
  <c r="F39" i="264" a="1"/>
  <c r="F39" i="264" s="1"/>
  <c r="F44" i="265" a="1"/>
  <c r="F44" i="265" s="1"/>
  <c r="D58" i="265" a="1"/>
  <c r="D58" i="265" s="1"/>
  <c r="E27" i="266" a="1"/>
  <c r="E27" i="266" s="1"/>
  <c r="D27" i="266" a="1"/>
  <c r="D27" i="266" s="1"/>
  <c r="G27" i="266" a="1"/>
  <c r="G27" i="266" s="1"/>
  <c r="F27" i="266" a="1"/>
  <c r="F27" i="266" s="1"/>
  <c r="G29" i="266" a="1"/>
  <c r="G29" i="266" s="1"/>
  <c r="F29" i="266" a="1"/>
  <c r="F29" i="266" s="1"/>
  <c r="E29" i="266" a="1"/>
  <c r="E29" i="266" s="1"/>
  <c r="D29" i="266" a="1"/>
  <c r="D29" i="266" s="1"/>
  <c r="G33" i="266" a="1"/>
  <c r="G33" i="266" s="1"/>
  <c r="D33" i="266" a="1"/>
  <c r="D33" i="266" s="1"/>
  <c r="F33" i="266" a="1"/>
  <c r="F33" i="266" s="1"/>
  <c r="E33" i="266" a="1"/>
  <c r="E33" i="266" s="1"/>
  <c r="E35" i="266" a="1"/>
  <c r="E35" i="266" s="1"/>
  <c r="F35" i="266" a="1"/>
  <c r="F35" i="266" s="1"/>
  <c r="D35" i="266" a="1"/>
  <c r="D35" i="266" s="1"/>
  <c r="G35" i="266" a="1"/>
  <c r="G35" i="266" s="1"/>
  <c r="G37" i="266" a="1"/>
  <c r="G37" i="266" s="1"/>
  <c r="F37" i="266" a="1"/>
  <c r="F37" i="266" s="1"/>
  <c r="E37" i="266" a="1"/>
  <c r="E37" i="266" s="1"/>
  <c r="D37" i="266" a="1"/>
  <c r="D37" i="266" s="1"/>
  <c r="E41" i="266" a="1"/>
  <c r="E41" i="266" s="1"/>
  <c r="D41" i="266" a="1"/>
  <c r="D41" i="266" s="1"/>
  <c r="G41" i="266" a="1"/>
  <c r="G41" i="266" s="1"/>
  <c r="F26" i="266" a="1"/>
  <c r="F26" i="266" s="1"/>
  <c r="G25" i="266" a="1"/>
  <c r="G25" i="266" s="1"/>
  <c r="E25" i="266" a="1"/>
  <c r="E25" i="266" s="1"/>
  <c r="D25" i="266" a="1"/>
  <c r="D25" i="266" s="1"/>
  <c r="F25" i="266" a="1"/>
  <c r="F25" i="266" s="1"/>
  <c r="H27" i="266"/>
  <c r="I27" i="266" s="1"/>
  <c r="F41" i="266" a="1"/>
  <c r="F41" i="266" s="1"/>
  <c r="F47" i="266" a="1"/>
  <c r="F47" i="266" s="1"/>
  <c r="D65" i="266" a="1"/>
  <c r="D65" i="266" s="1"/>
  <c r="E65" i="266" a="1"/>
  <c r="E65" i="266" s="1"/>
  <c r="G65" i="266" a="1"/>
  <c r="G65" i="266" s="1"/>
  <c r="F65" i="266" a="1"/>
  <c r="F65" i="266" s="1"/>
  <c r="D30" i="266" a="1"/>
  <c r="D30" i="266" s="1"/>
  <c r="E30" i="266" a="1"/>
  <c r="E30" i="266" s="1"/>
  <c r="G30" i="266" a="1"/>
  <c r="G30" i="266" s="1"/>
  <c r="F30" i="266" a="1"/>
  <c r="F30" i="266" s="1"/>
  <c r="D38" i="266" a="1"/>
  <c r="D38" i="266" s="1"/>
  <c r="E38" i="266" a="1"/>
  <c r="E38" i="266" s="1"/>
  <c r="G38" i="266" a="1"/>
  <c r="G38" i="266" s="1"/>
  <c r="F38" i="266" a="1"/>
  <c r="F38" i="266" s="1"/>
  <c r="G44" i="266" a="1"/>
  <c r="G44" i="266" s="1"/>
  <c r="F50" i="266" a="1"/>
  <c r="F50" i="266" s="1"/>
  <c r="D50" i="266" a="1"/>
  <c r="D50" i="266" s="1"/>
  <c r="E50" i="266" a="1"/>
  <c r="E50" i="266" s="1"/>
  <c r="F32" i="266" a="1"/>
  <c r="F32" i="266" s="1"/>
  <c r="E32" i="266" a="1"/>
  <c r="E32" i="266" s="1"/>
  <c r="D32" i="266" a="1"/>
  <c r="D32" i="266" s="1"/>
  <c r="G32" i="266" a="1"/>
  <c r="G32" i="266" s="1"/>
  <c r="G34" i="266" a="1"/>
  <c r="G34" i="266" s="1"/>
  <c r="F40" i="266" a="1"/>
  <c r="F40" i="266" s="1"/>
  <c r="E40" i="266" a="1"/>
  <c r="E40" i="266" s="1"/>
  <c r="D40" i="266" a="1"/>
  <c r="D40" i="266" s="1"/>
  <c r="G40" i="266" a="1"/>
  <c r="G40" i="266" s="1"/>
  <c r="F44" i="266" a="1"/>
  <c r="F44" i="266" s="1"/>
  <c r="D44" i="266" a="1"/>
  <c r="D44" i="266" s="1"/>
  <c r="G48" i="266" a="1"/>
  <c r="G48" i="266" s="1"/>
  <c r="D31" i="266" a="1"/>
  <c r="D31" i="266" s="1"/>
  <c r="D39" i="266" a="1"/>
  <c r="D39" i="266" s="1"/>
  <c r="F45" i="266" a="1"/>
  <c r="F45" i="266" s="1"/>
  <c r="D54" i="266" a="1"/>
  <c r="D54" i="266" s="1"/>
  <c r="D55" i="266" a="1"/>
  <c r="D55" i="266" s="1"/>
  <c r="D56" i="266" a="1"/>
  <c r="D56" i="266" s="1"/>
  <c r="D57" i="266" a="1"/>
  <c r="D57" i="266" s="1"/>
  <c r="G60" i="266" a="1"/>
  <c r="G60" i="266" s="1"/>
  <c r="D60" i="266" a="1"/>
  <c r="D60" i="266" s="1"/>
  <c r="G61" i="266" a="1"/>
  <c r="G61" i="266" s="1"/>
  <c r="F61" i="266" a="1"/>
  <c r="F61" i="266" s="1"/>
  <c r="E62" i="266" a="1"/>
  <c r="E62" i="266" s="1"/>
  <c r="D63" i="266" a="1"/>
  <c r="D63" i="266" s="1"/>
  <c r="G63" i="266" a="1"/>
  <c r="G63" i="266" s="1"/>
  <c r="F66" i="266" a="1"/>
  <c r="F66" i="266" s="1"/>
  <c r="G66" i="266" a="1"/>
  <c r="G66" i="266" s="1"/>
  <c r="G67" i="266" a="1"/>
  <c r="G67" i="266" s="1"/>
  <c r="E67" i="266" a="1"/>
  <c r="E67" i="266" s="1"/>
  <c r="D70" i="266" a="1"/>
  <c r="D70" i="266" s="1"/>
  <c r="F70" i="266" a="1"/>
  <c r="F70" i="266" s="1"/>
  <c r="G73" i="266" a="1"/>
  <c r="G73" i="266" s="1"/>
  <c r="F73" i="266" a="1"/>
  <c r="F73" i="266" s="1"/>
  <c r="E73" i="266" a="1"/>
  <c r="E73" i="266" s="1"/>
  <c r="D73" i="266" a="1"/>
  <c r="D73" i="266" s="1"/>
  <c r="E81" i="266" a="1"/>
  <c r="E81" i="266" s="1"/>
  <c r="H81" i="266" s="1"/>
  <c r="I81" i="266" s="1"/>
  <c r="G81" i="266" a="1"/>
  <c r="G81" i="266" s="1"/>
  <c r="E82" i="266" a="1"/>
  <c r="E82" i="266" s="1"/>
  <c r="F85" i="266" a="1"/>
  <c r="F85" i="266" s="1"/>
  <c r="F95" i="266" a="1"/>
  <c r="F95" i="266" s="1"/>
  <c r="G95" i="266" a="1"/>
  <c r="G95" i="266" s="1"/>
  <c r="H95" i="266" s="1"/>
  <c r="I95" i="266" s="1"/>
  <c r="G77" i="266" a="1"/>
  <c r="G77" i="266" s="1"/>
  <c r="E77" i="266" a="1"/>
  <c r="E77" i="266" s="1"/>
  <c r="F84" i="266" a="1"/>
  <c r="F84" i="266" s="1"/>
  <c r="E84" i="266" a="1"/>
  <c r="E84" i="266" s="1"/>
  <c r="D49" i="266" a="1"/>
  <c r="D49" i="266" s="1"/>
  <c r="D61" i="266" a="1"/>
  <c r="D61" i="266" s="1"/>
  <c r="H61" i="266" s="1"/>
  <c r="I61" i="266" s="1"/>
  <c r="D62" i="266" a="1"/>
  <c r="D62" i="266" s="1"/>
  <c r="D64" i="266" a="1"/>
  <c r="D64" i="266" s="1"/>
  <c r="D66" i="266" a="1"/>
  <c r="D66" i="266" s="1"/>
  <c r="H66" i="266" s="1"/>
  <c r="I66" i="266" s="1"/>
  <c r="D67" i="266" a="1"/>
  <c r="D67" i="266" s="1"/>
  <c r="H67" i="266" s="1"/>
  <c r="I67" i="266" s="1"/>
  <c r="F68" i="266" a="1"/>
  <c r="F68" i="266" s="1"/>
  <c r="F69" i="266" a="1"/>
  <c r="F69" i="266" s="1"/>
  <c r="G127" i="266"/>
  <c r="E43" i="266" a="1"/>
  <c r="E43" i="266" s="1"/>
  <c r="E48" i="266" a="1"/>
  <c r="E48" i="266" s="1"/>
  <c r="G56" i="266" a="1"/>
  <c r="G56" i="266" s="1"/>
  <c r="F57" i="266" a="1"/>
  <c r="F57" i="266" s="1"/>
  <c r="F58" i="266" a="1"/>
  <c r="F58" i="266" s="1"/>
  <c r="E60" i="266" a="1"/>
  <c r="E60" i="266" s="1"/>
  <c r="F62" i="266" a="1"/>
  <c r="F62" i="266" s="1"/>
  <c r="E63" i="266" a="1"/>
  <c r="E63" i="266" s="1"/>
  <c r="G68" i="266" a="1"/>
  <c r="G68" i="266" s="1"/>
  <c r="G72" i="266" a="1"/>
  <c r="G72" i="266" s="1"/>
  <c r="D77" i="266" a="1"/>
  <c r="D77" i="266" s="1"/>
  <c r="D84" i="266" a="1"/>
  <c r="D84" i="266" s="1"/>
  <c r="G100" i="266" a="1"/>
  <c r="G100" i="266" s="1"/>
  <c r="F100" i="266" a="1"/>
  <c r="F100" i="266" s="1"/>
  <c r="E100" i="266" a="1"/>
  <c r="E100" i="266" s="1"/>
  <c r="D100" i="266" a="1"/>
  <c r="D100" i="266" s="1"/>
  <c r="E34" i="266" a="1"/>
  <c r="E34" i="266" s="1"/>
  <c r="F34" i="266" a="1"/>
  <c r="F34" i="266" s="1"/>
  <c r="F43" i="266" a="1"/>
  <c r="F43" i="266" s="1"/>
  <c r="F59" i="266" a="1"/>
  <c r="F59" i="266" s="1"/>
  <c r="G69" i="266" a="1"/>
  <c r="G69" i="266" s="1"/>
  <c r="F75" i="266" a="1"/>
  <c r="F75" i="266" s="1"/>
  <c r="D75" i="266" a="1"/>
  <c r="D75" i="266" s="1"/>
  <c r="H75" i="266" s="1"/>
  <c r="I75" i="266" s="1"/>
  <c r="G84" i="266" a="1"/>
  <c r="G84" i="266" s="1"/>
  <c r="E86" i="266" a="1"/>
  <c r="E86" i="266" s="1"/>
  <c r="F86" i="266" a="1"/>
  <c r="F86" i="266" s="1"/>
  <c r="F28" i="266" a="1"/>
  <c r="F28" i="266" s="1"/>
  <c r="H28" i="266" s="1"/>
  <c r="I28" i="266" s="1"/>
  <c r="E31" i="266" a="1"/>
  <c r="E31" i="266" s="1"/>
  <c r="F36" i="266" a="1"/>
  <c r="F36" i="266" s="1"/>
  <c r="H36" i="266" s="1"/>
  <c r="I36" i="266" s="1"/>
  <c r="E39" i="266" a="1"/>
  <c r="E39" i="266" s="1"/>
  <c r="G42" i="266" a="1"/>
  <c r="G42" i="266" s="1"/>
  <c r="H42" i="266" s="1"/>
  <c r="I42" i="266" s="1"/>
  <c r="D45" i="266" a="1"/>
  <c r="D45" i="266" s="1"/>
  <c r="H45" i="266" s="1"/>
  <c r="I45" i="266" s="1"/>
  <c r="E46" i="266" a="1"/>
  <c r="E46" i="266" s="1"/>
  <c r="H46" i="266" s="1"/>
  <c r="I46" i="266" s="1"/>
  <c r="E49" i="266" a="1"/>
  <c r="E49" i="266" s="1"/>
  <c r="H51" i="266"/>
  <c r="I51" i="266" s="1"/>
  <c r="E52" i="266" a="1"/>
  <c r="E52" i="266" s="1"/>
  <c r="D52" i="266" a="1"/>
  <c r="D52" i="266" s="1"/>
  <c r="G53" i="266" a="1"/>
  <c r="G53" i="266" s="1"/>
  <c r="H53" i="266" s="1"/>
  <c r="I53" i="266" s="1"/>
  <c r="F53" i="266" a="1"/>
  <c r="F53" i="266" s="1"/>
  <c r="G55" i="266" a="1"/>
  <c r="G55" i="266" s="1"/>
  <c r="F55" i="266" a="1"/>
  <c r="F55" i="266" s="1"/>
  <c r="G58" i="266" a="1"/>
  <c r="G58" i="266" s="1"/>
  <c r="F71" i="266" a="1"/>
  <c r="F71" i="266" s="1"/>
  <c r="G71" i="266" a="1"/>
  <c r="G71" i="266" s="1"/>
  <c r="E71" i="266" a="1"/>
  <c r="E71" i="266" s="1"/>
  <c r="F74" i="266" a="1"/>
  <c r="F74" i="266" s="1"/>
  <c r="G74" i="266" a="1"/>
  <c r="G74" i="266" s="1"/>
  <c r="E74" i="266" a="1"/>
  <c r="E74" i="266" s="1"/>
  <c r="D74" i="266" a="1"/>
  <c r="D74" i="266" s="1"/>
  <c r="F77" i="266" a="1"/>
  <c r="F77" i="266" s="1"/>
  <c r="E79" i="266" a="1"/>
  <c r="E79" i="266" s="1"/>
  <c r="H79" i="266" s="1"/>
  <c r="I79" i="266" s="1"/>
  <c r="H84" i="266"/>
  <c r="I84" i="266" s="1"/>
  <c r="H86" i="266"/>
  <c r="D26" i="266" a="1"/>
  <c r="D26" i="266" s="1"/>
  <c r="G26" i="266" a="1"/>
  <c r="G26" i="266" s="1"/>
  <c r="H26" i="266" s="1"/>
  <c r="I26" i="266" s="1"/>
  <c r="G43" i="266" a="1"/>
  <c r="G43" i="266" s="1"/>
  <c r="D47" i="266" a="1"/>
  <c r="D47" i="266" s="1"/>
  <c r="G47" i="266" a="1"/>
  <c r="G47" i="266" s="1"/>
  <c r="H47" i="266" s="1"/>
  <c r="I47" i="266" s="1"/>
  <c r="E54" i="266" a="1"/>
  <c r="E54" i="266" s="1"/>
  <c r="H54" i="266" s="1"/>
  <c r="I54" i="266" s="1"/>
  <c r="E56" i="266" a="1"/>
  <c r="E56" i="266" s="1"/>
  <c r="H56" i="266" s="1"/>
  <c r="I56" i="266" s="1"/>
  <c r="G57" i="266" a="1"/>
  <c r="G57" i="266" s="1"/>
  <c r="H57" i="266" s="1"/>
  <c r="I57" i="266" s="1"/>
  <c r="D85" i="266" a="1"/>
  <c r="D85" i="266" s="1"/>
  <c r="E85" i="266" a="1"/>
  <c r="E85" i="266" s="1"/>
  <c r="D34" i="266" a="1"/>
  <c r="D34" i="266" s="1"/>
  <c r="H34" i="266" s="1"/>
  <c r="I34" i="266" s="1"/>
  <c r="F48" i="266" a="1"/>
  <c r="F48" i="266" s="1"/>
  <c r="H48" i="266" s="1"/>
  <c r="I48" i="266" s="1"/>
  <c r="F49" i="266" a="1"/>
  <c r="F49" i="266" s="1"/>
  <c r="E58" i="266" a="1"/>
  <c r="E58" i="266" s="1"/>
  <c r="D58" i="266" a="1"/>
  <c r="D58" i="266" s="1"/>
  <c r="G59" i="266" a="1"/>
  <c r="G59" i="266" s="1"/>
  <c r="E59" i="266" a="1"/>
  <c r="E59" i="266" s="1"/>
  <c r="E64" i="266" a="1"/>
  <c r="E64" i="266" s="1"/>
  <c r="E68" i="266" a="1"/>
  <c r="E68" i="266" s="1"/>
  <c r="H68" i="266" s="1"/>
  <c r="I68" i="266" s="1"/>
  <c r="D69" i="266" a="1"/>
  <c r="D69" i="266" s="1"/>
  <c r="H69" i="266" s="1"/>
  <c r="I69" i="266" s="1"/>
  <c r="G78" i="266" a="1"/>
  <c r="G78" i="266" s="1"/>
  <c r="F87" i="266" a="1"/>
  <c r="F87" i="266" s="1"/>
  <c r="G87" i="266" a="1"/>
  <c r="G87" i="266" s="1"/>
  <c r="E87" i="266" a="1"/>
  <c r="E87" i="266" s="1"/>
  <c r="E91" i="266" a="1"/>
  <c r="E91" i="266" s="1"/>
  <c r="H91" i="266" s="1"/>
  <c r="I91" i="266" s="1"/>
  <c r="E44" i="266" a="1"/>
  <c r="E44" i="266" s="1"/>
  <c r="E72" i="266" a="1"/>
  <c r="E72" i="266" s="1"/>
  <c r="D78" i="266" a="1"/>
  <c r="D78" i="266" s="1"/>
  <c r="G80" i="266" a="1"/>
  <c r="G80" i="266" s="1"/>
  <c r="H80" i="266" s="1"/>
  <c r="I80" i="266" s="1"/>
  <c r="F93" i="266" a="1"/>
  <c r="F93" i="266" s="1"/>
  <c r="E96" i="266" a="1"/>
  <c r="E96" i="266" s="1"/>
  <c r="F72" i="266" a="1"/>
  <c r="F72" i="266" s="1"/>
  <c r="H76" i="266"/>
  <c r="I76" i="266" s="1"/>
  <c r="F78" i="266" a="1"/>
  <c r="F78" i="266" s="1"/>
  <c r="G88" i="266" a="1"/>
  <c r="G88" i="266" s="1"/>
  <c r="D88" i="266" a="1"/>
  <c r="D88" i="266" s="1"/>
  <c r="E89" i="266" a="1"/>
  <c r="E89" i="266" s="1"/>
  <c r="H89" i="266"/>
  <c r="I89" i="266" s="1"/>
  <c r="F90" i="266" a="1"/>
  <c r="F90" i="266" s="1"/>
  <c r="H93" i="266"/>
  <c r="I93" i="266" s="1"/>
  <c r="G97" i="266" a="1"/>
  <c r="G97" i="266" s="1"/>
  <c r="F99" i="266" a="1"/>
  <c r="F99" i="266" s="1"/>
  <c r="E99" i="266" a="1"/>
  <c r="E99" i="266" s="1"/>
  <c r="D99" i="266" a="1"/>
  <c r="D99" i="266" s="1"/>
  <c r="H99" i="266" s="1"/>
  <c r="I99" i="266" s="1"/>
  <c r="F64" i="266" a="1"/>
  <c r="F64" i="266" s="1"/>
  <c r="H82" i="266"/>
  <c r="I82" i="266" s="1"/>
  <c r="G91" i="266" a="1"/>
  <c r="G91" i="266" s="1"/>
  <c r="I92" i="266"/>
  <c r="H92" i="266"/>
  <c r="E94" i="266" a="1"/>
  <c r="E94" i="266" s="1"/>
  <c r="H94" i="266" s="1"/>
  <c r="I94" i="266" s="1"/>
  <c r="D72" i="266" a="1"/>
  <c r="D72" i="266" s="1"/>
  <c r="H72" i="266" s="1"/>
  <c r="I72" i="266" s="1"/>
  <c r="E78" i="266" a="1"/>
  <c r="E78" i="266" s="1"/>
  <c r="G83" i="266" a="1"/>
  <c r="G83" i="266" s="1"/>
  <c r="H83" i="266" s="1"/>
  <c r="I83" i="266" s="1"/>
  <c r="E88" i="266" a="1"/>
  <c r="E88" i="266" s="1"/>
  <c r="E90" i="266" a="1"/>
  <c r="E90" i="266" s="1"/>
  <c r="H90" i="266" s="1"/>
  <c r="I90" i="266" s="1"/>
  <c r="D96" i="266" a="1"/>
  <c r="D96" i="266" s="1"/>
  <c r="G96" i="266" a="1"/>
  <c r="G96" i="266" s="1"/>
  <c r="F97" i="266" a="1"/>
  <c r="F97" i="266" s="1"/>
  <c r="E97" i="266" a="1"/>
  <c r="E97" i="266" s="1"/>
  <c r="I86" i="266"/>
  <c r="E98" i="266" a="1"/>
  <c r="E98" i="266" s="1"/>
  <c r="D98" i="266" a="1"/>
  <c r="D98" i="266" s="1"/>
  <c r="G98" i="266" a="1"/>
  <c r="G98" i="266" s="1"/>
  <c r="E54" i="265" a="1"/>
  <c r="E54" i="265" s="1"/>
  <c r="G60" i="265" a="1"/>
  <c r="G60" i="265" s="1"/>
  <c r="F60" i="265" a="1"/>
  <c r="F60" i="265" s="1"/>
  <c r="E28" i="265" a="1"/>
  <c r="E28" i="265" s="1"/>
  <c r="E38" i="265" a="1"/>
  <c r="E38" i="265" s="1"/>
  <c r="D38" i="265" a="1"/>
  <c r="D38" i="265" s="1"/>
  <c r="D46" i="265" a="1"/>
  <c r="D46" i="265" s="1"/>
  <c r="E46" i="265" a="1"/>
  <c r="E46" i="265" s="1"/>
  <c r="G48" i="264" a="1"/>
  <c r="G48" i="264" s="1"/>
  <c r="D53" i="264" a="1"/>
  <c r="D53" i="264" s="1"/>
  <c r="G49" i="265" a="1"/>
  <c r="G49" i="265" s="1"/>
  <c r="F75" i="265" a="1"/>
  <c r="F75" i="265" s="1"/>
  <c r="G91" i="265" a="1"/>
  <c r="G91" i="265" s="1"/>
  <c r="E93" i="265" a="1"/>
  <c r="E93" i="265" s="1"/>
  <c r="F98" i="265" a="1"/>
  <c r="F98" i="265" s="1"/>
  <c r="E85" i="260" a="1"/>
  <c r="E85" i="260" s="1"/>
  <c r="E56" i="262" a="1"/>
  <c r="E56" i="262" s="1"/>
  <c r="F68" i="262" a="1"/>
  <c r="F68" i="262" s="1"/>
  <c r="E54" i="264" a="1"/>
  <c r="E54" i="264" s="1"/>
  <c r="F71" i="264" a="1"/>
  <c r="F71" i="264" s="1"/>
  <c r="G80" i="264" a="1"/>
  <c r="G80" i="264" s="1"/>
  <c r="E87" i="264" a="1"/>
  <c r="E87" i="264" s="1"/>
  <c r="D45" i="265" a="1"/>
  <c r="D45" i="265" s="1"/>
  <c r="F68" i="265" a="1"/>
  <c r="F68" i="265" s="1"/>
  <c r="G73" i="265" a="1"/>
  <c r="G73" i="265" s="1"/>
  <c r="D80" i="265" a="1"/>
  <c r="D80" i="265" s="1"/>
  <c r="F84" i="262" a="1"/>
  <c r="F84" i="262" s="1"/>
  <c r="F42" i="263" a="1"/>
  <c r="F42" i="263" s="1"/>
  <c r="F76" i="263" a="1"/>
  <c r="F76" i="263" s="1"/>
  <c r="D93" i="263" a="1"/>
  <c r="D93" i="263" s="1"/>
  <c r="F51" i="264" a="1"/>
  <c r="F51" i="264" s="1"/>
  <c r="G72" i="264" a="1"/>
  <c r="G72" i="264" s="1"/>
  <c r="G84" i="264" a="1"/>
  <c r="G84" i="264" s="1"/>
  <c r="E55" i="265" a="1"/>
  <c r="E55" i="265" s="1"/>
  <c r="E59" i="265" a="1"/>
  <c r="E59" i="265" s="1"/>
  <c r="E39" i="265" a="1"/>
  <c r="E39" i="265" s="1"/>
  <c r="D42" i="265" a="1"/>
  <c r="D42" i="265" s="1"/>
  <c r="G48" i="265" a="1"/>
  <c r="G48" i="265" s="1"/>
  <c r="G67" i="265" a="1"/>
  <c r="G67" i="265" s="1"/>
  <c r="D84" i="265" a="1"/>
  <c r="D84" i="265" s="1"/>
  <c r="D96" i="265" a="1"/>
  <c r="D96" i="265" s="1"/>
  <c r="D98" i="265" a="1"/>
  <c r="D98" i="265" s="1"/>
  <c r="F31" i="262" a="1"/>
  <c r="F31" i="262" s="1"/>
  <c r="F35" i="262" a="1"/>
  <c r="F35" i="262" s="1"/>
  <c r="D28" i="263" a="1"/>
  <c r="D28" i="263" s="1"/>
  <c r="D76" i="263" a="1"/>
  <c r="D76" i="263" s="1"/>
  <c r="G28" i="264" a="1"/>
  <c r="G28" i="264" s="1"/>
  <c r="F76" i="264" a="1"/>
  <c r="F76" i="264" s="1"/>
  <c r="D84" i="264" a="1"/>
  <c r="D84" i="264" s="1"/>
  <c r="D41" i="265" a="1"/>
  <c r="D41" i="265" s="1"/>
  <c r="F88" i="265" a="1"/>
  <c r="F88" i="265" s="1"/>
  <c r="D92" i="265" a="1"/>
  <c r="D92" i="265" s="1"/>
  <c r="F28" i="262" a="1"/>
  <c r="F28" i="262" s="1"/>
  <c r="G40" i="262" a="1"/>
  <c r="G40" i="262" s="1"/>
  <c r="E76" i="263" a="1"/>
  <c r="E76" i="263" s="1"/>
  <c r="E42" i="264" a="1"/>
  <c r="E42" i="264" s="1"/>
  <c r="F79" i="264" a="1"/>
  <c r="F79" i="264" s="1"/>
  <c r="E82" i="264" a="1"/>
  <c r="E82" i="264" s="1"/>
  <c r="E88" i="264" a="1"/>
  <c r="E88" i="264" s="1"/>
  <c r="F59" i="265" a="1"/>
  <c r="F59" i="265" s="1"/>
  <c r="E79" i="265" a="1"/>
  <c r="E79" i="265" s="1"/>
  <c r="E83" i="265" a="1"/>
  <c r="E83" i="265" s="1"/>
  <c r="E84" i="265" a="1"/>
  <c r="E84" i="265" s="1"/>
  <c r="G52" i="265" a="1"/>
  <c r="G52" i="265" s="1"/>
  <c r="E58" i="265" a="1"/>
  <c r="E58" i="265" s="1"/>
  <c r="E72" i="260" a="1"/>
  <c r="E72" i="260" s="1"/>
  <c r="F76" i="260" a="1"/>
  <c r="F76" i="260" s="1"/>
  <c r="G29" i="262" a="1"/>
  <c r="G29" i="262" s="1"/>
  <c r="D90" i="262" a="1"/>
  <c r="D90" i="262" s="1"/>
  <c r="E97" i="262" a="1"/>
  <c r="E97" i="262" s="1"/>
  <c r="E38" i="264" a="1"/>
  <c r="E38" i="264" s="1"/>
  <c r="F86" i="264" a="1"/>
  <c r="F86" i="264" s="1"/>
  <c r="F35" i="265" a="1"/>
  <c r="F35" i="265" s="1"/>
  <c r="D53" i="265" a="1"/>
  <c r="D53" i="265" s="1"/>
  <c r="G53" i="265" a="1"/>
  <c r="G53" i="265" s="1"/>
  <c r="E94" i="265" a="1"/>
  <c r="E94" i="265" s="1"/>
  <c r="G94" i="265" a="1"/>
  <c r="G94" i="265" s="1"/>
  <c r="F94" i="265" a="1"/>
  <c r="F94" i="265" s="1"/>
  <c r="D94" i="265" a="1"/>
  <c r="D94" i="265" s="1"/>
  <c r="F26" i="265" a="1"/>
  <c r="F26" i="265" s="1"/>
  <c r="G29" i="265" a="1"/>
  <c r="G29" i="265" s="1"/>
  <c r="D29" i="265" a="1"/>
  <c r="D29" i="265" s="1"/>
  <c r="E29" i="265" a="1"/>
  <c r="E29" i="265" s="1"/>
  <c r="F29" i="265" a="1"/>
  <c r="F29" i="265" s="1"/>
  <c r="D34" i="265" a="1"/>
  <c r="D34" i="265" s="1"/>
  <c r="E34" i="265" a="1"/>
  <c r="E34" i="265" s="1"/>
  <c r="G34" i="265" a="1"/>
  <c r="G34" i="265" s="1"/>
  <c r="F34" i="265" a="1"/>
  <c r="F34" i="265" s="1"/>
  <c r="D36" i="265" a="1"/>
  <c r="D36" i="265" s="1"/>
  <c r="E36" i="265" a="1"/>
  <c r="E36" i="265" s="1"/>
  <c r="D26" i="265" a="1"/>
  <c r="D26" i="265" s="1"/>
  <c r="G26" i="265" a="1"/>
  <c r="G26" i="265" s="1"/>
  <c r="E26" i="265" a="1"/>
  <c r="E26" i="265" s="1"/>
  <c r="D31" i="265" a="1"/>
  <c r="D31" i="265" s="1"/>
  <c r="F31" i="265" a="1"/>
  <c r="F31" i="265" s="1"/>
  <c r="F37" i="265" a="1"/>
  <c r="F37" i="265" s="1"/>
  <c r="E37" i="265" a="1"/>
  <c r="E37" i="265" s="1"/>
  <c r="D37" i="265" a="1"/>
  <c r="D37" i="265" s="1"/>
  <c r="G37" i="265" a="1"/>
  <c r="G37" i="265" s="1"/>
  <c r="E27" i="265" a="1"/>
  <c r="E27" i="265" s="1"/>
  <c r="F27" i="265" a="1"/>
  <c r="F27" i="265" s="1"/>
  <c r="D27" i="265" a="1"/>
  <c r="D27" i="265" s="1"/>
  <c r="G27" i="265" a="1"/>
  <c r="G27" i="265" s="1"/>
  <c r="G25" i="265" a="1"/>
  <c r="G25" i="265" s="1"/>
  <c r="F25" i="265" a="1"/>
  <c r="F25" i="265" s="1"/>
  <c r="E25" i="265" a="1"/>
  <c r="E25" i="265" s="1"/>
  <c r="H25" i="265" s="1"/>
  <c r="I25" i="265" s="1"/>
  <c r="D25" i="265" a="1"/>
  <c r="D25" i="265" s="1"/>
  <c r="E62" i="265" a="1"/>
  <c r="E62" i="265" s="1"/>
  <c r="F62" i="265" a="1"/>
  <c r="F62" i="265" s="1"/>
  <c r="D62" i="265" a="1"/>
  <c r="D62" i="265" s="1"/>
  <c r="H62" i="265" s="1"/>
  <c r="I62" i="265" s="1"/>
  <c r="G62" i="265" a="1"/>
  <c r="G62" i="265" s="1"/>
  <c r="E77" i="265" a="1"/>
  <c r="E77" i="265" s="1"/>
  <c r="D77" i="265" a="1"/>
  <c r="D77" i="265" s="1"/>
  <c r="G77" i="265" a="1"/>
  <c r="G77" i="265" s="1"/>
  <c r="F77" i="265" a="1"/>
  <c r="F77" i="265" s="1"/>
  <c r="G33" i="265" a="1"/>
  <c r="G33" i="265" s="1"/>
  <c r="F33" i="265" a="1"/>
  <c r="F33" i="265" s="1"/>
  <c r="E33" i="265" a="1"/>
  <c r="E33" i="265" s="1"/>
  <c r="H33" i="265" s="1"/>
  <c r="I33" i="265" s="1"/>
  <c r="D33" i="265" a="1"/>
  <c r="D33" i="265" s="1"/>
  <c r="E40" i="265" a="1"/>
  <c r="E40" i="265" s="1"/>
  <c r="D40" i="265" a="1"/>
  <c r="D40" i="265" s="1"/>
  <c r="F40" i="265" a="1"/>
  <c r="F40" i="265" s="1"/>
  <c r="G40" i="265" a="1"/>
  <c r="G40" i="265" s="1"/>
  <c r="D47" i="265" a="1"/>
  <c r="D47" i="265" s="1"/>
  <c r="G47" i="265" a="1"/>
  <c r="G47" i="265" s="1"/>
  <c r="E47" i="265" a="1"/>
  <c r="E47" i="265" s="1"/>
  <c r="F47" i="265" a="1"/>
  <c r="F47" i="265" s="1"/>
  <c r="D49" i="265" a="1"/>
  <c r="D49" i="265" s="1"/>
  <c r="F95" i="265" a="1"/>
  <c r="F95" i="265" s="1"/>
  <c r="D95" i="265" a="1"/>
  <c r="D95" i="265" s="1"/>
  <c r="G95" i="265" a="1"/>
  <c r="G95" i="265" s="1"/>
  <c r="F32" i="265" a="1"/>
  <c r="F32" i="265" s="1"/>
  <c r="G32" i="265" a="1"/>
  <c r="G32" i="265" s="1"/>
  <c r="F65" i="265" a="1"/>
  <c r="F65" i="265" s="1"/>
  <c r="D67" i="265" a="1"/>
  <c r="D67" i="265" s="1"/>
  <c r="F74" i="265" a="1"/>
  <c r="F74" i="265" s="1"/>
  <c r="F79" i="265" a="1"/>
  <c r="F79" i="265" s="1"/>
  <c r="D81" i="265" a="1"/>
  <c r="D81" i="265" s="1"/>
  <c r="F90" i="265" a="1"/>
  <c r="F90" i="265" s="1"/>
  <c r="E56" i="265" a="1"/>
  <c r="E56" i="265" s="1"/>
  <c r="D56" i="265" a="1"/>
  <c r="D56" i="265" s="1"/>
  <c r="F56" i="265" a="1"/>
  <c r="F56" i="265" s="1"/>
  <c r="F69" i="265" a="1"/>
  <c r="F69" i="265" s="1"/>
  <c r="E69" i="265" a="1"/>
  <c r="E69" i="265" s="1"/>
  <c r="G70" i="265" a="1"/>
  <c r="G70" i="265" s="1"/>
  <c r="F71" i="265" a="1"/>
  <c r="F71" i="265" s="1"/>
  <c r="G71" i="265" a="1"/>
  <c r="G71" i="265" s="1"/>
  <c r="E86" i="265" a="1"/>
  <c r="E86" i="265" s="1"/>
  <c r="G86" i="265" a="1"/>
  <c r="G86" i="265" s="1"/>
  <c r="D86" i="265" a="1"/>
  <c r="D86" i="265" s="1"/>
  <c r="F87" i="265" a="1"/>
  <c r="F87" i="265" s="1"/>
  <c r="D87" i="265" a="1"/>
  <c r="D87" i="265" s="1"/>
  <c r="D97" i="265" a="1"/>
  <c r="D97" i="265" s="1"/>
  <c r="F97" i="265" a="1"/>
  <c r="F97" i="265" s="1"/>
  <c r="E97" i="265" a="1"/>
  <c r="E97" i="265" s="1"/>
  <c r="D35" i="265" a="1"/>
  <c r="D35" i="265" s="1"/>
  <c r="F48" i="265" a="1"/>
  <c r="F48" i="265" s="1"/>
  <c r="G50" i="265" a="1"/>
  <c r="G50" i="265" s="1"/>
  <c r="H50" i="265" s="1"/>
  <c r="I50" i="265" s="1"/>
  <c r="F50" i="265" a="1"/>
  <c r="F50" i="265" s="1"/>
  <c r="F57" i="265" a="1"/>
  <c r="F57" i="265" s="1"/>
  <c r="E57" i="265" a="1"/>
  <c r="E57" i="265" s="1"/>
  <c r="E60" i="265" a="1"/>
  <c r="E60" i="265" s="1"/>
  <c r="D60" i="265" a="1"/>
  <c r="D60" i="265" s="1"/>
  <c r="G61" i="265" a="1"/>
  <c r="G61" i="265" s="1"/>
  <c r="F61" i="265" a="1"/>
  <c r="F61" i="265" s="1"/>
  <c r="G63" i="265" a="1"/>
  <c r="G63" i="265" s="1"/>
  <c r="F63" i="265" a="1"/>
  <c r="F63" i="265" s="1"/>
  <c r="G65" i="265" a="1"/>
  <c r="G65" i="265" s="1"/>
  <c r="H65" i="265" s="1"/>
  <c r="I65" i="265" s="1"/>
  <c r="F66" i="265" a="1"/>
  <c r="F66" i="265" s="1"/>
  <c r="D69" i="265" a="1"/>
  <c r="D69" i="265" s="1"/>
  <c r="D70" i="265" a="1"/>
  <c r="D70" i="265" s="1"/>
  <c r="G74" i="265" a="1"/>
  <c r="G74" i="265" s="1"/>
  <c r="G76" i="265" a="1"/>
  <c r="G76" i="265" s="1"/>
  <c r="E80" i="265" a="1"/>
  <c r="E80" i="265" s="1"/>
  <c r="H80" i="265" s="1"/>
  <c r="I80" i="265" s="1"/>
  <c r="E81" i="265" a="1"/>
  <c r="E81" i="265" s="1"/>
  <c r="D82" i="265" a="1"/>
  <c r="D82" i="265" s="1"/>
  <c r="D85" i="265" a="1"/>
  <c r="D85" i="265" s="1"/>
  <c r="F85" i="265" a="1"/>
  <c r="F85" i="265" s="1"/>
  <c r="F41" i="265" a="1"/>
  <c r="F41" i="265" s="1"/>
  <c r="E41" i="265" a="1"/>
  <c r="E41" i="265" s="1"/>
  <c r="E44" i="265" a="1"/>
  <c r="E44" i="265" s="1"/>
  <c r="D44" i="265" a="1"/>
  <c r="D44" i="265" s="1"/>
  <c r="H44" i="265" s="1"/>
  <c r="I44" i="265" s="1"/>
  <c r="G44" i="265" a="1"/>
  <c r="G44" i="265" s="1"/>
  <c r="D64" i="265" a="1"/>
  <c r="D64" i="265" s="1"/>
  <c r="H64" i="265" s="1"/>
  <c r="I64" i="265" s="1"/>
  <c r="G66" i="265" a="1"/>
  <c r="G66" i="265" s="1"/>
  <c r="E68" i="265" a="1"/>
  <c r="E68" i="265" s="1"/>
  <c r="E70" i="265" a="1"/>
  <c r="E70" i="265" s="1"/>
  <c r="D71" i="265" a="1"/>
  <c r="D71" i="265" s="1"/>
  <c r="D72" i="265" a="1"/>
  <c r="D72" i="265" s="1"/>
  <c r="F81" i="265" a="1"/>
  <c r="F81" i="265" s="1"/>
  <c r="E82" i="265" a="1"/>
  <c r="E82" i="265" s="1"/>
  <c r="G92" i="265" a="1"/>
  <c r="G92" i="265" s="1"/>
  <c r="E92" i="265" a="1"/>
  <c r="E92" i="265" s="1"/>
  <c r="D93" i="265" a="1"/>
  <c r="D93" i="265" s="1"/>
  <c r="F93" i="265" a="1"/>
  <c r="F93" i="265" s="1"/>
  <c r="G93" i="265" a="1"/>
  <c r="G93" i="265" s="1"/>
  <c r="E95" i="265" a="1"/>
  <c r="E95" i="265" s="1"/>
  <c r="F99" i="265" a="1"/>
  <c r="F99" i="265" s="1"/>
  <c r="D99" i="265" a="1"/>
  <c r="D99" i="265" s="1"/>
  <c r="G99" i="265" a="1"/>
  <c r="G99" i="265" s="1"/>
  <c r="E99" i="265" a="1"/>
  <c r="E99" i="265" s="1"/>
  <c r="D30" i="265" a="1"/>
  <c r="D30" i="265" s="1"/>
  <c r="G30" i="265" a="1"/>
  <c r="G30" i="265" s="1"/>
  <c r="D43" i="265" a="1"/>
  <c r="D43" i="265" s="1"/>
  <c r="G43" i="265" a="1"/>
  <c r="G43" i="265" s="1"/>
  <c r="H26" i="265"/>
  <c r="I26" i="265" s="1"/>
  <c r="E30" i="265" a="1"/>
  <c r="E30" i="265" s="1"/>
  <c r="E31" i="265" a="1"/>
  <c r="E31" i="265" s="1"/>
  <c r="G31" i="265" a="1"/>
  <c r="G31" i="265" s="1"/>
  <c r="D32" i="265" a="1"/>
  <c r="D32" i="265" s="1"/>
  <c r="F36" i="265" a="1"/>
  <c r="F36" i="265" s="1"/>
  <c r="G36" i="265" a="1"/>
  <c r="G36" i="265" s="1"/>
  <c r="E43" i="265" a="1"/>
  <c r="E43" i="265" s="1"/>
  <c r="G54" i="265" a="1"/>
  <c r="G54" i="265" s="1"/>
  <c r="F54" i="265" a="1"/>
  <c r="F54" i="265" s="1"/>
  <c r="D57" i="265" a="1"/>
  <c r="D57" i="265" s="1"/>
  <c r="H57" i="265" s="1"/>
  <c r="I57" i="265" s="1"/>
  <c r="G58" i="265" a="1"/>
  <c r="G58" i="265" s="1"/>
  <c r="F58" i="265" a="1"/>
  <c r="F58" i="265" s="1"/>
  <c r="D61" i="265" a="1"/>
  <c r="D61" i="265" s="1"/>
  <c r="E71" i="265" a="1"/>
  <c r="E71" i="265" s="1"/>
  <c r="E73" i="265" a="1"/>
  <c r="E73" i="265" s="1"/>
  <c r="H73" i="265" s="1"/>
  <c r="I73" i="265" s="1"/>
  <c r="E75" i="265" a="1"/>
  <c r="E75" i="265" s="1"/>
  <c r="D75" i="265" a="1"/>
  <c r="D75" i="265" s="1"/>
  <c r="G75" i="265" a="1"/>
  <c r="G75" i="265" s="1"/>
  <c r="F76" i="265" a="1"/>
  <c r="F76" i="265" s="1"/>
  <c r="E76" i="265" a="1"/>
  <c r="E76" i="265" s="1"/>
  <c r="F82" i="265" a="1"/>
  <c r="F82" i="265" s="1"/>
  <c r="E85" i="265" a="1"/>
  <c r="E85" i="265" s="1"/>
  <c r="F86" i="265" a="1"/>
  <c r="F86" i="265" s="1"/>
  <c r="H86" i="265" s="1"/>
  <c r="I86" i="265" s="1"/>
  <c r="E87" i="265" a="1"/>
  <c r="E87" i="265" s="1"/>
  <c r="G97" i="265" a="1"/>
  <c r="G97" i="265" s="1"/>
  <c r="E48" i="265" a="1"/>
  <c r="E48" i="265" s="1"/>
  <c r="D48" i="265" a="1"/>
  <c r="D48" i="265" s="1"/>
  <c r="D66" i="265" a="1"/>
  <c r="D66" i="265" s="1"/>
  <c r="H66" i="265" s="1"/>
  <c r="I66" i="265" s="1"/>
  <c r="F70" i="265" a="1"/>
  <c r="F70" i="265" s="1"/>
  <c r="G78" i="265" a="1"/>
  <c r="G78" i="265" s="1"/>
  <c r="F78" i="265" a="1"/>
  <c r="F78" i="265" s="1"/>
  <c r="G82" i="265" a="1"/>
  <c r="G82" i="265" s="1"/>
  <c r="G87" i="265" a="1"/>
  <c r="G87" i="265" s="1"/>
  <c r="E90" i="265" a="1"/>
  <c r="E90" i="265" s="1"/>
  <c r="H90" i="265" s="1"/>
  <c r="I90" i="265" s="1"/>
  <c r="G90" i="265" a="1"/>
  <c r="G90" i="265" s="1"/>
  <c r="E98" i="265" a="1"/>
  <c r="E98" i="265" s="1"/>
  <c r="G98" i="265" a="1"/>
  <c r="G98" i="265" s="1"/>
  <c r="G38" i="265" a="1"/>
  <c r="G38" i="265" s="1"/>
  <c r="H38" i="265" s="1"/>
  <c r="I38" i="265" s="1"/>
  <c r="F38" i="265" a="1"/>
  <c r="F38" i="265" s="1"/>
  <c r="G42" i="265" a="1"/>
  <c r="G42" i="265" s="1"/>
  <c r="F42" i="265" a="1"/>
  <c r="F42" i="265" s="1"/>
  <c r="F45" i="265" a="1"/>
  <c r="F45" i="265" s="1"/>
  <c r="E45" i="265" a="1"/>
  <c r="E45" i="265" s="1"/>
  <c r="D51" i="265" a="1"/>
  <c r="D51" i="265" s="1"/>
  <c r="G51" i="265" a="1"/>
  <c r="G51" i="265" s="1"/>
  <c r="F51" i="265" a="1"/>
  <c r="F51" i="265" s="1"/>
  <c r="F28" i="265" a="1"/>
  <c r="F28" i="265" s="1"/>
  <c r="G28" i="265" a="1"/>
  <c r="G28" i="265" s="1"/>
  <c r="H28" i="265" s="1"/>
  <c r="I28" i="265" s="1"/>
  <c r="F30" i="265" a="1"/>
  <c r="F30" i="265" s="1"/>
  <c r="E32" i="265" a="1"/>
  <c r="E32" i="265" s="1"/>
  <c r="F43" i="265" a="1"/>
  <c r="F43" i="265" s="1"/>
  <c r="D55" i="265" a="1"/>
  <c r="D55" i="265" s="1"/>
  <c r="G55" i="265" a="1"/>
  <c r="G55" i="265" s="1"/>
  <c r="G56" i="265" a="1"/>
  <c r="G56" i="265" s="1"/>
  <c r="H56" i="265" s="1"/>
  <c r="I56" i="265" s="1"/>
  <c r="E61" i="265" a="1"/>
  <c r="E61" i="265" s="1"/>
  <c r="E63" i="265" a="1"/>
  <c r="E63" i="265" s="1"/>
  <c r="H63" i="265" s="1"/>
  <c r="I63" i="265" s="1"/>
  <c r="E67" i="265" a="1"/>
  <c r="E67" i="265" s="1"/>
  <c r="G69" i="265" a="1"/>
  <c r="G69" i="265" s="1"/>
  <c r="H69" i="265" s="1"/>
  <c r="I69" i="265" s="1"/>
  <c r="F72" i="265" a="1"/>
  <c r="F72" i="265" s="1"/>
  <c r="D74" i="265" a="1"/>
  <c r="D74" i="265" s="1"/>
  <c r="H74" i="265" s="1"/>
  <c r="I74" i="265" s="1"/>
  <c r="G85" i="265" a="1"/>
  <c r="G85" i="265" s="1"/>
  <c r="E35" i="265" a="1"/>
  <c r="E35" i="265" s="1"/>
  <c r="G35" i="265" a="1"/>
  <c r="G35" i="265" s="1"/>
  <c r="D39" i="265" a="1"/>
  <c r="D39" i="265" s="1"/>
  <c r="G39" i="265" a="1"/>
  <c r="G39" i="265" s="1"/>
  <c r="F49" i="265" a="1"/>
  <c r="F49" i="265" s="1"/>
  <c r="H49" i="265" s="1"/>
  <c r="I49" i="265" s="1"/>
  <c r="E49" i="265" a="1"/>
  <c r="E49" i="265" s="1"/>
  <c r="E52" i="265" a="1"/>
  <c r="E52" i="265" s="1"/>
  <c r="H52" i="265" s="1"/>
  <c r="I52" i="265" s="1"/>
  <c r="D52" i="265" a="1"/>
  <c r="D52" i="265" s="1"/>
  <c r="D59" i="265" a="1"/>
  <c r="D59" i="265" s="1"/>
  <c r="G59" i="265" a="1"/>
  <c r="G59" i="265" s="1"/>
  <c r="D68" i="265" a="1"/>
  <c r="D68" i="265" s="1"/>
  <c r="H68" i="265" s="1"/>
  <c r="I68" i="265" s="1"/>
  <c r="H71" i="265"/>
  <c r="I71" i="265" s="1"/>
  <c r="D78" i="265" a="1"/>
  <c r="D78" i="265" s="1"/>
  <c r="H78" i="265" s="1"/>
  <c r="I78" i="265" s="1"/>
  <c r="D79" i="265" a="1"/>
  <c r="D79" i="265" s="1"/>
  <c r="H79" i="265" s="1"/>
  <c r="I79" i="265" s="1"/>
  <c r="H81" i="265"/>
  <c r="I81" i="265" s="1"/>
  <c r="H82" i="265"/>
  <c r="I82" i="265" s="1"/>
  <c r="D89" i="265" a="1"/>
  <c r="D89" i="265" s="1"/>
  <c r="F89" i="265" a="1"/>
  <c r="F89" i="265" s="1"/>
  <c r="E89" i="265" a="1"/>
  <c r="E89" i="265" s="1"/>
  <c r="G89" i="265" a="1"/>
  <c r="G89" i="265" s="1"/>
  <c r="G46" i="265" a="1"/>
  <c r="G46" i="265" s="1"/>
  <c r="H46" i="265" s="1"/>
  <c r="I46" i="265" s="1"/>
  <c r="F46" i="265" a="1"/>
  <c r="F46" i="265" s="1"/>
  <c r="F53" i="265" a="1"/>
  <c r="F53" i="265" s="1"/>
  <c r="E53" i="265" a="1"/>
  <c r="E53" i="265" s="1"/>
  <c r="F83" i="265" a="1"/>
  <c r="F83" i="265" s="1"/>
  <c r="D83" i="265" a="1"/>
  <c r="D83" i="265" s="1"/>
  <c r="H83" i="265" s="1"/>
  <c r="I83" i="265" s="1"/>
  <c r="G100" i="265" a="1"/>
  <c r="G100" i="265" s="1"/>
  <c r="E100" i="265" a="1"/>
  <c r="E100" i="265" s="1"/>
  <c r="D100" i="265" a="1"/>
  <c r="D100" i="265" s="1"/>
  <c r="G72" i="265" a="1"/>
  <c r="G72" i="265" s="1"/>
  <c r="F91" i="265" a="1"/>
  <c r="F91" i="265" s="1"/>
  <c r="H91" i="265" s="1"/>
  <c r="I91" i="265" s="1"/>
  <c r="D91" i="265" a="1"/>
  <c r="D91" i="265" s="1"/>
  <c r="G96" i="265" a="1"/>
  <c r="G96" i="265" s="1"/>
  <c r="E96" i="265" a="1"/>
  <c r="E96" i="265" s="1"/>
  <c r="G84" i="265" a="1"/>
  <c r="G84" i="265" s="1"/>
  <c r="H84" i="265" s="1"/>
  <c r="I84" i="265" s="1"/>
  <c r="G88" i="265" a="1"/>
  <c r="G88" i="265" s="1"/>
  <c r="E88" i="265" a="1"/>
  <c r="E88" i="265" s="1"/>
  <c r="H88" i="265" s="1"/>
  <c r="I88" i="265" s="1"/>
  <c r="F127" i="265"/>
  <c r="G107" i="265"/>
  <c r="G127" i="265" s="1"/>
  <c r="D33" i="263" a="1"/>
  <c r="D33" i="263" s="1"/>
  <c r="G74" i="264" a="1"/>
  <c r="G74" i="264" s="1"/>
  <c r="E74" i="264" a="1"/>
  <c r="E74" i="264" s="1"/>
  <c r="G77" i="264" a="1"/>
  <c r="G77" i="264" s="1"/>
  <c r="D77" i="264" a="1"/>
  <c r="D77" i="264" s="1"/>
  <c r="G25" i="264" a="1"/>
  <c r="G25" i="264" s="1"/>
  <c r="E30" i="264" a="1"/>
  <c r="E30" i="264" s="1"/>
  <c r="F77" i="259" a="1"/>
  <c r="F77" i="259" s="1"/>
  <c r="E89" i="259" a="1"/>
  <c r="E89" i="259" s="1"/>
  <c r="F93" i="262" a="1"/>
  <c r="F93" i="262" s="1"/>
  <c r="G83" i="263" a="1"/>
  <c r="G83" i="263" s="1"/>
  <c r="E97" i="263" a="1"/>
  <c r="E97" i="263" s="1"/>
  <c r="G36" i="264" a="1"/>
  <c r="G36" i="264" s="1"/>
  <c r="G65" i="258" a="1"/>
  <c r="G65" i="258" s="1"/>
  <c r="G26" i="260" a="1"/>
  <c r="G26" i="260" s="1"/>
  <c r="F71" i="261" a="1"/>
  <c r="F71" i="261" s="1"/>
  <c r="E75" i="261" a="1"/>
  <c r="E75" i="261" s="1"/>
  <c r="D32" i="262" a="1"/>
  <c r="D32" i="262" s="1"/>
  <c r="F36" i="262" a="1"/>
  <c r="F36" i="262" s="1"/>
  <c r="F44" i="262" a="1"/>
  <c r="F44" i="262" s="1"/>
  <c r="F39" i="263" a="1"/>
  <c r="F39" i="263" s="1"/>
  <c r="G80" i="263" a="1"/>
  <c r="G80" i="263" s="1"/>
  <c r="G94" i="263" a="1"/>
  <c r="G94" i="263" s="1"/>
  <c r="G40" i="264" a="1"/>
  <c r="G40" i="264" s="1"/>
  <c r="E38" i="263" a="1"/>
  <c r="E38" i="263" s="1"/>
  <c r="D47" i="262" a="1"/>
  <c r="D47" i="262" s="1"/>
  <c r="E44" i="263" a="1"/>
  <c r="E44" i="263" s="1"/>
  <c r="G54" i="263" a="1"/>
  <c r="G54" i="263" s="1"/>
  <c r="E92" i="263" a="1"/>
  <c r="E92" i="263" s="1"/>
  <c r="D25" i="264" a="1"/>
  <c r="D25" i="264" s="1"/>
  <c r="F81" i="264" a="1"/>
  <c r="F81" i="264" s="1"/>
  <c r="D44" i="259" a="1"/>
  <c r="D44" i="259" s="1"/>
  <c r="G41" i="261" a="1"/>
  <c r="G41" i="261" s="1"/>
  <c r="F68" i="261" a="1"/>
  <c r="F68" i="261" s="1"/>
  <c r="E96" i="261" a="1"/>
  <c r="E96" i="261" s="1"/>
  <c r="D100" i="261" a="1"/>
  <c r="D100" i="261" s="1"/>
  <c r="E81" i="262" a="1"/>
  <c r="E81" i="262" s="1"/>
  <c r="D56" i="263" a="1"/>
  <c r="D56" i="263" s="1"/>
  <c r="D29" i="264" a="1"/>
  <c r="D29" i="264" s="1"/>
  <c r="D37" i="264" a="1"/>
  <c r="D37" i="264" s="1"/>
  <c r="F43" i="264" a="1"/>
  <c r="F43" i="264" s="1"/>
  <c r="D81" i="261" a="1"/>
  <c r="D81" i="261" s="1"/>
  <c r="E34" i="262" a="1"/>
  <c r="E34" i="262" s="1"/>
  <c r="E52" i="262" a="1"/>
  <c r="E52" i="262" s="1"/>
  <c r="G67" i="262" a="1"/>
  <c r="G67" i="262" s="1"/>
  <c r="F78" i="262" a="1"/>
  <c r="F78" i="262" s="1"/>
  <c r="F92" i="262" a="1"/>
  <c r="F92" i="262" s="1"/>
  <c r="G99" i="262" a="1"/>
  <c r="G99" i="262" s="1"/>
  <c r="F34" i="263" a="1"/>
  <c r="F34" i="263" s="1"/>
  <c r="D43" i="263" a="1"/>
  <c r="D43" i="263" s="1"/>
  <c r="E60" i="263" a="1"/>
  <c r="E60" i="263" s="1"/>
  <c r="D75" i="263" a="1"/>
  <c r="D75" i="263" s="1"/>
  <c r="E89" i="263" a="1"/>
  <c r="E89" i="263" s="1"/>
  <c r="G68" i="264" a="1"/>
  <c r="G68" i="264" s="1"/>
  <c r="E80" i="264" a="1"/>
  <c r="E80" i="264" s="1"/>
  <c r="D89" i="264" a="1"/>
  <c r="D89" i="264" s="1"/>
  <c r="E64" i="262" a="1"/>
  <c r="E64" i="262" s="1"/>
  <c r="E26" i="264" a="1"/>
  <c r="E26" i="264" s="1"/>
  <c r="G56" i="264" a="1"/>
  <c r="G56" i="264" s="1"/>
  <c r="E58" i="264" a="1"/>
  <c r="E58" i="264" s="1"/>
  <c r="E78" i="264" a="1"/>
  <c r="E78" i="264" s="1"/>
  <c r="F89" i="264" a="1"/>
  <c r="F89" i="264" s="1"/>
  <c r="E27" i="262" a="1"/>
  <c r="E27" i="262" s="1"/>
  <c r="G43" i="262" a="1"/>
  <c r="G43" i="262" s="1"/>
  <c r="D46" i="262" a="1"/>
  <c r="D46" i="262" s="1"/>
  <c r="E68" i="262" a="1"/>
  <c r="E68" i="262" s="1"/>
  <c r="F86" i="262" a="1"/>
  <c r="F86" i="262" s="1"/>
  <c r="D76" i="264" a="1"/>
  <c r="D76" i="264" s="1"/>
  <c r="G32" i="264" a="1"/>
  <c r="G32" i="264" s="1"/>
  <c r="D55" i="264" a="1"/>
  <c r="D55" i="264" s="1"/>
  <c r="G55" i="264" a="1"/>
  <c r="G55" i="264" s="1"/>
  <c r="E55" i="264" a="1"/>
  <c r="E55" i="264" s="1"/>
  <c r="F55" i="264" a="1"/>
  <c r="F55" i="264" s="1"/>
  <c r="D35" i="264" a="1"/>
  <c r="D35" i="264" s="1"/>
  <c r="G35" i="264" a="1"/>
  <c r="G35" i="264" s="1"/>
  <c r="E35" i="264" a="1"/>
  <c r="E35" i="264" s="1"/>
  <c r="F35" i="264" a="1"/>
  <c r="F35" i="264" s="1"/>
  <c r="D47" i="264" a="1"/>
  <c r="D47" i="264" s="1"/>
  <c r="G47" i="264" a="1"/>
  <c r="G47" i="264" s="1"/>
  <c r="E47" i="264" a="1"/>
  <c r="E47" i="264" s="1"/>
  <c r="F47" i="264" a="1"/>
  <c r="F47" i="264" s="1"/>
  <c r="D31" i="264" a="1"/>
  <c r="D31" i="264" s="1"/>
  <c r="G31" i="264" a="1"/>
  <c r="G31" i="264" s="1"/>
  <c r="E31" i="264" a="1"/>
  <c r="E31" i="264" s="1"/>
  <c r="F31" i="264" a="1"/>
  <c r="F31" i="264" s="1"/>
  <c r="G50" i="264" a="1"/>
  <c r="G50" i="264" s="1"/>
  <c r="F50" i="264" a="1"/>
  <c r="F50" i="264" s="1"/>
  <c r="D50" i="264" a="1"/>
  <c r="D50" i="264" s="1"/>
  <c r="G30" i="264" a="1"/>
  <c r="G30" i="264" s="1"/>
  <c r="F30" i="264" a="1"/>
  <c r="F30" i="264" s="1"/>
  <c r="D30" i="264" a="1"/>
  <c r="D30" i="264" s="1"/>
  <c r="F41" i="264" a="1"/>
  <c r="F41" i="264" s="1"/>
  <c r="E41" i="264" a="1"/>
  <c r="E41" i="264" s="1"/>
  <c r="G41" i="264" a="1"/>
  <c r="G41" i="264" s="1"/>
  <c r="E48" i="264" a="1"/>
  <c r="E48" i="264" s="1"/>
  <c r="D48" i="264" a="1"/>
  <c r="D48" i="264" s="1"/>
  <c r="F48" i="264" a="1"/>
  <c r="F48" i="264" s="1"/>
  <c r="G66" i="264" a="1"/>
  <c r="G66" i="264" s="1"/>
  <c r="F66" i="264" a="1"/>
  <c r="F66" i="264" s="1"/>
  <c r="E66" i="264" a="1"/>
  <c r="E66" i="264" s="1"/>
  <c r="D66" i="264" a="1"/>
  <c r="D66" i="264" s="1"/>
  <c r="F73" i="264" a="1"/>
  <c r="F73" i="264" s="1"/>
  <c r="E73" i="264" a="1"/>
  <c r="E73" i="264" s="1"/>
  <c r="D73" i="264" a="1"/>
  <c r="D73" i="264" s="1"/>
  <c r="G73" i="264" a="1"/>
  <c r="G73" i="264" s="1"/>
  <c r="F83" i="264" a="1"/>
  <c r="F83" i="264" s="1"/>
  <c r="E83" i="264" a="1"/>
  <c r="E83" i="264" s="1"/>
  <c r="D83" i="264" a="1"/>
  <c r="D83" i="264" s="1"/>
  <c r="G92" i="264" a="1"/>
  <c r="G92" i="264" s="1"/>
  <c r="F92" i="264" a="1"/>
  <c r="F92" i="264" s="1"/>
  <c r="E92" i="264" a="1"/>
  <c r="E92" i="264" s="1"/>
  <c r="G94" i="264" a="1"/>
  <c r="G94" i="264" s="1"/>
  <c r="F45" i="264" a="1"/>
  <c r="F45" i="264" s="1"/>
  <c r="E45" i="264" a="1"/>
  <c r="E45" i="264" s="1"/>
  <c r="G45" i="264" a="1"/>
  <c r="G45" i="264" s="1"/>
  <c r="E50" i="264" a="1"/>
  <c r="E50" i="264" s="1"/>
  <c r="E52" i="264" a="1"/>
  <c r="E52" i="264" s="1"/>
  <c r="D52" i="264" a="1"/>
  <c r="D52" i="264" s="1"/>
  <c r="F52" i="264" a="1"/>
  <c r="F52" i="264" s="1"/>
  <c r="D59" i="264" a="1"/>
  <c r="D59" i="264" s="1"/>
  <c r="G59" i="264" a="1"/>
  <c r="G59" i="264" s="1"/>
  <c r="F59" i="264" a="1"/>
  <c r="F59" i="264" s="1"/>
  <c r="E59" i="264" a="1"/>
  <c r="E59" i="264" s="1"/>
  <c r="F94" i="264" a="1"/>
  <c r="F94" i="264" s="1"/>
  <c r="E94" i="264" a="1"/>
  <c r="E94" i="264" s="1"/>
  <c r="F96" i="264" a="1"/>
  <c r="F96" i="264" s="1"/>
  <c r="D96" i="264" a="1"/>
  <c r="D96" i="264" s="1"/>
  <c r="F25" i="264" a="1"/>
  <c r="F25" i="264" s="1"/>
  <c r="E25" i="264" a="1"/>
  <c r="E25" i="264" s="1"/>
  <c r="H25" i="264" s="1"/>
  <c r="G38" i="264" a="1"/>
  <c r="G38" i="264" s="1"/>
  <c r="F38" i="264" a="1"/>
  <c r="F38" i="264" s="1"/>
  <c r="D38" i="264" a="1"/>
  <c r="D38" i="264" s="1"/>
  <c r="F49" i="264" a="1"/>
  <c r="F49" i="264" s="1"/>
  <c r="E49" i="264" a="1"/>
  <c r="E49" i="264" s="1"/>
  <c r="H49" i="264" s="1"/>
  <c r="I49" i="264" s="1"/>
  <c r="G49" i="264" a="1"/>
  <c r="G49" i="264" s="1"/>
  <c r="E56" i="264" a="1"/>
  <c r="E56" i="264" s="1"/>
  <c r="D56" i="264" a="1"/>
  <c r="D56" i="264" s="1"/>
  <c r="F56" i="264" a="1"/>
  <c r="F56" i="264" s="1"/>
  <c r="E60" i="264" a="1"/>
  <c r="E60" i="264" s="1"/>
  <c r="D60" i="264" a="1"/>
  <c r="D60" i="264" s="1"/>
  <c r="G60" i="264" a="1"/>
  <c r="G60" i="264" s="1"/>
  <c r="F60" i="264" a="1"/>
  <c r="F60" i="264" s="1"/>
  <c r="D71" i="264" a="1"/>
  <c r="D71" i="264" s="1"/>
  <c r="G71" i="264" a="1"/>
  <c r="G71" i="264" s="1"/>
  <c r="E71" i="264" a="1"/>
  <c r="E71" i="264" s="1"/>
  <c r="E72" i="264" a="1"/>
  <c r="E72" i="264" s="1"/>
  <c r="D72" i="264" a="1"/>
  <c r="D72" i="264" s="1"/>
  <c r="G79" i="264" a="1"/>
  <c r="G79" i="264" s="1"/>
  <c r="E79" i="264" a="1"/>
  <c r="E79" i="264" s="1"/>
  <c r="D79" i="264" a="1"/>
  <c r="D79" i="264" s="1"/>
  <c r="G82" i="264" a="1"/>
  <c r="G82" i="264" s="1"/>
  <c r="F82" i="264" a="1"/>
  <c r="F82" i="264" s="1"/>
  <c r="D82" i="264" a="1"/>
  <c r="D82" i="264" s="1"/>
  <c r="G87" i="264" a="1"/>
  <c r="G87" i="264" s="1"/>
  <c r="E90" i="264" a="1"/>
  <c r="E90" i="264" s="1"/>
  <c r="D92" i="264" a="1"/>
  <c r="D92" i="264" s="1"/>
  <c r="H92" i="264" s="1"/>
  <c r="I92" i="264" s="1"/>
  <c r="D94" i="264" a="1"/>
  <c r="D94" i="264" s="1"/>
  <c r="D27" i="264" a="1"/>
  <c r="D27" i="264" s="1"/>
  <c r="G27" i="264" a="1"/>
  <c r="G27" i="264" s="1"/>
  <c r="E27" i="264" a="1"/>
  <c r="E27" i="264" s="1"/>
  <c r="G34" i="264" a="1"/>
  <c r="G34" i="264" s="1"/>
  <c r="F34" i="264" a="1"/>
  <c r="F34" i="264" s="1"/>
  <c r="D34" i="264" a="1"/>
  <c r="D34" i="264" s="1"/>
  <c r="E28" i="264" a="1"/>
  <c r="E28" i="264" s="1"/>
  <c r="D28" i="264" a="1"/>
  <c r="D28" i="264" s="1"/>
  <c r="F28" i="264" a="1"/>
  <c r="F28" i="264" s="1"/>
  <c r="D41" i="264" a="1"/>
  <c r="D41" i="264" s="1"/>
  <c r="H41" i="264" s="1"/>
  <c r="I41" i="264" s="1"/>
  <c r="G42" i="264" a="1"/>
  <c r="G42" i="264" s="1"/>
  <c r="F42" i="264" a="1"/>
  <c r="F42" i="264" s="1"/>
  <c r="D42" i="264" a="1"/>
  <c r="D42" i="264" s="1"/>
  <c r="F53" i="264" a="1"/>
  <c r="F53" i="264" s="1"/>
  <c r="E53" i="264" a="1"/>
  <c r="E53" i="264" s="1"/>
  <c r="G53" i="264" a="1"/>
  <c r="G53" i="264" s="1"/>
  <c r="F61" i="264" a="1"/>
  <c r="F61" i="264" s="1"/>
  <c r="E61" i="264" a="1"/>
  <c r="E61" i="264" s="1"/>
  <c r="D61" i="264" a="1"/>
  <c r="D61" i="264" s="1"/>
  <c r="G61" i="264" a="1"/>
  <c r="G61" i="264" s="1"/>
  <c r="G75" i="264" a="1"/>
  <c r="G75" i="264" s="1"/>
  <c r="F75" i="264" a="1"/>
  <c r="F75" i="264" s="1"/>
  <c r="E75" i="264" a="1"/>
  <c r="E75" i="264" s="1"/>
  <c r="D75" i="264" a="1"/>
  <c r="D75" i="264" s="1"/>
  <c r="F84" i="264" a="1"/>
  <c r="F84" i="264" s="1"/>
  <c r="E84" i="264" a="1"/>
  <c r="E84" i="264" s="1"/>
  <c r="E32" i="264" a="1"/>
  <c r="E32" i="264" s="1"/>
  <c r="D32" i="264" a="1"/>
  <c r="D32" i="264" s="1"/>
  <c r="F32" i="264" a="1"/>
  <c r="F32" i="264" s="1"/>
  <c r="D39" i="264" a="1"/>
  <c r="D39" i="264" s="1"/>
  <c r="G39" i="264" a="1"/>
  <c r="G39" i="264" s="1"/>
  <c r="E39" i="264" a="1"/>
  <c r="E39" i="264" s="1"/>
  <c r="D45" i="264" a="1"/>
  <c r="D45" i="264" s="1"/>
  <c r="H45" i="264" s="1"/>
  <c r="I45" i="264" s="1"/>
  <c r="G46" i="264" a="1"/>
  <c r="G46" i="264" s="1"/>
  <c r="F46" i="264" a="1"/>
  <c r="F46" i="264" s="1"/>
  <c r="D46" i="264" a="1"/>
  <c r="D46" i="264" s="1"/>
  <c r="F57" i="264" a="1"/>
  <c r="F57" i="264" s="1"/>
  <c r="E57" i="264" a="1"/>
  <c r="E57" i="264" s="1"/>
  <c r="G57" i="264" a="1"/>
  <c r="G57" i="264" s="1"/>
  <c r="G62" i="264" a="1"/>
  <c r="G62" i="264" s="1"/>
  <c r="F62" i="264" a="1"/>
  <c r="F62" i="264" s="1"/>
  <c r="E62" i="264" a="1"/>
  <c r="E62" i="264" s="1"/>
  <c r="D62" i="264" a="1"/>
  <c r="D62" i="264" s="1"/>
  <c r="F70" i="264" a="1"/>
  <c r="F70" i="264" s="1"/>
  <c r="D70" i="264" a="1"/>
  <c r="D70" i="264" s="1"/>
  <c r="G70" i="264" a="1"/>
  <c r="G70" i="264" s="1"/>
  <c r="G93" i="264" a="1"/>
  <c r="G93" i="264" s="1"/>
  <c r="F93" i="264" a="1"/>
  <c r="F93" i="264" s="1"/>
  <c r="D93" i="264" a="1"/>
  <c r="D93" i="264" s="1"/>
  <c r="D95" i="264" a="1"/>
  <c r="D95" i="264" s="1"/>
  <c r="G95" i="264" a="1"/>
  <c r="G95" i="264" s="1"/>
  <c r="F95" i="264" a="1"/>
  <c r="F95" i="264" s="1"/>
  <c r="E95" i="264" a="1"/>
  <c r="E95" i="264" s="1"/>
  <c r="D97" i="264" a="1"/>
  <c r="D97" i="264" s="1"/>
  <c r="F97" i="264" a="1"/>
  <c r="F97" i="264" s="1"/>
  <c r="F99" i="264" a="1"/>
  <c r="F99" i="264" s="1"/>
  <c r="E99" i="264" a="1"/>
  <c r="E99" i="264" s="1"/>
  <c r="D99" i="264" a="1"/>
  <c r="D99" i="264" s="1"/>
  <c r="G99" i="264" a="1"/>
  <c r="G99" i="264" s="1"/>
  <c r="D63" i="264" a="1"/>
  <c r="D63" i="264" s="1"/>
  <c r="G63" i="264" a="1"/>
  <c r="G63" i="264" s="1"/>
  <c r="F63" i="264" a="1"/>
  <c r="F63" i="264" s="1"/>
  <c r="E63" i="264" a="1"/>
  <c r="E63" i="264" s="1"/>
  <c r="G69" i="264" a="1"/>
  <c r="G69" i="264" s="1"/>
  <c r="F69" i="264" a="1"/>
  <c r="F69" i="264" s="1"/>
  <c r="E69" i="264" a="1"/>
  <c r="E69" i="264" s="1"/>
  <c r="G78" i="264" a="1"/>
  <c r="G78" i="264" s="1"/>
  <c r="F78" i="264" a="1"/>
  <c r="F78" i="264" s="1"/>
  <c r="D78" i="264" a="1"/>
  <c r="D78" i="264" s="1"/>
  <c r="D91" i="264" a="1"/>
  <c r="D91" i="264" s="1"/>
  <c r="G91" i="264" a="1"/>
  <c r="G91" i="264" s="1"/>
  <c r="E91" i="264" a="1"/>
  <c r="E91" i="264" s="1"/>
  <c r="F29" i="264" a="1"/>
  <c r="F29" i="264" s="1"/>
  <c r="E29" i="264" a="1"/>
  <c r="E29" i="264" s="1"/>
  <c r="G29" i="264" a="1"/>
  <c r="G29" i="264" s="1"/>
  <c r="E34" i="264" a="1"/>
  <c r="E34" i="264" s="1"/>
  <c r="E36" i="264" a="1"/>
  <c r="E36" i="264" s="1"/>
  <c r="D36" i="264" a="1"/>
  <c r="D36" i="264" s="1"/>
  <c r="F36" i="264" a="1"/>
  <c r="F36" i="264" s="1"/>
  <c r="D43" i="264" a="1"/>
  <c r="D43" i="264" s="1"/>
  <c r="G43" i="264" a="1"/>
  <c r="G43" i="264" s="1"/>
  <c r="E43" i="264" a="1"/>
  <c r="E43" i="264" s="1"/>
  <c r="G26" i="264" a="1"/>
  <c r="G26" i="264" s="1"/>
  <c r="F26" i="264" a="1"/>
  <c r="F26" i="264" s="1"/>
  <c r="F27" i="264" a="1"/>
  <c r="F27" i="264" s="1"/>
  <c r="H27" i="264" s="1"/>
  <c r="I27" i="264" s="1"/>
  <c r="F33" i="264" a="1"/>
  <c r="F33" i="264" s="1"/>
  <c r="E33" i="264" a="1"/>
  <c r="E33" i="264" s="1"/>
  <c r="G33" i="264" a="1"/>
  <c r="G33" i="264" s="1"/>
  <c r="E40" i="264" a="1"/>
  <c r="E40" i="264" s="1"/>
  <c r="D40" i="264" a="1"/>
  <c r="D40" i="264" s="1"/>
  <c r="F40" i="264" a="1"/>
  <c r="F40" i="264" s="1"/>
  <c r="G54" i="264" a="1"/>
  <c r="G54" i="264" s="1"/>
  <c r="F54" i="264" a="1"/>
  <c r="F54" i="264" s="1"/>
  <c r="D54" i="264" a="1"/>
  <c r="D54" i="264" s="1"/>
  <c r="E64" i="264" a="1"/>
  <c r="E64" i="264" s="1"/>
  <c r="D64" i="264" a="1"/>
  <c r="D64" i="264" s="1"/>
  <c r="G64" i="264" a="1"/>
  <c r="G64" i="264" s="1"/>
  <c r="F64" i="264" a="1"/>
  <c r="F64" i="264" s="1"/>
  <c r="G81" i="264" a="1"/>
  <c r="G81" i="264" s="1"/>
  <c r="E81" i="264" a="1"/>
  <c r="E81" i="264" s="1"/>
  <c r="H81" i="264" s="1"/>
  <c r="I81" i="264" s="1"/>
  <c r="E93" i="264" a="1"/>
  <c r="E93" i="264" s="1"/>
  <c r="E97" i="264" a="1"/>
  <c r="E97" i="264" s="1"/>
  <c r="H97" i="264" s="1"/>
  <c r="I97" i="264" s="1"/>
  <c r="F37" i="264" a="1"/>
  <c r="F37" i="264" s="1"/>
  <c r="E37" i="264" a="1"/>
  <c r="E37" i="264" s="1"/>
  <c r="G37" i="264" a="1"/>
  <c r="G37" i="264" s="1"/>
  <c r="E44" i="264" a="1"/>
  <c r="E44" i="264" s="1"/>
  <c r="D44" i="264" a="1"/>
  <c r="D44" i="264" s="1"/>
  <c r="F44" i="264" a="1"/>
  <c r="F44" i="264" s="1"/>
  <c r="D51" i="264" a="1"/>
  <c r="D51" i="264" s="1"/>
  <c r="G51" i="264" a="1"/>
  <c r="G51" i="264" s="1"/>
  <c r="E51" i="264" a="1"/>
  <c r="E51" i="264" s="1"/>
  <c r="G52" i="264" a="1"/>
  <c r="G52" i="264" s="1"/>
  <c r="D57" i="264" a="1"/>
  <c r="D57" i="264" s="1"/>
  <c r="H57" i="264" s="1"/>
  <c r="I57" i="264" s="1"/>
  <c r="G58" i="264" a="1"/>
  <c r="G58" i="264" s="1"/>
  <c r="F58" i="264" a="1"/>
  <c r="F58" i="264" s="1"/>
  <c r="D58" i="264" a="1"/>
  <c r="D58" i="264" s="1"/>
  <c r="F65" i="264" a="1"/>
  <c r="F65" i="264" s="1"/>
  <c r="E65" i="264" a="1"/>
  <c r="E65" i="264" s="1"/>
  <c r="D65" i="264" a="1"/>
  <c r="D65" i="264" s="1"/>
  <c r="G65" i="264" a="1"/>
  <c r="G65" i="264" s="1"/>
  <c r="H65" i="264" s="1"/>
  <c r="I65" i="264" s="1"/>
  <c r="E67" i="264" a="1"/>
  <c r="E67" i="264" s="1"/>
  <c r="D67" i="264" a="1"/>
  <c r="D67" i="264" s="1"/>
  <c r="G67" i="264" a="1"/>
  <c r="G67" i="264" s="1"/>
  <c r="D68" i="264" a="1"/>
  <c r="D68" i="264" s="1"/>
  <c r="F68" i="264" a="1"/>
  <c r="F68" i="264" s="1"/>
  <c r="E68" i="264" a="1"/>
  <c r="E68" i="264" s="1"/>
  <c r="D69" i="264" a="1"/>
  <c r="D69" i="264" s="1"/>
  <c r="H69" i="264" s="1"/>
  <c r="I69" i="264" s="1"/>
  <c r="E70" i="264" a="1"/>
  <c r="E70" i="264" s="1"/>
  <c r="G85" i="264" a="1"/>
  <c r="G85" i="264" s="1"/>
  <c r="F85" i="264" a="1"/>
  <c r="F85" i="264" s="1"/>
  <c r="E85" i="264" a="1"/>
  <c r="E85" i="264" s="1"/>
  <c r="D85" i="264" a="1"/>
  <c r="D85" i="264" s="1"/>
  <c r="F87" i="264" a="1"/>
  <c r="F87" i="264" s="1"/>
  <c r="D87" i="264" a="1"/>
  <c r="D87" i="264" s="1"/>
  <c r="H87" i="264" s="1"/>
  <c r="I87" i="264" s="1"/>
  <c r="F90" i="264" a="1"/>
  <c r="F90" i="264" s="1"/>
  <c r="F91" i="264" a="1"/>
  <c r="F91" i="264" s="1"/>
  <c r="F74" i="264" a="1"/>
  <c r="F74" i="264" s="1"/>
  <c r="F77" i="264" a="1"/>
  <c r="F77" i="264" s="1"/>
  <c r="F80" i="264" a="1"/>
  <c r="F80" i="264" s="1"/>
  <c r="E98" i="264" a="1"/>
  <c r="E98" i="264" s="1"/>
  <c r="D98" i="264" a="1"/>
  <c r="D98" i="264" s="1"/>
  <c r="G98" i="264" a="1"/>
  <c r="G98" i="264" s="1"/>
  <c r="F127" i="264"/>
  <c r="F72" i="264" a="1"/>
  <c r="F72" i="264" s="1"/>
  <c r="E76" i="264" a="1"/>
  <c r="E76" i="264" s="1"/>
  <c r="H76" i="264" s="1"/>
  <c r="I76" i="264" s="1"/>
  <c r="D80" i="264" a="1"/>
  <c r="D80" i="264" s="1"/>
  <c r="G83" i="264" a="1"/>
  <c r="G83" i="264" s="1"/>
  <c r="E86" i="264" a="1"/>
  <c r="E86" i="264" s="1"/>
  <c r="D88" i="264" a="1"/>
  <c r="D88" i="264" s="1"/>
  <c r="H88" i="264" s="1"/>
  <c r="I88" i="264" s="1"/>
  <c r="G100" i="264" a="1"/>
  <c r="G100" i="264" s="1"/>
  <c r="F100" i="264" a="1"/>
  <c r="F100" i="264" s="1"/>
  <c r="E100" i="264" a="1"/>
  <c r="E100" i="264" s="1"/>
  <c r="D74" i="264" a="1"/>
  <c r="D74" i="264" s="1"/>
  <c r="H74" i="264" s="1"/>
  <c r="I74" i="264" s="1"/>
  <c r="E77" i="264" a="1"/>
  <c r="E77" i="264" s="1"/>
  <c r="H77" i="264" s="1"/>
  <c r="I77" i="264" s="1"/>
  <c r="G86" i="264" a="1"/>
  <c r="G86" i="264" s="1"/>
  <c r="E89" i="264" a="1"/>
  <c r="E89" i="264" s="1"/>
  <c r="H89" i="264" s="1"/>
  <c r="I89" i="264" s="1"/>
  <c r="D90" i="264" a="1"/>
  <c r="D90" i="264" s="1"/>
  <c r="H90" i="264" s="1"/>
  <c r="I90" i="264" s="1"/>
  <c r="H94" i="264"/>
  <c r="I94" i="264" s="1"/>
  <c r="G96" i="264" a="1"/>
  <c r="G96" i="264" s="1"/>
  <c r="E96" i="264" a="1"/>
  <c r="E96" i="264" s="1"/>
  <c r="D100" i="264" a="1"/>
  <c r="D100" i="264" s="1"/>
  <c r="G107" i="264"/>
  <c r="G127" i="264" s="1"/>
  <c r="G35" i="263" a="1"/>
  <c r="G35" i="263" s="1"/>
  <c r="F41" i="263" a="1"/>
  <c r="F41" i="263" s="1"/>
  <c r="E41" i="263" a="1"/>
  <c r="E41" i="263" s="1"/>
  <c r="D41" i="263" a="1"/>
  <c r="D41" i="263" s="1"/>
  <c r="E53" i="263" a="1"/>
  <c r="E53" i="263" s="1"/>
  <c r="F53" i="263" a="1"/>
  <c r="F53" i="263" s="1"/>
  <c r="G26" i="263" a="1"/>
  <c r="G26" i="263" s="1"/>
  <c r="D26" i="263" a="1"/>
  <c r="D26" i="263" s="1"/>
  <c r="E26" i="263" a="1"/>
  <c r="E26" i="263" s="1"/>
  <c r="E36" i="263" a="1"/>
  <c r="E36" i="263" s="1"/>
  <c r="D36" i="263" a="1"/>
  <c r="D36" i="263" s="1"/>
  <c r="G47" i="263" a="1"/>
  <c r="G47" i="263" s="1"/>
  <c r="D47" i="263" a="1"/>
  <c r="D47" i="263" s="1"/>
  <c r="E94" i="263" a="1"/>
  <c r="E94" i="263" s="1"/>
  <c r="F94" i="263" a="1"/>
  <c r="F94" i="263" s="1"/>
  <c r="E48" i="262" a="1"/>
  <c r="E48" i="262" s="1"/>
  <c r="F48" i="262" a="1"/>
  <c r="F48" i="262" s="1"/>
  <c r="F85" i="263" a="1"/>
  <c r="F85" i="263" s="1"/>
  <c r="G85" i="263" a="1"/>
  <c r="G85" i="263" s="1"/>
  <c r="E85" i="263" a="1"/>
  <c r="E85" i="263" s="1"/>
  <c r="D85" i="263" a="1"/>
  <c r="D85" i="263" s="1"/>
  <c r="G85" i="262" a="1"/>
  <c r="G85" i="262" s="1"/>
  <c r="D85" i="262" a="1"/>
  <c r="D85" i="262" s="1"/>
  <c r="D31" i="263" a="1"/>
  <c r="D31" i="263" s="1"/>
  <c r="F31" i="263" a="1"/>
  <c r="F31" i="263" s="1"/>
  <c r="G63" i="263" a="1"/>
  <c r="G63" i="263" s="1"/>
  <c r="D63" i="263" a="1"/>
  <c r="D63" i="263" s="1"/>
  <c r="F49" i="263" a="1"/>
  <c r="F49" i="263" s="1"/>
  <c r="E49" i="263" a="1"/>
  <c r="E49" i="263" s="1"/>
  <c r="G72" i="261" a="1"/>
  <c r="G72" i="261" s="1"/>
  <c r="D84" i="261" a="1"/>
  <c r="D84" i="261" s="1"/>
  <c r="G87" i="261" a="1"/>
  <c r="G87" i="261" s="1"/>
  <c r="F32" i="262" a="1"/>
  <c r="F32" i="262" s="1"/>
  <c r="E47" i="262" a="1"/>
  <c r="E47" i="262" s="1"/>
  <c r="F56" i="262" a="1"/>
  <c r="F56" i="262" s="1"/>
  <c r="F60" i="262" a="1"/>
  <c r="F60" i="262" s="1"/>
  <c r="E66" i="262" a="1"/>
  <c r="E66" i="262" s="1"/>
  <c r="F87" i="263" a="1"/>
  <c r="F87" i="263" s="1"/>
  <c r="D47" i="261" a="1"/>
  <c r="D47" i="261" s="1"/>
  <c r="D92" i="261" a="1"/>
  <c r="D92" i="261" s="1"/>
  <c r="D74" i="262" a="1"/>
  <c r="D74" i="262" s="1"/>
  <c r="D67" i="263" a="1"/>
  <c r="D67" i="263" s="1"/>
  <c r="D95" i="263" a="1"/>
  <c r="D95" i="263" s="1"/>
  <c r="D100" i="263" a="1"/>
  <c r="D100" i="263" s="1"/>
  <c r="F33" i="262" a="1"/>
  <c r="F33" i="262" s="1"/>
  <c r="D54" i="262" a="1"/>
  <c r="D54" i="262" s="1"/>
  <c r="E75" i="262" a="1"/>
  <c r="E75" i="262" s="1"/>
  <c r="D100" i="262" a="1"/>
  <c r="D100" i="262" s="1"/>
  <c r="D59" i="263" a="1"/>
  <c r="D59" i="263" s="1"/>
  <c r="E75" i="263" a="1"/>
  <c r="E75" i="263" s="1"/>
  <c r="G88" i="263" a="1"/>
  <c r="G88" i="263" s="1"/>
  <c r="E29" i="262" a="1"/>
  <c r="E29" i="262" s="1"/>
  <c r="G64" i="262" a="1"/>
  <c r="G64" i="262" s="1"/>
  <c r="D72" i="262" a="1"/>
  <c r="D72" i="262" s="1"/>
  <c r="D52" i="263" a="1"/>
  <c r="D52" i="263" s="1"/>
  <c r="E61" i="263" a="1"/>
  <c r="E61" i="263" s="1"/>
  <c r="E65" i="263" a="1"/>
  <c r="E65" i="263" s="1"/>
  <c r="D80" i="263" a="1"/>
  <c r="D80" i="263" s="1"/>
  <c r="D83" i="263" a="1"/>
  <c r="D83" i="263" s="1"/>
  <c r="F84" i="263" a="1"/>
  <c r="F84" i="263" s="1"/>
  <c r="G86" i="263" a="1"/>
  <c r="G86" i="263" s="1"/>
  <c r="D82" i="261" a="1"/>
  <c r="D82" i="261" s="1"/>
  <c r="G93" i="262" a="1"/>
  <c r="G93" i="262" s="1"/>
  <c r="G32" i="263" a="1"/>
  <c r="G32" i="263" s="1"/>
  <c r="E83" i="263" a="1"/>
  <c r="E83" i="263" s="1"/>
  <c r="D96" i="263" a="1"/>
  <c r="D96" i="263" s="1"/>
  <c r="E84" i="263" a="1"/>
  <c r="E84" i="263" s="1"/>
  <c r="F34" i="260" a="1"/>
  <c r="F34" i="260" s="1"/>
  <c r="F32" i="261" a="1"/>
  <c r="F32" i="261" s="1"/>
  <c r="D83" i="261" a="1"/>
  <c r="D83" i="261" s="1"/>
  <c r="F41" i="262" a="1"/>
  <c r="F41" i="262" s="1"/>
  <c r="G94" i="262" a="1"/>
  <c r="G94" i="262" s="1"/>
  <c r="F26" i="263" a="1"/>
  <c r="F26" i="263" s="1"/>
  <c r="F54" i="263" a="1"/>
  <c r="F54" i="263" s="1"/>
  <c r="F83" i="263" a="1"/>
  <c r="F83" i="263" s="1"/>
  <c r="F40" i="261" a="1"/>
  <c r="F40" i="261" s="1"/>
  <c r="E45" i="263" a="1"/>
  <c r="E45" i="263" s="1"/>
  <c r="E27" i="263" a="1"/>
  <c r="E27" i="263" s="1"/>
  <c r="D27" i="263" a="1"/>
  <c r="D27" i="263" s="1"/>
  <c r="G27" i="263" a="1"/>
  <c r="G27" i="263" s="1"/>
  <c r="F27" i="263" a="1"/>
  <c r="F27" i="263" s="1"/>
  <c r="D30" i="263" a="1"/>
  <c r="D30" i="263" s="1"/>
  <c r="E30" i="263" a="1"/>
  <c r="E30" i="263" s="1"/>
  <c r="F30" i="263" a="1"/>
  <c r="F30" i="263" s="1"/>
  <c r="G30" i="263" a="1"/>
  <c r="G30" i="263" s="1"/>
  <c r="G25" i="263" a="1"/>
  <c r="G25" i="263" s="1"/>
  <c r="D25" i="263" a="1"/>
  <c r="D25" i="263" s="1"/>
  <c r="F69" i="263" a="1"/>
  <c r="F69" i="263" s="1"/>
  <c r="D69" i="263" a="1"/>
  <c r="D69" i="263" s="1"/>
  <c r="G69" i="263" a="1"/>
  <c r="G69" i="263" s="1"/>
  <c r="E69" i="263" a="1"/>
  <c r="E69" i="263" s="1"/>
  <c r="G29" i="263" a="1"/>
  <c r="G29" i="263" s="1"/>
  <c r="F29" i="263" a="1"/>
  <c r="F29" i="263" s="1"/>
  <c r="D29" i="263" a="1"/>
  <c r="D29" i="263" s="1"/>
  <c r="F55" i="263" a="1"/>
  <c r="F55" i="263" s="1"/>
  <c r="E55" i="263" a="1"/>
  <c r="E55" i="263" s="1"/>
  <c r="D55" i="263" a="1"/>
  <c r="D55" i="263" s="1"/>
  <c r="D73" i="263" a="1"/>
  <c r="D73" i="263" s="1"/>
  <c r="G73" i="263" a="1"/>
  <c r="G73" i="263" s="1"/>
  <c r="F73" i="263" a="1"/>
  <c r="F73" i="263" s="1"/>
  <c r="E73" i="263" a="1"/>
  <c r="E73" i="263" s="1"/>
  <c r="E62" i="263" a="1"/>
  <c r="E62" i="263" s="1"/>
  <c r="D62" i="263" a="1"/>
  <c r="D62" i="263" s="1"/>
  <c r="F62" i="263" a="1"/>
  <c r="F62" i="263" s="1"/>
  <c r="E66" i="263" a="1"/>
  <c r="E66" i="263" s="1"/>
  <c r="D66" i="263" a="1"/>
  <c r="D66" i="263" s="1"/>
  <c r="F66" i="263" a="1"/>
  <c r="F66" i="263" s="1"/>
  <c r="G66" i="263" a="1"/>
  <c r="G66" i="263" s="1"/>
  <c r="F25" i="263" a="1"/>
  <c r="F25" i="263" s="1"/>
  <c r="F40" i="263" a="1"/>
  <c r="F40" i="263" s="1"/>
  <c r="D40" i="263" a="1"/>
  <c r="D40" i="263" s="1"/>
  <c r="E40" i="263" a="1"/>
  <c r="E40" i="263" s="1"/>
  <c r="D92" i="263" a="1"/>
  <c r="D92" i="263" s="1"/>
  <c r="G92" i="263" a="1"/>
  <c r="G92" i="263" s="1"/>
  <c r="F92" i="263" a="1"/>
  <c r="F92" i="263" s="1"/>
  <c r="G37" i="263" a="1"/>
  <c r="G37" i="263" s="1"/>
  <c r="D37" i="263" a="1"/>
  <c r="D37" i="263" s="1"/>
  <c r="E37" i="263" a="1"/>
  <c r="E37" i="263" s="1"/>
  <c r="E35" i="263" a="1"/>
  <c r="E35" i="263" s="1"/>
  <c r="F35" i="263" a="1"/>
  <c r="F35" i="263" s="1"/>
  <c r="D35" i="263" a="1"/>
  <c r="D35" i="263" s="1"/>
  <c r="F43" i="263" a="1"/>
  <c r="F43" i="263" s="1"/>
  <c r="G55" i="263" a="1"/>
  <c r="G55" i="263" s="1"/>
  <c r="E58" i="263" a="1"/>
  <c r="E58" i="263" s="1"/>
  <c r="D58" i="263" a="1"/>
  <c r="D58" i="263" s="1"/>
  <c r="G58" i="263" a="1"/>
  <c r="G58" i="263" s="1"/>
  <c r="G71" i="263" a="1"/>
  <c r="G71" i="263" s="1"/>
  <c r="D71" i="263" a="1"/>
  <c r="D71" i="263" s="1"/>
  <c r="E82" i="263" a="1"/>
  <c r="E82" i="263" s="1"/>
  <c r="G82" i="263" a="1"/>
  <c r="G82" i="263" s="1"/>
  <c r="F82" i="263" a="1"/>
  <c r="F82" i="263" s="1"/>
  <c r="D82" i="263" a="1"/>
  <c r="D82" i="263" s="1"/>
  <c r="E29" i="263" a="1"/>
  <c r="E29" i="263" s="1"/>
  <c r="D34" i="263" a="1"/>
  <c r="D34" i="263" s="1"/>
  <c r="G34" i="263" a="1"/>
  <c r="G34" i="263" s="1"/>
  <c r="E39" i="263" a="1"/>
  <c r="E39" i="263" s="1"/>
  <c r="D39" i="263" a="1"/>
  <c r="D39" i="263" s="1"/>
  <c r="G39" i="263" a="1"/>
  <c r="G39" i="263" s="1"/>
  <c r="G40" i="263" a="1"/>
  <c r="G40" i="263" s="1"/>
  <c r="E46" i="263" a="1"/>
  <c r="E46" i="263" s="1"/>
  <c r="D46" i="263" a="1"/>
  <c r="D46" i="263" s="1"/>
  <c r="F46" i="263" a="1"/>
  <c r="F46" i="263" s="1"/>
  <c r="E50" i="263" a="1"/>
  <c r="E50" i="263" s="1"/>
  <c r="D50" i="263" a="1"/>
  <c r="D50" i="263" s="1"/>
  <c r="F50" i="263" a="1"/>
  <c r="F50" i="263" s="1"/>
  <c r="G50" i="263" a="1"/>
  <c r="G50" i="263" s="1"/>
  <c r="G62" i="263" a="1"/>
  <c r="G62" i="263" s="1"/>
  <c r="G64" i="263" a="1"/>
  <c r="G64" i="263" s="1"/>
  <c r="F64" i="263" a="1"/>
  <c r="F64" i="263" s="1"/>
  <c r="E64" i="263" a="1"/>
  <c r="E64" i="263" s="1"/>
  <c r="D64" i="263" a="1"/>
  <c r="D64" i="263" s="1"/>
  <c r="F74" i="263" a="1"/>
  <c r="F74" i="263" s="1"/>
  <c r="E74" i="263" a="1"/>
  <c r="E74" i="263" s="1"/>
  <c r="F37" i="263" a="1"/>
  <c r="F37" i="263" s="1"/>
  <c r="H37" i="263" s="1"/>
  <c r="I37" i="263" s="1"/>
  <c r="F72" i="263" a="1"/>
  <c r="F72" i="263" s="1"/>
  <c r="E72" i="263" a="1"/>
  <c r="E72" i="263" s="1"/>
  <c r="G72" i="263" a="1"/>
  <c r="G72" i="263" s="1"/>
  <c r="D72" i="263" a="1"/>
  <c r="D72" i="263" s="1"/>
  <c r="D74" i="263" a="1"/>
  <c r="D74" i="263" s="1"/>
  <c r="F78" i="263" a="1"/>
  <c r="F78" i="263" s="1"/>
  <c r="D78" i="263" a="1"/>
  <c r="D78" i="263" s="1"/>
  <c r="G78" i="263" a="1"/>
  <c r="G78" i="263" s="1"/>
  <c r="E78" i="263" a="1"/>
  <c r="E78" i="263" s="1"/>
  <c r="D42" i="263" a="1"/>
  <c r="D42" i="263" s="1"/>
  <c r="E42" i="263" a="1"/>
  <c r="E42" i="263" s="1"/>
  <c r="G42" i="263" a="1"/>
  <c r="G42" i="263" s="1"/>
  <c r="D57" i="263" a="1"/>
  <c r="D57" i="263" s="1"/>
  <c r="G57" i="263" a="1"/>
  <c r="G57" i="263" s="1"/>
  <c r="E57" i="263" a="1"/>
  <c r="E57" i="263" s="1"/>
  <c r="F57" i="263" a="1"/>
  <c r="F57" i="263" s="1"/>
  <c r="F32" i="263" a="1"/>
  <c r="F32" i="263" s="1"/>
  <c r="D32" i="263" a="1"/>
  <c r="D32" i="263" s="1"/>
  <c r="E32" i="263" a="1"/>
  <c r="E32" i="263" s="1"/>
  <c r="E34" i="263" a="1"/>
  <c r="E34" i="263" s="1"/>
  <c r="G46" i="263" a="1"/>
  <c r="G46" i="263" s="1"/>
  <c r="G48" i="263" a="1"/>
  <c r="G48" i="263" s="1"/>
  <c r="F48" i="263" a="1"/>
  <c r="F48" i="263" s="1"/>
  <c r="E48" i="263" a="1"/>
  <c r="E48" i="263" s="1"/>
  <c r="D48" i="263" a="1"/>
  <c r="D48" i="263" s="1"/>
  <c r="F58" i="263" a="1"/>
  <c r="F58" i="263" s="1"/>
  <c r="D70" i="263" a="1"/>
  <c r="D70" i="263" s="1"/>
  <c r="G70" i="263" a="1"/>
  <c r="G70" i="263" s="1"/>
  <c r="F70" i="263" a="1"/>
  <c r="F70" i="263" s="1"/>
  <c r="E70" i="263" a="1"/>
  <c r="E70" i="263" s="1"/>
  <c r="D88" i="263" a="1"/>
  <c r="D88" i="263" s="1"/>
  <c r="F91" i="263" a="1"/>
  <c r="F91" i="263" s="1"/>
  <c r="G91" i="263" a="1"/>
  <c r="G91" i="263" s="1"/>
  <c r="E91" i="263" a="1"/>
  <c r="E91" i="263" s="1"/>
  <c r="D91" i="263" a="1"/>
  <c r="D91" i="263" s="1"/>
  <c r="F28" i="263" a="1"/>
  <c r="F28" i="263" s="1"/>
  <c r="G28" i="263" a="1"/>
  <c r="G28" i="263" s="1"/>
  <c r="G33" i="263" a="1"/>
  <c r="G33" i="263" s="1"/>
  <c r="D38" i="263" a="1"/>
  <c r="D38" i="263" s="1"/>
  <c r="G38" i="263" a="1"/>
  <c r="G38" i="263" s="1"/>
  <c r="D45" i="263" a="1"/>
  <c r="D45" i="263" s="1"/>
  <c r="G45" i="263" a="1"/>
  <c r="G45" i="263" s="1"/>
  <c r="G52" i="263" a="1"/>
  <c r="G52" i="263" s="1"/>
  <c r="F52" i="263" a="1"/>
  <c r="F52" i="263" s="1"/>
  <c r="F59" i="263" a="1"/>
  <c r="F59" i="263" s="1"/>
  <c r="E59" i="263" a="1"/>
  <c r="E59" i="263" s="1"/>
  <c r="D61" i="263" a="1"/>
  <c r="D61" i="263" s="1"/>
  <c r="G61" i="263" a="1"/>
  <c r="G61" i="263" s="1"/>
  <c r="G67" i="263" a="1"/>
  <c r="G67" i="263" s="1"/>
  <c r="G74" i="263" a="1"/>
  <c r="G74" i="263" s="1"/>
  <c r="F88" i="263" a="1"/>
  <c r="F88" i="263" s="1"/>
  <c r="E88" i="263" a="1"/>
  <c r="E88" i="263" s="1"/>
  <c r="F96" i="263" a="1"/>
  <c r="F96" i="263" s="1"/>
  <c r="G96" i="263" a="1"/>
  <c r="G96" i="263" s="1"/>
  <c r="E98" i="263" a="1"/>
  <c r="E98" i="263" s="1"/>
  <c r="D98" i="263" a="1"/>
  <c r="D98" i="263" s="1"/>
  <c r="G98" i="263" a="1"/>
  <c r="G98" i="263" s="1"/>
  <c r="F98" i="263" a="1"/>
  <c r="F98" i="263" s="1"/>
  <c r="G68" i="263" a="1"/>
  <c r="G68" i="263" s="1"/>
  <c r="F68" i="263" a="1"/>
  <c r="F68" i="263" s="1"/>
  <c r="E68" i="263" a="1"/>
  <c r="E68" i="263" s="1"/>
  <c r="F81" i="263" a="1"/>
  <c r="F81" i="263" s="1"/>
  <c r="D81" i="263" a="1"/>
  <c r="D81" i="263" s="1"/>
  <c r="F86" i="263" a="1"/>
  <c r="F86" i="263" s="1"/>
  <c r="G90" i="263" a="1"/>
  <c r="G90" i="263" s="1"/>
  <c r="E90" i="263" a="1"/>
  <c r="E90" i="263" s="1"/>
  <c r="F51" i="263" a="1"/>
  <c r="F51" i="263" s="1"/>
  <c r="E51" i="263" a="1"/>
  <c r="E51" i="263" s="1"/>
  <c r="D53" i="263" a="1"/>
  <c r="D53" i="263" s="1"/>
  <c r="G53" i="263" a="1"/>
  <c r="G53" i="263" s="1"/>
  <c r="E77" i="263" a="1"/>
  <c r="E77" i="263" s="1"/>
  <c r="G44" i="263" a="1"/>
  <c r="G44" i="263" s="1"/>
  <c r="F44" i="263" a="1"/>
  <c r="F44" i="263" s="1"/>
  <c r="E25" i="263" a="1"/>
  <c r="E25" i="263" s="1"/>
  <c r="E28" i="263" a="1"/>
  <c r="E28" i="263" s="1"/>
  <c r="E33" i="263" a="1"/>
  <c r="E33" i="263" s="1"/>
  <c r="E52" i="263" a="1"/>
  <c r="E52" i="263" s="1"/>
  <c r="D68" i="263" a="1"/>
  <c r="D68" i="263" s="1"/>
  <c r="G76" i="263" a="1"/>
  <c r="G76" i="263" s="1"/>
  <c r="H76" i="263" s="1"/>
  <c r="F80" i="263" a="1"/>
  <c r="F80" i="263" s="1"/>
  <c r="E80" i="263" a="1"/>
  <c r="E80" i="263" s="1"/>
  <c r="E81" i="263" a="1"/>
  <c r="E81" i="263" s="1"/>
  <c r="H85" i="263"/>
  <c r="I85" i="263" s="1"/>
  <c r="D90" i="263" a="1"/>
  <c r="D90" i="263" s="1"/>
  <c r="E31" i="263" a="1"/>
  <c r="E31" i="263" s="1"/>
  <c r="G31" i="263" a="1"/>
  <c r="G31" i="263" s="1"/>
  <c r="F36" i="263" a="1"/>
  <c r="F36" i="263" s="1"/>
  <c r="G36" i="263" a="1"/>
  <c r="G36" i="263" s="1"/>
  <c r="F38" i="263" a="1"/>
  <c r="F38" i="263" s="1"/>
  <c r="G41" i="263" a="1"/>
  <c r="G41" i="263" s="1"/>
  <c r="H41" i="263" s="1"/>
  <c r="I41" i="263" s="1"/>
  <c r="F45" i="263" a="1"/>
  <c r="F45" i="263" s="1"/>
  <c r="F47" i="263" a="1"/>
  <c r="F47" i="263" s="1"/>
  <c r="E47" i="263" a="1"/>
  <c r="E47" i="263" s="1"/>
  <c r="D49" i="263" a="1"/>
  <c r="D49" i="263" s="1"/>
  <c r="G49" i="263" a="1"/>
  <c r="G49" i="263" s="1"/>
  <c r="G56" i="263" a="1"/>
  <c r="G56" i="263" s="1"/>
  <c r="F56" i="263" a="1"/>
  <c r="F56" i="263" s="1"/>
  <c r="F61" i="263" a="1"/>
  <c r="F61" i="263" s="1"/>
  <c r="F63" i="263" a="1"/>
  <c r="F63" i="263" s="1"/>
  <c r="E63" i="263" a="1"/>
  <c r="E63" i="263" s="1"/>
  <c r="D65" i="263" a="1"/>
  <c r="D65" i="263" s="1"/>
  <c r="H65" i="263" s="1"/>
  <c r="I65" i="263" s="1"/>
  <c r="G65" i="263" a="1"/>
  <c r="G65" i="263" s="1"/>
  <c r="E67" i="263" a="1"/>
  <c r="E67" i="263" s="1"/>
  <c r="F75" i="263" a="1"/>
  <c r="F75" i="263" s="1"/>
  <c r="H75" i="263" s="1"/>
  <c r="I75" i="263" s="1"/>
  <c r="D77" i="263" a="1"/>
  <c r="D77" i="263" s="1"/>
  <c r="G84" i="263" a="1"/>
  <c r="G84" i="263" s="1"/>
  <c r="H84" i="263" s="1"/>
  <c r="I84" i="263" s="1"/>
  <c r="D86" i="263" a="1"/>
  <c r="D86" i="263" s="1"/>
  <c r="G89" i="263" a="1"/>
  <c r="G89" i="263" s="1"/>
  <c r="F89" i="263" a="1"/>
  <c r="F89" i="263" s="1"/>
  <c r="D89" i="263" a="1"/>
  <c r="D89" i="263" s="1"/>
  <c r="F90" i="263" a="1"/>
  <c r="F90" i="263" s="1"/>
  <c r="E95" i="263" a="1"/>
  <c r="E95" i="263" s="1"/>
  <c r="D97" i="263" a="1"/>
  <c r="D97" i="263" s="1"/>
  <c r="G97" i="263" a="1"/>
  <c r="G97" i="263" s="1"/>
  <c r="F97" i="263" a="1"/>
  <c r="F97" i="263" s="1"/>
  <c r="G60" i="263" a="1"/>
  <c r="G60" i="263" s="1"/>
  <c r="F60" i="263" a="1"/>
  <c r="F60" i="263" s="1"/>
  <c r="F33" i="263" a="1"/>
  <c r="F33" i="263" s="1"/>
  <c r="E43" i="263" a="1"/>
  <c r="E43" i="263" s="1"/>
  <c r="G43" i="263" a="1"/>
  <c r="G43" i="263" s="1"/>
  <c r="D44" i="263" a="1"/>
  <c r="D44" i="263" s="1"/>
  <c r="H44" i="263" s="1"/>
  <c r="I44" i="263" s="1"/>
  <c r="D51" i="263" a="1"/>
  <c r="D51" i="263" s="1"/>
  <c r="H51" i="263" s="1"/>
  <c r="I51" i="263" s="1"/>
  <c r="E54" i="263" a="1"/>
  <c r="E54" i="263" s="1"/>
  <c r="D54" i="263" a="1"/>
  <c r="D54" i="263" s="1"/>
  <c r="G59" i="263" a="1"/>
  <c r="G59" i="263" s="1"/>
  <c r="D60" i="263" a="1"/>
  <c r="D60" i="263" s="1"/>
  <c r="F77" i="263" a="1"/>
  <c r="F77" i="263" s="1"/>
  <c r="G79" i="263" a="1"/>
  <c r="G79" i="263" s="1"/>
  <c r="E79" i="263" a="1"/>
  <c r="E79" i="263" s="1"/>
  <c r="D79" i="263" a="1"/>
  <c r="D79" i="263" s="1"/>
  <c r="G81" i="263" a="1"/>
  <c r="G81" i="263" s="1"/>
  <c r="H83" i="263"/>
  <c r="I83" i="263" s="1"/>
  <c r="E86" i="263" a="1"/>
  <c r="E86" i="263" s="1"/>
  <c r="E93" i="263" a="1"/>
  <c r="E93" i="263" s="1"/>
  <c r="H93" i="263" s="1"/>
  <c r="I93" i="263" s="1"/>
  <c r="F95" i="263" a="1"/>
  <c r="F95" i="263" s="1"/>
  <c r="F67" i="263" a="1"/>
  <c r="F67" i="263" s="1"/>
  <c r="E71" i="263" a="1"/>
  <c r="E71" i="263" s="1"/>
  <c r="H71" i="263" s="1"/>
  <c r="I71" i="263" s="1"/>
  <c r="H82" i="263"/>
  <c r="I82" i="263" s="1"/>
  <c r="E87" i="263" a="1"/>
  <c r="E87" i="263" s="1"/>
  <c r="G95" i="263" a="1"/>
  <c r="G95" i="263" s="1"/>
  <c r="F127" i="263"/>
  <c r="F71" i="263" a="1"/>
  <c r="F71" i="263" s="1"/>
  <c r="G87" i="263" a="1"/>
  <c r="G87" i="263" s="1"/>
  <c r="G100" i="263" a="1"/>
  <c r="G100" i="263" s="1"/>
  <c r="I76" i="263"/>
  <c r="D94" i="263" a="1"/>
  <c r="D94" i="263" s="1"/>
  <c r="H94" i="263" s="1"/>
  <c r="I94" i="263" s="1"/>
  <c r="F99" i="263" a="1"/>
  <c r="F99" i="263" s="1"/>
  <c r="E99" i="263" a="1"/>
  <c r="E99" i="263" s="1"/>
  <c r="D99" i="263" a="1"/>
  <c r="D99" i="263" s="1"/>
  <c r="E100" i="263" a="1"/>
  <c r="E100" i="263" s="1"/>
  <c r="F100" i="263" a="1"/>
  <c r="F100" i="263" s="1"/>
  <c r="G107" i="263"/>
  <c r="G127" i="263" s="1"/>
  <c r="G25" i="262" a="1"/>
  <c r="G25" i="262" s="1"/>
  <c r="E25" i="262" a="1"/>
  <c r="E25" i="262" s="1"/>
  <c r="E87" i="262" a="1"/>
  <c r="E87" i="262" s="1"/>
  <c r="F87" i="262" a="1"/>
  <c r="F87" i="262" s="1"/>
  <c r="D87" i="262" a="1"/>
  <c r="D87" i="262" s="1"/>
  <c r="E79" i="262" a="1"/>
  <c r="E79" i="262" s="1"/>
  <c r="G79" i="262" a="1"/>
  <c r="G79" i="262" s="1"/>
  <c r="F79" i="262" a="1"/>
  <c r="F79" i="262" s="1"/>
  <c r="G77" i="262" a="1"/>
  <c r="G77" i="262" s="1"/>
  <c r="F77" i="262" a="1"/>
  <c r="F77" i="262" s="1"/>
  <c r="D72" i="258" a="1"/>
  <c r="D72" i="258" s="1"/>
  <c r="G55" i="260" a="1"/>
  <c r="G55" i="260" s="1"/>
  <c r="G80" i="260" a="1"/>
  <c r="G80" i="260" s="1"/>
  <c r="G87" i="260" a="1"/>
  <c r="G87" i="260" s="1"/>
  <c r="E95" i="260" a="1"/>
  <c r="E95" i="260" s="1"/>
  <c r="G93" i="261" a="1"/>
  <c r="G93" i="261" s="1"/>
  <c r="G36" i="262" a="1"/>
  <c r="G36" i="262" s="1"/>
  <c r="E39" i="261" a="1"/>
  <c r="E39" i="261" s="1"/>
  <c r="E51" i="261" a="1"/>
  <c r="E51" i="261" s="1"/>
  <c r="E31" i="260" a="1"/>
  <c r="E31" i="260" s="1"/>
  <c r="E41" i="260" a="1"/>
  <c r="E41" i="260" s="1"/>
  <c r="D27" i="261" a="1"/>
  <c r="D27" i="261" s="1"/>
  <c r="E62" i="261" a="1"/>
  <c r="E62" i="261" s="1"/>
  <c r="G66" i="261" a="1"/>
  <c r="G66" i="261" s="1"/>
  <c r="G86" i="261" a="1"/>
  <c r="G86" i="261" s="1"/>
  <c r="E93" i="261" a="1"/>
  <c r="E93" i="261" s="1"/>
  <c r="E32" i="262" a="1"/>
  <c r="E32" i="262" s="1"/>
  <c r="E40" i="262" a="1"/>
  <c r="E40" i="262" s="1"/>
  <c r="E46" i="262" a="1"/>
  <c r="E46" i="262" s="1"/>
  <c r="F47" i="262" a="1"/>
  <c r="F47" i="262" s="1"/>
  <c r="E60" i="262" a="1"/>
  <c r="E60" i="262" s="1"/>
  <c r="G65" i="262" a="1"/>
  <c r="G65" i="262" s="1"/>
  <c r="D67" i="262" a="1"/>
  <c r="D67" i="262" s="1"/>
  <c r="F85" i="262" a="1"/>
  <c r="F85" i="262" s="1"/>
  <c r="D92" i="262" a="1"/>
  <c r="D92" i="262" s="1"/>
  <c r="F84" i="256" a="1"/>
  <c r="F84" i="256" s="1"/>
  <c r="G62" i="258" a="1"/>
  <c r="G62" i="258" s="1"/>
  <c r="E69" i="258" a="1"/>
  <c r="E69" i="258" s="1"/>
  <c r="G34" i="259" a="1"/>
  <c r="G34" i="259" s="1"/>
  <c r="F90" i="259" a="1"/>
  <c r="F90" i="259" s="1"/>
  <c r="G42" i="260" a="1"/>
  <c r="G42" i="260" s="1"/>
  <c r="F67" i="260" a="1"/>
  <c r="F67" i="260" s="1"/>
  <c r="D78" i="260" a="1"/>
  <c r="D78" i="260" s="1"/>
  <c r="D96" i="260" a="1"/>
  <c r="D96" i="260" s="1"/>
  <c r="G76" i="261" a="1"/>
  <c r="G76" i="261" s="1"/>
  <c r="E80" i="261" a="1"/>
  <c r="E80" i="261" s="1"/>
  <c r="D87" i="261" a="1"/>
  <c r="D87" i="261" s="1"/>
  <c r="F93" i="261" a="1"/>
  <c r="F93" i="261" s="1"/>
  <c r="F25" i="262" a="1"/>
  <c r="F25" i="262" s="1"/>
  <c r="D34" i="262" a="1"/>
  <c r="D34" i="262" s="1"/>
  <c r="F49" i="262" a="1"/>
  <c r="F49" i="262" s="1"/>
  <c r="G55" i="262" a="1"/>
  <c r="G55" i="262" s="1"/>
  <c r="E92" i="262" a="1"/>
  <c r="E92" i="262" s="1"/>
  <c r="F95" i="259" a="1"/>
  <c r="F95" i="259" s="1"/>
  <c r="G99" i="259" a="1"/>
  <c r="G99" i="259" s="1"/>
  <c r="E64" i="260" a="1"/>
  <c r="E64" i="260" s="1"/>
  <c r="D71" i="260" a="1"/>
  <c r="D71" i="260" s="1"/>
  <c r="G79" i="260" a="1"/>
  <c r="G79" i="260" s="1"/>
  <c r="F60" i="261" a="1"/>
  <c r="F60" i="261" s="1"/>
  <c r="F67" i="261" a="1"/>
  <c r="F67" i="261" s="1"/>
  <c r="F70" i="261" a="1"/>
  <c r="F70" i="261" s="1"/>
  <c r="E77" i="261" a="1"/>
  <c r="E77" i="261" s="1"/>
  <c r="E94" i="261" a="1"/>
  <c r="E94" i="261" s="1"/>
  <c r="D33" i="262" a="1"/>
  <c r="D33" i="262" s="1"/>
  <c r="G35" i="262" a="1"/>
  <c r="G35" i="262" s="1"/>
  <c r="F46" i="262" a="1"/>
  <c r="F46" i="262" s="1"/>
  <c r="D55" i="262" a="1"/>
  <c r="D55" i="262" s="1"/>
  <c r="G63" i="262" a="1"/>
  <c r="G63" i="262" s="1"/>
  <c r="D28" i="259" a="1"/>
  <c r="D28" i="259" s="1"/>
  <c r="G30" i="260" a="1"/>
  <c r="G30" i="260" s="1"/>
  <c r="G68" i="260" a="1"/>
  <c r="G68" i="260" s="1"/>
  <c r="F72" i="260" a="1"/>
  <c r="F72" i="260" s="1"/>
  <c r="E26" i="261" a="1"/>
  <c r="E26" i="261" s="1"/>
  <c r="G35" i="261" a="1"/>
  <c r="G35" i="261" s="1"/>
  <c r="G43" i="261" a="1"/>
  <c r="G43" i="261" s="1"/>
  <c r="G92" i="261" a="1"/>
  <c r="G92" i="261" s="1"/>
  <c r="E97" i="261" a="1"/>
  <c r="E97" i="261" s="1"/>
  <c r="D28" i="262" a="1"/>
  <c r="D28" i="262" s="1"/>
  <c r="E33" i="262" a="1"/>
  <c r="E33" i="262" s="1"/>
  <c r="G39" i="262" a="1"/>
  <c r="G39" i="262" s="1"/>
  <c r="D48" i="262" a="1"/>
  <c r="D48" i="262" s="1"/>
  <c r="E55" i="262" a="1"/>
  <c r="E55" i="262" s="1"/>
  <c r="D61" i="262" a="1"/>
  <c r="D61" i="262" s="1"/>
  <c r="D66" i="262" a="1"/>
  <c r="D66" i="262" s="1"/>
  <c r="G72" i="262" a="1"/>
  <c r="G72" i="262" s="1"/>
  <c r="E85" i="262" a="1"/>
  <c r="E85" i="262" s="1"/>
  <c r="H85" i="262" s="1"/>
  <c r="I85" i="262" s="1"/>
  <c r="F82" i="261" a="1"/>
  <c r="F82" i="261" s="1"/>
  <c r="D85" i="261" a="1"/>
  <c r="D85" i="261" s="1"/>
  <c r="E89" i="261" a="1"/>
  <c r="E89" i="261" s="1"/>
  <c r="F98" i="261" a="1"/>
  <c r="F98" i="261" s="1"/>
  <c r="G33" i="262" a="1"/>
  <c r="G33" i="262" s="1"/>
  <c r="D45" i="262" a="1"/>
  <c r="D45" i="262" s="1"/>
  <c r="G56" i="262" a="1"/>
  <c r="G56" i="262" s="1"/>
  <c r="G86" i="262" a="1"/>
  <c r="G86" i="262" s="1"/>
  <c r="G26" i="262" a="1"/>
  <c r="G26" i="262" s="1"/>
  <c r="F26" i="262" a="1"/>
  <c r="F26" i="262" s="1"/>
  <c r="E26" i="262" a="1"/>
  <c r="E26" i="262" s="1"/>
  <c r="D26" i="262" a="1"/>
  <c r="D26" i="262" s="1"/>
  <c r="F38" i="262" a="1"/>
  <c r="F38" i="262" s="1"/>
  <c r="E38" i="262" a="1"/>
  <c r="E38" i="262" s="1"/>
  <c r="D38" i="262" a="1"/>
  <c r="D38" i="262" s="1"/>
  <c r="G38" i="262" a="1"/>
  <c r="G38" i="262" s="1"/>
  <c r="E58" i="262" a="1"/>
  <c r="E58" i="262" s="1"/>
  <c r="F58" i="262" a="1"/>
  <c r="F58" i="262" s="1"/>
  <c r="G58" i="262" a="1"/>
  <c r="G58" i="262" s="1"/>
  <c r="D58" i="262" a="1"/>
  <c r="D58" i="262" s="1"/>
  <c r="D42" i="262" a="1"/>
  <c r="D42" i="262" s="1"/>
  <c r="G42" i="262" a="1"/>
  <c r="G42" i="262" s="1"/>
  <c r="F42" i="262" a="1"/>
  <c r="F42" i="262" s="1"/>
  <c r="E42" i="262" a="1"/>
  <c r="E42" i="262" s="1"/>
  <c r="D27" i="262" a="1"/>
  <c r="D27" i="262" s="1"/>
  <c r="D31" i="262" a="1"/>
  <c r="D31" i="262" s="1"/>
  <c r="D25" i="262" a="1"/>
  <c r="D25" i="262" s="1"/>
  <c r="G28" i="262" a="1"/>
  <c r="G28" i="262" s="1"/>
  <c r="F29" i="262" a="1"/>
  <c r="F29" i="262" s="1"/>
  <c r="F30" i="262" a="1"/>
  <c r="F30" i="262" s="1"/>
  <c r="E31" i="262" a="1"/>
  <c r="E31" i="262" s="1"/>
  <c r="F40" i="262" a="1"/>
  <c r="F40" i="262" s="1"/>
  <c r="D43" i="262" a="1"/>
  <c r="D43" i="262" s="1"/>
  <c r="D49" i="262" a="1"/>
  <c r="D49" i="262" s="1"/>
  <c r="F54" i="262" a="1"/>
  <c r="F54" i="262" s="1"/>
  <c r="F57" i="262" a="1"/>
  <c r="F57" i="262" s="1"/>
  <c r="G60" i="262" a="1"/>
  <c r="G60" i="262" s="1"/>
  <c r="D60" i="262" a="1"/>
  <c r="D60" i="262" s="1"/>
  <c r="G62" i="262" a="1"/>
  <c r="G62" i="262" s="1"/>
  <c r="E71" i="262" a="1"/>
  <c r="E71" i="262" s="1"/>
  <c r="D71" i="262" a="1"/>
  <c r="D71" i="262" s="1"/>
  <c r="F71" i="262" a="1"/>
  <c r="F71" i="262" s="1"/>
  <c r="G71" i="262" a="1"/>
  <c r="G71" i="262" s="1"/>
  <c r="D50" i="262" a="1"/>
  <c r="D50" i="262" s="1"/>
  <c r="D51" i="262" a="1"/>
  <c r="D51" i="262" s="1"/>
  <c r="F51" i="262" a="1"/>
  <c r="F51" i="262" s="1"/>
  <c r="E51" i="262" a="1"/>
  <c r="E51" i="262" s="1"/>
  <c r="F52" i="262" a="1"/>
  <c r="F52" i="262" s="1"/>
  <c r="D52" i="262" a="1"/>
  <c r="D52" i="262" s="1"/>
  <c r="G52" i="262" a="1"/>
  <c r="G52" i="262" s="1"/>
  <c r="F53" i="262" a="1"/>
  <c r="F53" i="262" s="1"/>
  <c r="E53" i="262" a="1"/>
  <c r="E53" i="262" s="1"/>
  <c r="G57" i="262" a="1"/>
  <c r="G57" i="262" s="1"/>
  <c r="E88" i="262" a="1"/>
  <c r="E88" i="262" s="1"/>
  <c r="D88" i="262" a="1"/>
  <c r="D88" i="262" s="1"/>
  <c r="G88" i="262" a="1"/>
  <c r="G88" i="262" s="1"/>
  <c r="F88" i="262" a="1"/>
  <c r="F88" i="262" s="1"/>
  <c r="G30" i="262" a="1"/>
  <c r="G30" i="262" s="1"/>
  <c r="G31" i="262" a="1"/>
  <c r="G31" i="262" s="1"/>
  <c r="D59" i="262" a="1"/>
  <c r="D59" i="262" s="1"/>
  <c r="E73" i="262" a="1"/>
  <c r="E73" i="262" s="1"/>
  <c r="D73" i="262" a="1"/>
  <c r="D73" i="262" s="1"/>
  <c r="H73" i="262" s="1"/>
  <c r="I73" i="262" s="1"/>
  <c r="G73" i="262" a="1"/>
  <c r="G73" i="262" s="1"/>
  <c r="F73" i="262" a="1"/>
  <c r="F73" i="262" s="1"/>
  <c r="D35" i="262" a="1"/>
  <c r="D35" i="262" s="1"/>
  <c r="D36" i="262" a="1"/>
  <c r="D36" i="262" s="1"/>
  <c r="G41" i="262" a="1"/>
  <c r="G41" i="262" s="1"/>
  <c r="G32" i="262" a="1"/>
  <c r="G32" i="262" s="1"/>
  <c r="H32" i="262" s="1"/>
  <c r="I32" i="262" s="1"/>
  <c r="F34" i="262" a="1"/>
  <c r="F34" i="262" s="1"/>
  <c r="E35" i="262" a="1"/>
  <c r="E35" i="262" s="1"/>
  <c r="D37" i="262" a="1"/>
  <c r="D37" i="262" s="1"/>
  <c r="E49" i="262" a="1"/>
  <c r="E49" i="262" s="1"/>
  <c r="D53" i="262" a="1"/>
  <c r="D53" i="262" s="1"/>
  <c r="F55" i="262" a="1"/>
  <c r="F55" i="262" s="1"/>
  <c r="F75" i="262" a="1"/>
  <c r="F75" i="262" s="1"/>
  <c r="D75" i="262" a="1"/>
  <c r="D75" i="262" s="1"/>
  <c r="F82" i="262" a="1"/>
  <c r="F82" i="262" s="1"/>
  <c r="E82" i="262" a="1"/>
  <c r="E82" i="262" s="1"/>
  <c r="D82" i="262" a="1"/>
  <c r="D82" i="262" s="1"/>
  <c r="E91" i="262" a="1"/>
  <c r="E91" i="262" s="1"/>
  <c r="D91" i="262" a="1"/>
  <c r="D91" i="262" s="1"/>
  <c r="E36" i="262" a="1"/>
  <c r="E36" i="262" s="1"/>
  <c r="E37" i="262" a="1"/>
  <c r="E37" i="262" s="1"/>
  <c r="D62" i="262" a="1"/>
  <c r="D62" i="262" s="1"/>
  <c r="E62" i="262" a="1"/>
  <c r="E62" i="262" s="1"/>
  <c r="G70" i="262" a="1"/>
  <c r="G70" i="262" s="1"/>
  <c r="F70" i="262" a="1"/>
  <c r="F70" i="262" s="1"/>
  <c r="D70" i="262" a="1"/>
  <c r="D70" i="262" s="1"/>
  <c r="G89" i="262" a="1"/>
  <c r="G89" i="262" s="1"/>
  <c r="F89" i="262" a="1"/>
  <c r="F89" i="262" s="1"/>
  <c r="E89" i="262" a="1"/>
  <c r="E89" i="262" s="1"/>
  <c r="D29" i="262" a="1"/>
  <c r="D29" i="262" s="1"/>
  <c r="H29" i="262" s="1"/>
  <c r="I29" i="262" s="1"/>
  <c r="G34" i="262" a="1"/>
  <c r="G34" i="262" s="1"/>
  <c r="H34" i="262" s="1"/>
  <c r="I34" i="262" s="1"/>
  <c r="D39" i="262" a="1"/>
  <c r="D39" i="262" s="1"/>
  <c r="D40" i="262" a="1"/>
  <c r="D40" i="262" s="1"/>
  <c r="E43" i="262" a="1"/>
  <c r="E43" i="262" s="1"/>
  <c r="F43" i="262" a="1"/>
  <c r="F43" i="262" s="1"/>
  <c r="E45" i="262" a="1"/>
  <c r="E45" i="262" s="1"/>
  <c r="G45" i="262" a="1"/>
  <c r="G45" i="262" s="1"/>
  <c r="F45" i="262" a="1"/>
  <c r="F45" i="262" s="1"/>
  <c r="G46" i="262" a="1"/>
  <c r="G46" i="262" s="1"/>
  <c r="H46" i="262" s="1"/>
  <c r="I46" i="262" s="1"/>
  <c r="G47" i="262" a="1"/>
  <c r="G47" i="262" s="1"/>
  <c r="H47" i="262" s="1"/>
  <c r="I47" i="262" s="1"/>
  <c r="G48" i="262" a="1"/>
  <c r="G48" i="262" s="1"/>
  <c r="G49" i="262" a="1"/>
  <c r="G49" i="262" s="1"/>
  <c r="E50" i="262" a="1"/>
  <c r="E50" i="262" s="1"/>
  <c r="G54" i="262" a="1"/>
  <c r="G54" i="262" s="1"/>
  <c r="H54" i="262" s="1"/>
  <c r="I54" i="262" s="1"/>
  <c r="F59" i="262" a="1"/>
  <c r="F59" i="262" s="1"/>
  <c r="D63" i="262" a="1"/>
  <c r="D63" i="262" s="1"/>
  <c r="H25" i="262"/>
  <c r="F27" i="262" a="1"/>
  <c r="F27" i="262" s="1"/>
  <c r="E28" i="262" a="1"/>
  <c r="E28" i="262" s="1"/>
  <c r="H28" i="262" s="1"/>
  <c r="I28" i="262" s="1"/>
  <c r="D30" i="262" a="1"/>
  <c r="D30" i="262" s="1"/>
  <c r="F37" i="262" a="1"/>
  <c r="F37" i="262" s="1"/>
  <c r="E39" i="262" a="1"/>
  <c r="E39" i="262" s="1"/>
  <c r="D41" i="262" a="1"/>
  <c r="D41" i="262" s="1"/>
  <c r="G44" i="262" a="1"/>
  <c r="G44" i="262" s="1"/>
  <c r="E44" i="262" a="1"/>
  <c r="E44" i="262" s="1"/>
  <c r="D44" i="262" a="1"/>
  <c r="D44" i="262" s="1"/>
  <c r="F50" i="262" a="1"/>
  <c r="F50" i="262" s="1"/>
  <c r="G51" i="262" a="1"/>
  <c r="G51" i="262" s="1"/>
  <c r="G53" i="262" a="1"/>
  <c r="G53" i="262" s="1"/>
  <c r="D56" i="262" a="1"/>
  <c r="D56" i="262" s="1"/>
  <c r="H56" i="262" s="1"/>
  <c r="I56" i="262" s="1"/>
  <c r="D57" i="262" a="1"/>
  <c r="D57" i="262" s="1"/>
  <c r="G59" i="262" a="1"/>
  <c r="G59" i="262" s="1"/>
  <c r="F63" i="262" a="1"/>
  <c r="F63" i="262" s="1"/>
  <c r="G82" i="262" a="1"/>
  <c r="G82" i="262" s="1"/>
  <c r="D89" i="262" a="1"/>
  <c r="D89" i="262" s="1"/>
  <c r="G27" i="262" a="1"/>
  <c r="G27" i="262" s="1"/>
  <c r="E30" i="262" a="1"/>
  <c r="E30" i="262" s="1"/>
  <c r="G37" i="262" a="1"/>
  <c r="G37" i="262" s="1"/>
  <c r="F39" i="262" a="1"/>
  <c r="F39" i="262" s="1"/>
  <c r="E41" i="262" a="1"/>
  <c r="E41" i="262" s="1"/>
  <c r="H48" i="262"/>
  <c r="I48" i="262" s="1"/>
  <c r="G50" i="262" a="1"/>
  <c r="G50" i="262" s="1"/>
  <c r="E57" i="262" a="1"/>
  <c r="E57" i="262" s="1"/>
  <c r="F61" i="262" a="1"/>
  <c r="F61" i="262" s="1"/>
  <c r="E61" i="262" a="1"/>
  <c r="E61" i="262" s="1"/>
  <c r="G61" i="262" a="1"/>
  <c r="G61" i="262" s="1"/>
  <c r="F62" i="262" a="1"/>
  <c r="F62" i="262" s="1"/>
  <c r="F65" i="262" a="1"/>
  <c r="F65" i="262" s="1"/>
  <c r="E65" i="262" a="1"/>
  <c r="E65" i="262" s="1"/>
  <c r="D65" i="262" a="1"/>
  <c r="D65" i="262" s="1"/>
  <c r="G69" i="262" a="1"/>
  <c r="G69" i="262" s="1"/>
  <c r="F69" i="262" a="1"/>
  <c r="F69" i="262" s="1"/>
  <c r="D69" i="262" a="1"/>
  <c r="D69" i="262" s="1"/>
  <c r="E70" i="262" a="1"/>
  <c r="E70" i="262" s="1"/>
  <c r="F76" i="262" a="1"/>
  <c r="F76" i="262" s="1"/>
  <c r="E76" i="262" a="1"/>
  <c r="E76" i="262" s="1"/>
  <c r="D76" i="262" a="1"/>
  <c r="D76" i="262" s="1"/>
  <c r="E90" i="262" a="1"/>
  <c r="E90" i="262" s="1"/>
  <c r="G90" i="262" a="1"/>
  <c r="G90" i="262" s="1"/>
  <c r="F90" i="262" a="1"/>
  <c r="F90" i="262" s="1"/>
  <c r="E78" i="262" a="1"/>
  <c r="E78" i="262" s="1"/>
  <c r="E84" i="262" a="1"/>
  <c r="E84" i="262" s="1"/>
  <c r="G91" i="262" a="1"/>
  <c r="G91" i="262" s="1"/>
  <c r="F91" i="262" a="1"/>
  <c r="F91" i="262" s="1"/>
  <c r="F94" i="262" a="1"/>
  <c r="F94" i="262" s="1"/>
  <c r="E98" i="262" a="1"/>
  <c r="E98" i="262" s="1"/>
  <c r="D98" i="262" a="1"/>
  <c r="D98" i="262" s="1"/>
  <c r="G98" i="262" a="1"/>
  <c r="G98" i="262" s="1"/>
  <c r="E67" i="262" a="1"/>
  <c r="E67" i="262" s="1"/>
  <c r="F72" i="262" a="1"/>
  <c r="F72" i="262" s="1"/>
  <c r="E72" i="262" a="1"/>
  <c r="E72" i="262" s="1"/>
  <c r="G74" i="262" a="1"/>
  <c r="G74" i="262" s="1"/>
  <c r="F74" i="262" a="1"/>
  <c r="F74" i="262" s="1"/>
  <c r="E74" i="262" a="1"/>
  <c r="E74" i="262" s="1"/>
  <c r="G75" i="262" a="1"/>
  <c r="G75" i="262" s="1"/>
  <c r="H75" i="262" s="1"/>
  <c r="I75" i="262" s="1"/>
  <c r="G76" i="262" a="1"/>
  <c r="G76" i="262" s="1"/>
  <c r="G78" i="262" a="1"/>
  <c r="G78" i="262" s="1"/>
  <c r="G84" i="262" a="1"/>
  <c r="G84" i="262" s="1"/>
  <c r="E86" i="262" a="1"/>
  <c r="E86" i="262" s="1"/>
  <c r="D94" i="262" a="1"/>
  <c r="D94" i="262" s="1"/>
  <c r="G96" i="262" a="1"/>
  <c r="G96" i="262" s="1"/>
  <c r="E96" i="262" a="1"/>
  <c r="E96" i="262" s="1"/>
  <c r="D96" i="262" a="1"/>
  <c r="D96" i="262" s="1"/>
  <c r="D93" i="262" a="1"/>
  <c r="D93" i="262" s="1"/>
  <c r="F95" i="262" a="1"/>
  <c r="F95" i="262" s="1"/>
  <c r="G95" i="262" a="1"/>
  <c r="G95" i="262" s="1"/>
  <c r="E95" i="262" a="1"/>
  <c r="E95" i="262" s="1"/>
  <c r="D95" i="262" a="1"/>
  <c r="D95" i="262" s="1"/>
  <c r="F98" i="262" a="1"/>
  <c r="F98" i="262" s="1"/>
  <c r="D78" i="262" a="1"/>
  <c r="D78" i="262" s="1"/>
  <c r="G83" i="262" a="1"/>
  <c r="G83" i="262" s="1"/>
  <c r="F83" i="262" a="1"/>
  <c r="F83" i="262" s="1"/>
  <c r="E93" i="262" a="1"/>
  <c r="E93" i="262" s="1"/>
  <c r="F127" i="262"/>
  <c r="E63" i="262" a="1"/>
  <c r="E63" i="262" s="1"/>
  <c r="H63" i="262" s="1"/>
  <c r="I63" i="262" s="1"/>
  <c r="D77" i="262" a="1"/>
  <c r="D77" i="262" s="1"/>
  <c r="D79" i="262" a="1"/>
  <c r="D79" i="262" s="1"/>
  <c r="F80" i="262" a="1"/>
  <c r="F80" i="262" s="1"/>
  <c r="E80" i="262" a="1"/>
  <c r="E80" i="262" s="1"/>
  <c r="D80" i="262" a="1"/>
  <c r="D80" i="262" s="1"/>
  <c r="D81" i="262" a="1"/>
  <c r="D81" i="262" s="1"/>
  <c r="G81" i="262" a="1"/>
  <c r="G81" i="262" s="1"/>
  <c r="F81" i="262" a="1"/>
  <c r="F81" i="262" s="1"/>
  <c r="G87" i="262" a="1"/>
  <c r="G87" i="262" s="1"/>
  <c r="E94" i="262" a="1"/>
  <c r="E94" i="262" s="1"/>
  <c r="D64" i="262" a="1"/>
  <c r="D64" i="262" s="1"/>
  <c r="F64" i="262" a="1"/>
  <c r="F64" i="262" s="1"/>
  <c r="G66" i="262" a="1"/>
  <c r="G66" i="262" s="1"/>
  <c r="F66" i="262" a="1"/>
  <c r="F66" i="262" s="1"/>
  <c r="F67" i="262" a="1"/>
  <c r="F67" i="262" s="1"/>
  <c r="E77" i="262" a="1"/>
  <c r="E77" i="262" s="1"/>
  <c r="D83" i="262" a="1"/>
  <c r="D83" i="262" s="1"/>
  <c r="D84" i="262" a="1"/>
  <c r="D84" i="262" s="1"/>
  <c r="D86" i="262" a="1"/>
  <c r="D86" i="262" s="1"/>
  <c r="F96" i="262" a="1"/>
  <c r="F96" i="262" s="1"/>
  <c r="G92" i="262" a="1"/>
  <c r="G92" i="262" s="1"/>
  <c r="H92" i="262" s="1"/>
  <c r="I92" i="262" s="1"/>
  <c r="G68" i="262" a="1"/>
  <c r="G68" i="262" s="1"/>
  <c r="H68" i="262" s="1"/>
  <c r="I68" i="262" s="1"/>
  <c r="D97" i="262" a="1"/>
  <c r="D97" i="262" s="1"/>
  <c r="G97" i="262" a="1"/>
  <c r="G97" i="262" s="1"/>
  <c r="F97" i="262" a="1"/>
  <c r="F97" i="262" s="1"/>
  <c r="F99" i="262" a="1"/>
  <c r="F99" i="262" s="1"/>
  <c r="E99" i="262" a="1"/>
  <c r="E99" i="262" s="1"/>
  <c r="D99" i="262" a="1"/>
  <c r="D99" i="262" s="1"/>
  <c r="G100" i="262" a="1"/>
  <c r="G100" i="262" s="1"/>
  <c r="F100" i="262" a="1"/>
  <c r="F100" i="262" s="1"/>
  <c r="E100" i="262" a="1"/>
  <c r="E100" i="262" s="1"/>
  <c r="G107" i="262"/>
  <c r="G127" i="262" s="1"/>
  <c r="D44" i="257" a="1"/>
  <c r="D44" i="257" s="1"/>
  <c r="D57" i="258" a="1"/>
  <c r="D57" i="258" s="1"/>
  <c r="G92" i="259" a="1"/>
  <c r="G92" i="259" s="1"/>
  <c r="G96" i="259" a="1"/>
  <c r="G96" i="259" s="1"/>
  <c r="D31" i="260" a="1"/>
  <c r="D31" i="260" s="1"/>
  <c r="D43" i="260" a="1"/>
  <c r="D43" i="260" s="1"/>
  <c r="F50" i="260" a="1"/>
  <c r="F50" i="260" s="1"/>
  <c r="G86" i="260" a="1"/>
  <c r="G86" i="260" s="1"/>
  <c r="E97" i="260" a="1"/>
  <c r="E97" i="260" s="1"/>
  <c r="E38" i="261" a="1"/>
  <c r="E38" i="261" s="1"/>
  <c r="G64" i="261" a="1"/>
  <c r="G64" i="261" s="1"/>
  <c r="D79" i="257" a="1"/>
  <c r="D79" i="257" s="1"/>
  <c r="D25" i="260" a="1"/>
  <c r="D25" i="260" s="1"/>
  <c r="E51" i="260" a="1"/>
  <c r="E51" i="260" s="1"/>
  <c r="E60" i="260" a="1"/>
  <c r="E60" i="260" s="1"/>
  <c r="F83" i="260" a="1"/>
  <c r="F83" i="260" s="1"/>
  <c r="D86" i="260" a="1"/>
  <c r="D86" i="260" s="1"/>
  <c r="F98" i="260" a="1"/>
  <c r="F98" i="260" s="1"/>
  <c r="D44" i="261" a="1"/>
  <c r="D44" i="261" s="1"/>
  <c r="F62" i="261" a="1"/>
  <c r="F62" i="261" s="1"/>
  <c r="D67" i="261" a="1"/>
  <c r="D67" i="261" s="1"/>
  <c r="F84" i="261" a="1"/>
  <c r="F84" i="261" s="1"/>
  <c r="D48" i="260" a="1"/>
  <c r="D48" i="260" s="1"/>
  <c r="E80" i="260" a="1"/>
  <c r="E80" i="260" s="1"/>
  <c r="D26" i="261" a="1"/>
  <c r="D26" i="261" s="1"/>
  <c r="G51" i="261" a="1"/>
  <c r="G51" i="261" s="1"/>
  <c r="D72" i="261" a="1"/>
  <c r="D72" i="261" s="1"/>
  <c r="D96" i="261" a="1"/>
  <c r="D96" i="261" s="1"/>
  <c r="G76" i="257" a="1"/>
  <c r="G76" i="257" s="1"/>
  <c r="E84" i="257" a="1"/>
  <c r="E84" i="257" s="1"/>
  <c r="D85" i="258" a="1"/>
  <c r="D85" i="258" s="1"/>
  <c r="F95" i="258" a="1"/>
  <c r="F95" i="258" s="1"/>
  <c r="D99" i="258" a="1"/>
  <c r="D99" i="258" s="1"/>
  <c r="D82" i="259" a="1"/>
  <c r="D82" i="259" s="1"/>
  <c r="F32" i="260" a="1"/>
  <c r="F32" i="260" s="1"/>
  <c r="D75" i="260" a="1"/>
  <c r="D75" i="260" s="1"/>
  <c r="G78" i="260" a="1"/>
  <c r="G78" i="260" s="1"/>
  <c r="D29" i="261" a="1"/>
  <c r="D29" i="261" s="1"/>
  <c r="E40" i="261" a="1"/>
  <c r="E40" i="261" s="1"/>
  <c r="G68" i="261" a="1"/>
  <c r="G68" i="261" s="1"/>
  <c r="G70" i="261" a="1"/>
  <c r="G70" i="261" s="1"/>
  <c r="F77" i="261" a="1"/>
  <c r="F77" i="261" s="1"/>
  <c r="F63" i="258" a="1"/>
  <c r="F63" i="258" s="1"/>
  <c r="G50" i="259" a="1"/>
  <c r="G50" i="259" s="1"/>
  <c r="D63" i="259" a="1"/>
  <c r="D63" i="259" s="1"/>
  <c r="E67" i="259" a="1"/>
  <c r="E67" i="259" s="1"/>
  <c r="G75" i="259" a="1"/>
  <c r="G75" i="259" s="1"/>
  <c r="F87" i="259" a="1"/>
  <c r="F87" i="259" s="1"/>
  <c r="F88" i="260" a="1"/>
  <c r="F88" i="260" s="1"/>
  <c r="G92" i="260" a="1"/>
  <c r="G92" i="260" s="1"/>
  <c r="G27" i="261" a="1"/>
  <c r="G27" i="261" s="1"/>
  <c r="F43" i="261" a="1"/>
  <c r="F43" i="261" s="1"/>
  <c r="G82" i="261" a="1"/>
  <c r="G82" i="261" s="1"/>
  <c r="F87" i="261" a="1"/>
  <c r="F87" i="261" s="1"/>
  <c r="D28" i="260" a="1"/>
  <c r="D28" i="260" s="1"/>
  <c r="F33" i="260" a="1"/>
  <c r="F33" i="260" s="1"/>
  <c r="G59" i="260" a="1"/>
  <c r="G59" i="260" s="1"/>
  <c r="E25" i="261" a="1"/>
  <c r="E25" i="261" s="1"/>
  <c r="F30" i="261" a="1"/>
  <c r="F30" i="261" s="1"/>
  <c r="D39" i="261" a="1"/>
  <c r="D39" i="261" s="1"/>
  <c r="E43" i="261" a="1"/>
  <c r="E43" i="261" s="1"/>
  <c r="D49" i="261" a="1"/>
  <c r="D49" i="261" s="1"/>
  <c r="D77" i="261" a="1"/>
  <c r="D77" i="261" s="1"/>
  <c r="D88" i="261" a="1"/>
  <c r="D88" i="261" s="1"/>
  <c r="G64" i="256" a="1"/>
  <c r="G64" i="256" s="1"/>
  <c r="D68" i="259" a="1"/>
  <c r="D68" i="259" s="1"/>
  <c r="F76" i="259" a="1"/>
  <c r="F76" i="259" s="1"/>
  <c r="G88" i="259" a="1"/>
  <c r="G88" i="259" s="1"/>
  <c r="D91" i="259" a="1"/>
  <c r="D91" i="259" s="1"/>
  <c r="F57" i="260" a="1"/>
  <c r="F57" i="260" s="1"/>
  <c r="D79" i="260" a="1"/>
  <c r="D79" i="260" s="1"/>
  <c r="G89" i="260" a="1"/>
  <c r="G89" i="260" s="1"/>
  <c r="D100" i="260" a="1"/>
  <c r="D100" i="260" s="1"/>
  <c r="G71" i="261" a="1"/>
  <c r="G71" i="261" s="1"/>
  <c r="D28" i="261" a="1"/>
  <c r="D28" i="261" s="1"/>
  <c r="G28" i="261" a="1"/>
  <c r="G28" i="261" s="1"/>
  <c r="F28" i="261" a="1"/>
  <c r="F28" i="261" s="1"/>
  <c r="E28" i="261" a="1"/>
  <c r="E28" i="261" s="1"/>
  <c r="E33" i="261" a="1"/>
  <c r="E33" i="261" s="1"/>
  <c r="D33" i="261" a="1"/>
  <c r="D33" i="261" s="1"/>
  <c r="G33" i="261" a="1"/>
  <c r="G33" i="261" s="1"/>
  <c r="F33" i="261" a="1"/>
  <c r="F33" i="261" s="1"/>
  <c r="G54" i="261" a="1"/>
  <c r="G54" i="261" s="1"/>
  <c r="F54" i="261" a="1"/>
  <c r="F54" i="261" s="1"/>
  <c r="E54" i="261" a="1"/>
  <c r="E54" i="261" s="1"/>
  <c r="D54" i="261" a="1"/>
  <c r="D54" i="261" s="1"/>
  <c r="G57" i="261" a="1"/>
  <c r="G57" i="261" s="1"/>
  <c r="F57" i="261" a="1"/>
  <c r="F57" i="261" s="1"/>
  <c r="E57" i="261" a="1"/>
  <c r="E57" i="261" s="1"/>
  <c r="D57" i="261" a="1"/>
  <c r="D57" i="261" s="1"/>
  <c r="F61" i="261" a="1"/>
  <c r="F61" i="261" s="1"/>
  <c r="E61" i="261" a="1"/>
  <c r="E61" i="261" s="1"/>
  <c r="D61" i="261" a="1"/>
  <c r="D61" i="261" s="1"/>
  <c r="G61" i="261" a="1"/>
  <c r="G61" i="261" s="1"/>
  <c r="G31" i="261" a="1"/>
  <c r="G31" i="261" s="1"/>
  <c r="E31" i="261" a="1"/>
  <c r="E31" i="261" s="1"/>
  <c r="F31" i="261" a="1"/>
  <c r="F31" i="261" s="1"/>
  <c r="D31" i="261" a="1"/>
  <c r="D31" i="261" s="1"/>
  <c r="G48" i="261" a="1"/>
  <c r="G48" i="261" s="1"/>
  <c r="F48" i="261" a="1"/>
  <c r="F48" i="261" s="1"/>
  <c r="E48" i="261" a="1"/>
  <c r="E48" i="261" s="1"/>
  <c r="D48" i="261" a="1"/>
  <c r="D48" i="261" s="1"/>
  <c r="D58" i="261" a="1"/>
  <c r="D58" i="261" s="1"/>
  <c r="G58" i="261" a="1"/>
  <c r="G58" i="261" s="1"/>
  <c r="F58" i="261" a="1"/>
  <c r="F58" i="261" s="1"/>
  <c r="E58" i="261" a="1"/>
  <c r="E58" i="261" s="1"/>
  <c r="E78" i="261" a="1"/>
  <c r="E78" i="261" s="1"/>
  <c r="D78" i="261" a="1"/>
  <c r="D78" i="261" s="1"/>
  <c r="D36" i="261" a="1"/>
  <c r="D36" i="261" s="1"/>
  <c r="E36" i="261" a="1"/>
  <c r="E36" i="261" s="1"/>
  <c r="G36" i="261" a="1"/>
  <c r="G36" i="261" s="1"/>
  <c r="F36" i="261" a="1"/>
  <c r="F36" i="261" s="1"/>
  <c r="D42" i="261" a="1"/>
  <c r="D42" i="261" s="1"/>
  <c r="G42" i="261" a="1"/>
  <c r="G42" i="261" s="1"/>
  <c r="F42" i="261" a="1"/>
  <c r="F42" i="261" s="1"/>
  <c r="D65" i="261" a="1"/>
  <c r="D65" i="261" s="1"/>
  <c r="F65" i="261" a="1"/>
  <c r="F65" i="261" s="1"/>
  <c r="E65" i="261" a="1"/>
  <c r="E65" i="261" s="1"/>
  <c r="G65" i="261" a="1"/>
  <c r="G65" i="261" s="1"/>
  <c r="F55" i="261" a="1"/>
  <c r="F55" i="261" s="1"/>
  <c r="E55" i="261" a="1"/>
  <c r="E55" i="261" s="1"/>
  <c r="D55" i="261" a="1"/>
  <c r="D55" i="261" s="1"/>
  <c r="D79" i="261" a="1"/>
  <c r="D79" i="261" s="1"/>
  <c r="G79" i="261" a="1"/>
  <c r="G79" i="261" s="1"/>
  <c r="E37" i="261" a="1"/>
  <c r="E37" i="261" s="1"/>
  <c r="G37" i="261" a="1"/>
  <c r="G37" i="261" s="1"/>
  <c r="F37" i="261" a="1"/>
  <c r="F37" i="261" s="1"/>
  <c r="D37" i="261" a="1"/>
  <c r="D37" i="261" s="1"/>
  <c r="E52" i="261" a="1"/>
  <c r="E52" i="261" s="1"/>
  <c r="D52" i="261" a="1"/>
  <c r="D52" i="261" s="1"/>
  <c r="G52" i="261" a="1"/>
  <c r="G52" i="261" s="1"/>
  <c r="F52" i="261" a="1"/>
  <c r="F52" i="261" s="1"/>
  <c r="E56" i="261" a="1"/>
  <c r="E56" i="261" s="1"/>
  <c r="D56" i="261" a="1"/>
  <c r="D56" i="261" s="1"/>
  <c r="G56" i="261" a="1"/>
  <c r="G56" i="261" s="1"/>
  <c r="F56" i="261" a="1"/>
  <c r="F56" i="261" s="1"/>
  <c r="D73" i="261" a="1"/>
  <c r="D73" i="261" s="1"/>
  <c r="G73" i="261" a="1"/>
  <c r="G73" i="261" s="1"/>
  <c r="F73" i="261" a="1"/>
  <c r="F73" i="261" s="1"/>
  <c r="E73" i="261" a="1"/>
  <c r="E73" i="261" s="1"/>
  <c r="D34" i="261" a="1"/>
  <c r="D34" i="261" s="1"/>
  <c r="E34" i="261" a="1"/>
  <c r="E34" i="261" s="1"/>
  <c r="F46" i="261" a="1"/>
  <c r="F46" i="261" s="1"/>
  <c r="E46" i="261" a="1"/>
  <c r="E46" i="261" s="1"/>
  <c r="D46" i="261" a="1"/>
  <c r="D46" i="261" s="1"/>
  <c r="G46" i="261" a="1"/>
  <c r="G46" i="261" s="1"/>
  <c r="G63" i="261" a="1"/>
  <c r="G63" i="261" s="1"/>
  <c r="F63" i="261" a="1"/>
  <c r="F63" i="261" s="1"/>
  <c r="E63" i="261" a="1"/>
  <c r="E63" i="261" s="1"/>
  <c r="D63" i="261" a="1"/>
  <c r="D63" i="261" s="1"/>
  <c r="E50" i="261" a="1"/>
  <c r="E50" i="261" s="1"/>
  <c r="D50" i="261" a="1"/>
  <c r="D50" i="261" s="1"/>
  <c r="F50" i="261" a="1"/>
  <c r="F50" i="261" s="1"/>
  <c r="G50" i="261" a="1"/>
  <c r="G50" i="261" s="1"/>
  <c r="D53" i="261" a="1"/>
  <c r="D53" i="261" s="1"/>
  <c r="E53" i="261" a="1"/>
  <c r="E53" i="261" s="1"/>
  <c r="G30" i="261" a="1"/>
  <c r="G30" i="261" s="1"/>
  <c r="D25" i="261" a="1"/>
  <c r="D25" i="261" s="1"/>
  <c r="E29" i="261" a="1"/>
  <c r="E29" i="261" s="1"/>
  <c r="G29" i="261" a="1"/>
  <c r="G29" i="261" s="1"/>
  <c r="D30" i="261" a="1"/>
  <c r="D30" i="261" s="1"/>
  <c r="F34" i="261" a="1"/>
  <c r="F34" i="261" s="1"/>
  <c r="G34" i="261" a="1"/>
  <c r="G34" i="261" s="1"/>
  <c r="D35" i="261" a="1"/>
  <c r="D35" i="261" s="1"/>
  <c r="G39" i="261" a="1"/>
  <c r="G39" i="261" s="1"/>
  <c r="F44" i="261" a="1"/>
  <c r="F44" i="261" s="1"/>
  <c r="E44" i="261" a="1"/>
  <c r="E44" i="261" s="1"/>
  <c r="E47" i="261" a="1"/>
  <c r="E47" i="261" s="1"/>
  <c r="D66" i="261" a="1"/>
  <c r="D66" i="261" s="1"/>
  <c r="E68" i="261" a="1"/>
  <c r="E68" i="261" s="1"/>
  <c r="F69" i="261" a="1"/>
  <c r="F69" i="261" s="1"/>
  <c r="E71" i="261" a="1"/>
  <c r="E71" i="261" s="1"/>
  <c r="F75" i="261" a="1"/>
  <c r="F75" i="261" s="1"/>
  <c r="D76" i="261" a="1"/>
  <c r="D76" i="261" s="1"/>
  <c r="G81" i="261" a="1"/>
  <c r="G81" i="261" s="1"/>
  <c r="E81" i="261" a="1"/>
  <c r="E81" i="261" s="1"/>
  <c r="G88" i="261" a="1"/>
  <c r="G88" i="261" s="1"/>
  <c r="F88" i="261" a="1"/>
  <c r="F88" i="261" s="1"/>
  <c r="G95" i="261" a="1"/>
  <c r="G95" i="261" s="1"/>
  <c r="F95" i="261" a="1"/>
  <c r="F95" i="261" s="1"/>
  <c r="D95" i="261" a="1"/>
  <c r="D95" i="261" s="1"/>
  <c r="G45" i="261" a="1"/>
  <c r="G45" i="261" s="1"/>
  <c r="G55" i="261" a="1"/>
  <c r="G55" i="261" s="1"/>
  <c r="F59" i="261" a="1"/>
  <c r="F59" i="261" s="1"/>
  <c r="E59" i="261" a="1"/>
  <c r="E59" i="261" s="1"/>
  <c r="F74" i="261" a="1"/>
  <c r="F74" i="261" s="1"/>
  <c r="D74" i="261" a="1"/>
  <c r="D74" i="261" s="1"/>
  <c r="F90" i="261" a="1"/>
  <c r="F90" i="261" s="1"/>
  <c r="E90" i="261" a="1"/>
  <c r="E90" i="261" s="1"/>
  <c r="D90" i="261" a="1"/>
  <c r="D90" i="261" s="1"/>
  <c r="E41" i="261" a="1"/>
  <c r="E41" i="261" s="1"/>
  <c r="D41" i="261" a="1"/>
  <c r="D41" i="261" s="1"/>
  <c r="F26" i="261" a="1"/>
  <c r="F26" i="261" s="1"/>
  <c r="G26" i="261" a="1"/>
  <c r="G26" i="261" s="1"/>
  <c r="E35" i="261" a="1"/>
  <c r="E35" i="261" s="1"/>
  <c r="F47" i="261" a="1"/>
  <c r="F47" i="261" s="1"/>
  <c r="E66" i="261" a="1"/>
  <c r="E66" i="261" s="1"/>
  <c r="G69" i="261" a="1"/>
  <c r="G69" i="261" s="1"/>
  <c r="D75" i="261" a="1"/>
  <c r="D75" i="261" s="1"/>
  <c r="E76" i="261" a="1"/>
  <c r="E76" i="261" s="1"/>
  <c r="E88" i="261" a="1"/>
  <c r="E88" i="261" s="1"/>
  <c r="G90" i="261" a="1"/>
  <c r="G90" i="261" s="1"/>
  <c r="G94" i="261" a="1"/>
  <c r="G94" i="261" s="1"/>
  <c r="D94" i="261" a="1"/>
  <c r="D94" i="261" s="1"/>
  <c r="E30" i="261" a="1"/>
  <c r="E30" i="261" s="1"/>
  <c r="F25" i="261" a="1"/>
  <c r="F25" i="261" s="1"/>
  <c r="E32" i="261" a="1"/>
  <c r="E32" i="261" s="1"/>
  <c r="F38" i="261" a="1"/>
  <c r="F38" i="261" s="1"/>
  <c r="G38" i="261" a="1"/>
  <c r="G38" i="261" s="1"/>
  <c r="D45" i="261" a="1"/>
  <c r="D45" i="261" s="1"/>
  <c r="F51" i="261" a="1"/>
  <c r="F51" i="261" s="1"/>
  <c r="D60" i="261" a="1"/>
  <c r="D60" i="261" s="1"/>
  <c r="G60" i="261" a="1"/>
  <c r="G60" i="261" s="1"/>
  <c r="D64" i="261" a="1"/>
  <c r="D64" i="261" s="1"/>
  <c r="F66" i="261" a="1"/>
  <c r="F66" i="261" s="1"/>
  <c r="F72" i="261" a="1"/>
  <c r="F72" i="261" s="1"/>
  <c r="D80" i="261" a="1"/>
  <c r="D80" i="261" s="1"/>
  <c r="G83" i="261" a="1"/>
  <c r="G83" i="261" s="1"/>
  <c r="E83" i="261" a="1"/>
  <c r="E83" i="261" s="1"/>
  <c r="D89" i="261" a="1"/>
  <c r="D89" i="261" s="1"/>
  <c r="F89" i="261" a="1"/>
  <c r="F89" i="261" s="1"/>
  <c r="G89" i="261" a="1"/>
  <c r="G89" i="261" s="1"/>
  <c r="F91" i="261" a="1"/>
  <c r="F91" i="261" s="1"/>
  <c r="D91" i="261" a="1"/>
  <c r="D91" i="261" s="1"/>
  <c r="E91" i="261" a="1"/>
  <c r="E91" i="261" s="1"/>
  <c r="E27" i="261" a="1"/>
  <c r="E27" i="261" s="1"/>
  <c r="F35" i="261" a="1"/>
  <c r="F35" i="261" s="1"/>
  <c r="H35" i="261" s="1"/>
  <c r="I35" i="261" s="1"/>
  <c r="E42" i="261" a="1"/>
  <c r="E42" i="261" s="1"/>
  <c r="E45" i="261" a="1"/>
  <c r="E45" i="261" s="1"/>
  <c r="E49" i="261" a="1"/>
  <c r="E49" i="261" s="1"/>
  <c r="D59" i="261" a="1"/>
  <c r="D59" i="261" s="1"/>
  <c r="D70" i="261" a="1"/>
  <c r="D70" i="261" s="1"/>
  <c r="E74" i="261" a="1"/>
  <c r="E74" i="261" s="1"/>
  <c r="G75" i="261" a="1"/>
  <c r="G75" i="261" s="1"/>
  <c r="F76" i="261" a="1"/>
  <c r="F76" i="261" s="1"/>
  <c r="E79" i="261" a="1"/>
  <c r="E79" i="261" s="1"/>
  <c r="F79" i="261" a="1"/>
  <c r="F79" i="261" s="1"/>
  <c r="F81" i="261" a="1"/>
  <c r="F81" i="261" s="1"/>
  <c r="E84" i="261" a="1"/>
  <c r="E84" i="261" s="1"/>
  <c r="D86" i="261" a="1"/>
  <c r="D86" i="261" s="1"/>
  <c r="E86" i="261" a="1"/>
  <c r="E86" i="261" s="1"/>
  <c r="E87" i="261" a="1"/>
  <c r="E87" i="261" s="1"/>
  <c r="D40" i="261" a="1"/>
  <c r="D40" i="261" s="1"/>
  <c r="G40" i="261" a="1"/>
  <c r="G40" i="261" s="1"/>
  <c r="G62" i="261" a="1"/>
  <c r="G62" i="261" s="1"/>
  <c r="E64" i="261" a="1"/>
  <c r="E64" i="261" s="1"/>
  <c r="E98" i="261" a="1"/>
  <c r="E98" i="261" s="1"/>
  <c r="D98" i="261" a="1"/>
  <c r="D98" i="261" s="1"/>
  <c r="G98" i="261" a="1"/>
  <c r="G98" i="261" s="1"/>
  <c r="G25" i="261" a="1"/>
  <c r="G25" i="261" s="1"/>
  <c r="E69" i="261" a="1"/>
  <c r="E69" i="261" s="1"/>
  <c r="F27" i="261" a="1"/>
  <c r="F27" i="261" s="1"/>
  <c r="F29" i="261" a="1"/>
  <c r="F29" i="261" s="1"/>
  <c r="D38" i="261" a="1"/>
  <c r="D38" i="261" s="1"/>
  <c r="F41" i="261" a="1"/>
  <c r="F41" i="261" s="1"/>
  <c r="D43" i="261" a="1"/>
  <c r="D43" i="261" s="1"/>
  <c r="H43" i="261" s="1"/>
  <c r="I43" i="261" s="1"/>
  <c r="G44" i="261" a="1"/>
  <c r="G44" i="261" s="1"/>
  <c r="F45" i="261" a="1"/>
  <c r="F45" i="261" s="1"/>
  <c r="F49" i="261" a="1"/>
  <c r="F49" i="261" s="1"/>
  <c r="D51" i="261" a="1"/>
  <c r="D51" i="261" s="1"/>
  <c r="G53" i="261" a="1"/>
  <c r="G53" i="261" s="1"/>
  <c r="F53" i="261" a="1"/>
  <c r="F53" i="261" s="1"/>
  <c r="H57" i="261"/>
  <c r="I57" i="261" s="1"/>
  <c r="E60" i="261" a="1"/>
  <c r="E60" i="261" s="1"/>
  <c r="G67" i="261" a="1"/>
  <c r="G67" i="261" s="1"/>
  <c r="E67" i="261" a="1"/>
  <c r="E67" i="261" s="1"/>
  <c r="E70" i="261" a="1"/>
  <c r="E70" i="261" s="1"/>
  <c r="D71" i="261" a="1"/>
  <c r="D71" i="261" s="1"/>
  <c r="H71" i="261" s="1"/>
  <c r="I71" i="261" s="1"/>
  <c r="G74" i="261" a="1"/>
  <c r="G74" i="261" s="1"/>
  <c r="F78" i="261" a="1"/>
  <c r="F78" i="261" s="1"/>
  <c r="G78" i="261" a="1"/>
  <c r="G78" i="261" s="1"/>
  <c r="F80" i="261" a="1"/>
  <c r="F80" i="261" s="1"/>
  <c r="E82" i="261" a="1"/>
  <c r="E82" i="261" s="1"/>
  <c r="F86" i="261" a="1"/>
  <c r="F86" i="261" s="1"/>
  <c r="F94" i="261" a="1"/>
  <c r="F94" i="261" s="1"/>
  <c r="D32" i="261" a="1"/>
  <c r="D32" i="261" s="1"/>
  <c r="G32" i="261" a="1"/>
  <c r="G32" i="261" s="1"/>
  <c r="F39" i="261" a="1"/>
  <c r="F39" i="261" s="1"/>
  <c r="G49" i="261" a="1"/>
  <c r="G49" i="261" s="1"/>
  <c r="G59" i="261" a="1"/>
  <c r="G59" i="261" s="1"/>
  <c r="D62" i="261" a="1"/>
  <c r="D62" i="261" s="1"/>
  <c r="F64" i="261" a="1"/>
  <c r="F64" i="261" s="1"/>
  <c r="D68" i="261" a="1"/>
  <c r="D68" i="261" s="1"/>
  <c r="H68" i="261" s="1"/>
  <c r="I68" i="261" s="1"/>
  <c r="D69" i="261" a="1"/>
  <c r="D69" i="261" s="1"/>
  <c r="E72" i="261" a="1"/>
  <c r="E72" i="261" s="1"/>
  <c r="G77" i="261" a="1"/>
  <c r="G77" i="261" s="1"/>
  <c r="H77" i="261" s="1"/>
  <c r="I77" i="261" s="1"/>
  <c r="G80" i="261" a="1"/>
  <c r="G80" i="261" s="1"/>
  <c r="F83" i="261" a="1"/>
  <c r="F83" i="261" s="1"/>
  <c r="E85" i="261" a="1"/>
  <c r="E85" i="261" s="1"/>
  <c r="G85" i="261" a="1"/>
  <c r="G85" i="261" s="1"/>
  <c r="F85" i="261" a="1"/>
  <c r="F85" i="261" s="1"/>
  <c r="H95" i="261"/>
  <c r="I95" i="261" s="1"/>
  <c r="G47" i="261" a="1"/>
  <c r="G47" i="261" s="1"/>
  <c r="H47" i="261" s="1"/>
  <c r="I47" i="261" s="1"/>
  <c r="E92" i="261" a="1"/>
  <c r="E92" i="261" s="1"/>
  <c r="D93" i="261" a="1"/>
  <c r="D93" i="261" s="1"/>
  <c r="H93" i="261" s="1"/>
  <c r="I93" i="261" s="1"/>
  <c r="G84" i="261" a="1"/>
  <c r="G84" i="261" s="1"/>
  <c r="F92" i="261" a="1"/>
  <c r="F92" i="261" s="1"/>
  <c r="G96" i="261" a="1"/>
  <c r="G96" i="261" s="1"/>
  <c r="F96" i="261" a="1"/>
  <c r="F96" i="261" s="1"/>
  <c r="G100" i="261" a="1"/>
  <c r="G100" i="261" s="1"/>
  <c r="F100" i="261" a="1"/>
  <c r="F100" i="261" s="1"/>
  <c r="E100" i="261" a="1"/>
  <c r="E100" i="261" s="1"/>
  <c r="F127" i="261"/>
  <c r="F99" i="261" a="1"/>
  <c r="F99" i="261" s="1"/>
  <c r="E99" i="261" a="1"/>
  <c r="E99" i="261" s="1"/>
  <c r="D99" i="261" a="1"/>
  <c r="D99" i="261" s="1"/>
  <c r="G99" i="261" a="1"/>
  <c r="G99" i="261" s="1"/>
  <c r="D97" i="261" a="1"/>
  <c r="D97" i="261" s="1"/>
  <c r="G97" i="261" a="1"/>
  <c r="G97" i="261" s="1"/>
  <c r="F97" i="261" a="1"/>
  <c r="F97" i="261" s="1"/>
  <c r="G107" i="261"/>
  <c r="G127" i="261" s="1"/>
  <c r="E56" i="260" a="1"/>
  <c r="E56" i="260" s="1"/>
  <c r="D50" i="260" a="1"/>
  <c r="D50" i="260" s="1"/>
  <c r="D60" i="260" a="1"/>
  <c r="D60" i="260" s="1"/>
  <c r="E74" i="260" a="1"/>
  <c r="E74" i="260" s="1"/>
  <c r="G74" i="260" a="1"/>
  <c r="G74" i="260" s="1"/>
  <c r="F74" i="260" a="1"/>
  <c r="F74" i="260" s="1"/>
  <c r="F26" i="259" a="1"/>
  <c r="F26" i="259" s="1"/>
  <c r="G33" i="255" a="1"/>
  <c r="G33" i="255" s="1"/>
  <c r="E73" i="257" a="1"/>
  <c r="E73" i="257" s="1"/>
  <c r="E87" i="257" a="1"/>
  <c r="E87" i="257" s="1"/>
  <c r="F93" i="258" a="1"/>
  <c r="F93" i="258" s="1"/>
  <c r="F57" i="259" a="1"/>
  <c r="F57" i="259" s="1"/>
  <c r="E60" i="259" a="1"/>
  <c r="E60" i="259" s="1"/>
  <c r="E70" i="259" a="1"/>
  <c r="E70" i="259" s="1"/>
  <c r="E73" i="259" a="1"/>
  <c r="E73" i="259" s="1"/>
  <c r="F84" i="259" a="1"/>
  <c r="F84" i="259" s="1"/>
  <c r="E91" i="259" a="1"/>
  <c r="E91" i="259" s="1"/>
  <c r="E26" i="260" a="1"/>
  <c r="E26" i="260" s="1"/>
  <c r="E67" i="260" a="1"/>
  <c r="E67" i="260" s="1"/>
  <c r="E75" i="260" a="1"/>
  <c r="E75" i="260" s="1"/>
  <c r="E65" i="258" a="1"/>
  <c r="E65" i="258" s="1"/>
  <c r="D51" i="259" a="1"/>
  <c r="D51" i="259" s="1"/>
  <c r="G54" i="259" a="1"/>
  <c r="G54" i="259" s="1"/>
  <c r="E88" i="260" a="1"/>
  <c r="E88" i="260" s="1"/>
  <c r="G58" i="257" a="1"/>
  <c r="G58" i="257" s="1"/>
  <c r="D100" i="257" a="1"/>
  <c r="D100" i="257" s="1"/>
  <c r="G87" i="258" a="1"/>
  <c r="G87" i="258" s="1"/>
  <c r="F74" i="259" a="1"/>
  <c r="F74" i="259" s="1"/>
  <c r="G85" i="259" a="1"/>
  <c r="G85" i="259" s="1"/>
  <c r="F29" i="260" a="1"/>
  <c r="F29" i="260" s="1"/>
  <c r="D55" i="260" a="1"/>
  <c r="D55" i="260" s="1"/>
  <c r="G63" i="260" a="1"/>
  <c r="G63" i="260" s="1"/>
  <c r="G71" i="260" a="1"/>
  <c r="G71" i="260" s="1"/>
  <c r="F75" i="260" a="1"/>
  <c r="F75" i="260" s="1"/>
  <c r="F91" i="260" a="1"/>
  <c r="F91" i="260" s="1"/>
  <c r="G75" i="260" a="1"/>
  <c r="G75" i="260" s="1"/>
  <c r="D87" i="260" a="1"/>
  <c r="D87" i="260" s="1"/>
  <c r="G95" i="260" a="1"/>
  <c r="G95" i="260" s="1"/>
  <c r="F62" i="255" a="1"/>
  <c r="F62" i="255" s="1"/>
  <c r="G85" i="256" a="1"/>
  <c r="G85" i="256" s="1"/>
  <c r="D25" i="257" a="1"/>
  <c r="D25" i="257" s="1"/>
  <c r="G46" i="258" a="1"/>
  <c r="G46" i="258" s="1"/>
  <c r="E70" i="258" a="1"/>
  <c r="E70" i="258" s="1"/>
  <c r="D32" i="259" a="1"/>
  <c r="D32" i="259" s="1"/>
  <c r="F65" i="259" a="1"/>
  <c r="F65" i="259" s="1"/>
  <c r="F71" i="259" a="1"/>
  <c r="F71" i="259" s="1"/>
  <c r="E78" i="259" a="1"/>
  <c r="E78" i="259" s="1"/>
  <c r="F82" i="259" a="1"/>
  <c r="F82" i="259" s="1"/>
  <c r="F92" i="259" a="1"/>
  <c r="F92" i="259" s="1"/>
  <c r="E43" i="260" a="1"/>
  <c r="E43" i="260" s="1"/>
  <c r="E87" i="260" a="1"/>
  <c r="E87" i="260" s="1"/>
  <c r="E92" i="259" a="1"/>
  <c r="E92" i="259" s="1"/>
  <c r="F28" i="260" a="1"/>
  <c r="F28" i="260" s="1"/>
  <c r="D51" i="260" a="1"/>
  <c r="D51" i="260" s="1"/>
  <c r="G58" i="260" a="1"/>
  <c r="G58" i="260" s="1"/>
  <c r="E78" i="260" a="1"/>
  <c r="E78" i="260" s="1"/>
  <c r="G82" i="260" a="1"/>
  <c r="G82" i="260" s="1"/>
  <c r="F87" i="260" a="1"/>
  <c r="F87" i="260" s="1"/>
  <c r="E35" i="256" a="1"/>
  <c r="E35" i="256" s="1"/>
  <c r="E71" i="258" a="1"/>
  <c r="E71" i="258" s="1"/>
  <c r="F96" i="258" a="1"/>
  <c r="F96" i="258" s="1"/>
  <c r="G83" i="259" a="1"/>
  <c r="G83" i="259" s="1"/>
  <c r="D26" i="260" a="1"/>
  <c r="D26" i="260" s="1"/>
  <c r="E39" i="260" a="1"/>
  <c r="E39" i="260" s="1"/>
  <c r="F78" i="260" a="1"/>
  <c r="F78" i="260" s="1"/>
  <c r="F80" i="260" a="1"/>
  <c r="F80" i="260" s="1"/>
  <c r="E86" i="260" a="1"/>
  <c r="E86" i="260" s="1"/>
  <c r="G52" i="260" a="1"/>
  <c r="G52" i="260" s="1"/>
  <c r="F52" i="260" a="1"/>
  <c r="F52" i="260" s="1"/>
  <c r="E52" i="260" a="1"/>
  <c r="E52" i="260" s="1"/>
  <c r="D52" i="260" a="1"/>
  <c r="D52" i="260" s="1"/>
  <c r="E54" i="260" a="1"/>
  <c r="E54" i="260" s="1"/>
  <c r="D54" i="260" a="1"/>
  <c r="D54" i="260" s="1"/>
  <c r="G54" i="260" a="1"/>
  <c r="G54" i="260" s="1"/>
  <c r="F54" i="260" a="1"/>
  <c r="F54" i="260" s="1"/>
  <c r="D61" i="260" a="1"/>
  <c r="D61" i="260" s="1"/>
  <c r="G61" i="260" a="1"/>
  <c r="G61" i="260" s="1"/>
  <c r="F61" i="260" a="1"/>
  <c r="F61" i="260" s="1"/>
  <c r="E61" i="260" a="1"/>
  <c r="E61" i="260" s="1"/>
  <c r="D37" i="260" a="1"/>
  <c r="D37" i="260" s="1"/>
  <c r="F37" i="260" a="1"/>
  <c r="F37" i="260" s="1"/>
  <c r="E37" i="260" a="1"/>
  <c r="E37" i="260" s="1"/>
  <c r="G37" i="260" a="1"/>
  <c r="G37" i="260" s="1"/>
  <c r="D41" i="260" a="1"/>
  <c r="D41" i="260" s="1"/>
  <c r="G41" i="260" a="1"/>
  <c r="G41" i="260" s="1"/>
  <c r="F41" i="260" a="1"/>
  <c r="F41" i="260" s="1"/>
  <c r="D63" i="260" a="1"/>
  <c r="D63" i="260" s="1"/>
  <c r="D65" i="260" a="1"/>
  <c r="D65" i="260" s="1"/>
  <c r="G65" i="260" a="1"/>
  <c r="G65" i="260" s="1"/>
  <c r="F65" i="260" a="1"/>
  <c r="F65" i="260" s="1"/>
  <c r="E65" i="260" a="1"/>
  <c r="E65" i="260" s="1"/>
  <c r="E73" i="260" a="1"/>
  <c r="E73" i="260" s="1"/>
  <c r="D73" i="260" a="1"/>
  <c r="D73" i="260" s="1"/>
  <c r="G73" i="260" a="1"/>
  <c r="G73" i="260" s="1"/>
  <c r="F73" i="260" a="1"/>
  <c r="F73" i="260" s="1"/>
  <c r="G32" i="260" a="1"/>
  <c r="G32" i="260" s="1"/>
  <c r="E32" i="260" a="1"/>
  <c r="E32" i="260" s="1"/>
  <c r="D32" i="260" a="1"/>
  <c r="D32" i="260" s="1"/>
  <c r="E35" i="260" a="1"/>
  <c r="E35" i="260" s="1"/>
  <c r="D45" i="260" a="1"/>
  <c r="D45" i="260" s="1"/>
  <c r="G45" i="260" a="1"/>
  <c r="G45" i="260" s="1"/>
  <c r="F45" i="260" a="1"/>
  <c r="F45" i="260" s="1"/>
  <c r="E45" i="260" a="1"/>
  <c r="E45" i="260" s="1"/>
  <c r="F47" i="260" a="1"/>
  <c r="F47" i="260" s="1"/>
  <c r="E47" i="260" a="1"/>
  <c r="E47" i="260" s="1"/>
  <c r="D47" i="260" a="1"/>
  <c r="D47" i="260" s="1"/>
  <c r="D49" i="260" a="1"/>
  <c r="D49" i="260" s="1"/>
  <c r="E49" i="260" a="1"/>
  <c r="E49" i="260" s="1"/>
  <c r="G49" i="260" a="1"/>
  <c r="G49" i="260" s="1"/>
  <c r="G47" i="260" a="1"/>
  <c r="G47" i="260" s="1"/>
  <c r="F49" i="260" a="1"/>
  <c r="F49" i="260" s="1"/>
  <c r="D53" i="260" a="1"/>
  <c r="D53" i="260" s="1"/>
  <c r="G53" i="260" a="1"/>
  <c r="G53" i="260" s="1"/>
  <c r="E53" i="260" a="1"/>
  <c r="E53" i="260" s="1"/>
  <c r="F53" i="260" a="1"/>
  <c r="F53" i="260" s="1"/>
  <c r="E62" i="260" a="1"/>
  <c r="E62" i="260" s="1"/>
  <c r="D62" i="260" a="1"/>
  <c r="D62" i="260" s="1"/>
  <c r="G62" i="260" a="1"/>
  <c r="G62" i="260" s="1"/>
  <c r="F62" i="260" a="1"/>
  <c r="F62" i="260" s="1"/>
  <c r="E66" i="260" a="1"/>
  <c r="E66" i="260" s="1"/>
  <c r="D66" i="260" a="1"/>
  <c r="D66" i="260" s="1"/>
  <c r="F66" i="260" a="1"/>
  <c r="F66" i="260" s="1"/>
  <c r="G66" i="260" a="1"/>
  <c r="G66" i="260" s="1"/>
  <c r="F27" i="260" a="1"/>
  <c r="F27" i="260" s="1"/>
  <c r="E27" i="260" a="1"/>
  <c r="E27" i="260" s="1"/>
  <c r="D27" i="260" a="1"/>
  <c r="D27" i="260" s="1"/>
  <c r="G27" i="260" a="1"/>
  <c r="G27" i="260" s="1"/>
  <c r="E34" i="260" a="1"/>
  <c r="E34" i="260" s="1"/>
  <c r="D34" i="260" a="1"/>
  <c r="D34" i="260" s="1"/>
  <c r="G34" i="260" a="1"/>
  <c r="G34" i="260" s="1"/>
  <c r="G36" i="260" a="1"/>
  <c r="G36" i="260" s="1"/>
  <c r="D36" i="260" a="1"/>
  <c r="D36" i="260" s="1"/>
  <c r="F36" i="260" a="1"/>
  <c r="F36" i="260" s="1"/>
  <c r="E36" i="260" a="1"/>
  <c r="E36" i="260" s="1"/>
  <c r="E38" i="260" a="1"/>
  <c r="E38" i="260" s="1"/>
  <c r="G38" i="260" a="1"/>
  <c r="G38" i="260" s="1"/>
  <c r="F38" i="260" a="1"/>
  <c r="F38" i="260" s="1"/>
  <c r="G40" i="260" a="1"/>
  <c r="G40" i="260" s="1"/>
  <c r="F40" i="260" a="1"/>
  <c r="F40" i="260" s="1"/>
  <c r="E40" i="260" a="1"/>
  <c r="E40" i="260" s="1"/>
  <c r="D40" i="260" a="1"/>
  <c r="D40" i="260" s="1"/>
  <c r="G48" i="260" a="1"/>
  <c r="G48" i="260" s="1"/>
  <c r="F48" i="260" a="1"/>
  <c r="F48" i="260" s="1"/>
  <c r="E48" i="260" a="1"/>
  <c r="E48" i="260" s="1"/>
  <c r="E30" i="260" a="1"/>
  <c r="E30" i="260" s="1"/>
  <c r="F30" i="260" a="1"/>
  <c r="F30" i="260" s="1"/>
  <c r="D30" i="260" a="1"/>
  <c r="D30" i="260" s="1"/>
  <c r="E42" i="260" a="1"/>
  <c r="E42" i="260" s="1"/>
  <c r="F42" i="260" a="1"/>
  <c r="F42" i="260" s="1"/>
  <c r="D42" i="260" a="1"/>
  <c r="D42" i="260" s="1"/>
  <c r="G44" i="260" a="1"/>
  <c r="G44" i="260" s="1"/>
  <c r="E44" i="260" a="1"/>
  <c r="E44" i="260" s="1"/>
  <c r="D44" i="260" a="1"/>
  <c r="D44" i="260" s="1"/>
  <c r="F44" i="260" a="1"/>
  <c r="F44" i="260" s="1"/>
  <c r="G69" i="260" a="1"/>
  <c r="G69" i="260" s="1"/>
  <c r="F69" i="260" a="1"/>
  <c r="F69" i="260" s="1"/>
  <c r="E69" i="260" a="1"/>
  <c r="E69" i="260" s="1"/>
  <c r="D69" i="260" a="1"/>
  <c r="D69" i="260" s="1"/>
  <c r="G93" i="260" a="1"/>
  <c r="G93" i="260" s="1"/>
  <c r="F93" i="260" a="1"/>
  <c r="F93" i="260" s="1"/>
  <c r="D93" i="260" a="1"/>
  <c r="D93" i="260" s="1"/>
  <c r="E93" i="260" a="1"/>
  <c r="E93" i="260" s="1"/>
  <c r="G25" i="260" a="1"/>
  <c r="G25" i="260" s="1"/>
  <c r="F25" i="260" a="1"/>
  <c r="F25" i="260" s="1"/>
  <c r="E25" i="260" a="1"/>
  <c r="E25" i="260" s="1"/>
  <c r="D38" i="260" a="1"/>
  <c r="D38" i="260" s="1"/>
  <c r="D46" i="260" a="1"/>
  <c r="D46" i="260" s="1"/>
  <c r="F46" i="260" a="1"/>
  <c r="F46" i="260" s="1"/>
  <c r="G70" i="260" a="1"/>
  <c r="G70" i="260" s="1"/>
  <c r="E70" i="260" a="1"/>
  <c r="E70" i="260" s="1"/>
  <c r="D77" i="260" a="1"/>
  <c r="D77" i="260" s="1"/>
  <c r="G77" i="260" a="1"/>
  <c r="G77" i="260" s="1"/>
  <c r="D92" i="260" a="1"/>
  <c r="D92" i="260" s="1"/>
  <c r="F127" i="260"/>
  <c r="F90" i="260" a="1"/>
  <c r="F90" i="260" s="1"/>
  <c r="F59" i="260" a="1"/>
  <c r="F59" i="260" s="1"/>
  <c r="E59" i="260" a="1"/>
  <c r="E59" i="260" s="1"/>
  <c r="G94" i="260" a="1"/>
  <c r="G94" i="260" s="1"/>
  <c r="E94" i="260" a="1"/>
  <c r="E94" i="260" s="1"/>
  <c r="F26" i="260" a="1"/>
  <c r="F26" i="260" s="1"/>
  <c r="E33" i="260" a="1"/>
  <c r="E33" i="260" s="1"/>
  <c r="D35" i="260" a="1"/>
  <c r="D35" i="260" s="1"/>
  <c r="F39" i="260" a="1"/>
  <c r="F39" i="260" s="1"/>
  <c r="G39" i="260" a="1"/>
  <c r="G39" i="260" s="1"/>
  <c r="D56" i="260" a="1"/>
  <c r="D56" i="260" s="1"/>
  <c r="E71" i="260" a="1"/>
  <c r="E71" i="260" s="1"/>
  <c r="G72" i="260" a="1"/>
  <c r="G72" i="260" s="1"/>
  <c r="E76" i="260" a="1"/>
  <c r="E76" i="260" s="1"/>
  <c r="E77" i="260" a="1"/>
  <c r="E77" i="260" s="1"/>
  <c r="E81" i="260" a="1"/>
  <c r="E81" i="260" s="1"/>
  <c r="E82" i="260" a="1"/>
  <c r="E82" i="260" s="1"/>
  <c r="F86" i="260" a="1"/>
  <c r="F86" i="260" s="1"/>
  <c r="H86" i="260" s="1"/>
  <c r="I86" i="260" s="1"/>
  <c r="D91" i="260" a="1"/>
  <c r="D91" i="260" s="1"/>
  <c r="G96" i="260" a="1"/>
  <c r="G96" i="260" s="1"/>
  <c r="E96" i="260" a="1"/>
  <c r="E96" i="260" s="1"/>
  <c r="E28" i="260" a="1"/>
  <c r="E28" i="260" s="1"/>
  <c r="D29" i="260" a="1"/>
  <c r="D29" i="260" s="1"/>
  <c r="G29" i="260" a="1"/>
  <c r="G29" i="260" s="1"/>
  <c r="E46" i="260" a="1"/>
  <c r="E46" i="260" s="1"/>
  <c r="G46" i="260" a="1"/>
  <c r="G46" i="260" s="1"/>
  <c r="F51" i="260" a="1"/>
  <c r="F51" i="260" s="1"/>
  <c r="G51" i="260" a="1"/>
  <c r="G51" i="260" s="1"/>
  <c r="F55" i="260" a="1"/>
  <c r="F55" i="260" s="1"/>
  <c r="E55" i="260" a="1"/>
  <c r="E55" i="260" s="1"/>
  <c r="D57" i="260" a="1"/>
  <c r="D57" i="260" s="1"/>
  <c r="G57" i="260" a="1"/>
  <c r="G57" i="260" s="1"/>
  <c r="F58" i="260" a="1"/>
  <c r="F58" i="260" s="1"/>
  <c r="G64" i="260" a="1"/>
  <c r="G64" i="260" s="1"/>
  <c r="F64" i="260" a="1"/>
  <c r="F64" i="260" s="1"/>
  <c r="G67" i="260" a="1"/>
  <c r="G67" i="260" s="1"/>
  <c r="F68" i="260" a="1"/>
  <c r="F68" i="260" s="1"/>
  <c r="D70" i="260" a="1"/>
  <c r="D70" i="260" s="1"/>
  <c r="F77" i="260" a="1"/>
  <c r="F77" i="260" s="1"/>
  <c r="F84" i="260" a="1"/>
  <c r="F84" i="260" s="1"/>
  <c r="E84" i="260" a="1"/>
  <c r="E84" i="260" s="1"/>
  <c r="D94" i="260" a="1"/>
  <c r="D94" i="260" s="1"/>
  <c r="F85" i="260" a="1"/>
  <c r="F85" i="260" s="1"/>
  <c r="D85" i="260" a="1"/>
  <c r="D85" i="260" s="1"/>
  <c r="F31" i="260" a="1"/>
  <c r="F31" i="260" s="1"/>
  <c r="G31" i="260" a="1"/>
  <c r="G31" i="260" s="1"/>
  <c r="D59" i="260" a="1"/>
  <c r="D59" i="260" s="1"/>
  <c r="F70" i="260" a="1"/>
  <c r="F70" i="260" s="1"/>
  <c r="D74" i="260" a="1"/>
  <c r="D74" i="260" s="1"/>
  <c r="H74" i="260" s="1"/>
  <c r="I74" i="260" s="1"/>
  <c r="D76" i="260" a="1"/>
  <c r="D76" i="260" s="1"/>
  <c r="F79" i="260" a="1"/>
  <c r="F79" i="260" s="1"/>
  <c r="H79" i="260" s="1"/>
  <c r="I79" i="260" s="1"/>
  <c r="D81" i="260" a="1"/>
  <c r="D81" i="260" s="1"/>
  <c r="D90" i="260" a="1"/>
  <c r="D90" i="260" s="1"/>
  <c r="F94" i="260" a="1"/>
  <c r="F94" i="260" s="1"/>
  <c r="D39" i="260" a="1"/>
  <c r="D39" i="260" s="1"/>
  <c r="F43" i="260" a="1"/>
  <c r="F43" i="260" s="1"/>
  <c r="G43" i="260" a="1"/>
  <c r="G43" i="260" s="1"/>
  <c r="G60" i="260" a="1"/>
  <c r="G60" i="260" s="1"/>
  <c r="F60" i="260" a="1"/>
  <c r="F60" i="260" s="1"/>
  <c r="D68" i="260" a="1"/>
  <c r="D68" i="260" s="1"/>
  <c r="D80" i="260" a="1"/>
  <c r="D80" i="260" s="1"/>
  <c r="F81" i="260" a="1"/>
  <c r="F81" i="260" s="1"/>
  <c r="G83" i="260" a="1"/>
  <c r="G83" i="260" s="1"/>
  <c r="E83" i="260" a="1"/>
  <c r="E83" i="260" s="1"/>
  <c r="D83" i="260" a="1"/>
  <c r="D83" i="260" s="1"/>
  <c r="D84" i="260" a="1"/>
  <c r="D84" i="260" s="1"/>
  <c r="G85" i="260" a="1"/>
  <c r="G85" i="260" s="1"/>
  <c r="H87" i="260"/>
  <c r="I87" i="260" s="1"/>
  <c r="D88" i="260" a="1"/>
  <c r="D88" i="260" s="1"/>
  <c r="G88" i="260" a="1"/>
  <c r="G88" i="260" s="1"/>
  <c r="D89" i="260" a="1"/>
  <c r="D89" i="260" s="1"/>
  <c r="E90" i="260" a="1"/>
  <c r="E90" i="260" s="1"/>
  <c r="F96" i="260" a="1"/>
  <c r="F96" i="260" s="1"/>
  <c r="G28" i="260" a="1"/>
  <c r="G28" i="260" s="1"/>
  <c r="D33" i="260" a="1"/>
  <c r="D33" i="260" s="1"/>
  <c r="G33" i="260" a="1"/>
  <c r="G33" i="260" s="1"/>
  <c r="E50" i="260" a="1"/>
  <c r="E50" i="260" s="1"/>
  <c r="G50" i="260" a="1"/>
  <c r="G50" i="260" s="1"/>
  <c r="E58" i="260" a="1"/>
  <c r="E58" i="260" s="1"/>
  <c r="D58" i="260" a="1"/>
  <c r="D58" i="260" s="1"/>
  <c r="D64" i="260" a="1"/>
  <c r="D64" i="260" s="1"/>
  <c r="D67" i="260" a="1"/>
  <c r="D67" i="260" s="1"/>
  <c r="E68" i="260" a="1"/>
  <c r="E68" i="260" s="1"/>
  <c r="D72" i="260" a="1"/>
  <c r="D72" i="260" s="1"/>
  <c r="G81" i="260" a="1"/>
  <c r="G81" i="260" s="1"/>
  <c r="E89" i="260" a="1"/>
  <c r="E89" i="260" s="1"/>
  <c r="G90" i="260" a="1"/>
  <c r="G90" i="260" s="1"/>
  <c r="F92" i="260" a="1"/>
  <c r="F92" i="260" s="1"/>
  <c r="E92" i="260" a="1"/>
  <c r="E92" i="260" s="1"/>
  <c r="D95" i="260" a="1"/>
  <c r="D95" i="260" s="1"/>
  <c r="F95" i="260" a="1"/>
  <c r="F95" i="260" s="1"/>
  <c r="F35" i="260" a="1"/>
  <c r="F35" i="260" s="1"/>
  <c r="G35" i="260" a="1"/>
  <c r="G35" i="260" s="1"/>
  <c r="G56" i="260" a="1"/>
  <c r="G56" i="260" s="1"/>
  <c r="F56" i="260" a="1"/>
  <c r="F56" i="260" s="1"/>
  <c r="E57" i="260" a="1"/>
  <c r="E57" i="260" s="1"/>
  <c r="F63" i="260" a="1"/>
  <c r="F63" i="260" s="1"/>
  <c r="E63" i="260" a="1"/>
  <c r="E63" i="260" s="1"/>
  <c r="F71" i="260" a="1"/>
  <c r="F71" i="260" s="1"/>
  <c r="G76" i="260" a="1"/>
  <c r="G76" i="260" s="1"/>
  <c r="F82" i="260" a="1"/>
  <c r="F82" i="260" s="1"/>
  <c r="D82" i="260" a="1"/>
  <c r="D82" i="260" s="1"/>
  <c r="G84" i="260" a="1"/>
  <c r="G84" i="260" s="1"/>
  <c r="F89" i="260" a="1"/>
  <c r="F89" i="260" s="1"/>
  <c r="F99" i="260" a="1"/>
  <c r="F99" i="260" s="1"/>
  <c r="E99" i="260" a="1"/>
  <c r="E99" i="260" s="1"/>
  <c r="D99" i="260" a="1"/>
  <c r="D99" i="260" s="1"/>
  <c r="G99" i="260" a="1"/>
  <c r="G99" i="260" s="1"/>
  <c r="E91" i="260" a="1"/>
  <c r="E91" i="260" s="1"/>
  <c r="E98" i="260" a="1"/>
  <c r="E98" i="260" s="1"/>
  <c r="D98" i="260" a="1"/>
  <c r="D98" i="260" s="1"/>
  <c r="G98" i="260" a="1"/>
  <c r="G98" i="260" s="1"/>
  <c r="G91" i="260" a="1"/>
  <c r="G91" i="260" s="1"/>
  <c r="G100" i="260" a="1"/>
  <c r="G100" i="260" s="1"/>
  <c r="F100" i="260" a="1"/>
  <c r="F100" i="260" s="1"/>
  <c r="E100" i="260" a="1"/>
  <c r="E100" i="260" s="1"/>
  <c r="D97" i="260" a="1"/>
  <c r="D97" i="260" s="1"/>
  <c r="G97" i="260" a="1"/>
  <c r="G97" i="260" s="1"/>
  <c r="F97" i="260" a="1"/>
  <c r="F97" i="260" s="1"/>
  <c r="G107" i="260"/>
  <c r="G127" i="260" s="1"/>
  <c r="G42" i="259" a="1"/>
  <c r="G42" i="259" s="1"/>
  <c r="F42" i="259" a="1"/>
  <c r="F42" i="259" s="1"/>
  <c r="G27" i="259" a="1"/>
  <c r="G27" i="259" s="1"/>
  <c r="E60" i="258" a="1"/>
  <c r="E60" i="258" s="1"/>
  <c r="F60" i="258" a="1"/>
  <c r="F60" i="258" s="1"/>
  <c r="E40" i="259" a="1"/>
  <c r="E40" i="259" s="1"/>
  <c r="E64" i="259" a="1"/>
  <c r="E64" i="259" s="1"/>
  <c r="F49" i="259" a="1"/>
  <c r="F49" i="259" s="1"/>
  <c r="G86" i="259" a="1"/>
  <c r="G86" i="259" s="1"/>
  <c r="D52" i="257" a="1"/>
  <c r="D52" i="257" s="1"/>
  <c r="G52" i="257" a="1"/>
  <c r="G52" i="257" s="1"/>
  <c r="G68" i="258" a="1"/>
  <c r="G68" i="258" s="1"/>
  <c r="E73" i="258" a="1"/>
  <c r="E73" i="258" s="1"/>
  <c r="E76" i="258" a="1"/>
  <c r="E76" i="258" s="1"/>
  <c r="E99" i="258" a="1"/>
  <c r="E99" i="258" s="1"/>
  <c r="G31" i="259" a="1"/>
  <c r="G31" i="259" s="1"/>
  <c r="F72" i="259" a="1"/>
  <c r="F72" i="259" s="1"/>
  <c r="D90" i="259" a="1"/>
  <c r="D90" i="259" s="1"/>
  <c r="E36" i="259" a="1"/>
  <c r="E36" i="259" s="1"/>
  <c r="D59" i="259" a="1"/>
  <c r="D59" i="259" s="1"/>
  <c r="G55" i="254" a="1"/>
  <c r="G55" i="254" s="1"/>
  <c r="F74" i="255" a="1"/>
  <c r="F74" i="255" s="1"/>
  <c r="G100" i="256" a="1"/>
  <c r="G100" i="256" s="1"/>
  <c r="F25" i="257" a="1"/>
  <c r="F25" i="257" s="1"/>
  <c r="G34" i="258" a="1"/>
  <c r="G34" i="258" s="1"/>
  <c r="E58" i="258" a="1"/>
  <c r="E58" i="258" s="1"/>
  <c r="F34" i="259" a="1"/>
  <c r="F34" i="259" s="1"/>
  <c r="G47" i="259" a="1"/>
  <c r="G47" i="259" s="1"/>
  <c r="G72" i="259" a="1"/>
  <c r="G72" i="259" s="1"/>
  <c r="D88" i="259" a="1"/>
  <c r="D88" i="259" s="1"/>
  <c r="D82" i="256" a="1"/>
  <c r="D82" i="256" s="1"/>
  <c r="G86" i="256" a="1"/>
  <c r="G86" i="256" s="1"/>
  <c r="E99" i="257" a="1"/>
  <c r="E99" i="257" s="1"/>
  <c r="D63" i="258" a="1"/>
  <c r="D63" i="258" s="1"/>
  <c r="D71" i="258" a="1"/>
  <c r="D71" i="258" s="1"/>
  <c r="G90" i="258" a="1"/>
  <c r="G90" i="258" s="1"/>
  <c r="F97" i="258" a="1"/>
  <c r="F97" i="258" s="1"/>
  <c r="G26" i="259" a="1"/>
  <c r="G26" i="259" s="1"/>
  <c r="E86" i="259" a="1"/>
  <c r="E86" i="259" s="1"/>
  <c r="E63" i="258" a="1"/>
  <c r="E63" i="258" s="1"/>
  <c r="G43" i="259" a="1"/>
  <c r="G43" i="259" s="1"/>
  <c r="F34" i="255" a="1"/>
  <c r="F34" i="255" s="1"/>
  <c r="D49" i="255" a="1"/>
  <c r="D49" i="255" s="1"/>
  <c r="E87" i="256" a="1"/>
  <c r="E87" i="256" s="1"/>
  <c r="E97" i="256" a="1"/>
  <c r="E97" i="256" s="1"/>
  <c r="F59" i="258" a="1"/>
  <c r="F59" i="258" s="1"/>
  <c r="F64" i="258" a="1"/>
  <c r="F64" i="258" s="1"/>
  <c r="D88" i="258" a="1"/>
  <c r="D88" i="258" s="1"/>
  <c r="F91" i="258" a="1"/>
  <c r="F91" i="258" s="1"/>
  <c r="D98" i="258" a="1"/>
  <c r="D98" i="258" s="1"/>
  <c r="G58" i="259" a="1"/>
  <c r="G58" i="259" s="1"/>
  <c r="G68" i="259" a="1"/>
  <c r="G68" i="259" s="1"/>
  <c r="D79" i="259" a="1"/>
  <c r="D79" i="259" s="1"/>
  <c r="G38" i="259" a="1"/>
  <c r="G38" i="259" s="1"/>
  <c r="F54" i="254" a="1"/>
  <c r="F54" i="254" s="1"/>
  <c r="E66" i="254" a="1"/>
  <c r="E66" i="254" s="1"/>
  <c r="G88" i="255" a="1"/>
  <c r="G88" i="255" s="1"/>
  <c r="F53" i="258" a="1"/>
  <c r="F53" i="258" s="1"/>
  <c r="F65" i="258" a="1"/>
  <c r="F65" i="258" s="1"/>
  <c r="G97" i="259" a="1"/>
  <c r="G97" i="259" s="1"/>
  <c r="E53" i="259" a="1"/>
  <c r="E53" i="259" s="1"/>
  <c r="D53" i="259" a="1"/>
  <c r="D53" i="259" s="1"/>
  <c r="G53" i="259" a="1"/>
  <c r="G53" i="259" s="1"/>
  <c r="F53" i="259" a="1"/>
  <c r="F53" i="259" s="1"/>
  <c r="D29" i="259" a="1"/>
  <c r="D29" i="259" s="1"/>
  <c r="G29" i="259" a="1"/>
  <c r="G29" i="259" s="1"/>
  <c r="F29" i="259" a="1"/>
  <c r="F29" i="259" s="1"/>
  <c r="E29" i="259" a="1"/>
  <c r="E29" i="259" s="1"/>
  <c r="F25" i="259" a="1"/>
  <c r="F25" i="259" s="1"/>
  <c r="E25" i="259" a="1"/>
  <c r="E25" i="259" s="1"/>
  <c r="D37" i="259" a="1"/>
  <c r="D37" i="259" s="1"/>
  <c r="G37" i="259" a="1"/>
  <c r="G37" i="259" s="1"/>
  <c r="E37" i="259" a="1"/>
  <c r="E37" i="259" s="1"/>
  <c r="F37" i="259" a="1"/>
  <c r="F37" i="259" s="1"/>
  <c r="D39" i="259" a="1"/>
  <c r="D39" i="259" s="1"/>
  <c r="D45" i="259" a="1"/>
  <c r="D45" i="259" s="1"/>
  <c r="G45" i="259" a="1"/>
  <c r="G45" i="259" s="1"/>
  <c r="F45" i="259" a="1"/>
  <c r="F45" i="259" s="1"/>
  <c r="E45" i="259" a="1"/>
  <c r="E45" i="259" s="1"/>
  <c r="E30" i="259" a="1"/>
  <c r="E30" i="259" s="1"/>
  <c r="D30" i="259" a="1"/>
  <c r="D30" i="259" s="1"/>
  <c r="F30" i="259" a="1"/>
  <c r="F30" i="259" s="1"/>
  <c r="G30" i="259" a="1"/>
  <c r="G30" i="259" s="1"/>
  <c r="D33" i="259" a="1"/>
  <c r="D33" i="259" s="1"/>
  <c r="G33" i="259" a="1"/>
  <c r="G33" i="259" s="1"/>
  <c r="E33" i="259" a="1"/>
  <c r="E33" i="259" s="1"/>
  <c r="F33" i="259" a="1"/>
  <c r="F33" i="259" s="1"/>
  <c r="D35" i="259" a="1"/>
  <c r="D35" i="259" s="1"/>
  <c r="G35" i="259" a="1"/>
  <c r="G35" i="259" s="1"/>
  <c r="E46" i="259" a="1"/>
  <c r="E46" i="259" s="1"/>
  <c r="D46" i="259" a="1"/>
  <c r="D46" i="259" s="1"/>
  <c r="F46" i="259" a="1"/>
  <c r="F46" i="259" s="1"/>
  <c r="G46" i="259" a="1"/>
  <c r="G46" i="259" s="1"/>
  <c r="E61" i="259" a="1"/>
  <c r="E61" i="259" s="1"/>
  <c r="D61" i="259" a="1"/>
  <c r="D61" i="259" s="1"/>
  <c r="G61" i="259" a="1"/>
  <c r="G61" i="259" s="1"/>
  <c r="F61" i="259" a="1"/>
  <c r="F61" i="259" s="1"/>
  <c r="G69" i="259" a="1"/>
  <c r="G69" i="259" s="1"/>
  <c r="F69" i="259" a="1"/>
  <c r="F69" i="259" s="1"/>
  <c r="E69" i="259" a="1"/>
  <c r="E69" i="259" s="1"/>
  <c r="D69" i="259" a="1"/>
  <c r="D69" i="259" s="1"/>
  <c r="G48" i="259" a="1"/>
  <c r="G48" i="259" s="1"/>
  <c r="F48" i="259" a="1"/>
  <c r="F48" i="259" s="1"/>
  <c r="F80" i="259" a="1"/>
  <c r="F80" i="259" s="1"/>
  <c r="E80" i="259" a="1"/>
  <c r="E80" i="259" s="1"/>
  <c r="F93" i="259" a="1"/>
  <c r="F93" i="259" s="1"/>
  <c r="E93" i="259" a="1"/>
  <c r="E93" i="259" s="1"/>
  <c r="D27" i="259" a="1"/>
  <c r="D27" i="259" s="1"/>
  <c r="D36" i="259" a="1"/>
  <c r="D36" i="259" s="1"/>
  <c r="D43" i="259" a="1"/>
  <c r="D43" i="259" s="1"/>
  <c r="G59" i="259" a="1"/>
  <c r="G59" i="259" s="1"/>
  <c r="F59" i="259" a="1"/>
  <c r="F59" i="259" s="1"/>
  <c r="E59" i="259" a="1"/>
  <c r="E59" i="259" s="1"/>
  <c r="F66" i="259" a="1"/>
  <c r="F66" i="259" s="1"/>
  <c r="E66" i="259" a="1"/>
  <c r="E66" i="259" s="1"/>
  <c r="D66" i="259" a="1"/>
  <c r="D66" i="259" s="1"/>
  <c r="D67" i="259" a="1"/>
  <c r="D67" i="259" s="1"/>
  <c r="G67" i="259" a="1"/>
  <c r="G67" i="259" s="1"/>
  <c r="D74" i="259" a="1"/>
  <c r="D74" i="259" s="1"/>
  <c r="G78" i="259" a="1"/>
  <c r="G78" i="259" s="1"/>
  <c r="D83" i="259" a="1"/>
  <c r="D83" i="259" s="1"/>
  <c r="D95" i="259" a="1"/>
  <c r="D95" i="259" s="1"/>
  <c r="G55" i="259" a="1"/>
  <c r="G55" i="259" s="1"/>
  <c r="F55" i="259" a="1"/>
  <c r="F55" i="259" s="1"/>
  <c r="E55" i="259" a="1"/>
  <c r="E55" i="259" s="1"/>
  <c r="G28" i="259" a="1"/>
  <c r="G28" i="259" s="1"/>
  <c r="F28" i="259" a="1"/>
  <c r="F28" i="259" s="1"/>
  <c r="F35" i="259" a="1"/>
  <c r="F35" i="259" s="1"/>
  <c r="E35" i="259" a="1"/>
  <c r="E35" i="259" s="1"/>
  <c r="F38" i="259" a="1"/>
  <c r="F38" i="259" s="1"/>
  <c r="G44" i="259" a="1"/>
  <c r="G44" i="259" s="1"/>
  <c r="F44" i="259" a="1"/>
  <c r="F44" i="259" s="1"/>
  <c r="D52" i="259" a="1"/>
  <c r="D52" i="259" s="1"/>
  <c r="G52" i="259" a="1"/>
  <c r="G52" i="259" s="1"/>
  <c r="F52" i="259" a="1"/>
  <c r="F52" i="259" s="1"/>
  <c r="G63" i="259" a="1"/>
  <c r="G63" i="259" s="1"/>
  <c r="F63" i="259" a="1"/>
  <c r="F63" i="259" s="1"/>
  <c r="E63" i="259" a="1"/>
  <c r="E63" i="259" s="1"/>
  <c r="G73" i="259" a="1"/>
  <c r="G73" i="259" s="1"/>
  <c r="F73" i="259" a="1"/>
  <c r="F73" i="259" s="1"/>
  <c r="D73" i="259" a="1"/>
  <c r="D73" i="259" s="1"/>
  <c r="D77" i="259" a="1"/>
  <c r="D77" i="259" s="1"/>
  <c r="D80" i="259" a="1"/>
  <c r="D80" i="259" s="1"/>
  <c r="G82" i="259" a="1"/>
  <c r="G82" i="259" s="1"/>
  <c r="E83" i="259" a="1"/>
  <c r="E83" i="259" s="1"/>
  <c r="E85" i="259" a="1"/>
  <c r="E85" i="259" s="1"/>
  <c r="D85" i="259" a="1"/>
  <c r="D85" i="259" s="1"/>
  <c r="G90" i="259" a="1"/>
  <c r="G90" i="259" s="1"/>
  <c r="D93" i="259" a="1"/>
  <c r="D93" i="259" s="1"/>
  <c r="G95" i="259" a="1"/>
  <c r="G95" i="259" s="1"/>
  <c r="E95" i="259" a="1"/>
  <c r="E95" i="259" s="1"/>
  <c r="E26" i="259" a="1"/>
  <c r="E26" i="259" s="1"/>
  <c r="D26" i="259" a="1"/>
  <c r="D26" i="259" s="1"/>
  <c r="E42" i="259" a="1"/>
  <c r="E42" i="259" s="1"/>
  <c r="D42" i="259" a="1"/>
  <c r="D42" i="259" s="1"/>
  <c r="D48" i="259" a="1"/>
  <c r="D48" i="259" s="1"/>
  <c r="E49" i="259" a="1"/>
  <c r="E49" i="259" s="1"/>
  <c r="D49" i="259" a="1"/>
  <c r="D49" i="259" s="1"/>
  <c r="G49" i="259" a="1"/>
  <c r="G49" i="259" s="1"/>
  <c r="D55" i="259" a="1"/>
  <c r="D55" i="259" s="1"/>
  <c r="D56" i="259" a="1"/>
  <c r="D56" i="259" s="1"/>
  <c r="G56" i="259" a="1"/>
  <c r="G56" i="259" s="1"/>
  <c r="F56" i="259" a="1"/>
  <c r="F56" i="259" s="1"/>
  <c r="D76" i="259" a="1"/>
  <c r="D76" i="259" s="1"/>
  <c r="G76" i="259" a="1"/>
  <c r="G76" i="259" s="1"/>
  <c r="G93" i="259" a="1"/>
  <c r="G93" i="259" s="1"/>
  <c r="G100" i="259" a="1"/>
  <c r="G100" i="259" s="1"/>
  <c r="F100" i="259" a="1"/>
  <c r="F100" i="259" s="1"/>
  <c r="E100" i="259" a="1"/>
  <c r="E100" i="259" s="1"/>
  <c r="D100" i="259" a="1"/>
  <c r="D100" i="259" s="1"/>
  <c r="G32" i="259" a="1"/>
  <c r="G32" i="259" s="1"/>
  <c r="F32" i="259" a="1"/>
  <c r="F32" i="259" s="1"/>
  <c r="F39" i="259" a="1"/>
  <c r="F39" i="259" s="1"/>
  <c r="E39" i="259" a="1"/>
  <c r="E39" i="259" s="1"/>
  <c r="D41" i="259" a="1"/>
  <c r="D41" i="259" s="1"/>
  <c r="G41" i="259" a="1"/>
  <c r="G41" i="259" s="1"/>
  <c r="F62" i="259" a="1"/>
  <c r="F62" i="259" s="1"/>
  <c r="E62" i="259" a="1"/>
  <c r="E62" i="259" s="1"/>
  <c r="D62" i="259" a="1"/>
  <c r="D62" i="259" s="1"/>
  <c r="F70" i="259" a="1"/>
  <c r="F70" i="259" s="1"/>
  <c r="D70" i="259" a="1"/>
  <c r="D70" i="259" s="1"/>
  <c r="G70" i="259" a="1"/>
  <c r="G70" i="259" s="1"/>
  <c r="G74" i="259" a="1"/>
  <c r="G74" i="259" s="1"/>
  <c r="E74" i="259" a="1"/>
  <c r="E74" i="259" s="1"/>
  <c r="E77" i="259" a="1"/>
  <c r="E77" i="259" s="1"/>
  <c r="F31" i="259" a="1"/>
  <c r="F31" i="259" s="1"/>
  <c r="E31" i="259" a="1"/>
  <c r="E31" i="259" s="1"/>
  <c r="G40" i="259" a="1"/>
  <c r="G40" i="259" s="1"/>
  <c r="F40" i="259" a="1"/>
  <c r="F40" i="259" s="1"/>
  <c r="E41" i="259" a="1"/>
  <c r="E41" i="259" s="1"/>
  <c r="F47" i="259" a="1"/>
  <c r="F47" i="259" s="1"/>
  <c r="E47" i="259" a="1"/>
  <c r="E47" i="259" s="1"/>
  <c r="D60" i="259" a="1"/>
  <c r="D60" i="259" s="1"/>
  <c r="G60" i="259" a="1"/>
  <c r="G60" i="259" s="1"/>
  <c r="F60" i="259" a="1"/>
  <c r="F60" i="259" s="1"/>
  <c r="F75" i="259" a="1"/>
  <c r="F75" i="259" s="1"/>
  <c r="E76" i="259" a="1"/>
  <c r="E76" i="259" s="1"/>
  <c r="G77" i="259" a="1"/>
  <c r="G77" i="259" s="1"/>
  <c r="G80" i="259" a="1"/>
  <c r="G80" i="259" s="1"/>
  <c r="F85" i="259" a="1"/>
  <c r="F85" i="259" s="1"/>
  <c r="F94" i="259" a="1"/>
  <c r="F94" i="259" s="1"/>
  <c r="E94" i="259" a="1"/>
  <c r="E94" i="259" s="1"/>
  <c r="D94" i="259" a="1"/>
  <c r="D94" i="259" s="1"/>
  <c r="E32" i="259" a="1"/>
  <c r="E32" i="259" s="1"/>
  <c r="F96" i="259" a="1"/>
  <c r="F96" i="259" s="1"/>
  <c r="E96" i="259" a="1"/>
  <c r="E96" i="259" s="1"/>
  <c r="D96" i="259" a="1"/>
  <c r="D96" i="259" s="1"/>
  <c r="E98" i="259" a="1"/>
  <c r="E98" i="259" s="1"/>
  <c r="D98" i="259" a="1"/>
  <c r="D98" i="259" s="1"/>
  <c r="G98" i="259" a="1"/>
  <c r="G98" i="259" s="1"/>
  <c r="F98" i="259" a="1"/>
  <c r="F98" i="259" s="1"/>
  <c r="E38" i="259" a="1"/>
  <c r="E38" i="259" s="1"/>
  <c r="D38" i="259" a="1"/>
  <c r="D38" i="259" s="1"/>
  <c r="D64" i="259" a="1"/>
  <c r="D64" i="259" s="1"/>
  <c r="G64" i="259" a="1"/>
  <c r="G64" i="259" s="1"/>
  <c r="F64" i="259" a="1"/>
  <c r="F64" i="259" s="1"/>
  <c r="D78" i="259" a="1"/>
  <c r="D78" i="259" s="1"/>
  <c r="F78" i="259" a="1"/>
  <c r="F78" i="259" s="1"/>
  <c r="G81" i="259" a="1"/>
  <c r="G81" i="259" s="1"/>
  <c r="F81" i="259" a="1"/>
  <c r="F81" i="259" s="1"/>
  <c r="D81" i="259" a="1"/>
  <c r="D81" i="259" s="1"/>
  <c r="F27" i="259" a="1"/>
  <c r="F27" i="259" s="1"/>
  <c r="E27" i="259" a="1"/>
  <c r="E27" i="259" s="1"/>
  <c r="G36" i="259" a="1"/>
  <c r="G36" i="259" s="1"/>
  <c r="F36" i="259" a="1"/>
  <c r="F36" i="259" s="1"/>
  <c r="F41" i="259" a="1"/>
  <c r="F41" i="259" s="1"/>
  <c r="F43" i="259" a="1"/>
  <c r="F43" i="259" s="1"/>
  <c r="E43" i="259" a="1"/>
  <c r="E43" i="259" s="1"/>
  <c r="E52" i="259" a="1"/>
  <c r="E52" i="259" s="1"/>
  <c r="F54" i="259" a="1"/>
  <c r="F54" i="259" s="1"/>
  <c r="E54" i="259" a="1"/>
  <c r="E54" i="259" s="1"/>
  <c r="D54" i="259" a="1"/>
  <c r="D54" i="259" s="1"/>
  <c r="G62" i="259" a="1"/>
  <c r="G62" i="259" s="1"/>
  <c r="F67" i="259" a="1"/>
  <c r="F67" i="259" s="1"/>
  <c r="D71" i="259" a="1"/>
  <c r="D71" i="259" s="1"/>
  <c r="G71" i="259" a="1"/>
  <c r="G71" i="259" s="1"/>
  <c r="E71" i="259" a="1"/>
  <c r="E71" i="259" s="1"/>
  <c r="D75" i="259" a="1"/>
  <c r="D75" i="259" s="1"/>
  <c r="F79" i="259" a="1"/>
  <c r="F79" i="259" s="1"/>
  <c r="G84" i="259" a="1"/>
  <c r="G84" i="259" s="1"/>
  <c r="E84" i="259" a="1"/>
  <c r="E84" i="259" s="1"/>
  <c r="F86" i="259" a="1"/>
  <c r="F86" i="259" s="1"/>
  <c r="D86" i="259" a="1"/>
  <c r="D86" i="259" s="1"/>
  <c r="D89" i="259" a="1"/>
  <c r="D89" i="259" s="1"/>
  <c r="G89" i="259" a="1"/>
  <c r="G89" i="259" s="1"/>
  <c r="F89" i="259" a="1"/>
  <c r="F89" i="259" s="1"/>
  <c r="G91" i="259" a="1"/>
  <c r="G91" i="259" s="1"/>
  <c r="F91" i="259" a="1"/>
  <c r="F91" i="259" s="1"/>
  <c r="E48" i="259" a="1"/>
  <c r="E48" i="259" s="1"/>
  <c r="F50" i="259" a="1"/>
  <c r="F50" i="259" s="1"/>
  <c r="E50" i="259" a="1"/>
  <c r="E50" i="259" s="1"/>
  <c r="D50" i="259" a="1"/>
  <c r="D50" i="259" s="1"/>
  <c r="E57" i="259" a="1"/>
  <c r="E57" i="259" s="1"/>
  <c r="D57" i="259" a="1"/>
  <c r="D57" i="259" s="1"/>
  <c r="G57" i="259" a="1"/>
  <c r="G57" i="259" s="1"/>
  <c r="D25" i="259" a="1"/>
  <c r="D25" i="259" s="1"/>
  <c r="G25" i="259" a="1"/>
  <c r="G25" i="259" s="1"/>
  <c r="E28" i="259" a="1"/>
  <c r="E28" i="259" s="1"/>
  <c r="D31" i="259" a="1"/>
  <c r="D31" i="259" s="1"/>
  <c r="E34" i="259" a="1"/>
  <c r="E34" i="259" s="1"/>
  <c r="D34" i="259" a="1"/>
  <c r="D34" i="259" s="1"/>
  <c r="G39" i="259" a="1"/>
  <c r="G39" i="259" s="1"/>
  <c r="D40" i="259" a="1"/>
  <c r="D40" i="259" s="1"/>
  <c r="E44" i="259" a="1"/>
  <c r="E44" i="259" s="1"/>
  <c r="D47" i="259" a="1"/>
  <c r="D47" i="259" s="1"/>
  <c r="G51" i="259" a="1"/>
  <c r="G51" i="259" s="1"/>
  <c r="F51" i="259" a="1"/>
  <c r="F51" i="259" s="1"/>
  <c r="E51" i="259" a="1"/>
  <c r="E51" i="259" s="1"/>
  <c r="E56" i="259" a="1"/>
  <c r="E56" i="259" s="1"/>
  <c r="F58" i="259" a="1"/>
  <c r="F58" i="259" s="1"/>
  <c r="E58" i="259" a="1"/>
  <c r="E58" i="259" s="1"/>
  <c r="D58" i="259" a="1"/>
  <c r="D58" i="259" s="1"/>
  <c r="E65" i="259" a="1"/>
  <c r="E65" i="259" s="1"/>
  <c r="D65" i="259" a="1"/>
  <c r="D65" i="259" s="1"/>
  <c r="G65" i="259" a="1"/>
  <c r="G65" i="259" s="1"/>
  <c r="G66" i="259" a="1"/>
  <c r="G66" i="259" s="1"/>
  <c r="E75" i="259" a="1"/>
  <c r="E75" i="259" s="1"/>
  <c r="E81" i="259" a="1"/>
  <c r="E81" i="259" s="1"/>
  <c r="F83" i="259" a="1"/>
  <c r="F83" i="259" s="1"/>
  <c r="G94" i="259" a="1"/>
  <c r="G94" i="259" s="1"/>
  <c r="E68" i="259" a="1"/>
  <c r="E68" i="259" s="1"/>
  <c r="D72" i="259" a="1"/>
  <c r="D72" i="259" s="1"/>
  <c r="E79" i="259" a="1"/>
  <c r="E79" i="259" s="1"/>
  <c r="G87" i="259" a="1"/>
  <c r="G87" i="259" s="1"/>
  <c r="F88" i="259" a="1"/>
  <c r="F88" i="259" s="1"/>
  <c r="E90" i="259" a="1"/>
  <c r="E90" i="259" s="1"/>
  <c r="D92" i="259" a="1"/>
  <c r="D92" i="259" s="1"/>
  <c r="F127" i="259"/>
  <c r="F68" i="259" a="1"/>
  <c r="F68" i="259" s="1"/>
  <c r="E72" i="259" a="1"/>
  <c r="E72" i="259" s="1"/>
  <c r="G79" i="259" a="1"/>
  <c r="G79" i="259" s="1"/>
  <c r="E82" i="259" a="1"/>
  <c r="E82" i="259" s="1"/>
  <c r="H82" i="259" s="1"/>
  <c r="I82" i="259" s="1"/>
  <c r="D84" i="259" a="1"/>
  <c r="D84" i="259" s="1"/>
  <c r="D97" i="259" a="1"/>
  <c r="D97" i="259" s="1"/>
  <c r="F97" i="259" a="1"/>
  <c r="F97" i="259" s="1"/>
  <c r="D87" i="259" a="1"/>
  <c r="D87" i="259" s="1"/>
  <c r="E97" i="259" a="1"/>
  <c r="E97" i="259" s="1"/>
  <c r="F99" i="259" a="1"/>
  <c r="F99" i="259" s="1"/>
  <c r="E99" i="259" a="1"/>
  <c r="E99" i="259" s="1"/>
  <c r="D99" i="259" a="1"/>
  <c r="D99" i="259" s="1"/>
  <c r="E88" i="259" a="1"/>
  <c r="E88" i="259" s="1"/>
  <c r="H88" i="259" s="1"/>
  <c r="I88" i="259" s="1"/>
  <c r="G107" i="259"/>
  <c r="G127" i="259" s="1"/>
  <c r="E82" i="258" a="1"/>
  <c r="E82" i="258" s="1"/>
  <c r="G74" i="258" a="1"/>
  <c r="G74" i="258" s="1"/>
  <c r="E74" i="258" a="1"/>
  <c r="E74" i="258" s="1"/>
  <c r="G80" i="258" a="1"/>
  <c r="G80" i="258" s="1"/>
  <c r="D80" i="258" a="1"/>
  <c r="D80" i="258" s="1"/>
  <c r="G52" i="258" a="1"/>
  <c r="G52" i="258" s="1"/>
  <c r="F52" i="258" a="1"/>
  <c r="F52" i="258" s="1"/>
  <c r="D52" i="258" a="1"/>
  <c r="D52" i="258" s="1"/>
  <c r="F81" i="258" a="1"/>
  <c r="F81" i="258" s="1"/>
  <c r="E81" i="258" a="1"/>
  <c r="E81" i="258" s="1"/>
  <c r="G81" i="258" a="1"/>
  <c r="G81" i="258" s="1"/>
  <c r="E53" i="258" a="1"/>
  <c r="E53" i="258" s="1"/>
  <c r="G67" i="258" a="1"/>
  <c r="G67" i="258" s="1"/>
  <c r="E67" i="258" a="1"/>
  <c r="E67" i="258" s="1"/>
  <c r="F61" i="254" a="1"/>
  <c r="F61" i="254" s="1"/>
  <c r="F46" i="255" a="1"/>
  <c r="F46" i="255" s="1"/>
  <c r="G99" i="255" a="1"/>
  <c r="G99" i="255" s="1"/>
  <c r="G28" i="256" a="1"/>
  <c r="G28" i="256" s="1"/>
  <c r="G74" i="256" a="1"/>
  <c r="G74" i="256" s="1"/>
  <c r="G96" i="256" a="1"/>
  <c r="G96" i="256" s="1"/>
  <c r="G62" i="257" a="1"/>
  <c r="G62" i="257" s="1"/>
  <c r="E70" i="257" a="1"/>
  <c r="E70" i="257" s="1"/>
  <c r="F51" i="258" a="1"/>
  <c r="F51" i="258" s="1"/>
  <c r="G75" i="258" a="1"/>
  <c r="G75" i="258" s="1"/>
  <c r="F87" i="258" a="1"/>
  <c r="F87" i="258" s="1"/>
  <c r="F74" i="254" a="1"/>
  <c r="F74" i="254" s="1"/>
  <c r="F39" i="255" a="1"/>
  <c r="F39" i="255" s="1"/>
  <c r="F47" i="255" a="1"/>
  <c r="F47" i="255" s="1"/>
  <c r="G81" i="255" a="1"/>
  <c r="G81" i="255" s="1"/>
  <c r="F92" i="255" a="1"/>
  <c r="F92" i="255" s="1"/>
  <c r="D64" i="256" a="1"/>
  <c r="D64" i="256" s="1"/>
  <c r="G93" i="256" a="1"/>
  <c r="G93" i="256" s="1"/>
  <c r="G63" i="257" a="1"/>
  <c r="G63" i="257" s="1"/>
  <c r="F70" i="257" a="1"/>
  <c r="F70" i="257" s="1"/>
  <c r="E96" i="257" a="1"/>
  <c r="E96" i="257" s="1"/>
  <c r="F62" i="258" a="1"/>
  <c r="F62" i="258" s="1"/>
  <c r="D64" i="258" a="1"/>
  <c r="D64" i="258" s="1"/>
  <c r="F67" i="258" a="1"/>
  <c r="F67" i="258" s="1"/>
  <c r="D75" i="258" a="1"/>
  <c r="D75" i="258" s="1"/>
  <c r="E87" i="258" a="1"/>
  <c r="E87" i="258" s="1"/>
  <c r="D82" i="251" a="1"/>
  <c r="D82" i="251" s="1"/>
  <c r="F96" i="255" a="1"/>
  <c r="F96" i="255" s="1"/>
  <c r="D33" i="256" a="1"/>
  <c r="D33" i="256" s="1"/>
  <c r="G58" i="256" a="1"/>
  <c r="G58" i="256" s="1"/>
  <c r="D80" i="256" a="1"/>
  <c r="D80" i="256" s="1"/>
  <c r="D100" i="256" a="1"/>
  <c r="D100" i="256" s="1"/>
  <c r="G44" i="257" a="1"/>
  <c r="G44" i="257" s="1"/>
  <c r="G51" i="257" a="1"/>
  <c r="G51" i="257" s="1"/>
  <c r="E83" i="257" a="1"/>
  <c r="E83" i="257" s="1"/>
  <c r="G97" i="257" a="1"/>
  <c r="G97" i="257" s="1"/>
  <c r="D49" i="258" a="1"/>
  <c r="D49" i="258" s="1"/>
  <c r="D70" i="258" a="1"/>
  <c r="D70" i="258" s="1"/>
  <c r="E100" i="256" a="1"/>
  <c r="E100" i="256" s="1"/>
  <c r="F70" i="258" a="1"/>
  <c r="F70" i="258" s="1"/>
  <c r="F76" i="258" a="1"/>
  <c r="F76" i="258" s="1"/>
  <c r="D92" i="258" a="1"/>
  <c r="D92" i="258" s="1"/>
  <c r="D32" i="254" a="1"/>
  <c r="D32" i="254" s="1"/>
  <c r="D60" i="254" a="1"/>
  <c r="D60" i="254" s="1"/>
  <c r="F64" i="254" a="1"/>
  <c r="F64" i="254" s="1"/>
  <c r="G92" i="254" a="1"/>
  <c r="G92" i="254" s="1"/>
  <c r="G96" i="254" a="1"/>
  <c r="G96" i="254" s="1"/>
  <c r="F59" i="256" a="1"/>
  <c r="F59" i="256" s="1"/>
  <c r="E73" i="256" a="1"/>
  <c r="E73" i="256" s="1"/>
  <c r="G43" i="257" a="1"/>
  <c r="G43" i="257" s="1"/>
  <c r="G80" i="257" a="1"/>
  <c r="G80" i="257" s="1"/>
  <c r="G63" i="258" a="1"/>
  <c r="G63" i="258" s="1"/>
  <c r="D67" i="258" a="1"/>
  <c r="D67" i="258" s="1"/>
  <c r="G70" i="258" a="1"/>
  <c r="G70" i="258" s="1"/>
  <c r="G90" i="252" a="1"/>
  <c r="G90" i="252" s="1"/>
  <c r="E25" i="254" a="1"/>
  <c r="E25" i="254" s="1"/>
  <c r="G33" i="254" a="1"/>
  <c r="G33" i="254" s="1"/>
  <c r="E37" i="254" a="1"/>
  <c r="E37" i="254" s="1"/>
  <c r="D26" i="257" a="1"/>
  <c r="D26" i="257" s="1"/>
  <c r="D69" i="257" a="1"/>
  <c r="D69" i="257" s="1"/>
  <c r="G47" i="258" a="1"/>
  <c r="G47" i="258" s="1"/>
  <c r="E38" i="256" a="1"/>
  <c r="E38" i="256" s="1"/>
  <c r="F71" i="258" a="1"/>
  <c r="F71" i="258" s="1"/>
  <c r="G91" i="258" a="1"/>
  <c r="G91" i="258" s="1"/>
  <c r="E36" i="258" a="1"/>
  <c r="E36" i="258" s="1"/>
  <c r="D36" i="258" a="1"/>
  <c r="D36" i="258" s="1"/>
  <c r="G36" i="258" a="1"/>
  <c r="G36" i="258" s="1"/>
  <c r="F36" i="258" a="1"/>
  <c r="F36" i="258" s="1"/>
  <c r="F29" i="258" a="1"/>
  <c r="F29" i="258" s="1"/>
  <c r="E29" i="258" a="1"/>
  <c r="E29" i="258" s="1"/>
  <c r="D29" i="258" a="1"/>
  <c r="D29" i="258" s="1"/>
  <c r="G29" i="258" a="1"/>
  <c r="G29" i="258" s="1"/>
  <c r="D53" i="258" a="1"/>
  <c r="D53" i="258" s="1"/>
  <c r="G57" i="258" a="1"/>
  <c r="G57" i="258" s="1"/>
  <c r="F57" i="258" a="1"/>
  <c r="F57" i="258" s="1"/>
  <c r="E57" i="258" a="1"/>
  <c r="E57" i="258" s="1"/>
  <c r="E68" i="258" a="1"/>
  <c r="E68" i="258" s="1"/>
  <c r="D68" i="258" a="1"/>
  <c r="D68" i="258" s="1"/>
  <c r="G73" i="258" a="1"/>
  <c r="G73" i="258" s="1"/>
  <c r="E78" i="258" a="1"/>
  <c r="E78" i="258" s="1"/>
  <c r="D78" i="258" a="1"/>
  <c r="D78" i="258" s="1"/>
  <c r="F61" i="258" a="1"/>
  <c r="F61" i="258" s="1"/>
  <c r="D61" i="258" a="1"/>
  <c r="D61" i="258" s="1"/>
  <c r="G30" i="258" a="1"/>
  <c r="G30" i="258" s="1"/>
  <c r="D31" i="258" a="1"/>
  <c r="D31" i="258" s="1"/>
  <c r="G31" i="258" a="1"/>
  <c r="G31" i="258" s="1"/>
  <c r="F31" i="258" a="1"/>
  <c r="F31" i="258" s="1"/>
  <c r="E31" i="258" a="1"/>
  <c r="E31" i="258" s="1"/>
  <c r="E32" i="258" a="1"/>
  <c r="E32" i="258" s="1"/>
  <c r="D32" i="258" a="1"/>
  <c r="D32" i="258" s="1"/>
  <c r="G32" i="258" a="1"/>
  <c r="G32" i="258" s="1"/>
  <c r="F32" i="258" a="1"/>
  <c r="F32" i="258" s="1"/>
  <c r="F25" i="258" a="1"/>
  <c r="F25" i="258" s="1"/>
  <c r="E25" i="258" a="1"/>
  <c r="E25" i="258" s="1"/>
  <c r="D25" i="258" a="1"/>
  <c r="D25" i="258" s="1"/>
  <c r="G25" i="258" a="1"/>
  <c r="G25" i="258" s="1"/>
  <c r="G26" i="258" a="1"/>
  <c r="G26" i="258" s="1"/>
  <c r="D27" i="258" a="1"/>
  <c r="D27" i="258" s="1"/>
  <c r="G27" i="258" a="1"/>
  <c r="G27" i="258" s="1"/>
  <c r="F27" i="258" a="1"/>
  <c r="F27" i="258" s="1"/>
  <c r="E27" i="258" a="1"/>
  <c r="E27" i="258" s="1"/>
  <c r="E28" i="258" a="1"/>
  <c r="E28" i="258" s="1"/>
  <c r="D28" i="258" a="1"/>
  <c r="D28" i="258" s="1"/>
  <c r="G28" i="258" a="1"/>
  <c r="G28" i="258" s="1"/>
  <c r="F28" i="258" a="1"/>
  <c r="F28" i="258" s="1"/>
  <c r="E52" i="258" a="1"/>
  <c r="E52" i="258" s="1"/>
  <c r="H52" i="258" s="1"/>
  <c r="I52" i="258" s="1"/>
  <c r="D60" i="258" a="1"/>
  <c r="D60" i="258" s="1"/>
  <c r="E64" i="258" a="1"/>
  <c r="E64" i="258" s="1"/>
  <c r="G64" i="258" a="1"/>
  <c r="G64" i="258" s="1"/>
  <c r="F78" i="258" a="1"/>
  <c r="F78" i="258" s="1"/>
  <c r="F83" i="258" a="1"/>
  <c r="F83" i="258" s="1"/>
  <c r="E83" i="258" a="1"/>
  <c r="E83" i="258" s="1"/>
  <c r="D83" i="258" a="1"/>
  <c r="D83" i="258" s="1"/>
  <c r="G83" i="258" a="1"/>
  <c r="G83" i="258" s="1"/>
  <c r="D89" i="258" a="1"/>
  <c r="D89" i="258" s="1"/>
  <c r="G89" i="258" a="1"/>
  <c r="G89" i="258" s="1"/>
  <c r="F89" i="258" a="1"/>
  <c r="F89" i="258" s="1"/>
  <c r="E89" i="258" a="1"/>
  <c r="E89" i="258" s="1"/>
  <c r="F33" i="258" a="1"/>
  <c r="F33" i="258" s="1"/>
  <c r="E33" i="258" a="1"/>
  <c r="E33" i="258" s="1"/>
  <c r="D33" i="258" a="1"/>
  <c r="D33" i="258" s="1"/>
  <c r="G33" i="258" a="1"/>
  <c r="G33" i="258" s="1"/>
  <c r="D35" i="258" a="1"/>
  <c r="D35" i="258" s="1"/>
  <c r="G35" i="258" a="1"/>
  <c r="G35" i="258" s="1"/>
  <c r="F35" i="258" a="1"/>
  <c r="F35" i="258" s="1"/>
  <c r="E35" i="258" a="1"/>
  <c r="E35" i="258" s="1"/>
  <c r="G49" i="258" a="1"/>
  <c r="G49" i="258" s="1"/>
  <c r="F49" i="258" a="1"/>
  <c r="F49" i="258" s="1"/>
  <c r="E49" i="258" a="1"/>
  <c r="E49" i="258" s="1"/>
  <c r="E54" i="258" a="1"/>
  <c r="E54" i="258" s="1"/>
  <c r="D54" i="258" a="1"/>
  <c r="D54" i="258" s="1"/>
  <c r="F48" i="258" a="1"/>
  <c r="F48" i="258" s="1"/>
  <c r="E48" i="258" a="1"/>
  <c r="E48" i="258" s="1"/>
  <c r="D48" i="258" a="1"/>
  <c r="D48" i="258" s="1"/>
  <c r="G48" i="258" a="1"/>
  <c r="G48" i="258" s="1"/>
  <c r="F54" i="258" a="1"/>
  <c r="F54" i="258" s="1"/>
  <c r="G59" i="258" a="1"/>
  <c r="G59" i="258" s="1"/>
  <c r="E61" i="258" a="1"/>
  <c r="E61" i="258" s="1"/>
  <c r="F68" i="258" a="1"/>
  <c r="F68" i="258" s="1"/>
  <c r="F77" i="258" a="1"/>
  <c r="F77" i="258" s="1"/>
  <c r="E77" i="258" a="1"/>
  <c r="E77" i="258" s="1"/>
  <c r="D77" i="258" a="1"/>
  <c r="D77" i="258" s="1"/>
  <c r="F85" i="258" a="1"/>
  <c r="F85" i="258" s="1"/>
  <c r="E85" i="258" a="1"/>
  <c r="E85" i="258" s="1"/>
  <c r="G85" i="258" a="1"/>
  <c r="G85" i="258" s="1"/>
  <c r="G54" i="258" a="1"/>
  <c r="G54" i="258" s="1"/>
  <c r="E56" i="258" a="1"/>
  <c r="E56" i="258" s="1"/>
  <c r="D56" i="258" a="1"/>
  <c r="D56" i="258" s="1"/>
  <c r="G56" i="258" a="1"/>
  <c r="G56" i="258" s="1"/>
  <c r="F56" i="258" a="1"/>
  <c r="F56" i="258" s="1"/>
  <c r="G61" i="258" a="1"/>
  <c r="G61" i="258" s="1"/>
  <c r="G66" i="258" a="1"/>
  <c r="G66" i="258" s="1"/>
  <c r="E66" i="258" a="1"/>
  <c r="E66" i="258" s="1"/>
  <c r="G79" i="258" a="1"/>
  <c r="G79" i="258" s="1"/>
  <c r="D79" i="258" a="1"/>
  <c r="D79" i="258" s="1"/>
  <c r="F79" i="258" a="1"/>
  <c r="F79" i="258" s="1"/>
  <c r="G69" i="258" a="1"/>
  <c r="G69" i="258" s="1"/>
  <c r="F69" i="258" a="1"/>
  <c r="F69" i="258" s="1"/>
  <c r="D69" i="258" a="1"/>
  <c r="D69" i="258" s="1"/>
  <c r="D73" i="258" a="1"/>
  <c r="D73" i="258" s="1"/>
  <c r="F73" i="258" a="1"/>
  <c r="F73" i="258" s="1"/>
  <c r="D47" i="258" a="1"/>
  <c r="D47" i="258" s="1"/>
  <c r="F47" i="258" a="1"/>
  <c r="F47" i="258" s="1"/>
  <c r="E47" i="258" a="1"/>
  <c r="E47" i="258" s="1"/>
  <c r="F50" i="258" a="1"/>
  <c r="F50" i="258" s="1"/>
  <c r="E50" i="258" a="1"/>
  <c r="E50" i="258" s="1"/>
  <c r="G50" i="258" a="1"/>
  <c r="G50" i="258" s="1"/>
  <c r="D59" i="258" a="1"/>
  <c r="D59" i="258" s="1"/>
  <c r="F41" i="258" a="1"/>
  <c r="F41" i="258" s="1"/>
  <c r="E41" i="258" a="1"/>
  <c r="E41" i="258" s="1"/>
  <c r="D41" i="258" a="1"/>
  <c r="D41" i="258" s="1"/>
  <c r="G41" i="258" a="1"/>
  <c r="G41" i="258" s="1"/>
  <c r="G42" i="258" a="1"/>
  <c r="G42" i="258" s="1"/>
  <c r="D43" i="258" a="1"/>
  <c r="D43" i="258" s="1"/>
  <c r="G43" i="258" a="1"/>
  <c r="G43" i="258" s="1"/>
  <c r="F43" i="258" a="1"/>
  <c r="F43" i="258" s="1"/>
  <c r="E43" i="258" a="1"/>
  <c r="E43" i="258" s="1"/>
  <c r="E44" i="258" a="1"/>
  <c r="E44" i="258" s="1"/>
  <c r="D44" i="258" a="1"/>
  <c r="D44" i="258" s="1"/>
  <c r="G44" i="258" a="1"/>
  <c r="G44" i="258" s="1"/>
  <c r="F44" i="258" a="1"/>
  <c r="F44" i="258" s="1"/>
  <c r="E51" i="258" a="1"/>
  <c r="E51" i="258" s="1"/>
  <c r="G55" i="258" a="1"/>
  <c r="G55" i="258" s="1"/>
  <c r="D58" i="258" a="1"/>
  <c r="D58" i="258" s="1"/>
  <c r="G58" i="258" a="1"/>
  <c r="G58" i="258" s="1"/>
  <c r="F58" i="258" a="1"/>
  <c r="F58" i="258" s="1"/>
  <c r="E59" i="258" a="1"/>
  <c r="E59" i="258" s="1"/>
  <c r="G60" i="258" a="1"/>
  <c r="G60" i="258" s="1"/>
  <c r="D66" i="258" a="1"/>
  <c r="D66" i="258" s="1"/>
  <c r="G77" i="258" a="1"/>
  <c r="G77" i="258" s="1"/>
  <c r="D82" i="258" a="1"/>
  <c r="D82" i="258" s="1"/>
  <c r="G82" i="258" a="1"/>
  <c r="G82" i="258" s="1"/>
  <c r="F82" i="258" a="1"/>
  <c r="F82" i="258" s="1"/>
  <c r="D84" i="258" a="1"/>
  <c r="D84" i="258" s="1"/>
  <c r="G84" i="258" a="1"/>
  <c r="G84" i="258" s="1"/>
  <c r="F84" i="258" a="1"/>
  <c r="F84" i="258" s="1"/>
  <c r="E84" i="258" a="1"/>
  <c r="E84" i="258" s="1"/>
  <c r="G94" i="258" a="1"/>
  <c r="G94" i="258" s="1"/>
  <c r="F94" i="258" a="1"/>
  <c r="F94" i="258" s="1"/>
  <c r="E94" i="258" a="1"/>
  <c r="E94" i="258" s="1"/>
  <c r="D94" i="258" a="1"/>
  <c r="D94" i="258" s="1"/>
  <c r="F45" i="258" a="1"/>
  <c r="F45" i="258" s="1"/>
  <c r="E45" i="258" a="1"/>
  <c r="E45" i="258" s="1"/>
  <c r="D45" i="258" a="1"/>
  <c r="D45" i="258" s="1"/>
  <c r="G45" i="258" a="1"/>
  <c r="G45" i="258" s="1"/>
  <c r="D51" i="258" a="1"/>
  <c r="D51" i="258" s="1"/>
  <c r="F37" i="258" a="1"/>
  <c r="F37" i="258" s="1"/>
  <c r="E37" i="258" a="1"/>
  <c r="E37" i="258" s="1"/>
  <c r="D37" i="258" a="1"/>
  <c r="D37" i="258" s="1"/>
  <c r="G37" i="258" a="1"/>
  <c r="G37" i="258" s="1"/>
  <c r="G38" i="258" a="1"/>
  <c r="G38" i="258" s="1"/>
  <c r="D39" i="258" a="1"/>
  <c r="D39" i="258" s="1"/>
  <c r="G39" i="258" a="1"/>
  <c r="G39" i="258" s="1"/>
  <c r="F39" i="258" a="1"/>
  <c r="F39" i="258" s="1"/>
  <c r="E39" i="258" a="1"/>
  <c r="E39" i="258" s="1"/>
  <c r="E40" i="258" a="1"/>
  <c r="E40" i="258" s="1"/>
  <c r="D40" i="258" a="1"/>
  <c r="D40" i="258" s="1"/>
  <c r="G40" i="258" a="1"/>
  <c r="G40" i="258" s="1"/>
  <c r="F40" i="258" a="1"/>
  <c r="F40" i="258" s="1"/>
  <c r="D50" i="258" a="1"/>
  <c r="D50" i="258" s="1"/>
  <c r="D62" i="258" a="1"/>
  <c r="D62" i="258" s="1"/>
  <c r="E62" i="258" a="1"/>
  <c r="E62" i="258" s="1"/>
  <c r="D65" i="258" a="1"/>
  <c r="D65" i="258" s="1"/>
  <c r="H65" i="258" s="1"/>
  <c r="I65" i="258" s="1"/>
  <c r="F66" i="258" a="1"/>
  <c r="F66" i="258" s="1"/>
  <c r="F72" i="258" a="1"/>
  <c r="F72" i="258" s="1"/>
  <c r="E72" i="258" a="1"/>
  <c r="E72" i="258" s="1"/>
  <c r="G72" i="258" a="1"/>
  <c r="G72" i="258" s="1"/>
  <c r="E79" i="258" a="1"/>
  <c r="E79" i="258" s="1"/>
  <c r="E86" i="258" a="1"/>
  <c r="E86" i="258" s="1"/>
  <c r="G88" i="258" a="1"/>
  <c r="G88" i="258" s="1"/>
  <c r="F88" i="258" a="1"/>
  <c r="F88" i="258" s="1"/>
  <c r="E88" i="258" a="1"/>
  <c r="E88" i="258" s="1"/>
  <c r="E90" i="258" a="1"/>
  <c r="E90" i="258" s="1"/>
  <c r="F90" i="258" a="1"/>
  <c r="F90" i="258" s="1"/>
  <c r="D90" i="258" a="1"/>
  <c r="D90" i="258" s="1"/>
  <c r="D26" i="258" a="1"/>
  <c r="D26" i="258" s="1"/>
  <c r="D30" i="258" a="1"/>
  <c r="D30" i="258" s="1"/>
  <c r="D34" i="258" a="1"/>
  <c r="D34" i="258" s="1"/>
  <c r="D38" i="258" a="1"/>
  <c r="D38" i="258" s="1"/>
  <c r="D42" i="258" a="1"/>
  <c r="D42" i="258" s="1"/>
  <c r="D46" i="258" a="1"/>
  <c r="D46" i="258" s="1"/>
  <c r="D55" i="258" a="1"/>
  <c r="D55" i="258" s="1"/>
  <c r="D76" i="258" a="1"/>
  <c r="D76" i="258" s="1"/>
  <c r="G76" i="258" a="1"/>
  <c r="G76" i="258" s="1"/>
  <c r="E80" i="258" a="1"/>
  <c r="E80" i="258" s="1"/>
  <c r="D86" i="258" a="1"/>
  <c r="D86" i="258" s="1"/>
  <c r="D87" i="258" a="1"/>
  <c r="D87" i="258" s="1"/>
  <c r="G96" i="258" a="1"/>
  <c r="G96" i="258" s="1"/>
  <c r="G99" i="258" a="1"/>
  <c r="G99" i="258" s="1"/>
  <c r="E26" i="258" a="1"/>
  <c r="E26" i="258" s="1"/>
  <c r="E30" i="258" a="1"/>
  <c r="E30" i="258" s="1"/>
  <c r="E34" i="258" a="1"/>
  <c r="E34" i="258" s="1"/>
  <c r="E38" i="258" a="1"/>
  <c r="E38" i="258" s="1"/>
  <c r="E42" i="258" a="1"/>
  <c r="E42" i="258" s="1"/>
  <c r="E46" i="258" a="1"/>
  <c r="E46" i="258" s="1"/>
  <c r="E55" i="258" a="1"/>
  <c r="E55" i="258" s="1"/>
  <c r="F74" i="258" a="1"/>
  <c r="F74" i="258" s="1"/>
  <c r="G78" i="258" a="1"/>
  <c r="G78" i="258" s="1"/>
  <c r="F80" i="258" a="1"/>
  <c r="F80" i="258" s="1"/>
  <c r="E91" i="258" a="1"/>
  <c r="E91" i="258" s="1"/>
  <c r="D91" i="258" a="1"/>
  <c r="D91" i="258" s="1"/>
  <c r="G92" i="258" a="1"/>
  <c r="G92" i="258" s="1"/>
  <c r="F92" i="258" a="1"/>
  <c r="F92" i="258" s="1"/>
  <c r="E92" i="258" a="1"/>
  <c r="E92" i="258" s="1"/>
  <c r="E93" i="258" a="1"/>
  <c r="E93" i="258" s="1"/>
  <c r="G93" i="258" a="1"/>
  <c r="G93" i="258" s="1"/>
  <c r="G100" i="258" a="1"/>
  <c r="G100" i="258" s="1"/>
  <c r="D100" i="258" a="1"/>
  <c r="D100" i="258" s="1"/>
  <c r="F100" i="258" a="1"/>
  <c r="F100" i="258" s="1"/>
  <c r="F26" i="258" a="1"/>
  <c r="F26" i="258" s="1"/>
  <c r="F30" i="258" a="1"/>
  <c r="F30" i="258" s="1"/>
  <c r="F34" i="258" a="1"/>
  <c r="F34" i="258" s="1"/>
  <c r="F38" i="258" a="1"/>
  <c r="F38" i="258" s="1"/>
  <c r="F42" i="258" a="1"/>
  <c r="F42" i="258" s="1"/>
  <c r="F46" i="258" a="1"/>
  <c r="F46" i="258" s="1"/>
  <c r="G51" i="258" a="1"/>
  <c r="G51" i="258" s="1"/>
  <c r="F55" i="258" a="1"/>
  <c r="F55" i="258" s="1"/>
  <c r="D93" i="258" a="1"/>
  <c r="D93" i="258" s="1"/>
  <c r="D95" i="258" a="1"/>
  <c r="D95" i="258" s="1"/>
  <c r="D97" i="258" a="1"/>
  <c r="D97" i="258" s="1"/>
  <c r="E97" i="258" a="1"/>
  <c r="E97" i="258" s="1"/>
  <c r="G97" i="258" a="1"/>
  <c r="G97" i="258" s="1"/>
  <c r="E98" i="258" a="1"/>
  <c r="E98" i="258" s="1"/>
  <c r="G98" i="258" a="1"/>
  <c r="G98" i="258" s="1"/>
  <c r="F98" i="258" a="1"/>
  <c r="F98" i="258" s="1"/>
  <c r="F99" i="258" a="1"/>
  <c r="F99" i="258" s="1"/>
  <c r="G53" i="258" a="1"/>
  <c r="G53" i="258" s="1"/>
  <c r="D74" i="258" a="1"/>
  <c r="D74" i="258" s="1"/>
  <c r="E95" i="258" a="1"/>
  <c r="E95" i="258" s="1"/>
  <c r="D96" i="258" a="1"/>
  <c r="D96" i="258" s="1"/>
  <c r="F127" i="258"/>
  <c r="G107" i="258"/>
  <c r="G127" i="258" s="1"/>
  <c r="G71" i="258" a="1"/>
  <c r="G71" i="258" s="1"/>
  <c r="F75" i="258" a="1"/>
  <c r="F75" i="258" s="1"/>
  <c r="E75" i="258" a="1"/>
  <c r="E75" i="258" s="1"/>
  <c r="D81" i="258" a="1"/>
  <c r="D81" i="258" s="1"/>
  <c r="G86" i="258" a="1"/>
  <c r="G86" i="258" s="1"/>
  <c r="F86" i="258" a="1"/>
  <c r="F86" i="258" s="1"/>
  <c r="E96" i="258" a="1"/>
  <c r="E96" i="258" s="1"/>
  <c r="E100" i="258" a="1"/>
  <c r="E100" i="258" s="1"/>
  <c r="G95" i="258" a="1"/>
  <c r="G95" i="258" s="1"/>
  <c r="G32" i="257" a="1"/>
  <c r="G32" i="257" s="1"/>
  <c r="E32" i="257" a="1"/>
  <c r="E32" i="257" s="1"/>
  <c r="E90" i="257" a="1"/>
  <c r="E90" i="257" s="1"/>
  <c r="G90" i="257" a="1"/>
  <c r="G90" i="257" s="1"/>
  <c r="D90" i="257" a="1"/>
  <c r="D90" i="257" s="1"/>
  <c r="D48" i="257" a="1"/>
  <c r="D48" i="257" s="1"/>
  <c r="E48" i="257" a="1"/>
  <c r="E48" i="257" s="1"/>
  <c r="F49" i="255" a="1"/>
  <c r="F49" i="255" s="1"/>
  <c r="D36" i="257" a="1"/>
  <c r="D36" i="257" s="1"/>
  <c r="G36" i="257" a="1"/>
  <c r="G36" i="257" s="1"/>
  <c r="E36" i="257" a="1"/>
  <c r="E36" i="257" s="1"/>
  <c r="E80" i="257" a="1"/>
  <c r="E80" i="257" s="1"/>
  <c r="D80" i="257" a="1"/>
  <c r="D80" i="257" s="1"/>
  <c r="E40" i="257" a="1"/>
  <c r="E40" i="257" s="1"/>
  <c r="G40" i="257" a="1"/>
  <c r="G40" i="257" s="1"/>
  <c r="G81" i="257" a="1"/>
  <c r="G81" i="257" s="1"/>
  <c r="F81" i="257" a="1"/>
  <c r="F81" i="257" s="1"/>
  <c r="D81" i="257" a="1"/>
  <c r="D81" i="257" s="1"/>
  <c r="D56" i="257" a="1"/>
  <c r="D56" i="257" s="1"/>
  <c r="E56" i="257" a="1"/>
  <c r="E56" i="257" s="1"/>
  <c r="F82" i="257" a="1"/>
  <c r="F82" i="257" s="1"/>
  <c r="D82" i="257" a="1"/>
  <c r="D82" i="257" s="1"/>
  <c r="G82" i="257" a="1"/>
  <c r="G82" i="257" s="1"/>
  <c r="G92" i="255" a="1"/>
  <c r="G92" i="255" s="1"/>
  <c r="F39" i="256" a="1"/>
  <c r="F39" i="256" s="1"/>
  <c r="F46" i="249" a="1"/>
  <c r="F46" i="249" s="1"/>
  <c r="F96" i="250" a="1"/>
  <c r="F96" i="250" s="1"/>
  <c r="D43" i="255" a="1"/>
  <c r="D43" i="255" s="1"/>
  <c r="G57" i="255" a="1"/>
  <c r="G57" i="255" s="1"/>
  <c r="E52" i="256" a="1"/>
  <c r="E52" i="256" s="1"/>
  <c r="F55" i="256" a="1"/>
  <c r="F55" i="256" s="1"/>
  <c r="E68" i="256" a="1"/>
  <c r="E68" i="256" s="1"/>
  <c r="G98" i="256" a="1"/>
  <c r="G98" i="256" s="1"/>
  <c r="E25" i="257" a="1"/>
  <c r="E25" i="257" s="1"/>
  <c r="D40" i="257" a="1"/>
  <c r="D40" i="257" s="1"/>
  <c r="E62" i="257" a="1"/>
  <c r="E62" i="257" s="1"/>
  <c r="G93" i="257" a="1"/>
  <c r="G93" i="257" s="1"/>
  <c r="D32" i="257" a="1"/>
  <c r="D32" i="257" s="1"/>
  <c r="F31" i="256" a="1"/>
  <c r="F31" i="256" s="1"/>
  <c r="E34" i="256" a="1"/>
  <c r="E34" i="256" s="1"/>
  <c r="E80" i="256" a="1"/>
  <c r="E80" i="256" s="1"/>
  <c r="E96" i="256" a="1"/>
  <c r="E96" i="256" s="1"/>
  <c r="D66" i="257" a="1"/>
  <c r="D66" i="257" s="1"/>
  <c r="D47" i="249" a="1"/>
  <c r="D47" i="249" s="1"/>
  <c r="F86" i="254" a="1"/>
  <c r="F86" i="254" s="1"/>
  <c r="F98" i="254" a="1"/>
  <c r="F98" i="254" s="1"/>
  <c r="D86" i="255" a="1"/>
  <c r="D86" i="255" s="1"/>
  <c r="F35" i="256" a="1"/>
  <c r="F35" i="256" s="1"/>
  <c r="D60" i="257" a="1"/>
  <c r="D60" i="257" s="1"/>
  <c r="G79" i="257" a="1"/>
  <c r="G79" i="257" s="1"/>
  <c r="E54" i="255" a="1"/>
  <c r="E54" i="255" s="1"/>
  <c r="E64" i="255" a="1"/>
  <c r="E64" i="255" s="1"/>
  <c r="E78" i="257" a="1"/>
  <c r="E78" i="257" s="1"/>
  <c r="F47" i="254" a="1"/>
  <c r="F47" i="254" s="1"/>
  <c r="F38" i="255" a="1"/>
  <c r="F38" i="255" s="1"/>
  <c r="E55" i="255" a="1"/>
  <c r="E55" i="255" s="1"/>
  <c r="E80" i="255" a="1"/>
  <c r="E80" i="255" s="1"/>
  <c r="E26" i="256" a="1"/>
  <c r="E26" i="256" s="1"/>
  <c r="F56" i="256" a="1"/>
  <c r="F56" i="256" s="1"/>
  <c r="G60" i="256" a="1"/>
  <c r="G60" i="256" s="1"/>
  <c r="E62" i="256" a="1"/>
  <c r="E62" i="256" s="1"/>
  <c r="E90" i="256" a="1"/>
  <c r="E90" i="256" s="1"/>
  <c r="G56" i="257" a="1"/>
  <c r="G56" i="257" s="1"/>
  <c r="G84" i="257" a="1"/>
  <c r="G84" i="257" s="1"/>
  <c r="E75" i="254" a="1"/>
  <c r="E75" i="254" s="1"/>
  <c r="F66" i="255" a="1"/>
  <c r="F66" i="255" s="1"/>
  <c r="E81" i="256" a="1"/>
  <c r="E81" i="256" s="1"/>
  <c r="G25" i="257" a="1"/>
  <c r="G25" i="257" s="1"/>
  <c r="E52" i="257" a="1"/>
  <c r="E52" i="257" s="1"/>
  <c r="D64" i="257" a="1"/>
  <c r="D64" i="257" s="1"/>
  <c r="D96" i="257" a="1"/>
  <c r="D96" i="257" s="1"/>
  <c r="D63" i="255" a="1"/>
  <c r="D63" i="255" s="1"/>
  <c r="E36" i="256" a="1"/>
  <c r="E36" i="256" s="1"/>
  <c r="G48" i="257" a="1"/>
  <c r="G48" i="257" s="1"/>
  <c r="G59" i="257" a="1"/>
  <c r="G59" i="257" s="1"/>
  <c r="D26" i="251" a="1"/>
  <c r="D26" i="251" s="1"/>
  <c r="D45" i="256" a="1"/>
  <c r="D45" i="256" s="1"/>
  <c r="E44" i="257" a="1"/>
  <c r="E44" i="257" s="1"/>
  <c r="D62" i="257" a="1"/>
  <c r="D62" i="257" s="1"/>
  <c r="F68" i="257" a="1"/>
  <c r="F68" i="257" s="1"/>
  <c r="E68" i="257" a="1"/>
  <c r="E68" i="257" s="1"/>
  <c r="D91" i="257" a="1"/>
  <c r="D91" i="257" s="1"/>
  <c r="F91" i="257" a="1"/>
  <c r="F91" i="257" s="1"/>
  <c r="G91" i="257" a="1"/>
  <c r="G91" i="257" s="1"/>
  <c r="E91" i="257" a="1"/>
  <c r="E91" i="257" s="1"/>
  <c r="E26" i="257" a="1"/>
  <c r="E26" i="257" s="1"/>
  <c r="E27" i="257" a="1"/>
  <c r="E27" i="257" s="1"/>
  <c r="F66" i="257" a="1"/>
  <c r="F66" i="257" s="1"/>
  <c r="D68" i="257" a="1"/>
  <c r="D68" i="257" s="1"/>
  <c r="G72" i="257" a="1"/>
  <c r="G72" i="257" s="1"/>
  <c r="E72" i="257" a="1"/>
  <c r="E72" i="257" s="1"/>
  <c r="G74" i="257" a="1"/>
  <c r="G74" i="257" s="1"/>
  <c r="F74" i="257" a="1"/>
  <c r="F74" i="257" s="1"/>
  <c r="E74" i="257" a="1"/>
  <c r="E74" i="257" s="1"/>
  <c r="D74" i="257" a="1"/>
  <c r="D74" i="257" s="1"/>
  <c r="D83" i="257" a="1"/>
  <c r="D83" i="257" s="1"/>
  <c r="G83" i="257" a="1"/>
  <c r="G83" i="257" s="1"/>
  <c r="F83" i="257" a="1"/>
  <c r="F83" i="257" s="1"/>
  <c r="E29" i="257" a="1"/>
  <c r="E29" i="257" s="1"/>
  <c r="D29" i="257" a="1"/>
  <c r="D29" i="257" s="1"/>
  <c r="F29" i="257" a="1"/>
  <c r="F29" i="257" s="1"/>
  <c r="F26" i="257" a="1"/>
  <c r="F26" i="257" s="1"/>
  <c r="F27" i="257" a="1"/>
  <c r="F27" i="257" s="1"/>
  <c r="F28" i="257" a="1"/>
  <c r="F28" i="257" s="1"/>
  <c r="G29" i="257" a="1"/>
  <c r="G29" i="257" s="1"/>
  <c r="D61" i="257" a="1"/>
  <c r="D61" i="257" s="1"/>
  <c r="F61" i="257" a="1"/>
  <c r="F61" i="257" s="1"/>
  <c r="E61" i="257" a="1"/>
  <c r="E61" i="257" s="1"/>
  <c r="G61" i="257" a="1"/>
  <c r="G61" i="257" s="1"/>
  <c r="F65" i="257" a="1"/>
  <c r="F65" i="257" s="1"/>
  <c r="E65" i="257" a="1"/>
  <c r="E65" i="257" s="1"/>
  <c r="D65" i="257" a="1"/>
  <c r="D65" i="257" s="1"/>
  <c r="G65" i="257" a="1"/>
  <c r="G65" i="257" s="1"/>
  <c r="D72" i="257" a="1"/>
  <c r="D72" i="257" s="1"/>
  <c r="F75" i="257" a="1"/>
  <c r="F75" i="257" s="1"/>
  <c r="G75" i="257" a="1"/>
  <c r="G75" i="257" s="1"/>
  <c r="E75" i="257" a="1"/>
  <c r="E75" i="257" s="1"/>
  <c r="D75" i="257" a="1"/>
  <c r="D75" i="257" s="1"/>
  <c r="G95" i="257" a="1"/>
  <c r="G95" i="257" s="1"/>
  <c r="E95" i="257" a="1"/>
  <c r="E95" i="257" s="1"/>
  <c r="F95" i="257" a="1"/>
  <c r="F95" i="257" s="1"/>
  <c r="D95" i="257" a="1"/>
  <c r="D95" i="257" s="1"/>
  <c r="G33" i="257" a="1"/>
  <c r="G33" i="257" s="1"/>
  <c r="F33" i="257" a="1"/>
  <c r="F33" i="257" s="1"/>
  <c r="E33" i="257" a="1"/>
  <c r="E33" i="257" s="1"/>
  <c r="D33" i="257" a="1"/>
  <c r="D33" i="257" s="1"/>
  <c r="D34" i="257" a="1"/>
  <c r="D34" i="257" s="1"/>
  <c r="E34" i="257" a="1"/>
  <c r="E34" i="257" s="1"/>
  <c r="G34" i="257" a="1"/>
  <c r="G34" i="257" s="1"/>
  <c r="F34" i="257" a="1"/>
  <c r="F34" i="257" s="1"/>
  <c r="G26" i="257" a="1"/>
  <c r="G26" i="257" s="1"/>
  <c r="G27" i="257" a="1"/>
  <c r="G27" i="257" s="1"/>
  <c r="G28" i="257" a="1"/>
  <c r="G28" i="257" s="1"/>
  <c r="E31" i="257" a="1"/>
  <c r="E31" i="257" s="1"/>
  <c r="F31" i="257" a="1"/>
  <c r="F31" i="257" s="1"/>
  <c r="D31" i="257" a="1"/>
  <c r="D31" i="257" s="1"/>
  <c r="G31" i="257" a="1"/>
  <c r="G31" i="257" s="1"/>
  <c r="E39" i="257" a="1"/>
  <c r="E39" i="257" s="1"/>
  <c r="F39" i="257" a="1"/>
  <c r="F39" i="257" s="1"/>
  <c r="D39" i="257" a="1"/>
  <c r="D39" i="257" s="1"/>
  <c r="G39" i="257" a="1"/>
  <c r="G39" i="257" s="1"/>
  <c r="D67" i="257" a="1"/>
  <c r="D67" i="257" s="1"/>
  <c r="G67" i="257" a="1"/>
  <c r="G67" i="257" s="1"/>
  <c r="F67" i="257" a="1"/>
  <c r="F67" i="257" s="1"/>
  <c r="G41" i="257" a="1"/>
  <c r="G41" i="257" s="1"/>
  <c r="F41" i="257" a="1"/>
  <c r="F41" i="257" s="1"/>
  <c r="E41" i="257" a="1"/>
  <c r="E41" i="257" s="1"/>
  <c r="D41" i="257" a="1"/>
  <c r="D41" i="257" s="1"/>
  <c r="G45" i="257" a="1"/>
  <c r="G45" i="257" s="1"/>
  <c r="D45" i="257" a="1"/>
  <c r="D45" i="257" s="1"/>
  <c r="F45" i="257" a="1"/>
  <c r="F45" i="257" s="1"/>
  <c r="E45" i="257" a="1"/>
  <c r="E45" i="257" s="1"/>
  <c r="G49" i="257" a="1"/>
  <c r="G49" i="257" s="1"/>
  <c r="F49" i="257" a="1"/>
  <c r="F49" i="257" s="1"/>
  <c r="E49" i="257" a="1"/>
  <c r="E49" i="257" s="1"/>
  <c r="D49" i="257" a="1"/>
  <c r="D49" i="257" s="1"/>
  <c r="G53" i="257" a="1"/>
  <c r="G53" i="257" s="1"/>
  <c r="D53" i="257" a="1"/>
  <c r="D53" i="257" s="1"/>
  <c r="F53" i="257" a="1"/>
  <c r="F53" i="257" s="1"/>
  <c r="E53" i="257" a="1"/>
  <c r="E53" i="257" s="1"/>
  <c r="G30" i="257" a="1"/>
  <c r="G30" i="257" s="1"/>
  <c r="F30" i="257" a="1"/>
  <c r="F30" i="257" s="1"/>
  <c r="E30" i="257" a="1"/>
  <c r="E30" i="257" s="1"/>
  <c r="D30" i="257" a="1"/>
  <c r="D30" i="257" s="1"/>
  <c r="G37" i="257" a="1"/>
  <c r="G37" i="257" s="1"/>
  <c r="D37" i="257" a="1"/>
  <c r="D37" i="257" s="1"/>
  <c r="F37" i="257" a="1"/>
  <c r="F37" i="257" s="1"/>
  <c r="E37" i="257" a="1"/>
  <c r="E37" i="257" s="1"/>
  <c r="D38" i="257" a="1"/>
  <c r="D38" i="257" s="1"/>
  <c r="G38" i="257" a="1"/>
  <c r="G38" i="257" s="1"/>
  <c r="F38" i="257" a="1"/>
  <c r="F38" i="257" s="1"/>
  <c r="E38" i="257" a="1"/>
  <c r="E38" i="257" s="1"/>
  <c r="D73" i="257" a="1"/>
  <c r="D73" i="257" s="1"/>
  <c r="G73" i="257" a="1"/>
  <c r="G73" i="257" s="1"/>
  <c r="F73" i="257" a="1"/>
  <c r="F73" i="257" s="1"/>
  <c r="G92" i="257" a="1"/>
  <c r="G92" i="257" s="1"/>
  <c r="F92" i="257" a="1"/>
  <c r="F92" i="257" s="1"/>
  <c r="E47" i="257" a="1"/>
  <c r="E47" i="257" s="1"/>
  <c r="F47" i="257" a="1"/>
  <c r="F47" i="257" s="1"/>
  <c r="D47" i="257" a="1"/>
  <c r="D47" i="257" s="1"/>
  <c r="G47" i="257" a="1"/>
  <c r="G47" i="257" s="1"/>
  <c r="E55" i="257" a="1"/>
  <c r="E55" i="257" s="1"/>
  <c r="F55" i="257" a="1"/>
  <c r="F55" i="257" s="1"/>
  <c r="D55" i="257" a="1"/>
  <c r="D55" i="257" s="1"/>
  <c r="G55" i="257" a="1"/>
  <c r="G55" i="257" s="1"/>
  <c r="E67" i="257" a="1"/>
  <c r="E67" i="257" s="1"/>
  <c r="D27" i="257" a="1"/>
  <c r="D27" i="257" s="1"/>
  <c r="E28" i="257" a="1"/>
  <c r="E28" i="257" s="1"/>
  <c r="D28" i="257" a="1"/>
  <c r="D28" i="257" s="1"/>
  <c r="F71" i="257" a="1"/>
  <c r="F71" i="257" s="1"/>
  <c r="E71" i="257" a="1"/>
  <c r="E71" i="257" s="1"/>
  <c r="D71" i="257" a="1"/>
  <c r="D71" i="257" s="1"/>
  <c r="D98" i="257" a="1"/>
  <c r="D98" i="257" s="1"/>
  <c r="G98" i="257" a="1"/>
  <c r="G98" i="257" s="1"/>
  <c r="F98" i="257" a="1"/>
  <c r="F98" i="257" s="1"/>
  <c r="E35" i="257" a="1"/>
  <c r="E35" i="257" s="1"/>
  <c r="G35" i="257" a="1"/>
  <c r="G35" i="257" s="1"/>
  <c r="F35" i="257" a="1"/>
  <c r="F35" i="257" s="1"/>
  <c r="D35" i="257" a="1"/>
  <c r="D35" i="257" s="1"/>
  <c r="D42" i="257" a="1"/>
  <c r="D42" i="257" s="1"/>
  <c r="E42" i="257" a="1"/>
  <c r="E42" i="257" s="1"/>
  <c r="G42" i="257" a="1"/>
  <c r="G42" i="257" s="1"/>
  <c r="F42" i="257" a="1"/>
  <c r="F42" i="257" s="1"/>
  <c r="D46" i="257" a="1"/>
  <c r="D46" i="257" s="1"/>
  <c r="G46" i="257" a="1"/>
  <c r="G46" i="257" s="1"/>
  <c r="F46" i="257" a="1"/>
  <c r="F46" i="257" s="1"/>
  <c r="E46" i="257" a="1"/>
  <c r="E46" i="257" s="1"/>
  <c r="D50" i="257" a="1"/>
  <c r="D50" i="257" s="1"/>
  <c r="E50" i="257" a="1"/>
  <c r="E50" i="257" s="1"/>
  <c r="G50" i="257" a="1"/>
  <c r="G50" i="257" s="1"/>
  <c r="F50" i="257" a="1"/>
  <c r="F50" i="257" s="1"/>
  <c r="D54" i="257" a="1"/>
  <c r="D54" i="257" s="1"/>
  <c r="G54" i="257" a="1"/>
  <c r="G54" i="257" s="1"/>
  <c r="F54" i="257" a="1"/>
  <c r="F54" i="257" s="1"/>
  <c r="E54" i="257" a="1"/>
  <c r="E54" i="257" s="1"/>
  <c r="G57" i="257" a="1"/>
  <c r="G57" i="257" s="1"/>
  <c r="F57" i="257" a="1"/>
  <c r="F57" i="257" s="1"/>
  <c r="E57" i="257" a="1"/>
  <c r="E57" i="257" s="1"/>
  <c r="D57" i="257" a="1"/>
  <c r="D57" i="257" s="1"/>
  <c r="F64" i="257" a="1"/>
  <c r="F64" i="257" s="1"/>
  <c r="G64" i="257" a="1"/>
  <c r="G64" i="257" s="1"/>
  <c r="E64" i="257" a="1"/>
  <c r="E64" i="257" s="1"/>
  <c r="G66" i="257" a="1"/>
  <c r="G66" i="257" s="1"/>
  <c r="F77" i="257" a="1"/>
  <c r="F77" i="257" s="1"/>
  <c r="G77" i="257" a="1"/>
  <c r="G77" i="257" s="1"/>
  <c r="E77" i="257" a="1"/>
  <c r="E77" i="257" s="1"/>
  <c r="D77" i="257" a="1"/>
  <c r="D77" i="257" s="1"/>
  <c r="F36" i="257" a="1"/>
  <c r="F36" i="257" s="1"/>
  <c r="D43" i="257" a="1"/>
  <c r="D43" i="257" s="1"/>
  <c r="F44" i="257" a="1"/>
  <c r="F44" i="257" s="1"/>
  <c r="D51" i="257" a="1"/>
  <c r="D51" i="257" s="1"/>
  <c r="F52" i="257" a="1"/>
  <c r="F52" i="257" s="1"/>
  <c r="F58" i="257" a="1"/>
  <c r="F58" i="257" s="1"/>
  <c r="D59" i="257" a="1"/>
  <c r="D59" i="257" s="1"/>
  <c r="F60" i="257" a="1"/>
  <c r="F60" i="257" s="1"/>
  <c r="E63" i="257" a="1"/>
  <c r="E63" i="257" s="1"/>
  <c r="E76" i="257" a="1"/>
  <c r="E76" i="257" s="1"/>
  <c r="D76" i="257" a="1"/>
  <c r="D76" i="257" s="1"/>
  <c r="F79" i="257" a="1"/>
  <c r="F79" i="257" s="1"/>
  <c r="E81" i="257" a="1"/>
  <c r="E81" i="257" s="1"/>
  <c r="F84" i="257" a="1"/>
  <c r="F84" i="257" s="1"/>
  <c r="G85" i="257" a="1"/>
  <c r="G85" i="257" s="1"/>
  <c r="F99" i="257" a="1"/>
  <c r="F99" i="257" s="1"/>
  <c r="D99" i="257" a="1"/>
  <c r="D99" i="257" s="1"/>
  <c r="G99" i="257" a="1"/>
  <c r="G99" i="257" s="1"/>
  <c r="F88" i="257" a="1"/>
  <c r="F88" i="257" s="1"/>
  <c r="G89" i="257" a="1"/>
  <c r="G89" i="257" s="1"/>
  <c r="D89" i="257" a="1"/>
  <c r="D89" i="257" s="1"/>
  <c r="D94" i="257" a="1"/>
  <c r="D94" i="257" s="1"/>
  <c r="G94" i="257" a="1"/>
  <c r="G94" i="257" s="1"/>
  <c r="F94" i="257" a="1"/>
  <c r="F94" i="257" s="1"/>
  <c r="F43" i="257" a="1"/>
  <c r="F43" i="257" s="1"/>
  <c r="F51" i="257" a="1"/>
  <c r="F51" i="257" s="1"/>
  <c r="F59" i="257" a="1"/>
  <c r="F59" i="257" s="1"/>
  <c r="F62" i="257" a="1"/>
  <c r="F62" i="257" s="1"/>
  <c r="F63" i="257" a="1"/>
  <c r="F63" i="257" s="1"/>
  <c r="E66" i="257" a="1"/>
  <c r="E66" i="257" s="1"/>
  <c r="G69" i="257" a="1"/>
  <c r="G69" i="257" s="1"/>
  <c r="G70" i="257" a="1"/>
  <c r="G70" i="257" s="1"/>
  <c r="G86" i="257" a="1"/>
  <c r="G86" i="257" s="1"/>
  <c r="D86" i="257" a="1"/>
  <c r="D86" i="257" s="1"/>
  <c r="D58" i="257" a="1"/>
  <c r="D58" i="257" s="1"/>
  <c r="F85" i="257" a="1"/>
  <c r="F85" i="257" s="1"/>
  <c r="E85" i="257" a="1"/>
  <c r="E85" i="257" s="1"/>
  <c r="D88" i="257" a="1"/>
  <c r="D88" i="257" s="1"/>
  <c r="E89" i="257" a="1"/>
  <c r="E89" i="257" s="1"/>
  <c r="F93" i="257" a="1"/>
  <c r="F93" i="257" s="1"/>
  <c r="E93" i="257" a="1"/>
  <c r="E93" i="257" s="1"/>
  <c r="E94" i="257" a="1"/>
  <c r="E94" i="257" s="1"/>
  <c r="F32" i="257" a="1"/>
  <c r="F32" i="257" s="1"/>
  <c r="F40" i="257" a="1"/>
  <c r="F40" i="257" s="1"/>
  <c r="F48" i="257" a="1"/>
  <c r="F48" i="257" s="1"/>
  <c r="F56" i="257" a="1"/>
  <c r="F56" i="257" s="1"/>
  <c r="E60" i="257" a="1"/>
  <c r="E60" i="257" s="1"/>
  <c r="G68" i="257" a="1"/>
  <c r="G68" i="257" s="1"/>
  <c r="F76" i="257" a="1"/>
  <c r="F76" i="257" s="1"/>
  <c r="F80" i="257" a="1"/>
  <c r="F80" i="257" s="1"/>
  <c r="E82" i="257" a="1"/>
  <c r="E82" i="257" s="1"/>
  <c r="H82" i="257" s="1"/>
  <c r="I82" i="257" s="1"/>
  <c r="E86" i="257" a="1"/>
  <c r="E86" i="257" s="1"/>
  <c r="D87" i="257" a="1"/>
  <c r="D87" i="257" s="1"/>
  <c r="E88" i="257" a="1"/>
  <c r="E88" i="257" s="1"/>
  <c r="F89" i="257" a="1"/>
  <c r="F89" i="257" s="1"/>
  <c r="F90" i="257" a="1"/>
  <c r="F90" i="257" s="1"/>
  <c r="E51" i="257" a="1"/>
  <c r="E51" i="257" s="1"/>
  <c r="D63" i="257" a="1"/>
  <c r="D63" i="257" s="1"/>
  <c r="E79" i="257" a="1"/>
  <c r="E79" i="257" s="1"/>
  <c r="D85" i="257" a="1"/>
  <c r="D85" i="257" s="1"/>
  <c r="G88" i="257" a="1"/>
  <c r="G88" i="257" s="1"/>
  <c r="E92" i="257" a="1"/>
  <c r="E92" i="257" s="1"/>
  <c r="D93" i="257" a="1"/>
  <c r="D93" i="257" s="1"/>
  <c r="G96" i="257" a="1"/>
  <c r="G96" i="257" s="1"/>
  <c r="F96" i="257" a="1"/>
  <c r="F96" i="257" s="1"/>
  <c r="F127" i="257"/>
  <c r="E43" i="257" a="1"/>
  <c r="E43" i="257" s="1"/>
  <c r="E59" i="257" a="1"/>
  <c r="E59" i="257" s="1"/>
  <c r="F69" i="257" a="1"/>
  <c r="F69" i="257" s="1"/>
  <c r="E69" i="257" a="1"/>
  <c r="E69" i="257" s="1"/>
  <c r="D70" i="257" a="1"/>
  <c r="D70" i="257" s="1"/>
  <c r="E58" i="257" a="1"/>
  <c r="E58" i="257" s="1"/>
  <c r="G60" i="257" a="1"/>
  <c r="G60" i="257" s="1"/>
  <c r="F72" i="257" a="1"/>
  <c r="F72" i="257" s="1"/>
  <c r="D78" i="257" a="1"/>
  <c r="D78" i="257" s="1"/>
  <c r="G78" i="257" a="1"/>
  <c r="G78" i="257" s="1"/>
  <c r="F78" i="257" a="1"/>
  <c r="F78" i="257" s="1"/>
  <c r="D84" i="257" a="1"/>
  <c r="D84" i="257" s="1"/>
  <c r="F86" i="257" a="1"/>
  <c r="F86" i="257" s="1"/>
  <c r="F87" i="257" a="1"/>
  <c r="F87" i="257" s="1"/>
  <c r="F97" i="257" a="1"/>
  <c r="F97" i="257" s="1"/>
  <c r="E97" i="257" a="1"/>
  <c r="E97" i="257" s="1"/>
  <c r="E100" i="257" a="1"/>
  <c r="E100" i="257" s="1"/>
  <c r="G71" i="257" a="1"/>
  <c r="G71" i="257" s="1"/>
  <c r="G87" i="257" a="1"/>
  <c r="G87" i="257" s="1"/>
  <c r="D92" i="257" a="1"/>
  <c r="D92" i="257" s="1"/>
  <c r="D97" i="257" a="1"/>
  <c r="D97" i="257" s="1"/>
  <c r="E98" i="257" a="1"/>
  <c r="E98" i="257" s="1"/>
  <c r="G100" i="257" a="1"/>
  <c r="G100" i="257" s="1"/>
  <c r="F100" i="257" a="1"/>
  <c r="F100" i="257" s="1"/>
  <c r="G107" i="257"/>
  <c r="G127" i="257" s="1"/>
  <c r="G59" i="255" a="1"/>
  <c r="G59" i="255" s="1"/>
  <c r="E59" i="255" a="1"/>
  <c r="E59" i="255" s="1"/>
  <c r="G51" i="256" a="1"/>
  <c r="G51" i="256" s="1"/>
  <c r="D51" i="256" a="1"/>
  <c r="D51" i="256" s="1"/>
  <c r="E51" i="256" a="1"/>
  <c r="E51" i="256" s="1"/>
  <c r="F54" i="256" a="1"/>
  <c r="F54" i="256" s="1"/>
  <c r="D54" i="256" a="1"/>
  <c r="D54" i="256" s="1"/>
  <c r="F45" i="256" a="1"/>
  <c r="F45" i="256" s="1"/>
  <c r="F61" i="256" a="1"/>
  <c r="F61" i="256" s="1"/>
  <c r="G61" i="256" a="1"/>
  <c r="G61" i="256" s="1"/>
  <c r="D61" i="256" a="1"/>
  <c r="D61" i="256" s="1"/>
  <c r="D72" i="256" a="1"/>
  <c r="D72" i="256" s="1"/>
  <c r="G37" i="256" a="1"/>
  <c r="G37" i="256" s="1"/>
  <c r="F37" i="256" a="1"/>
  <c r="F37" i="256" s="1"/>
  <c r="D55" i="256" a="1"/>
  <c r="D55" i="256" s="1"/>
  <c r="F44" i="256" a="1"/>
  <c r="F44" i="256" s="1"/>
  <c r="D29" i="256" a="1"/>
  <c r="D29" i="256" s="1"/>
  <c r="F41" i="256" a="1"/>
  <c r="F41" i="256" s="1"/>
  <c r="D41" i="256" a="1"/>
  <c r="D41" i="256" s="1"/>
  <c r="F27" i="256" a="1"/>
  <c r="F27" i="256" s="1"/>
  <c r="G53" i="256" a="1"/>
  <c r="G53" i="256" s="1"/>
  <c r="G71" i="254" a="1"/>
  <c r="G71" i="254" s="1"/>
  <c r="F27" i="255" a="1"/>
  <c r="F27" i="255" s="1"/>
  <c r="G37" i="255" a="1"/>
  <c r="G37" i="255" s="1"/>
  <c r="E68" i="255" a="1"/>
  <c r="E68" i="255" s="1"/>
  <c r="F90" i="256" a="1"/>
  <c r="F90" i="256" s="1"/>
  <c r="D93" i="256" a="1"/>
  <c r="D93" i="256" s="1"/>
  <c r="E38" i="252" a="1"/>
  <c r="E38" i="252" s="1"/>
  <c r="G29" i="253" a="1"/>
  <c r="G29" i="253" s="1"/>
  <c r="G72" i="254" a="1"/>
  <c r="G72" i="254" s="1"/>
  <c r="G75" i="254" a="1"/>
  <c r="G75" i="254" s="1"/>
  <c r="G79" i="254" a="1"/>
  <c r="G79" i="254" s="1"/>
  <c r="G91" i="254" a="1"/>
  <c r="G91" i="254" s="1"/>
  <c r="E34" i="255" a="1"/>
  <c r="E34" i="255" s="1"/>
  <c r="G46" i="255" a="1"/>
  <c r="G46" i="255" s="1"/>
  <c r="G56" i="255" a="1"/>
  <c r="G56" i="255" s="1"/>
  <c r="D76" i="255" a="1"/>
  <c r="D76" i="255" s="1"/>
  <c r="E81" i="255" a="1"/>
  <c r="E81" i="255" s="1"/>
  <c r="G98" i="255" a="1"/>
  <c r="G98" i="255" s="1"/>
  <c r="D59" i="256" a="1"/>
  <c r="D59" i="256" s="1"/>
  <c r="D78" i="256" a="1"/>
  <c r="D78" i="256" s="1"/>
  <c r="E72" i="253" a="1"/>
  <c r="E72" i="253" s="1"/>
  <c r="D88" i="253" a="1"/>
  <c r="D88" i="253" s="1"/>
  <c r="E65" i="254" a="1"/>
  <c r="E65" i="254" s="1"/>
  <c r="E80" i="254" a="1"/>
  <c r="E80" i="254" s="1"/>
  <c r="D35" i="255" a="1"/>
  <c r="D35" i="255" s="1"/>
  <c r="F73" i="255" a="1"/>
  <c r="F73" i="255" s="1"/>
  <c r="F89" i="255" a="1"/>
  <c r="F89" i="255" s="1"/>
  <c r="G95" i="255" a="1"/>
  <c r="G95" i="255" s="1"/>
  <c r="D50" i="256" a="1"/>
  <c r="D50" i="256" s="1"/>
  <c r="E86" i="256" a="1"/>
  <c r="E86" i="256" s="1"/>
  <c r="F93" i="256" a="1"/>
  <c r="F93" i="256" s="1"/>
  <c r="E77" i="251" a="1"/>
  <c r="E77" i="251" s="1"/>
  <c r="F93" i="251" a="1"/>
  <c r="F93" i="251" s="1"/>
  <c r="F77" i="253" a="1"/>
  <c r="F77" i="253" s="1"/>
  <c r="F39" i="254" a="1"/>
  <c r="F39" i="254" s="1"/>
  <c r="G66" i="254" a="1"/>
  <c r="G66" i="254" s="1"/>
  <c r="G77" i="254" a="1"/>
  <c r="G77" i="254" s="1"/>
  <c r="F80" i="254" a="1"/>
  <c r="F80" i="254" s="1"/>
  <c r="D47" i="255" a="1"/>
  <c r="D47" i="255" s="1"/>
  <c r="F76" i="255" a="1"/>
  <c r="F76" i="255" s="1"/>
  <c r="D92" i="255" a="1"/>
  <c r="D92" i="255" s="1"/>
  <c r="G52" i="256" a="1"/>
  <c r="G52" i="256" s="1"/>
  <c r="D79" i="256" a="1"/>
  <c r="D79" i="256" s="1"/>
  <c r="F43" i="252" a="1"/>
  <c r="F43" i="252" s="1"/>
  <c r="E93" i="254" a="1"/>
  <c r="E93" i="254" s="1"/>
  <c r="F35" i="255" a="1"/>
  <c r="F35" i="255" s="1"/>
  <c r="F58" i="255" a="1"/>
  <c r="F58" i="255" s="1"/>
  <c r="E67" i="255" a="1"/>
  <c r="E67" i="255" s="1"/>
  <c r="D70" i="255" a="1"/>
  <c r="D70" i="255" s="1"/>
  <c r="D46" i="256" a="1"/>
  <c r="D46" i="256" s="1"/>
  <c r="G80" i="256" a="1"/>
  <c r="G80" i="256" s="1"/>
  <c r="D40" i="252" a="1"/>
  <c r="D40" i="252" s="1"/>
  <c r="G74" i="252" a="1"/>
  <c r="G74" i="252" s="1"/>
  <c r="G59" i="254" a="1"/>
  <c r="G59" i="254" s="1"/>
  <c r="G30" i="255" a="1"/>
  <c r="G30" i="255" s="1"/>
  <c r="F43" i="255" a="1"/>
  <c r="F43" i="255" s="1"/>
  <c r="G51" i="255" a="1"/>
  <c r="G51" i="255" s="1"/>
  <c r="G71" i="255" a="1"/>
  <c r="G71" i="255" s="1"/>
  <c r="E30" i="256" a="1"/>
  <c r="E30" i="256" s="1"/>
  <c r="E60" i="256" a="1"/>
  <c r="E60" i="256" s="1"/>
  <c r="E49" i="256" a="1"/>
  <c r="E49" i="256" s="1"/>
  <c r="F49" i="256" a="1"/>
  <c r="F49" i="256" s="1"/>
  <c r="G49" i="256" a="1"/>
  <c r="G49" i="256" s="1"/>
  <c r="D49" i="256" a="1"/>
  <c r="D49" i="256" s="1"/>
  <c r="F32" i="256" a="1"/>
  <c r="F32" i="256" s="1"/>
  <c r="E32" i="256" a="1"/>
  <c r="E32" i="256" s="1"/>
  <c r="D32" i="256" a="1"/>
  <c r="D32" i="256" s="1"/>
  <c r="G43" i="256" a="1"/>
  <c r="G43" i="256" s="1"/>
  <c r="E43" i="256" a="1"/>
  <c r="E43" i="256" s="1"/>
  <c r="D44" i="256" a="1"/>
  <c r="D44" i="256" s="1"/>
  <c r="G44" i="256" a="1"/>
  <c r="G44" i="256" s="1"/>
  <c r="F58" i="256" a="1"/>
  <c r="F58" i="256" s="1"/>
  <c r="D58" i="256" a="1"/>
  <c r="D58" i="256" s="1"/>
  <c r="E58" i="256" a="1"/>
  <c r="E58" i="256" s="1"/>
  <c r="G68" i="256" a="1"/>
  <c r="G68" i="256" s="1"/>
  <c r="F68" i="256" a="1"/>
  <c r="F68" i="256" s="1"/>
  <c r="D68" i="256" a="1"/>
  <c r="D68" i="256" s="1"/>
  <c r="G66" i="256" a="1"/>
  <c r="G66" i="256" s="1"/>
  <c r="F66" i="256" a="1"/>
  <c r="F66" i="256" s="1"/>
  <c r="E66" i="256" a="1"/>
  <c r="E66" i="256" s="1"/>
  <c r="G36" i="256" a="1"/>
  <c r="G36" i="256" s="1"/>
  <c r="D40" i="256" a="1"/>
  <c r="D40" i="256" s="1"/>
  <c r="G40" i="256" a="1"/>
  <c r="G40" i="256" s="1"/>
  <c r="F40" i="256" a="1"/>
  <c r="F40" i="256" s="1"/>
  <c r="E40" i="256" a="1"/>
  <c r="E40" i="256" s="1"/>
  <c r="F42" i="256" a="1"/>
  <c r="F42" i="256" s="1"/>
  <c r="E42" i="256" a="1"/>
  <c r="E42" i="256" s="1"/>
  <c r="D42" i="256" a="1"/>
  <c r="D42" i="256" s="1"/>
  <c r="E46" i="256" a="1"/>
  <c r="E46" i="256" s="1"/>
  <c r="E50" i="256" a="1"/>
  <c r="E50" i="256" s="1"/>
  <c r="D66" i="256" a="1"/>
  <c r="D66" i="256" s="1"/>
  <c r="F69" i="256" a="1"/>
  <c r="F69" i="256" s="1"/>
  <c r="E69" i="256" a="1"/>
  <c r="E69" i="256" s="1"/>
  <c r="G69" i="256" a="1"/>
  <c r="G69" i="256" s="1"/>
  <c r="D69" i="256" a="1"/>
  <c r="D69" i="256" s="1"/>
  <c r="E77" i="256" a="1"/>
  <c r="E77" i="256" s="1"/>
  <c r="G77" i="256" a="1"/>
  <c r="G77" i="256" s="1"/>
  <c r="F77" i="256" a="1"/>
  <c r="F77" i="256" s="1"/>
  <c r="D77" i="256" a="1"/>
  <c r="D77" i="256" s="1"/>
  <c r="E74" i="256" a="1"/>
  <c r="E74" i="256" s="1"/>
  <c r="F74" i="256" a="1"/>
  <c r="F74" i="256" s="1"/>
  <c r="D74" i="256" a="1"/>
  <c r="D74" i="256" s="1"/>
  <c r="F91" i="256" a="1"/>
  <c r="F91" i="256" s="1"/>
  <c r="G91" i="256" a="1"/>
  <c r="G91" i="256" s="1"/>
  <c r="E91" i="256" a="1"/>
  <c r="E91" i="256" s="1"/>
  <c r="D91" i="256" a="1"/>
  <c r="D91" i="256" s="1"/>
  <c r="G39" i="256" a="1"/>
  <c r="G39" i="256" s="1"/>
  <c r="E39" i="256" a="1"/>
  <c r="E39" i="256" s="1"/>
  <c r="D39" i="256" a="1"/>
  <c r="D39" i="256" s="1"/>
  <c r="D43" i="256" a="1"/>
  <c r="D43" i="256" s="1"/>
  <c r="E44" i="256" a="1"/>
  <c r="E44" i="256" s="1"/>
  <c r="E57" i="256" a="1"/>
  <c r="E57" i="256" s="1"/>
  <c r="G57" i="256" a="1"/>
  <c r="G57" i="256" s="1"/>
  <c r="F57" i="256" a="1"/>
  <c r="F57" i="256" s="1"/>
  <c r="D57" i="256" a="1"/>
  <c r="D57" i="256" s="1"/>
  <c r="F63" i="256" a="1"/>
  <c r="F63" i="256" s="1"/>
  <c r="G63" i="256" a="1"/>
  <c r="G63" i="256" s="1"/>
  <c r="E63" i="256" a="1"/>
  <c r="E63" i="256" s="1"/>
  <c r="D63" i="256" a="1"/>
  <c r="D63" i="256" s="1"/>
  <c r="D73" i="256" a="1"/>
  <c r="D73" i="256" s="1"/>
  <c r="G73" i="256" a="1"/>
  <c r="G73" i="256" s="1"/>
  <c r="F73" i="256" a="1"/>
  <c r="F73" i="256" s="1"/>
  <c r="F75" i="256" a="1"/>
  <c r="F75" i="256" s="1"/>
  <c r="G75" i="256" a="1"/>
  <c r="G75" i="256" s="1"/>
  <c r="E75" i="256" a="1"/>
  <c r="E75" i="256" s="1"/>
  <c r="D75" i="256" a="1"/>
  <c r="D75" i="256" s="1"/>
  <c r="G82" i="256" a="1"/>
  <c r="G82" i="256" s="1"/>
  <c r="F82" i="256" a="1"/>
  <c r="F82" i="256" s="1"/>
  <c r="D89" i="256" a="1"/>
  <c r="D89" i="256" s="1"/>
  <c r="G89" i="256" a="1"/>
  <c r="G89" i="256" s="1"/>
  <c r="F89" i="256" a="1"/>
  <c r="F89" i="256" s="1"/>
  <c r="E89" i="256" a="1"/>
  <c r="E89" i="256" s="1"/>
  <c r="F92" i="256" a="1"/>
  <c r="F92" i="256" s="1"/>
  <c r="G25" i="256" a="1"/>
  <c r="G25" i="256" s="1"/>
  <c r="F25" i="256" a="1"/>
  <c r="F25" i="256" s="1"/>
  <c r="E25" i="256" a="1"/>
  <c r="E25" i="256" s="1"/>
  <c r="E53" i="256" a="1"/>
  <c r="E53" i="256" s="1"/>
  <c r="D53" i="256" a="1"/>
  <c r="D53" i="256" s="1"/>
  <c r="F53" i="256" a="1"/>
  <c r="F53" i="256" s="1"/>
  <c r="G65" i="256" a="1"/>
  <c r="G65" i="256" s="1"/>
  <c r="D65" i="256" a="1"/>
  <c r="D65" i="256" s="1"/>
  <c r="F65" i="256" a="1"/>
  <c r="F65" i="256" s="1"/>
  <c r="D67" i="256" a="1"/>
  <c r="D67" i="256" s="1"/>
  <c r="G67" i="256" a="1"/>
  <c r="G67" i="256" s="1"/>
  <c r="F67" i="256" a="1"/>
  <c r="F67" i="256" s="1"/>
  <c r="E67" i="256" a="1"/>
  <c r="E67" i="256" s="1"/>
  <c r="D26" i="256" a="1"/>
  <c r="D26" i="256" s="1"/>
  <c r="G26" i="256" a="1"/>
  <c r="G26" i="256" s="1"/>
  <c r="F26" i="256" a="1"/>
  <c r="F26" i="256" s="1"/>
  <c r="G32" i="256" a="1"/>
  <c r="G32" i="256" s="1"/>
  <c r="F43" i="256" a="1"/>
  <c r="F43" i="256" s="1"/>
  <c r="G59" i="256" a="1"/>
  <c r="G59" i="256" s="1"/>
  <c r="E59" i="256" a="1"/>
  <c r="E59" i="256" s="1"/>
  <c r="D83" i="256" a="1"/>
  <c r="D83" i="256" s="1"/>
  <c r="F83" i="256" a="1"/>
  <c r="F83" i="256" s="1"/>
  <c r="G83" i="256" a="1"/>
  <c r="G83" i="256" s="1"/>
  <c r="E37" i="256" a="1"/>
  <c r="E37" i="256" s="1"/>
  <c r="D37" i="256" a="1"/>
  <c r="D37" i="256" s="1"/>
  <c r="F28" i="256" a="1"/>
  <c r="F28" i="256" s="1"/>
  <c r="E28" i="256" a="1"/>
  <c r="E28" i="256" s="1"/>
  <c r="D28" i="256" a="1"/>
  <c r="D28" i="256" s="1"/>
  <c r="G29" i="256" a="1"/>
  <c r="G29" i="256" s="1"/>
  <c r="F29" i="256" a="1"/>
  <c r="F29" i="256" s="1"/>
  <c r="E29" i="256" a="1"/>
  <c r="E29" i="256" s="1"/>
  <c r="E33" i="256" a="1"/>
  <c r="E33" i="256" s="1"/>
  <c r="G33" i="256" a="1"/>
  <c r="G33" i="256" s="1"/>
  <c r="F33" i="256" a="1"/>
  <c r="F33" i="256" s="1"/>
  <c r="D38" i="256" a="1"/>
  <c r="D38" i="256" s="1"/>
  <c r="G42" i="256" a="1"/>
  <c r="G42" i="256" s="1"/>
  <c r="G47" i="256" a="1"/>
  <c r="G47" i="256" s="1"/>
  <c r="F47" i="256" a="1"/>
  <c r="F47" i="256" s="1"/>
  <c r="E47" i="256" a="1"/>
  <c r="E47" i="256" s="1"/>
  <c r="D47" i="256" a="1"/>
  <c r="D47" i="256" s="1"/>
  <c r="D62" i="256" a="1"/>
  <c r="D62" i="256" s="1"/>
  <c r="G62" i="256" a="1"/>
  <c r="G62" i="256" s="1"/>
  <c r="F62" i="256" a="1"/>
  <c r="F62" i="256" s="1"/>
  <c r="E65" i="256" a="1"/>
  <c r="E65" i="256" s="1"/>
  <c r="D99" i="256" a="1"/>
  <c r="D99" i="256" s="1"/>
  <c r="F99" i="256" a="1"/>
  <c r="F99" i="256" s="1"/>
  <c r="G99" i="256" a="1"/>
  <c r="G99" i="256" s="1"/>
  <c r="E99" i="256" a="1"/>
  <c r="E99" i="256" s="1"/>
  <c r="D48" i="256" a="1"/>
  <c r="D48" i="256" s="1"/>
  <c r="G48" i="256" a="1"/>
  <c r="G48" i="256" s="1"/>
  <c r="F48" i="256" a="1"/>
  <c r="F48" i="256" s="1"/>
  <c r="E27" i="256" a="1"/>
  <c r="E27" i="256" s="1"/>
  <c r="D27" i="256" a="1"/>
  <c r="D27" i="256" s="1"/>
  <c r="G27" i="256" a="1"/>
  <c r="G27" i="256" s="1"/>
  <c r="G35" i="256" a="1"/>
  <c r="G35" i="256" s="1"/>
  <c r="D35" i="256" a="1"/>
  <c r="D35" i="256" s="1"/>
  <c r="D36" i="256" a="1"/>
  <c r="D36" i="256" s="1"/>
  <c r="F36" i="256" a="1"/>
  <c r="F36" i="256" s="1"/>
  <c r="D25" i="256" a="1"/>
  <c r="D25" i="256" s="1"/>
  <c r="D30" i="256" a="1"/>
  <c r="D30" i="256" s="1"/>
  <c r="G30" i="256" a="1"/>
  <c r="G30" i="256" s="1"/>
  <c r="F30" i="256" a="1"/>
  <c r="F30" i="256" s="1"/>
  <c r="E31" i="256" a="1"/>
  <c r="E31" i="256" s="1"/>
  <c r="D31" i="256" a="1"/>
  <c r="D31" i="256" s="1"/>
  <c r="G31" i="256" a="1"/>
  <c r="G31" i="256" s="1"/>
  <c r="E48" i="256" a="1"/>
  <c r="E48" i="256" s="1"/>
  <c r="D52" i="256" a="1"/>
  <c r="D52" i="256" s="1"/>
  <c r="F52" i="256" a="1"/>
  <c r="F52" i="256" s="1"/>
  <c r="F64" i="256" a="1"/>
  <c r="F64" i="256" s="1"/>
  <c r="E64" i="256" a="1"/>
  <c r="E64" i="256" s="1"/>
  <c r="E83" i="256" a="1"/>
  <c r="E83" i="256" s="1"/>
  <c r="F88" i="256" a="1"/>
  <c r="F88" i="256" s="1"/>
  <c r="G88" i="256" a="1"/>
  <c r="G88" i="256" s="1"/>
  <c r="E88" i="256" a="1"/>
  <c r="E88" i="256" s="1"/>
  <c r="D88" i="256" a="1"/>
  <c r="D88" i="256" s="1"/>
  <c r="G54" i="256" a="1"/>
  <c r="G54" i="256" s="1"/>
  <c r="G71" i="256" a="1"/>
  <c r="G71" i="256" s="1"/>
  <c r="F72" i="256" a="1"/>
  <c r="F72" i="256" s="1"/>
  <c r="E76" i="256" a="1"/>
  <c r="E76" i="256" s="1"/>
  <c r="D76" i="256" a="1"/>
  <c r="D76" i="256" s="1"/>
  <c r="G76" i="256" a="1"/>
  <c r="G76" i="256" s="1"/>
  <c r="G87" i="256" a="1"/>
  <c r="G87" i="256" s="1"/>
  <c r="D70" i="256" a="1"/>
  <c r="D70" i="256" s="1"/>
  <c r="F34" i="256" a="1"/>
  <c r="F34" i="256" s="1"/>
  <c r="G34" i="256" a="1"/>
  <c r="G34" i="256" s="1"/>
  <c r="F51" i="256" a="1"/>
  <c r="F51" i="256" s="1"/>
  <c r="E78" i="256" a="1"/>
  <c r="E78" i="256" s="1"/>
  <c r="F79" i="256" a="1"/>
  <c r="F79" i="256" s="1"/>
  <c r="F80" i="256" a="1"/>
  <c r="F80" i="256" s="1"/>
  <c r="F81" i="256" a="1"/>
  <c r="F81" i="256" s="1"/>
  <c r="D86" i="256" a="1"/>
  <c r="D86" i="256" s="1"/>
  <c r="F86" i="256" a="1"/>
  <c r="F86" i="256" s="1"/>
  <c r="D90" i="256" a="1"/>
  <c r="D90" i="256" s="1"/>
  <c r="G127" i="256"/>
  <c r="E41" i="256" a="1"/>
  <c r="E41" i="256" s="1"/>
  <c r="G41" i="256" a="1"/>
  <c r="G41" i="256" s="1"/>
  <c r="F46" i="256" a="1"/>
  <c r="F46" i="256" s="1"/>
  <c r="G46" i="256" a="1"/>
  <c r="G46" i="256" s="1"/>
  <c r="E55" i="256" a="1"/>
  <c r="E55" i="256" s="1"/>
  <c r="D56" i="256" a="1"/>
  <c r="D56" i="256" s="1"/>
  <c r="G56" i="256" a="1"/>
  <c r="G56" i="256" s="1"/>
  <c r="F60" i="256" a="1"/>
  <c r="F60" i="256" s="1"/>
  <c r="E70" i="256" a="1"/>
  <c r="E70" i="256" s="1"/>
  <c r="D71" i="256" a="1"/>
  <c r="D71" i="256" s="1"/>
  <c r="F85" i="256" a="1"/>
  <c r="F85" i="256" s="1"/>
  <c r="E85" i="256" a="1"/>
  <c r="E85" i="256" s="1"/>
  <c r="D87" i="256" a="1"/>
  <c r="D87" i="256" s="1"/>
  <c r="G97" i="256" a="1"/>
  <c r="G97" i="256" s="1"/>
  <c r="D97" i="256" a="1"/>
  <c r="D97" i="256" s="1"/>
  <c r="F127" i="256"/>
  <c r="G94" i="256" a="1"/>
  <c r="G94" i="256" s="1"/>
  <c r="F94" i="256" a="1"/>
  <c r="F94" i="256" s="1"/>
  <c r="E95" i="256" a="1"/>
  <c r="E95" i="256" s="1"/>
  <c r="G95" i="256" a="1"/>
  <c r="G95" i="256" s="1"/>
  <c r="D34" i="256" a="1"/>
  <c r="D34" i="256" s="1"/>
  <c r="F38" i="256" a="1"/>
  <c r="F38" i="256" s="1"/>
  <c r="G38" i="256" a="1"/>
  <c r="G38" i="256" s="1"/>
  <c r="F70" i="256" a="1"/>
  <c r="F70" i="256" s="1"/>
  <c r="E71" i="256" a="1"/>
  <c r="E71" i="256" s="1"/>
  <c r="E72" i="256" a="1"/>
  <c r="E72" i="256" s="1"/>
  <c r="F76" i="256" a="1"/>
  <c r="F76" i="256" s="1"/>
  <c r="D85" i="256" a="1"/>
  <c r="D85" i="256" s="1"/>
  <c r="F87" i="256" a="1"/>
  <c r="F87" i="256" s="1"/>
  <c r="G90" i="256" a="1"/>
  <c r="G90" i="256" s="1"/>
  <c r="H90" i="256" s="1"/>
  <c r="I90" i="256" s="1"/>
  <c r="E93" i="256" a="1"/>
  <c r="E93" i="256" s="1"/>
  <c r="D96" i="256" a="1"/>
  <c r="D96" i="256" s="1"/>
  <c r="D98" i="256" a="1"/>
  <c r="D98" i="256" s="1"/>
  <c r="F50" i="256" a="1"/>
  <c r="F50" i="256" s="1"/>
  <c r="G50" i="256" a="1"/>
  <c r="G50" i="256" s="1"/>
  <c r="E54" i="256" a="1"/>
  <c r="E54" i="256" s="1"/>
  <c r="G55" i="256" a="1"/>
  <c r="G55" i="256" s="1"/>
  <c r="D60" i="256" a="1"/>
  <c r="D60" i="256" s="1"/>
  <c r="E61" i="256" a="1"/>
  <c r="E61" i="256" s="1"/>
  <c r="G70" i="256" a="1"/>
  <c r="G70" i="256" s="1"/>
  <c r="F71" i="256" a="1"/>
  <c r="F71" i="256" s="1"/>
  <c r="G72" i="256" a="1"/>
  <c r="G72" i="256" s="1"/>
  <c r="G81" i="256" a="1"/>
  <c r="G81" i="256" s="1"/>
  <c r="D81" i="256" a="1"/>
  <c r="D81" i="256" s="1"/>
  <c r="G84" i="256" a="1"/>
  <c r="G84" i="256" s="1"/>
  <c r="D84" i="256" a="1"/>
  <c r="D84" i="256" s="1"/>
  <c r="E92" i="256" a="1"/>
  <c r="E92" i="256" s="1"/>
  <c r="D92" i="256" a="1"/>
  <c r="D92" i="256" s="1"/>
  <c r="G92" i="256" a="1"/>
  <c r="G92" i="256" s="1"/>
  <c r="D94" i="256" a="1"/>
  <c r="D94" i="256" s="1"/>
  <c r="D95" i="256" a="1"/>
  <c r="D95" i="256" s="1"/>
  <c r="F98" i="256" a="1"/>
  <c r="F98" i="256" s="1"/>
  <c r="E45" i="256" a="1"/>
  <c r="E45" i="256" s="1"/>
  <c r="G45" i="256" a="1"/>
  <c r="G45" i="256" s="1"/>
  <c r="E56" i="256" a="1"/>
  <c r="E56" i="256" s="1"/>
  <c r="G78" i="256" a="1"/>
  <c r="G78" i="256" s="1"/>
  <c r="F78" i="256" a="1"/>
  <c r="F78" i="256" s="1"/>
  <c r="E79" i="256" a="1"/>
  <c r="E79" i="256" s="1"/>
  <c r="G79" i="256" a="1"/>
  <c r="G79" i="256" s="1"/>
  <c r="E84" i="256" a="1"/>
  <c r="E84" i="256" s="1"/>
  <c r="E94" i="256" a="1"/>
  <c r="E94" i="256" s="1"/>
  <c r="F95" i="256" a="1"/>
  <c r="F95" i="256" s="1"/>
  <c r="F96" i="256" a="1"/>
  <c r="F96" i="256" s="1"/>
  <c r="F97" i="256" a="1"/>
  <c r="F97" i="256" s="1"/>
  <c r="E82" i="256" a="1"/>
  <c r="E82" i="256" s="1"/>
  <c r="E98" i="256" a="1"/>
  <c r="E98" i="256" s="1"/>
  <c r="F100" i="256" a="1"/>
  <c r="F100" i="256" s="1"/>
  <c r="H100" i="256" s="1"/>
  <c r="I100" i="256" s="1"/>
  <c r="G61" i="255" a="1"/>
  <c r="G61" i="255" s="1"/>
  <c r="D61" i="255" a="1"/>
  <c r="D61" i="255" s="1"/>
  <c r="F61" i="255" a="1"/>
  <c r="F61" i="255" s="1"/>
  <c r="D48" i="255" a="1"/>
  <c r="D48" i="255" s="1"/>
  <c r="F48" i="255" a="1"/>
  <c r="F48" i="255" s="1"/>
  <c r="F75" i="255" a="1"/>
  <c r="F75" i="255" s="1"/>
  <c r="D75" i="255" a="1"/>
  <c r="D75" i="255" s="1"/>
  <c r="E78" i="255" a="1"/>
  <c r="E78" i="255" s="1"/>
  <c r="F78" i="255" a="1"/>
  <c r="F78" i="255" s="1"/>
  <c r="G72" i="255" a="1"/>
  <c r="G72" i="255" s="1"/>
  <c r="F72" i="255" a="1"/>
  <c r="F72" i="255" s="1"/>
  <c r="E72" i="255" a="1"/>
  <c r="E72" i="255" s="1"/>
  <c r="D72" i="255" a="1"/>
  <c r="D72" i="255" s="1"/>
  <c r="D41" i="255" a="1"/>
  <c r="D41" i="255" s="1"/>
  <c r="G41" i="255" a="1"/>
  <c r="G41" i="255" s="1"/>
  <c r="F41" i="255" a="1"/>
  <c r="F41" i="255" s="1"/>
  <c r="F42" i="255" a="1"/>
  <c r="F42" i="255" s="1"/>
  <c r="E42" i="255" a="1"/>
  <c r="E42" i="255" s="1"/>
  <c r="D42" i="255" a="1"/>
  <c r="D42" i="255" s="1"/>
  <c r="G70" i="255" a="1"/>
  <c r="G70" i="255" s="1"/>
  <c r="F26" i="255" a="1"/>
  <c r="F26" i="255" s="1"/>
  <c r="G26" i="255" a="1"/>
  <c r="G26" i="255" s="1"/>
  <c r="F60" i="255" a="1"/>
  <c r="F60" i="255" s="1"/>
  <c r="G60" i="255" a="1"/>
  <c r="G60" i="255" s="1"/>
  <c r="F92" i="248" a="1"/>
  <c r="F92" i="248" s="1"/>
  <c r="F96" i="248" a="1"/>
  <c r="F96" i="248" s="1"/>
  <c r="E37" i="249" a="1"/>
  <c r="E37" i="249" s="1"/>
  <c r="D61" i="251" a="1"/>
  <c r="D61" i="251" s="1"/>
  <c r="F65" i="253" a="1"/>
  <c r="F65" i="253" s="1"/>
  <c r="F69" i="253" a="1"/>
  <c r="F69" i="253" s="1"/>
  <c r="E76" i="253" a="1"/>
  <c r="E76" i="253" s="1"/>
  <c r="G63" i="254" a="1"/>
  <c r="G63" i="254" s="1"/>
  <c r="F75" i="254" a="1"/>
  <c r="F75" i="254" s="1"/>
  <c r="F79" i="254" a="1"/>
  <c r="F79" i="254" s="1"/>
  <c r="D34" i="255" a="1"/>
  <c r="D34" i="255" s="1"/>
  <c r="E35" i="255" a="1"/>
  <c r="E35" i="255" s="1"/>
  <c r="F52" i="255" a="1"/>
  <c r="F52" i="255" s="1"/>
  <c r="G65" i="255" a="1"/>
  <c r="G65" i="255" s="1"/>
  <c r="G93" i="251" a="1"/>
  <c r="G93" i="251" s="1"/>
  <c r="F55" i="253" a="1"/>
  <c r="F55" i="253" s="1"/>
  <c r="E58" i="253" a="1"/>
  <c r="E58" i="253" s="1"/>
  <c r="F66" i="254" a="1"/>
  <c r="F66" i="254" s="1"/>
  <c r="F73" i="254" a="1"/>
  <c r="F73" i="254" s="1"/>
  <c r="F83" i="254" a="1"/>
  <c r="F83" i="254" s="1"/>
  <c r="G95" i="254" a="1"/>
  <c r="G95" i="254" s="1"/>
  <c r="E39" i="255" a="1"/>
  <c r="E39" i="255" s="1"/>
  <c r="G45" i="255" a="1"/>
  <c r="G45" i="255" s="1"/>
  <c r="E53" i="255" a="1"/>
  <c r="E53" i="255" s="1"/>
  <c r="E70" i="255" a="1"/>
  <c r="E70" i="255" s="1"/>
  <c r="E76" i="252" a="1"/>
  <c r="E76" i="252" s="1"/>
  <c r="G81" i="253" a="1"/>
  <c r="G81" i="253" s="1"/>
  <c r="F92" i="253" a="1"/>
  <c r="F92" i="253" s="1"/>
  <c r="D25" i="254" a="1"/>
  <c r="D25" i="254" s="1"/>
  <c r="F37" i="254" a="1"/>
  <c r="F37" i="254" s="1"/>
  <c r="D45" i="254" a="1"/>
  <c r="D45" i="254" s="1"/>
  <c r="D58" i="254" a="1"/>
  <c r="D58" i="254" s="1"/>
  <c r="D67" i="254" a="1"/>
  <c r="D67" i="254" s="1"/>
  <c r="F71" i="254" a="1"/>
  <c r="F71" i="254" s="1"/>
  <c r="G76" i="254" a="1"/>
  <c r="G76" i="254" s="1"/>
  <c r="F91" i="254" a="1"/>
  <c r="F91" i="254" s="1"/>
  <c r="F33" i="255" a="1"/>
  <c r="F33" i="255" s="1"/>
  <c r="G34" i="255" a="1"/>
  <c r="G34" i="255" s="1"/>
  <c r="D51" i="255" a="1"/>
  <c r="D51" i="255" s="1"/>
  <c r="G54" i="255" a="1"/>
  <c r="G54" i="255" s="1"/>
  <c r="D77" i="255" a="1"/>
  <c r="D77" i="255" s="1"/>
  <c r="D80" i="255" a="1"/>
  <c r="D80" i="255" s="1"/>
  <c r="F94" i="255" a="1"/>
  <c r="F94" i="255" s="1"/>
  <c r="E51" i="255" a="1"/>
  <c r="E51" i="255" s="1"/>
  <c r="G97" i="255" a="1"/>
  <c r="G97" i="255" s="1"/>
  <c r="E91" i="248" a="1"/>
  <c r="E91" i="248" s="1"/>
  <c r="G77" i="252" a="1"/>
  <c r="G77" i="252" s="1"/>
  <c r="G81" i="252" a="1"/>
  <c r="G81" i="252" s="1"/>
  <c r="D100" i="252" a="1"/>
  <c r="D100" i="252" s="1"/>
  <c r="F59" i="254" a="1"/>
  <c r="F59" i="254" s="1"/>
  <c r="E71" i="254" a="1"/>
  <c r="E71" i="254" s="1"/>
  <c r="D30" i="255" a="1"/>
  <c r="D30" i="255" s="1"/>
  <c r="E49" i="255" a="1"/>
  <c r="E49" i="255" s="1"/>
  <c r="F51" i="255" a="1"/>
  <c r="F51" i="255" s="1"/>
  <c r="E74" i="255" a="1"/>
  <c r="E74" i="255" s="1"/>
  <c r="G48" i="253" a="1"/>
  <c r="G48" i="253" s="1"/>
  <c r="G28" i="252" a="1"/>
  <c r="G28" i="252" s="1"/>
  <c r="F31" i="255" a="1"/>
  <c r="F31" i="255" s="1"/>
  <c r="D37" i="255" a="1"/>
  <c r="D37" i="255" s="1"/>
  <c r="D71" i="255" a="1"/>
  <c r="D71" i="255" s="1"/>
  <c r="D78" i="255" a="1"/>
  <c r="D78" i="255" s="1"/>
  <c r="G85" i="255" a="1"/>
  <c r="G85" i="255" s="1"/>
  <c r="F41" i="251" a="1"/>
  <c r="F41" i="251" s="1"/>
  <c r="D57" i="253" a="1"/>
  <c r="D57" i="253" s="1"/>
  <c r="E94" i="253" a="1"/>
  <c r="E94" i="253" s="1"/>
  <c r="E43" i="254" a="1"/>
  <c r="E43" i="254" s="1"/>
  <c r="G82" i="255" a="1"/>
  <c r="G82" i="255" s="1"/>
  <c r="F91" i="255" a="1"/>
  <c r="F91" i="255" s="1"/>
  <c r="E50" i="255" a="1"/>
  <c r="E50" i="255" s="1"/>
  <c r="F50" i="255" a="1"/>
  <c r="F50" i="255" s="1"/>
  <c r="D50" i="255" a="1"/>
  <c r="D50" i="255" s="1"/>
  <c r="D32" i="255" a="1"/>
  <c r="D32" i="255" s="1"/>
  <c r="F32" i="255" a="1"/>
  <c r="F32" i="255" s="1"/>
  <c r="E32" i="255" a="1"/>
  <c r="E32" i="255" s="1"/>
  <c r="G32" i="255" a="1"/>
  <c r="G32" i="255" s="1"/>
  <c r="F53" i="255" a="1"/>
  <c r="F53" i="255" s="1"/>
  <c r="F29" i="255" a="1"/>
  <c r="F29" i="255" s="1"/>
  <c r="D29" i="255" a="1"/>
  <c r="D29" i="255" s="1"/>
  <c r="G29" i="255" a="1"/>
  <c r="G29" i="255" s="1"/>
  <c r="D36" i="255" a="1"/>
  <c r="D36" i="255" s="1"/>
  <c r="E36" i="255" a="1"/>
  <c r="E36" i="255" s="1"/>
  <c r="F36" i="255" a="1"/>
  <c r="F36" i="255" s="1"/>
  <c r="G36" i="255" a="1"/>
  <c r="G36" i="255" s="1"/>
  <c r="F69" i="255" a="1"/>
  <c r="F69" i="255" s="1"/>
  <c r="D69" i="255" a="1"/>
  <c r="D69" i="255" s="1"/>
  <c r="G69" i="255" a="1"/>
  <c r="G69" i="255" s="1"/>
  <c r="E69" i="255" a="1"/>
  <c r="E69" i="255" s="1"/>
  <c r="G25" i="255" a="1"/>
  <c r="G25" i="255" s="1"/>
  <c r="F25" i="255" a="1"/>
  <c r="F25" i="255" s="1"/>
  <c r="D25" i="255" a="1"/>
  <c r="D25" i="255" s="1"/>
  <c r="D40" i="255" a="1"/>
  <c r="D40" i="255" s="1"/>
  <c r="G40" i="255" a="1"/>
  <c r="G40" i="255" s="1"/>
  <c r="F40" i="255" a="1"/>
  <c r="F40" i="255" s="1"/>
  <c r="E40" i="255" a="1"/>
  <c r="E40" i="255" s="1"/>
  <c r="D28" i="255" a="1"/>
  <c r="D28" i="255" s="1"/>
  <c r="F28" i="255" a="1"/>
  <c r="F28" i="255" s="1"/>
  <c r="E28" i="255" a="1"/>
  <c r="E28" i="255" s="1"/>
  <c r="G28" i="255" a="1"/>
  <c r="G28" i="255" s="1"/>
  <c r="G52" i="255" a="1"/>
  <c r="G52" i="255" s="1"/>
  <c r="E30" i="255" a="1"/>
  <c r="E30" i="255" s="1"/>
  <c r="D31" i="255" a="1"/>
  <c r="D31" i="255" s="1"/>
  <c r="E43" i="255" a="1"/>
  <c r="E43" i="255" s="1"/>
  <c r="E31" i="255" a="1"/>
  <c r="E31" i="255" s="1"/>
  <c r="F37" i="255" a="1"/>
  <c r="F37" i="255" s="1"/>
  <c r="E41" i="255" a="1"/>
  <c r="E41" i="255" s="1"/>
  <c r="G42" i="255" a="1"/>
  <c r="G42" i="255" s="1"/>
  <c r="E44" i="255" a="1"/>
  <c r="E44" i="255" s="1"/>
  <c r="D45" i="255" a="1"/>
  <c r="D45" i="255" s="1"/>
  <c r="E47" i="255" a="1"/>
  <c r="E47" i="255" s="1"/>
  <c r="G47" i="255" a="1"/>
  <c r="G47" i="255" s="1"/>
  <c r="G48" i="255" a="1"/>
  <c r="G48" i="255" s="1"/>
  <c r="E48" i="255" a="1"/>
  <c r="E48" i="255" s="1"/>
  <c r="G49" i="255" a="1"/>
  <c r="G49" i="255" s="1"/>
  <c r="E57" i="255" a="1"/>
  <c r="E57" i="255" s="1"/>
  <c r="E62" i="255" a="1"/>
  <c r="E62" i="255" s="1"/>
  <c r="D62" i="255" a="1"/>
  <c r="D62" i="255" s="1"/>
  <c r="G62" i="255" a="1"/>
  <c r="G62" i="255" s="1"/>
  <c r="F64" i="255" a="1"/>
  <c r="F64" i="255" s="1"/>
  <c r="F71" i="255" a="1"/>
  <c r="F71" i="255" s="1"/>
  <c r="E71" i="255" a="1"/>
  <c r="E71" i="255" s="1"/>
  <c r="D79" i="255" a="1"/>
  <c r="D79" i="255" s="1"/>
  <c r="G79" i="255" a="1"/>
  <c r="G79" i="255" s="1"/>
  <c r="E79" i="255" a="1"/>
  <c r="E79" i="255" s="1"/>
  <c r="E90" i="255" a="1"/>
  <c r="E90" i="255" s="1"/>
  <c r="D90" i="255" a="1"/>
  <c r="D90" i="255" s="1"/>
  <c r="G90" i="255" a="1"/>
  <c r="G90" i="255" s="1"/>
  <c r="F95" i="255" a="1"/>
  <c r="F95" i="255" s="1"/>
  <c r="E95" i="255" a="1"/>
  <c r="E95" i="255" s="1"/>
  <c r="D95" i="255" a="1"/>
  <c r="D95" i="255" s="1"/>
  <c r="D26" i="255" a="1"/>
  <c r="D26" i="255" s="1"/>
  <c r="G27" i="255" a="1"/>
  <c r="G27" i="255" s="1"/>
  <c r="E25" i="255" a="1"/>
  <c r="E25" i="255" s="1"/>
  <c r="E26" i="255" a="1"/>
  <c r="E26" i="255" s="1"/>
  <c r="E29" i="255" a="1"/>
  <c r="E29" i="255" s="1"/>
  <c r="D33" i="255" a="1"/>
  <c r="D33" i="255" s="1"/>
  <c r="G35" i="255" a="1"/>
  <c r="G35" i="255" s="1"/>
  <c r="E38" i="255" a="1"/>
  <c r="E38" i="255" s="1"/>
  <c r="D39" i="255" a="1"/>
  <c r="D39" i="255" s="1"/>
  <c r="F44" i="255" a="1"/>
  <c r="F44" i="255" s="1"/>
  <c r="D46" i="255" a="1"/>
  <c r="D46" i="255" s="1"/>
  <c r="G50" i="255" a="1"/>
  <c r="G50" i="255" s="1"/>
  <c r="G55" i="255" a="1"/>
  <c r="G55" i="255" s="1"/>
  <c r="F63" i="255" a="1"/>
  <c r="F63" i="255" s="1"/>
  <c r="E63" i="255" a="1"/>
  <c r="E63" i="255" s="1"/>
  <c r="D66" i="255" a="1"/>
  <c r="D66" i="255" s="1"/>
  <c r="G66" i="255" a="1"/>
  <c r="G66" i="255" s="1"/>
  <c r="E66" i="255" a="1"/>
  <c r="E66" i="255" s="1"/>
  <c r="F70" i="255" a="1"/>
  <c r="F70" i="255" s="1"/>
  <c r="E75" i="255" a="1"/>
  <c r="E75" i="255" s="1"/>
  <c r="G75" i="255" a="1"/>
  <c r="G75" i="255" s="1"/>
  <c r="F93" i="255" a="1"/>
  <c r="F93" i="255" s="1"/>
  <c r="D93" i="255" a="1"/>
  <c r="D93" i="255" s="1"/>
  <c r="D38" i="255" a="1"/>
  <c r="D38" i="255" s="1"/>
  <c r="D27" i="255" a="1"/>
  <c r="D27" i="255" s="1"/>
  <c r="F45" i="255" a="1"/>
  <c r="F45" i="255" s="1"/>
  <c r="E60" i="255" a="1"/>
  <c r="E60" i="255" s="1"/>
  <c r="D60" i="255" a="1"/>
  <c r="D60" i="255" s="1"/>
  <c r="F79" i="255" a="1"/>
  <c r="F79" i="255" s="1"/>
  <c r="E82" i="255" a="1"/>
  <c r="E82" i="255" s="1"/>
  <c r="F86" i="255" a="1"/>
  <c r="F86" i="255" s="1"/>
  <c r="G86" i="255" a="1"/>
  <c r="G86" i="255" s="1"/>
  <c r="E86" i="255" a="1"/>
  <c r="E86" i="255" s="1"/>
  <c r="E88" i="255" a="1"/>
  <c r="E88" i="255" s="1"/>
  <c r="F88" i="255" a="1"/>
  <c r="F88" i="255" s="1"/>
  <c r="D88" i="255" a="1"/>
  <c r="D88" i="255" s="1"/>
  <c r="F67" i="255" a="1"/>
  <c r="F67" i="255" s="1"/>
  <c r="D67" i="255" a="1"/>
  <c r="D67" i="255" s="1"/>
  <c r="G67" i="255" a="1"/>
  <c r="G67" i="255" s="1"/>
  <c r="E73" i="255" a="1"/>
  <c r="E73" i="255" s="1"/>
  <c r="D73" i="255" a="1"/>
  <c r="D73" i="255" s="1"/>
  <c r="G73" i="255" a="1"/>
  <c r="G73" i="255" s="1"/>
  <c r="E27" i="255" a="1"/>
  <c r="E27" i="255" s="1"/>
  <c r="F30" i="255" a="1"/>
  <c r="F30" i="255" s="1"/>
  <c r="E37" i="255" a="1"/>
  <c r="E37" i="255" s="1"/>
  <c r="G38" i="255" a="1"/>
  <c r="G38" i="255" s="1"/>
  <c r="G43" i="255" a="1"/>
  <c r="G43" i="255" s="1"/>
  <c r="G44" i="255" a="1"/>
  <c r="G44" i="255" s="1"/>
  <c r="E46" i="255" a="1"/>
  <c r="E46" i="255" s="1"/>
  <c r="E52" i="255" a="1"/>
  <c r="E52" i="255" s="1"/>
  <c r="D52" i="255" a="1"/>
  <c r="D52" i="255" s="1"/>
  <c r="D53" i="255" a="1"/>
  <c r="D53" i="255" s="1"/>
  <c r="G53" i="255" a="1"/>
  <c r="G53" i="255" s="1"/>
  <c r="F54" i="255" a="1"/>
  <c r="F54" i="255" s="1"/>
  <c r="D54" i="255" a="1"/>
  <c r="D54" i="255" s="1"/>
  <c r="G58" i="255" a="1"/>
  <c r="G58" i="255" s="1"/>
  <c r="E58" i="255" a="1"/>
  <c r="E58" i="255" s="1"/>
  <c r="D58" i="255" a="1"/>
  <c r="D58" i="255" s="1"/>
  <c r="F65" i="255" a="1"/>
  <c r="F65" i="255" s="1"/>
  <c r="E65" i="255" a="1"/>
  <c r="E65" i="255" s="1"/>
  <c r="D65" i="255" a="1"/>
  <c r="D65" i="255" s="1"/>
  <c r="G74" i="255" a="1"/>
  <c r="G74" i="255" s="1"/>
  <c r="D74" i="255" a="1"/>
  <c r="D74" i="255" s="1"/>
  <c r="F90" i="255" a="1"/>
  <c r="F90" i="255" s="1"/>
  <c r="D55" i="255" a="1"/>
  <c r="D55" i="255" s="1"/>
  <c r="F55" i="255" a="1"/>
  <c r="F55" i="255" s="1"/>
  <c r="F56" i="255" a="1"/>
  <c r="F56" i="255" s="1"/>
  <c r="D56" i="255" a="1"/>
  <c r="D56" i="255" s="1"/>
  <c r="F57" i="255" a="1"/>
  <c r="F57" i="255" s="1"/>
  <c r="G31" i="255" a="1"/>
  <c r="G31" i="255" s="1"/>
  <c r="D44" i="255" a="1"/>
  <c r="D44" i="255" s="1"/>
  <c r="E45" i="255" a="1"/>
  <c r="E45" i="255" s="1"/>
  <c r="D68" i="255" a="1"/>
  <c r="D68" i="255" s="1"/>
  <c r="F68" i="255" a="1"/>
  <c r="F68" i="255" s="1"/>
  <c r="G68" i="255" a="1"/>
  <c r="G68" i="255" s="1"/>
  <c r="G89" i="255" a="1"/>
  <c r="G89" i="255" s="1"/>
  <c r="E89" i="255" a="1"/>
  <c r="E89" i="255" s="1"/>
  <c r="D89" i="255" a="1"/>
  <c r="D89" i="255" s="1"/>
  <c r="E33" i="255" a="1"/>
  <c r="E33" i="255" s="1"/>
  <c r="G39" i="255" a="1"/>
  <c r="G39" i="255" s="1"/>
  <c r="E56" i="255" a="1"/>
  <c r="E56" i="255" s="1"/>
  <c r="D57" i="255" a="1"/>
  <c r="D57" i="255" s="1"/>
  <c r="G83" i="255" a="1"/>
  <c r="G83" i="255" s="1"/>
  <c r="F83" i="255" a="1"/>
  <c r="F83" i="255" s="1"/>
  <c r="D85" i="255" a="1"/>
  <c r="D85" i="255" s="1"/>
  <c r="F85" i="255" a="1"/>
  <c r="F85" i="255" s="1"/>
  <c r="E85" i="255" a="1"/>
  <c r="E85" i="255" s="1"/>
  <c r="F87" i="255" a="1"/>
  <c r="F87" i="255" s="1"/>
  <c r="E87" i="255" a="1"/>
  <c r="E87" i="255" s="1"/>
  <c r="D87" i="255" a="1"/>
  <c r="D87" i="255" s="1"/>
  <c r="G87" i="255" a="1"/>
  <c r="G87" i="255" s="1"/>
  <c r="D59" i="255" a="1"/>
  <c r="D59" i="255" s="1"/>
  <c r="F59" i="255" a="1"/>
  <c r="F59" i="255" s="1"/>
  <c r="D81" i="255" a="1"/>
  <c r="D81" i="255" s="1"/>
  <c r="F82" i="255" a="1"/>
  <c r="F82" i="255" s="1"/>
  <c r="D82" i="255" a="1"/>
  <c r="D82" i="255" s="1"/>
  <c r="F84" i="255" a="1"/>
  <c r="F84" i="255" s="1"/>
  <c r="D84" i="255" a="1"/>
  <c r="D84" i="255" s="1"/>
  <c r="F127" i="255"/>
  <c r="F77" i="255" a="1"/>
  <c r="F77" i="255" s="1"/>
  <c r="D83" i="255" a="1"/>
  <c r="D83" i="255" s="1"/>
  <c r="F97" i="255" a="1"/>
  <c r="F97" i="255" s="1"/>
  <c r="D98" i="255" a="1"/>
  <c r="D98" i="255" s="1"/>
  <c r="F99" i="255" a="1"/>
  <c r="F99" i="255" s="1"/>
  <c r="D99" i="255" a="1"/>
  <c r="D99" i="255" s="1"/>
  <c r="D100" i="255" a="1"/>
  <c r="D100" i="255" s="1"/>
  <c r="F100" i="255" a="1"/>
  <c r="F100" i="255" s="1"/>
  <c r="G91" i="255" a="1"/>
  <c r="G91" i="255" s="1"/>
  <c r="E91" i="255" a="1"/>
  <c r="E91" i="255" s="1"/>
  <c r="E96" i="255" a="1"/>
  <c r="E96" i="255" s="1"/>
  <c r="D97" i="255" a="1"/>
  <c r="D97" i="255" s="1"/>
  <c r="G63" i="255" a="1"/>
  <c r="G63" i="255" s="1"/>
  <c r="G76" i="255" a="1"/>
  <c r="G76" i="255" s="1"/>
  <c r="F81" i="255" a="1"/>
  <c r="F81" i="255" s="1"/>
  <c r="E83" i="255" a="1"/>
  <c r="E83" i="255" s="1"/>
  <c r="E84" i="255" a="1"/>
  <c r="E84" i="255" s="1"/>
  <c r="E92" i="255" a="1"/>
  <c r="E92" i="255" s="1"/>
  <c r="H92" i="255" s="1"/>
  <c r="I92" i="255" s="1"/>
  <c r="E97" i="255" a="1"/>
  <c r="E97" i="255" s="1"/>
  <c r="E98" i="255" a="1"/>
  <c r="E98" i="255" s="1"/>
  <c r="E77" i="255" a="1"/>
  <c r="E77" i="255" s="1"/>
  <c r="G77" i="255" a="1"/>
  <c r="G77" i="255" s="1"/>
  <c r="G84" i="255" a="1"/>
  <c r="G84" i="255" s="1"/>
  <c r="E100" i="255" a="1"/>
  <c r="E100" i="255" s="1"/>
  <c r="G80" i="255" a="1"/>
  <c r="G80" i="255" s="1"/>
  <c r="D91" i="255" a="1"/>
  <c r="D91" i="255" s="1"/>
  <c r="G93" i="255" a="1"/>
  <c r="G93" i="255" s="1"/>
  <c r="E94" i="255" a="1"/>
  <c r="E94" i="255" s="1"/>
  <c r="D94" i="255" a="1"/>
  <c r="D94" i="255" s="1"/>
  <c r="G94" i="255" a="1"/>
  <c r="G94" i="255" s="1"/>
  <c r="F98" i="255" a="1"/>
  <c r="F98" i="255" s="1"/>
  <c r="E99" i="255" a="1"/>
  <c r="E99" i="255" s="1"/>
  <c r="E61" i="255" a="1"/>
  <c r="E61" i="255" s="1"/>
  <c r="G64" i="255" a="1"/>
  <c r="G64" i="255" s="1"/>
  <c r="E76" i="255" a="1"/>
  <c r="E76" i="255" s="1"/>
  <c r="E93" i="255" a="1"/>
  <c r="E93" i="255" s="1"/>
  <c r="G96" i="255" a="1"/>
  <c r="G96" i="255" s="1"/>
  <c r="D64" i="255" a="1"/>
  <c r="D64" i="255" s="1"/>
  <c r="F80" i="255" a="1"/>
  <c r="F80" i="255" s="1"/>
  <c r="D96" i="255" a="1"/>
  <c r="D96" i="255" s="1"/>
  <c r="G78" i="255" a="1"/>
  <c r="G78" i="255" s="1"/>
  <c r="G81" i="254" a="1"/>
  <c r="G81" i="254" s="1"/>
  <c r="F81" i="254" a="1"/>
  <c r="F81" i="254" s="1"/>
  <c r="E81" i="254" a="1"/>
  <c r="E81" i="254" s="1"/>
  <c r="G89" i="254" a="1"/>
  <c r="G89" i="254" s="1"/>
  <c r="D89" i="254" a="1"/>
  <c r="D89" i="254" s="1"/>
  <c r="F89" i="254" a="1"/>
  <c r="F89" i="254" s="1"/>
  <c r="F56" i="254" a="1"/>
  <c r="F56" i="254" s="1"/>
  <c r="E56" i="254" a="1"/>
  <c r="E56" i="254" s="1"/>
  <c r="D70" i="254" a="1"/>
  <c r="D70" i="254" s="1"/>
  <c r="F41" i="254" a="1"/>
  <c r="F41" i="254" s="1"/>
  <c r="E41" i="254" a="1"/>
  <c r="E41" i="254" s="1"/>
  <c r="D41" i="254" a="1"/>
  <c r="D41" i="254" s="1"/>
  <c r="G29" i="254" a="1"/>
  <c r="G29" i="254" s="1"/>
  <c r="E29" i="254" a="1"/>
  <c r="E29" i="254" s="1"/>
  <c r="D29" i="254" a="1"/>
  <c r="D29" i="254" s="1"/>
  <c r="E47" i="254" a="1"/>
  <c r="E47" i="254" s="1"/>
  <c r="E79" i="254" a="1"/>
  <c r="E79" i="254" s="1"/>
  <c r="G51" i="248" a="1"/>
  <c r="G51" i="248" s="1"/>
  <c r="F67" i="249" a="1"/>
  <c r="F67" i="249" s="1"/>
  <c r="F71" i="249" a="1"/>
  <c r="F71" i="249" s="1"/>
  <c r="G79" i="249" a="1"/>
  <c r="G79" i="249" s="1"/>
  <c r="G99" i="249" a="1"/>
  <c r="G99" i="249" s="1"/>
  <c r="G41" i="250" a="1"/>
  <c r="G41" i="250" s="1"/>
  <c r="F39" i="251" a="1"/>
  <c r="F39" i="251" s="1"/>
  <c r="D55" i="251" a="1"/>
  <c r="D55" i="251" s="1"/>
  <c r="D63" i="251" a="1"/>
  <c r="D63" i="251" s="1"/>
  <c r="G33" i="252" a="1"/>
  <c r="G33" i="252" s="1"/>
  <c r="E50" i="253" a="1"/>
  <c r="E50" i="253" s="1"/>
  <c r="G74" i="253" a="1"/>
  <c r="G74" i="253" s="1"/>
  <c r="F90" i="253" a="1"/>
  <c r="F90" i="253" s="1"/>
  <c r="D33" i="254" a="1"/>
  <c r="D33" i="254" s="1"/>
  <c r="F65" i="254" a="1"/>
  <c r="F65" i="254" s="1"/>
  <c r="E77" i="254" a="1"/>
  <c r="E77" i="254" s="1"/>
  <c r="F48" i="251" a="1"/>
  <c r="F48" i="251" s="1"/>
  <c r="D29" i="252" a="1"/>
  <c r="D29" i="252" s="1"/>
  <c r="G32" i="253" a="1"/>
  <c r="G32" i="253" s="1"/>
  <c r="E33" i="254" a="1"/>
  <c r="E33" i="254" s="1"/>
  <c r="D36" i="254" a="1"/>
  <c r="D36" i="254" s="1"/>
  <c r="G46" i="254" a="1"/>
  <c r="G46" i="254" s="1"/>
  <c r="E54" i="254" a="1"/>
  <c r="E54" i="254" s="1"/>
  <c r="G65" i="254" a="1"/>
  <c r="G65" i="254" s="1"/>
  <c r="D72" i="254" a="1"/>
  <c r="D72" i="254" s="1"/>
  <c r="F77" i="254" a="1"/>
  <c r="F77" i="254" s="1"/>
  <c r="D92" i="254" a="1"/>
  <c r="D92" i="254" s="1"/>
  <c r="G74" i="247" a="1"/>
  <c r="G74" i="247" s="1"/>
  <c r="E72" i="254" a="1"/>
  <c r="E72" i="254" s="1"/>
  <c r="E76" i="254" a="1"/>
  <c r="E76" i="254" s="1"/>
  <c r="E70" i="249" a="1"/>
  <c r="E70" i="249" s="1"/>
  <c r="D100" i="249" a="1"/>
  <c r="D100" i="249" s="1"/>
  <c r="G76" i="251" a="1"/>
  <c r="G76" i="251" s="1"/>
  <c r="D83" i="251" a="1"/>
  <c r="D83" i="251" s="1"/>
  <c r="D67" i="252" a="1"/>
  <c r="D67" i="252" s="1"/>
  <c r="F85" i="252" a="1"/>
  <c r="F85" i="252" s="1"/>
  <c r="E39" i="253" a="1"/>
  <c r="E39" i="253" s="1"/>
  <c r="D42" i="253" a="1"/>
  <c r="D42" i="253" s="1"/>
  <c r="E54" i="253" a="1"/>
  <c r="E54" i="253" s="1"/>
  <c r="F78" i="253" a="1"/>
  <c r="F78" i="253" s="1"/>
  <c r="F81" i="253" a="1"/>
  <c r="F81" i="253" s="1"/>
  <c r="G85" i="253" a="1"/>
  <c r="G85" i="253" s="1"/>
  <c r="G32" i="254" a="1"/>
  <c r="G32" i="254" s="1"/>
  <c r="E39" i="254" a="1"/>
  <c r="E39" i="254" s="1"/>
  <c r="F46" i="254" a="1"/>
  <c r="F46" i="254" s="1"/>
  <c r="F72" i="254" a="1"/>
  <c r="F72" i="254" s="1"/>
  <c r="D75" i="254" a="1"/>
  <c r="D75" i="254" s="1"/>
  <c r="D80" i="254" a="1"/>
  <c r="D80" i="254" s="1"/>
  <c r="E96" i="254" a="1"/>
  <c r="E96" i="254" s="1"/>
  <c r="E62" i="248" a="1"/>
  <c r="E62" i="248" s="1"/>
  <c r="G53" i="248" a="1"/>
  <c r="G53" i="248" s="1"/>
  <c r="E61" i="251" a="1"/>
  <c r="E61" i="251" s="1"/>
  <c r="E91" i="251" a="1"/>
  <c r="E91" i="251" s="1"/>
  <c r="F31" i="252" a="1"/>
  <c r="F31" i="252" s="1"/>
  <c r="G35" i="252" a="1"/>
  <c r="G35" i="252" s="1"/>
  <c r="G78" i="252" a="1"/>
  <c r="G78" i="252" s="1"/>
  <c r="G37" i="253" a="1"/>
  <c r="G37" i="253" s="1"/>
  <c r="E92" i="253" a="1"/>
  <c r="E92" i="253" s="1"/>
  <c r="G25" i="254" a="1"/>
  <c r="G25" i="254" s="1"/>
  <c r="D66" i="254" a="1"/>
  <c r="D66" i="254" s="1"/>
  <c r="H66" i="254" s="1"/>
  <c r="I66" i="254" s="1"/>
  <c r="D69" i="254" a="1"/>
  <c r="D69" i="254" s="1"/>
  <c r="D71" i="254" a="1"/>
  <c r="D71" i="254" s="1"/>
  <c r="F76" i="254" a="1"/>
  <c r="F76" i="254" s="1"/>
  <c r="F96" i="254" a="1"/>
  <c r="F96" i="254" s="1"/>
  <c r="E87" i="250" a="1"/>
  <c r="E87" i="250" s="1"/>
  <c r="G50" i="251" a="1"/>
  <c r="G50" i="251" s="1"/>
  <c r="D54" i="251" a="1"/>
  <c r="D54" i="251" s="1"/>
  <c r="F73" i="251" a="1"/>
  <c r="F73" i="251" s="1"/>
  <c r="F60" i="252" a="1"/>
  <c r="F60" i="252" s="1"/>
  <c r="E64" i="252" a="1"/>
  <c r="E64" i="252" s="1"/>
  <c r="D86" i="253" a="1"/>
  <c r="D86" i="253" s="1"/>
  <c r="G53" i="254" a="1"/>
  <c r="G53" i="254" s="1"/>
  <c r="D82" i="254" a="1"/>
  <c r="D82" i="254" s="1"/>
  <c r="E31" i="254" a="1"/>
  <c r="E31" i="254" s="1"/>
  <c r="D31" i="254" a="1"/>
  <c r="D31" i="254" s="1"/>
  <c r="F31" i="254" a="1"/>
  <c r="F31" i="254" s="1"/>
  <c r="G31" i="254" a="1"/>
  <c r="G31" i="254" s="1"/>
  <c r="F42" i="254" a="1"/>
  <c r="F42" i="254" s="1"/>
  <c r="E42" i="254" a="1"/>
  <c r="E42" i="254" s="1"/>
  <c r="D42" i="254" a="1"/>
  <c r="D42" i="254" s="1"/>
  <c r="G42" i="254" a="1"/>
  <c r="G42" i="254" s="1"/>
  <c r="D26" i="254" a="1"/>
  <c r="D26" i="254" s="1"/>
  <c r="G26" i="254" a="1"/>
  <c r="G26" i="254" s="1"/>
  <c r="F26" i="254" a="1"/>
  <c r="F26" i="254" s="1"/>
  <c r="E26" i="254" a="1"/>
  <c r="E26" i="254" s="1"/>
  <c r="G38" i="254" a="1"/>
  <c r="G38" i="254" s="1"/>
  <c r="D38" i="254" a="1"/>
  <c r="D38" i="254" s="1"/>
  <c r="E48" i="254" a="1"/>
  <c r="E48" i="254" s="1"/>
  <c r="D48" i="254" a="1"/>
  <c r="D48" i="254" s="1"/>
  <c r="G48" i="254" a="1"/>
  <c r="G48" i="254" s="1"/>
  <c r="F48" i="254" a="1"/>
  <c r="F48" i="254" s="1"/>
  <c r="E27" i="254" a="1"/>
  <c r="E27" i="254" s="1"/>
  <c r="D27" i="254" a="1"/>
  <c r="D27" i="254" s="1"/>
  <c r="G27" i="254" a="1"/>
  <c r="G27" i="254" s="1"/>
  <c r="F27" i="254" a="1"/>
  <c r="F27" i="254" s="1"/>
  <c r="D34" i="254" a="1"/>
  <c r="D34" i="254" s="1"/>
  <c r="G34" i="254" a="1"/>
  <c r="G34" i="254" s="1"/>
  <c r="E34" i="254" a="1"/>
  <c r="E34" i="254" s="1"/>
  <c r="F34" i="254" a="1"/>
  <c r="F34" i="254" s="1"/>
  <c r="D30" i="254" a="1"/>
  <c r="D30" i="254" s="1"/>
  <c r="G30" i="254" a="1"/>
  <c r="G30" i="254" s="1"/>
  <c r="E30" i="254" a="1"/>
  <c r="E30" i="254" s="1"/>
  <c r="F30" i="254" a="1"/>
  <c r="F30" i="254" s="1"/>
  <c r="E49" i="254" a="1"/>
  <c r="E49" i="254" s="1"/>
  <c r="D49" i="254" a="1"/>
  <c r="D49" i="254" s="1"/>
  <c r="D50" i="254" a="1"/>
  <c r="D50" i="254" s="1"/>
  <c r="F50" i="254" a="1"/>
  <c r="F50" i="254" s="1"/>
  <c r="E50" i="254" a="1"/>
  <c r="E50" i="254" s="1"/>
  <c r="G50" i="254" a="1"/>
  <c r="G50" i="254" s="1"/>
  <c r="E35" i="254" a="1"/>
  <c r="E35" i="254" s="1"/>
  <c r="D35" i="254" a="1"/>
  <c r="D35" i="254" s="1"/>
  <c r="G35" i="254" a="1"/>
  <c r="G35" i="254" s="1"/>
  <c r="F35" i="254" a="1"/>
  <c r="F35" i="254" s="1"/>
  <c r="F40" i="254" a="1"/>
  <c r="F40" i="254" s="1"/>
  <c r="E40" i="254" a="1"/>
  <c r="E40" i="254" s="1"/>
  <c r="G40" i="254" a="1"/>
  <c r="G40" i="254" s="1"/>
  <c r="D40" i="254" a="1"/>
  <c r="D40" i="254" s="1"/>
  <c r="E44" i="254" a="1"/>
  <c r="E44" i="254" s="1"/>
  <c r="D44" i="254" a="1"/>
  <c r="D44" i="254" s="1"/>
  <c r="G36" i="254" a="1"/>
  <c r="G36" i="254" s="1"/>
  <c r="F87" i="254" a="1"/>
  <c r="F87" i="254" s="1"/>
  <c r="D87" i="254" a="1"/>
  <c r="D87" i="254" s="1"/>
  <c r="G87" i="254" a="1"/>
  <c r="G87" i="254" s="1"/>
  <c r="E87" i="254" a="1"/>
  <c r="E87" i="254" s="1"/>
  <c r="F28" i="254" a="1"/>
  <c r="F28" i="254" s="1"/>
  <c r="E28" i="254" a="1"/>
  <c r="E28" i="254" s="1"/>
  <c r="D52" i="254" a="1"/>
  <c r="D52" i="254" s="1"/>
  <c r="G52" i="254" a="1"/>
  <c r="G52" i="254" s="1"/>
  <c r="F32" i="254" a="1"/>
  <c r="F32" i="254" s="1"/>
  <c r="E32" i="254" a="1"/>
  <c r="E32" i="254" s="1"/>
  <c r="D43" i="254" a="1"/>
  <c r="D43" i="254" s="1"/>
  <c r="F44" i="254" a="1"/>
  <c r="F44" i="254" s="1"/>
  <c r="E45" i="254" a="1"/>
  <c r="E45" i="254" s="1"/>
  <c r="G51" i="254" a="1"/>
  <c r="G51" i="254" s="1"/>
  <c r="F55" i="254" a="1"/>
  <c r="F55" i="254" s="1"/>
  <c r="D55" i="254" a="1"/>
  <c r="D55" i="254" s="1"/>
  <c r="E55" i="254" a="1"/>
  <c r="E55" i="254" s="1"/>
  <c r="G78" i="254" a="1"/>
  <c r="G78" i="254" s="1"/>
  <c r="F78" i="254" a="1"/>
  <c r="F78" i="254" s="1"/>
  <c r="D78" i="254" a="1"/>
  <c r="D78" i="254" s="1"/>
  <c r="F57" i="254" a="1"/>
  <c r="F57" i="254" s="1"/>
  <c r="E57" i="254" a="1"/>
  <c r="E57" i="254" s="1"/>
  <c r="D57" i="254" a="1"/>
  <c r="D57" i="254" s="1"/>
  <c r="G60" i="254" a="1"/>
  <c r="G60" i="254" s="1"/>
  <c r="F60" i="254" a="1"/>
  <c r="F60" i="254" s="1"/>
  <c r="E60" i="254" a="1"/>
  <c r="E60" i="254" s="1"/>
  <c r="G69" i="254" a="1"/>
  <c r="G69" i="254" s="1"/>
  <c r="F69" i="254" a="1"/>
  <c r="F69" i="254" s="1"/>
  <c r="E69" i="254" a="1"/>
  <c r="E69" i="254" s="1"/>
  <c r="G62" i="254" a="1"/>
  <c r="G62" i="254" s="1"/>
  <c r="E62" i="254" a="1"/>
  <c r="E62" i="254" s="1"/>
  <c r="F62" i="254" a="1"/>
  <c r="F62" i="254" s="1"/>
  <c r="D28" i="254" a="1"/>
  <c r="D28" i="254" s="1"/>
  <c r="F38" i="254" a="1"/>
  <c r="F38" i="254" s="1"/>
  <c r="E38" i="254" a="1"/>
  <c r="E38" i="254" s="1"/>
  <c r="G49" i="254" a="1"/>
  <c r="G49" i="254" s="1"/>
  <c r="F49" i="254" a="1"/>
  <c r="F49" i="254" s="1"/>
  <c r="E52" i="254" a="1"/>
  <c r="E52" i="254" s="1"/>
  <c r="G57" i="254" a="1"/>
  <c r="G57" i="254" s="1"/>
  <c r="E59" i="254" a="1"/>
  <c r="E59" i="254" s="1"/>
  <c r="D59" i="254" a="1"/>
  <c r="D59" i="254" s="1"/>
  <c r="G67" i="254" a="1"/>
  <c r="G67" i="254" s="1"/>
  <c r="E67" i="254" a="1"/>
  <c r="E67" i="254" s="1"/>
  <c r="F67" i="254" a="1"/>
  <c r="F67" i="254" s="1"/>
  <c r="E73" i="254" a="1"/>
  <c r="E73" i="254" s="1"/>
  <c r="G73" i="254" a="1"/>
  <c r="G73" i="254" s="1"/>
  <c r="D73" i="254" a="1"/>
  <c r="D73" i="254" s="1"/>
  <c r="E78" i="254" a="1"/>
  <c r="E78" i="254" s="1"/>
  <c r="F36" i="254" a="1"/>
  <c r="F36" i="254" s="1"/>
  <c r="E36" i="254" a="1"/>
  <c r="E36" i="254" s="1"/>
  <c r="D37" i="254" a="1"/>
  <c r="D37" i="254" s="1"/>
  <c r="G37" i="254" a="1"/>
  <c r="G37" i="254" s="1"/>
  <c r="G44" i="254" a="1"/>
  <c r="G44" i="254" s="1"/>
  <c r="G47" i="254" a="1"/>
  <c r="G47" i="254" s="1"/>
  <c r="F51" i="254" a="1"/>
  <c r="F51" i="254" s="1"/>
  <c r="E51" i="254" a="1"/>
  <c r="E51" i="254" s="1"/>
  <c r="D62" i="254" a="1"/>
  <c r="D62" i="254" s="1"/>
  <c r="D85" i="254" a="1"/>
  <c r="D85" i="254" s="1"/>
  <c r="G85" i="254" a="1"/>
  <c r="G85" i="254" s="1"/>
  <c r="F85" i="254" a="1"/>
  <c r="F85" i="254" s="1"/>
  <c r="E85" i="254" a="1"/>
  <c r="E85" i="254" s="1"/>
  <c r="G88" i="254" a="1"/>
  <c r="G88" i="254" s="1"/>
  <c r="D88" i="254" a="1"/>
  <c r="D88" i="254" s="1"/>
  <c r="F88" i="254" a="1"/>
  <c r="F88" i="254" s="1"/>
  <c r="E88" i="254" a="1"/>
  <c r="E88" i="254" s="1"/>
  <c r="G28" i="254" a="1"/>
  <c r="G28" i="254" s="1"/>
  <c r="D51" i="254" a="1"/>
  <c r="D51" i="254" s="1"/>
  <c r="F52" i="254" a="1"/>
  <c r="F52" i="254" s="1"/>
  <c r="D54" i="254" a="1"/>
  <c r="D54" i="254" s="1"/>
  <c r="G54" i="254" a="1"/>
  <c r="G54" i="254" s="1"/>
  <c r="E61" i="254" a="1"/>
  <c r="E61" i="254" s="1"/>
  <c r="D61" i="254" a="1"/>
  <c r="D61" i="254" s="1"/>
  <c r="G61" i="254" a="1"/>
  <c r="G61" i="254" s="1"/>
  <c r="F70" i="254" a="1"/>
  <c r="F70" i="254" s="1"/>
  <c r="E70" i="254" a="1"/>
  <c r="E70" i="254" s="1"/>
  <c r="G45" i="254" a="1"/>
  <c r="G45" i="254" s="1"/>
  <c r="F45" i="254" a="1"/>
  <c r="F45" i="254" s="1"/>
  <c r="E46" i="254" a="1"/>
  <c r="E46" i="254" s="1"/>
  <c r="D46" i="254" a="1"/>
  <c r="D46" i="254" s="1"/>
  <c r="F63" i="254" a="1"/>
  <c r="F63" i="254" s="1"/>
  <c r="E63" i="254" a="1"/>
  <c r="E63" i="254" s="1"/>
  <c r="D63" i="254" a="1"/>
  <c r="D63" i="254" s="1"/>
  <c r="G68" i="254" a="1"/>
  <c r="G68" i="254" s="1"/>
  <c r="F68" i="254" a="1"/>
  <c r="F68" i="254" s="1"/>
  <c r="E68" i="254" a="1"/>
  <c r="E68" i="254" s="1"/>
  <c r="D47" i="254" a="1"/>
  <c r="D47" i="254" s="1"/>
  <c r="D53" i="254" a="1"/>
  <c r="D53" i="254" s="1"/>
  <c r="F53" i="254" a="1"/>
  <c r="F53" i="254" s="1"/>
  <c r="E53" i="254" a="1"/>
  <c r="E53" i="254" s="1"/>
  <c r="F58" i="254" a="1"/>
  <c r="F58" i="254" s="1"/>
  <c r="E58" i="254" a="1"/>
  <c r="E58" i="254" s="1"/>
  <c r="D68" i="254" a="1"/>
  <c r="D68" i="254" s="1"/>
  <c r="G74" i="254" a="1"/>
  <c r="G74" i="254" s="1"/>
  <c r="E74" i="254" a="1"/>
  <c r="E74" i="254" s="1"/>
  <c r="F94" i="254" a="1"/>
  <c r="F94" i="254" s="1"/>
  <c r="D94" i="254" a="1"/>
  <c r="D94" i="254" s="1"/>
  <c r="G82" i="254" a="1"/>
  <c r="G82" i="254" s="1"/>
  <c r="E84" i="254" a="1"/>
  <c r="E84" i="254" s="1"/>
  <c r="F84" i="254" a="1"/>
  <c r="F84" i="254" s="1"/>
  <c r="G94" i="254" a="1"/>
  <c r="G94" i="254" s="1"/>
  <c r="E95" i="254" a="1"/>
  <c r="E95" i="254" s="1"/>
  <c r="D97" i="254" a="1"/>
  <c r="D97" i="254" s="1"/>
  <c r="G97" i="254" a="1"/>
  <c r="G97" i="254" s="1"/>
  <c r="F97" i="254" a="1"/>
  <c r="F97" i="254" s="1"/>
  <c r="F99" i="254" a="1"/>
  <c r="F99" i="254" s="1"/>
  <c r="E99" i="254" a="1"/>
  <c r="E99" i="254" s="1"/>
  <c r="D99" i="254" a="1"/>
  <c r="D99" i="254" s="1"/>
  <c r="G99" i="254" a="1"/>
  <c r="G99" i="254" s="1"/>
  <c r="E83" i="254" a="1"/>
  <c r="E83" i="254" s="1"/>
  <c r="D84" i="254" a="1"/>
  <c r="D84" i="254" s="1"/>
  <c r="E91" i="254" a="1"/>
  <c r="E91" i="254" s="1"/>
  <c r="D91" i="254" a="1"/>
  <c r="D91" i="254" s="1"/>
  <c r="F90" i="254" a="1"/>
  <c r="F90" i="254" s="1"/>
  <c r="D90" i="254" a="1"/>
  <c r="D90" i="254" s="1"/>
  <c r="E97" i="254" a="1"/>
  <c r="E97" i="254" s="1"/>
  <c r="G64" i="254" a="1"/>
  <c r="G64" i="254" s="1"/>
  <c r="F25" i="254" a="1"/>
  <c r="F25" i="254" s="1"/>
  <c r="F29" i="254" a="1"/>
  <c r="F29" i="254" s="1"/>
  <c r="F33" i="254" a="1"/>
  <c r="F33" i="254" s="1"/>
  <c r="G39" i="254" a="1"/>
  <c r="G39" i="254" s="1"/>
  <c r="F43" i="254" a="1"/>
  <c r="F43" i="254" s="1"/>
  <c r="D83" i="254" a="1"/>
  <c r="D83" i="254" s="1"/>
  <c r="G84" i="254" a="1"/>
  <c r="G84" i="254" s="1"/>
  <c r="G41" i="254" a="1"/>
  <c r="G41" i="254" s="1"/>
  <c r="G43" i="254" a="1"/>
  <c r="G43" i="254" s="1"/>
  <c r="G56" i="254" a="1"/>
  <c r="G56" i="254" s="1"/>
  <c r="G58" i="254" a="1"/>
  <c r="G58" i="254" s="1"/>
  <c r="D74" i="254" a="1"/>
  <c r="D74" i="254" s="1"/>
  <c r="D86" i="254" a="1"/>
  <c r="D86" i="254" s="1"/>
  <c r="F95" i="254" a="1"/>
  <c r="F95" i="254" s="1"/>
  <c r="F93" i="254" a="1"/>
  <c r="F93" i="254" s="1"/>
  <c r="D93" i="254" a="1"/>
  <c r="D93" i="254" s="1"/>
  <c r="G93" i="254" a="1"/>
  <c r="G93" i="254" s="1"/>
  <c r="D64" i="254" a="1"/>
  <c r="D64" i="254" s="1"/>
  <c r="G70" i="254" a="1"/>
  <c r="G70" i="254" s="1"/>
  <c r="E89" i="254" a="1"/>
  <c r="E89" i="254" s="1"/>
  <c r="E90" i="254" a="1"/>
  <c r="E90" i="254" s="1"/>
  <c r="F92" i="254" a="1"/>
  <c r="F92" i="254" s="1"/>
  <c r="E92" i="254" a="1"/>
  <c r="E92" i="254" s="1"/>
  <c r="F82" i="254" a="1"/>
  <c r="F82" i="254" s="1"/>
  <c r="G86" i="254" a="1"/>
  <c r="G86" i="254" s="1"/>
  <c r="E86" i="254" a="1"/>
  <c r="E86" i="254" s="1"/>
  <c r="D39" i="254" a="1"/>
  <c r="D39" i="254" s="1"/>
  <c r="D56" i="254" a="1"/>
  <c r="D56" i="254" s="1"/>
  <c r="E64" i="254" a="1"/>
  <c r="E64" i="254" s="1"/>
  <c r="D65" i="254" a="1"/>
  <c r="D65" i="254" s="1"/>
  <c r="D76" i="254" a="1"/>
  <c r="D76" i="254" s="1"/>
  <c r="D77" i="254" a="1"/>
  <c r="D77" i="254" s="1"/>
  <c r="D79" i="254" a="1"/>
  <c r="D79" i="254" s="1"/>
  <c r="D81" i="254" a="1"/>
  <c r="D81" i="254" s="1"/>
  <c r="E82" i="254" a="1"/>
  <c r="E82" i="254" s="1"/>
  <c r="G90" i="254" a="1"/>
  <c r="G90" i="254" s="1"/>
  <c r="D95" i="254" a="1"/>
  <c r="D95" i="254" s="1"/>
  <c r="G83" i="254" a="1"/>
  <c r="G83" i="254" s="1"/>
  <c r="E98" i="254" a="1"/>
  <c r="E98" i="254" s="1"/>
  <c r="D98" i="254" a="1"/>
  <c r="D98" i="254" s="1"/>
  <c r="G98" i="254" a="1"/>
  <c r="G98" i="254" s="1"/>
  <c r="G100" i="254" a="1"/>
  <c r="G100" i="254" s="1"/>
  <c r="F100" i="254" a="1"/>
  <c r="F100" i="254" s="1"/>
  <c r="E100" i="254" a="1"/>
  <c r="E100" i="254" s="1"/>
  <c r="G80" i="254" a="1"/>
  <c r="G80" i="254" s="1"/>
  <c r="E94" i="254" a="1"/>
  <c r="E94" i="254" s="1"/>
  <c r="D96" i="254" a="1"/>
  <c r="D96" i="254" s="1"/>
  <c r="D100" i="254" a="1"/>
  <c r="D100" i="254" s="1"/>
  <c r="G107" i="254"/>
  <c r="G127" i="254" s="1"/>
  <c r="E46" i="253" a="1"/>
  <c r="E46" i="253" s="1"/>
  <c r="G41" i="253" a="1"/>
  <c r="G41" i="253" s="1"/>
  <c r="D41" i="253" a="1"/>
  <c r="D41" i="253" s="1"/>
  <c r="G82" i="253" a="1"/>
  <c r="G82" i="253" s="1"/>
  <c r="D82" i="253" a="1"/>
  <c r="D82" i="253" s="1"/>
  <c r="G97" i="253" a="1"/>
  <c r="G97" i="253" s="1"/>
  <c r="E97" i="253" a="1"/>
  <c r="E97" i="253" s="1"/>
  <c r="F50" i="252" a="1"/>
  <c r="F50" i="252" s="1"/>
  <c r="F25" i="253" a="1"/>
  <c r="F25" i="253" s="1"/>
  <c r="G25" i="253" a="1"/>
  <c r="G25" i="253" s="1"/>
  <c r="E25" i="253" a="1"/>
  <c r="E25" i="253" s="1"/>
  <c r="E31" i="253" a="1"/>
  <c r="E31" i="253" s="1"/>
  <c r="D53" i="253" a="1"/>
  <c r="D53" i="253" s="1"/>
  <c r="F59" i="253" a="1"/>
  <c r="F59" i="253" s="1"/>
  <c r="E87" i="253" a="1"/>
  <c r="E87" i="253" s="1"/>
  <c r="D87" i="253" a="1"/>
  <c r="D87" i="253" s="1"/>
  <c r="F71" i="253" a="1"/>
  <c r="F71" i="253" s="1"/>
  <c r="E71" i="253" a="1"/>
  <c r="E71" i="253" s="1"/>
  <c r="D66" i="252" a="1"/>
  <c r="D66" i="252" s="1"/>
  <c r="F60" i="253" a="1"/>
  <c r="F60" i="253" s="1"/>
  <c r="E60" i="253" a="1"/>
  <c r="E60" i="253" s="1"/>
  <c r="G80" i="253" a="1"/>
  <c r="G80" i="253" s="1"/>
  <c r="F80" i="253" a="1"/>
  <c r="F80" i="253" s="1"/>
  <c r="F39" i="253" a="1"/>
  <c r="F39" i="253" s="1"/>
  <c r="G99" i="253" a="1"/>
  <c r="G99" i="253" s="1"/>
  <c r="E99" i="253" a="1"/>
  <c r="E99" i="253" s="1"/>
  <c r="G84" i="250" a="1"/>
  <c r="G84" i="250" s="1"/>
  <c r="F90" i="251" a="1"/>
  <c r="F90" i="251" s="1"/>
  <c r="G94" i="252" a="1"/>
  <c r="G94" i="252" s="1"/>
  <c r="D30" i="253" a="1"/>
  <c r="D30" i="253" s="1"/>
  <c r="F66" i="253" a="1"/>
  <c r="F66" i="253" s="1"/>
  <c r="E68" i="253" a="1"/>
  <c r="E68" i="253" s="1"/>
  <c r="G70" i="253" a="1"/>
  <c r="G70" i="253" s="1"/>
  <c r="F84" i="253" a="1"/>
  <c r="F84" i="253" s="1"/>
  <c r="F94" i="253" a="1"/>
  <c r="F94" i="253" s="1"/>
  <c r="E96" i="250" a="1"/>
  <c r="E96" i="250" s="1"/>
  <c r="E62" i="252" a="1"/>
  <c r="E62" i="252" s="1"/>
  <c r="D78" i="252" a="1"/>
  <c r="D78" i="252" s="1"/>
  <c r="F81" i="252" a="1"/>
  <c r="F81" i="252" s="1"/>
  <c r="E80" i="253" a="1"/>
  <c r="E80" i="253" s="1"/>
  <c r="F82" i="253" a="1"/>
  <c r="F82" i="253" s="1"/>
  <c r="D94" i="253" a="1"/>
  <c r="D94" i="253" s="1"/>
  <c r="G28" i="244" a="1"/>
  <c r="G28" i="244" s="1"/>
  <c r="D38" i="247" a="1"/>
  <c r="D38" i="247" s="1"/>
  <c r="G25" i="249" a="1"/>
  <c r="G25" i="249" s="1"/>
  <c r="D41" i="249" a="1"/>
  <c r="D41" i="249" s="1"/>
  <c r="F78" i="250" a="1"/>
  <c r="F78" i="250" s="1"/>
  <c r="G43" i="251" a="1"/>
  <c r="G43" i="251" s="1"/>
  <c r="G47" i="252" a="1"/>
  <c r="G47" i="252" s="1"/>
  <c r="D63" i="252" a="1"/>
  <c r="D63" i="252" s="1"/>
  <c r="D69" i="252" a="1"/>
  <c r="D69" i="252" s="1"/>
  <c r="D66" i="253" a="1"/>
  <c r="D66" i="253" s="1"/>
  <c r="F68" i="253" a="1"/>
  <c r="F68" i="253" s="1"/>
  <c r="D78" i="253" a="1"/>
  <c r="D78" i="253" s="1"/>
  <c r="F76" i="248" a="1"/>
  <c r="F76" i="248" s="1"/>
  <c r="E30" i="252" a="1"/>
  <c r="E30" i="252" s="1"/>
  <c r="G48" i="252" a="1"/>
  <c r="G48" i="252" s="1"/>
  <c r="E50" i="252" a="1"/>
  <c r="E50" i="252" s="1"/>
  <c r="E53" i="252" a="1"/>
  <c r="E53" i="252" s="1"/>
  <c r="G82" i="252" a="1"/>
  <c r="G82" i="252" s="1"/>
  <c r="F33" i="253" a="1"/>
  <c r="F33" i="253" s="1"/>
  <c r="F62" i="253" a="1"/>
  <c r="F62" i="253" s="1"/>
  <c r="G66" i="253" a="1"/>
  <c r="G66" i="253" s="1"/>
  <c r="E78" i="253" a="1"/>
  <c r="E78" i="253" s="1"/>
  <c r="G94" i="253" a="1"/>
  <c r="G94" i="253" s="1"/>
  <c r="F54" i="252" a="1"/>
  <c r="F54" i="252" s="1"/>
  <c r="F40" i="253" a="1"/>
  <c r="F40" i="253" s="1"/>
  <c r="E85" i="248" a="1"/>
  <c r="E85" i="248" s="1"/>
  <c r="F60" i="251" a="1"/>
  <c r="F60" i="251" s="1"/>
  <c r="E65" i="253" a="1"/>
  <c r="E65" i="253" s="1"/>
  <c r="D69" i="253" a="1"/>
  <c r="D69" i="253" s="1"/>
  <c r="G78" i="253" a="1"/>
  <c r="G78" i="253" s="1"/>
  <c r="F91" i="250" a="1"/>
  <c r="F91" i="250" s="1"/>
  <c r="G78" i="251" a="1"/>
  <c r="G78" i="251" s="1"/>
  <c r="F82" i="251" a="1"/>
  <c r="F82" i="251" s="1"/>
  <c r="E46" i="252" a="1"/>
  <c r="E46" i="252" s="1"/>
  <c r="D49" i="252" a="1"/>
  <c r="D49" i="252" s="1"/>
  <c r="E80" i="252" a="1"/>
  <c r="E80" i="252" s="1"/>
  <c r="G86" i="252" a="1"/>
  <c r="G86" i="252" s="1"/>
  <c r="F26" i="253" a="1"/>
  <c r="F26" i="253" s="1"/>
  <c r="G69" i="253" a="1"/>
  <c r="G69" i="253" s="1"/>
  <c r="E36" i="253" a="1"/>
  <c r="E36" i="253" s="1"/>
  <c r="D36" i="253" a="1"/>
  <c r="D36" i="253" s="1"/>
  <c r="F36" i="253" a="1"/>
  <c r="F36" i="253" s="1"/>
  <c r="G36" i="253" a="1"/>
  <c r="G36" i="253" s="1"/>
  <c r="G40" i="253" a="1"/>
  <c r="G40" i="253" s="1"/>
  <c r="D54" i="253" a="1"/>
  <c r="D54" i="253" s="1"/>
  <c r="G54" i="253" a="1"/>
  <c r="G54" i="253" s="1"/>
  <c r="F54" i="253" a="1"/>
  <c r="F54" i="253" s="1"/>
  <c r="G63" i="253" a="1"/>
  <c r="G63" i="253" s="1"/>
  <c r="F63" i="253" a="1"/>
  <c r="F63" i="253" s="1"/>
  <c r="E63" i="253" a="1"/>
  <c r="E63" i="253" s="1"/>
  <c r="D63" i="253" a="1"/>
  <c r="D63" i="253" s="1"/>
  <c r="D28" i="253" a="1"/>
  <c r="D28" i="253" s="1"/>
  <c r="F28" i="253" a="1"/>
  <c r="F28" i="253" s="1"/>
  <c r="F34" i="253" a="1"/>
  <c r="F34" i="253" s="1"/>
  <c r="D34" i="253" a="1"/>
  <c r="D34" i="253" s="1"/>
  <c r="E34" i="253" a="1"/>
  <c r="E34" i="253" s="1"/>
  <c r="E44" i="253" a="1"/>
  <c r="E44" i="253" s="1"/>
  <c r="D44" i="253" a="1"/>
  <c r="D44" i="253" s="1"/>
  <c r="G44" i="253" a="1"/>
  <c r="G44" i="253" s="1"/>
  <c r="F44" i="253" a="1"/>
  <c r="F44" i="253" s="1"/>
  <c r="G49" i="253" a="1"/>
  <c r="G49" i="253" s="1"/>
  <c r="F49" i="253" a="1"/>
  <c r="F49" i="253" s="1"/>
  <c r="E49" i="253" a="1"/>
  <c r="E49" i="253" s="1"/>
  <c r="D49" i="253" a="1"/>
  <c r="D49" i="253" s="1"/>
  <c r="F83" i="253" a="1"/>
  <c r="F83" i="253" s="1"/>
  <c r="D83" i="253" a="1"/>
  <c r="D83" i="253" s="1"/>
  <c r="G83" i="253" a="1"/>
  <c r="G83" i="253" s="1"/>
  <c r="E89" i="253" a="1"/>
  <c r="E89" i="253" s="1"/>
  <c r="D89" i="253" a="1"/>
  <c r="D89" i="253" s="1"/>
  <c r="G89" i="253" a="1"/>
  <c r="G89" i="253" s="1"/>
  <c r="F89" i="253" a="1"/>
  <c r="F89" i="253" s="1"/>
  <c r="G26" i="253" a="1"/>
  <c r="G26" i="253" s="1"/>
  <c r="E26" i="253" a="1"/>
  <c r="E26" i="253" s="1"/>
  <c r="G27" i="253" a="1"/>
  <c r="G27" i="253" s="1"/>
  <c r="D27" i="253" a="1"/>
  <c r="D27" i="253" s="1"/>
  <c r="F27" i="253" a="1"/>
  <c r="F27" i="253" s="1"/>
  <c r="D43" i="253" a="1"/>
  <c r="D43" i="253" s="1"/>
  <c r="G43" i="253" a="1"/>
  <c r="G43" i="253" s="1"/>
  <c r="E43" i="253" a="1"/>
  <c r="E43" i="253" s="1"/>
  <c r="F67" i="253" a="1"/>
  <c r="F67" i="253" s="1"/>
  <c r="G67" i="253" a="1"/>
  <c r="G67" i="253" s="1"/>
  <c r="E67" i="253" a="1"/>
  <c r="E67" i="253" s="1"/>
  <c r="D67" i="253" a="1"/>
  <c r="D67" i="253" s="1"/>
  <c r="E73" i="253" a="1"/>
  <c r="E73" i="253" s="1"/>
  <c r="D73" i="253" a="1"/>
  <c r="D73" i="253" s="1"/>
  <c r="F73" i="253" a="1"/>
  <c r="F73" i="253" s="1"/>
  <c r="G79" i="253" a="1"/>
  <c r="G79" i="253" s="1"/>
  <c r="F79" i="253" a="1"/>
  <c r="F79" i="253" s="1"/>
  <c r="E79" i="253" a="1"/>
  <c r="E79" i="253" s="1"/>
  <c r="D79" i="253" a="1"/>
  <c r="D79" i="253" s="1"/>
  <c r="F52" i="253" a="1"/>
  <c r="F52" i="253" s="1"/>
  <c r="E52" i="253" a="1"/>
  <c r="E52" i="253" s="1"/>
  <c r="D52" i="253" a="1"/>
  <c r="D52" i="253" s="1"/>
  <c r="G52" i="253" a="1"/>
  <c r="G52" i="253" s="1"/>
  <c r="E83" i="253" a="1"/>
  <c r="E83" i="253" s="1"/>
  <c r="D32" i="253" a="1"/>
  <c r="D32" i="253" s="1"/>
  <c r="E32" i="253" a="1"/>
  <c r="E32" i="253" s="1"/>
  <c r="F32" i="253" a="1"/>
  <c r="F32" i="253" s="1"/>
  <c r="E62" i="253" a="1"/>
  <c r="E62" i="253" s="1"/>
  <c r="D62" i="253" a="1"/>
  <c r="D62" i="253" s="1"/>
  <c r="G64" i="253" a="1"/>
  <c r="G64" i="253" s="1"/>
  <c r="E64" i="253" a="1"/>
  <c r="E64" i="253" s="1"/>
  <c r="G73" i="253" a="1"/>
  <c r="G73" i="253" s="1"/>
  <c r="E29" i="253" a="1"/>
  <c r="E29" i="253" s="1"/>
  <c r="D29" i="253" a="1"/>
  <c r="D29" i="253" s="1"/>
  <c r="F29" i="253" a="1"/>
  <c r="F29" i="253" s="1"/>
  <c r="E61" i="253" a="1"/>
  <c r="E61" i="253" s="1"/>
  <c r="D61" i="253" a="1"/>
  <c r="D61" i="253" s="1"/>
  <c r="F61" i="253" a="1"/>
  <c r="F61" i="253" s="1"/>
  <c r="G61" i="253" a="1"/>
  <c r="G61" i="253" s="1"/>
  <c r="E38" i="253" a="1"/>
  <c r="E38" i="253" s="1"/>
  <c r="F56" i="253" a="1"/>
  <c r="F56" i="253" s="1"/>
  <c r="E56" i="253" a="1"/>
  <c r="E56" i="253" s="1"/>
  <c r="D56" i="253" a="1"/>
  <c r="D56" i="253" s="1"/>
  <c r="G56" i="253" a="1"/>
  <c r="G56" i="253" s="1"/>
  <c r="D26" i="253" a="1"/>
  <c r="D26" i="253" s="1"/>
  <c r="E27" i="253" a="1"/>
  <c r="E27" i="253" s="1"/>
  <c r="E28" i="253" a="1"/>
  <c r="E28" i="253" s="1"/>
  <c r="G31" i="253" a="1"/>
  <c r="G31" i="253" s="1"/>
  <c r="F31" i="253" a="1"/>
  <c r="F31" i="253" s="1"/>
  <c r="D31" i="253" a="1"/>
  <c r="D31" i="253" s="1"/>
  <c r="G34" i="253" a="1"/>
  <c r="G34" i="253" s="1"/>
  <c r="E47" i="253" a="1"/>
  <c r="E47" i="253" s="1"/>
  <c r="D47" i="253" a="1"/>
  <c r="D47" i="253" s="1"/>
  <c r="G47" i="253" a="1"/>
  <c r="G47" i="253" s="1"/>
  <c r="F47" i="253" a="1"/>
  <c r="F47" i="253" s="1"/>
  <c r="E51" i="253" a="1"/>
  <c r="E51" i="253" s="1"/>
  <c r="D51" i="253" a="1"/>
  <c r="D51" i="253" s="1"/>
  <c r="G51" i="253" a="1"/>
  <c r="G51" i="253" s="1"/>
  <c r="F51" i="253" a="1"/>
  <c r="F51" i="253" s="1"/>
  <c r="E59" i="253" a="1"/>
  <c r="E59" i="253" s="1"/>
  <c r="D59" i="253" a="1"/>
  <c r="D59" i="253" s="1"/>
  <c r="G59" i="253" a="1"/>
  <c r="G59" i="253" s="1"/>
  <c r="G62" i="253" a="1"/>
  <c r="G62" i="253" s="1"/>
  <c r="G72" i="253" a="1"/>
  <c r="G72" i="253" s="1"/>
  <c r="D72" i="253" a="1"/>
  <c r="D72" i="253" s="1"/>
  <c r="F72" i="253" a="1"/>
  <c r="F72" i="253" s="1"/>
  <c r="G38" i="253" a="1"/>
  <c r="G38" i="253" s="1"/>
  <c r="F38" i="253" a="1"/>
  <c r="F38" i="253" s="1"/>
  <c r="D38" i="253" a="1"/>
  <c r="D38" i="253" s="1"/>
  <c r="G45" i="253" a="1"/>
  <c r="G45" i="253" s="1"/>
  <c r="F45" i="253" a="1"/>
  <c r="F45" i="253" s="1"/>
  <c r="E45" i="253" a="1"/>
  <c r="E45" i="253" s="1"/>
  <c r="D45" i="253" a="1"/>
  <c r="D45" i="253" s="1"/>
  <c r="G28" i="253" a="1"/>
  <c r="G28" i="253" s="1"/>
  <c r="D35" i="253" a="1"/>
  <c r="D35" i="253" s="1"/>
  <c r="G35" i="253" a="1"/>
  <c r="G35" i="253" s="1"/>
  <c r="F35" i="253" a="1"/>
  <c r="F35" i="253" s="1"/>
  <c r="E35" i="253" a="1"/>
  <c r="E35" i="253" s="1"/>
  <c r="F43" i="253" a="1"/>
  <c r="F43" i="253" s="1"/>
  <c r="E74" i="253" a="1"/>
  <c r="E74" i="253" s="1"/>
  <c r="F74" i="253" a="1"/>
  <c r="F74" i="253" s="1"/>
  <c r="D74" i="253" a="1"/>
  <c r="D74" i="253" s="1"/>
  <c r="F30" i="253" a="1"/>
  <c r="F30" i="253" s="1"/>
  <c r="G30" i="253" a="1"/>
  <c r="G30" i="253" s="1"/>
  <c r="G42" i="253" a="1"/>
  <c r="G42" i="253" s="1"/>
  <c r="F42" i="253" a="1"/>
  <c r="F42" i="253" s="1"/>
  <c r="D58" i="253" a="1"/>
  <c r="D58" i="253" s="1"/>
  <c r="G58" i="253" a="1"/>
  <c r="G58" i="253" s="1"/>
  <c r="F58" i="253" a="1"/>
  <c r="F58" i="253" s="1"/>
  <c r="D65" i="253" a="1"/>
  <c r="D65" i="253" s="1"/>
  <c r="E77" i="253" a="1"/>
  <c r="E77" i="253" s="1"/>
  <c r="D77" i="253" a="1"/>
  <c r="D77" i="253" s="1"/>
  <c r="E81" i="253" a="1"/>
  <c r="E81" i="253" s="1"/>
  <c r="G88" i="253" a="1"/>
  <c r="G88" i="253" s="1"/>
  <c r="E90" i="253" a="1"/>
  <c r="E90" i="253" s="1"/>
  <c r="G90" i="253" a="1"/>
  <c r="G90" i="253" s="1"/>
  <c r="D91" i="253" a="1"/>
  <c r="D91" i="253" s="1"/>
  <c r="G95" i="253" a="1"/>
  <c r="G95" i="253" s="1"/>
  <c r="F95" i="253" a="1"/>
  <c r="F95" i="253" s="1"/>
  <c r="D95" i="253" a="1"/>
  <c r="D95" i="253" s="1"/>
  <c r="D25" i="253" a="1"/>
  <c r="D25" i="253" s="1"/>
  <c r="D33" i="253" a="1"/>
  <c r="D33" i="253" s="1"/>
  <c r="D37" i="253" a="1"/>
  <c r="D37" i="253" s="1"/>
  <c r="E40" i="253" a="1"/>
  <c r="E40" i="253" s="1"/>
  <c r="D40" i="253" a="1"/>
  <c r="D40" i="253" s="1"/>
  <c r="F48" i="253" a="1"/>
  <c r="F48" i="253" s="1"/>
  <c r="E48" i="253" a="1"/>
  <c r="E48" i="253" s="1"/>
  <c r="D48" i="253" a="1"/>
  <c r="D48" i="253" s="1"/>
  <c r="E55" i="253" a="1"/>
  <c r="E55" i="253" s="1"/>
  <c r="D55" i="253" a="1"/>
  <c r="D55" i="253" s="1"/>
  <c r="G55" i="253" a="1"/>
  <c r="G55" i="253" s="1"/>
  <c r="D64" i="253" a="1"/>
  <c r="D64" i="253" s="1"/>
  <c r="G76" i="253" a="1"/>
  <c r="G76" i="253" s="1"/>
  <c r="D76" i="253" a="1"/>
  <c r="D76" i="253" s="1"/>
  <c r="F86" i="253" a="1"/>
  <c r="F86" i="253" s="1"/>
  <c r="E86" i="253" a="1"/>
  <c r="E86" i="253" s="1"/>
  <c r="G87" i="253" a="1"/>
  <c r="G87" i="253" s="1"/>
  <c r="D90" i="253" a="1"/>
  <c r="D90" i="253" s="1"/>
  <c r="E95" i="253" a="1"/>
  <c r="E95" i="253" s="1"/>
  <c r="G75" i="253" a="1"/>
  <c r="G75" i="253" s="1"/>
  <c r="F75" i="253" a="1"/>
  <c r="F75" i="253" s="1"/>
  <c r="E85" i="253" a="1"/>
  <c r="E85" i="253" s="1"/>
  <c r="E93" i="253" a="1"/>
  <c r="E93" i="253" s="1"/>
  <c r="D93" i="253" a="1"/>
  <c r="D93" i="253" s="1"/>
  <c r="G93" i="253" a="1"/>
  <c r="G93" i="253" s="1"/>
  <c r="D84" i="253" a="1"/>
  <c r="D84" i="253" s="1"/>
  <c r="G84" i="253" a="1"/>
  <c r="G84" i="253" s="1"/>
  <c r="G60" i="253" a="1"/>
  <c r="G60" i="253" s="1"/>
  <c r="D60" i="253" a="1"/>
  <c r="D60" i="253" s="1"/>
  <c r="D75" i="253" a="1"/>
  <c r="D75" i="253" s="1"/>
  <c r="D85" i="253" a="1"/>
  <c r="D85" i="253" s="1"/>
  <c r="E88" i="253" a="1"/>
  <c r="E88" i="253" s="1"/>
  <c r="G92" i="253" a="1"/>
  <c r="G92" i="253" s="1"/>
  <c r="D92" i="253" a="1"/>
  <c r="D92" i="253" s="1"/>
  <c r="F41" i="253" a="1"/>
  <c r="F41" i="253" s="1"/>
  <c r="E41" i="253" a="1"/>
  <c r="E41" i="253" s="1"/>
  <c r="G53" i="253" a="1"/>
  <c r="G53" i="253" s="1"/>
  <c r="F53" i="253" a="1"/>
  <c r="F53" i="253" s="1"/>
  <c r="E53" i="253" a="1"/>
  <c r="E53" i="253" s="1"/>
  <c r="F70" i="253" a="1"/>
  <c r="F70" i="253" s="1"/>
  <c r="E70" i="253" a="1"/>
  <c r="E70" i="253" s="1"/>
  <c r="G71" i="253" a="1"/>
  <c r="G71" i="253" s="1"/>
  <c r="E30" i="253" a="1"/>
  <c r="E30" i="253" s="1"/>
  <c r="E42" i="253" a="1"/>
  <c r="E42" i="253" s="1"/>
  <c r="D46" i="253" a="1"/>
  <c r="D46" i="253" s="1"/>
  <c r="G46" i="253" a="1"/>
  <c r="G46" i="253" s="1"/>
  <c r="F46" i="253" a="1"/>
  <c r="F46" i="253" s="1"/>
  <c r="G57" i="253" a="1"/>
  <c r="G57" i="253" s="1"/>
  <c r="F57" i="253" a="1"/>
  <c r="F57" i="253" s="1"/>
  <c r="E57" i="253" a="1"/>
  <c r="E57" i="253" s="1"/>
  <c r="F64" i="253" a="1"/>
  <c r="F64" i="253" s="1"/>
  <c r="G65" i="253" a="1"/>
  <c r="G65" i="253" s="1"/>
  <c r="E69" i="253" a="1"/>
  <c r="E69" i="253" s="1"/>
  <c r="F76" i="253" a="1"/>
  <c r="F76" i="253" s="1"/>
  <c r="G77" i="253" a="1"/>
  <c r="G77" i="253" s="1"/>
  <c r="D81" i="253" a="1"/>
  <c r="D81" i="253" s="1"/>
  <c r="G86" i="253" a="1"/>
  <c r="G86" i="253" s="1"/>
  <c r="F87" i="253" a="1"/>
  <c r="F87" i="253" s="1"/>
  <c r="F88" i="253" a="1"/>
  <c r="F88" i="253" s="1"/>
  <c r="F93" i="253" a="1"/>
  <c r="F93" i="253" s="1"/>
  <c r="E33" i="253" a="1"/>
  <c r="E33" i="253" s="1"/>
  <c r="G33" i="253" a="1"/>
  <c r="G33" i="253" s="1"/>
  <c r="F37" i="253" a="1"/>
  <c r="F37" i="253" s="1"/>
  <c r="E37" i="253" a="1"/>
  <c r="E37" i="253" s="1"/>
  <c r="D39" i="253" a="1"/>
  <c r="D39" i="253" s="1"/>
  <c r="G39" i="253" a="1"/>
  <c r="G39" i="253" s="1"/>
  <c r="D50" i="253" a="1"/>
  <c r="D50" i="253" s="1"/>
  <c r="G50" i="253" a="1"/>
  <c r="G50" i="253" s="1"/>
  <c r="F50" i="253" a="1"/>
  <c r="F50" i="253" s="1"/>
  <c r="D68" i="253" a="1"/>
  <c r="D68" i="253" s="1"/>
  <c r="G68" i="253" a="1"/>
  <c r="G68" i="253" s="1"/>
  <c r="D70" i="253" a="1"/>
  <c r="D70" i="253" s="1"/>
  <c r="D71" i="253" a="1"/>
  <c r="D71" i="253" s="1"/>
  <c r="E75" i="253" a="1"/>
  <c r="E75" i="253" s="1"/>
  <c r="D80" i="253" a="1"/>
  <c r="D80" i="253" s="1"/>
  <c r="E84" i="253" a="1"/>
  <c r="E84" i="253" s="1"/>
  <c r="F85" i="253" a="1"/>
  <c r="F85" i="253" s="1"/>
  <c r="G91" i="253" a="1"/>
  <c r="G91" i="253" s="1"/>
  <c r="F91" i="253" a="1"/>
  <c r="F91" i="253" s="1"/>
  <c r="E91" i="253" a="1"/>
  <c r="E91" i="253" s="1"/>
  <c r="G96" i="253" a="1"/>
  <c r="G96" i="253" s="1"/>
  <c r="E96" i="253" a="1"/>
  <c r="E96" i="253" s="1"/>
  <c r="E98" i="253" a="1"/>
  <c r="E98" i="253" s="1"/>
  <c r="G98" i="253" a="1"/>
  <c r="G98" i="253" s="1"/>
  <c r="G100" i="253" a="1"/>
  <c r="G100" i="253" s="1"/>
  <c r="E100" i="253" a="1"/>
  <c r="E100" i="253" s="1"/>
  <c r="E66" i="253" a="1"/>
  <c r="E66" i="253" s="1"/>
  <c r="H66" i="253" s="1"/>
  <c r="I66" i="253" s="1"/>
  <c r="E82" i="253" a="1"/>
  <c r="E82" i="253" s="1"/>
  <c r="D97" i="253" a="1"/>
  <c r="D97" i="253" s="1"/>
  <c r="F97" i="253" a="1"/>
  <c r="F97" i="253" s="1"/>
  <c r="F99" i="253" a="1"/>
  <c r="F99" i="253" s="1"/>
  <c r="D99" i="253" a="1"/>
  <c r="D99" i="253" s="1"/>
  <c r="D96" i="253" a="1"/>
  <c r="D96" i="253" s="1"/>
  <c r="D98" i="253" a="1"/>
  <c r="D98" i="253" s="1"/>
  <c r="D100" i="253" a="1"/>
  <c r="D100" i="253" s="1"/>
  <c r="F127" i="253"/>
  <c r="F96" i="253" a="1"/>
  <c r="F96" i="253" s="1"/>
  <c r="F98" i="253" a="1"/>
  <c r="F98" i="253" s="1"/>
  <c r="F100" i="253" a="1"/>
  <c r="F100" i="253" s="1"/>
  <c r="G107" i="253"/>
  <c r="G127" i="253" s="1"/>
  <c r="E91" i="252" a="1"/>
  <c r="E91" i="252" s="1"/>
  <c r="D91" i="252" a="1"/>
  <c r="D91" i="252" s="1"/>
  <c r="F95" i="252" a="1"/>
  <c r="F95" i="252" s="1"/>
  <c r="G95" i="252" a="1"/>
  <c r="G95" i="252" s="1"/>
  <c r="F75" i="252" a="1"/>
  <c r="F75" i="252" s="1"/>
  <c r="E75" i="252" a="1"/>
  <c r="E75" i="252" s="1"/>
  <c r="F72" i="252" a="1"/>
  <c r="F72" i="252" s="1"/>
  <c r="E87" i="252" a="1"/>
  <c r="E87" i="252" s="1"/>
  <c r="D87" i="252" a="1"/>
  <c r="D87" i="252" s="1"/>
  <c r="F28" i="248" a="1"/>
  <c r="F28" i="248" s="1"/>
  <c r="G40" i="248" a="1"/>
  <c r="G40" i="248" s="1"/>
  <c r="F63" i="248" a="1"/>
  <c r="F63" i="248" s="1"/>
  <c r="D50" i="250" a="1"/>
  <c r="D50" i="250" s="1"/>
  <c r="G68" i="250" a="1"/>
  <c r="G68" i="250" s="1"/>
  <c r="F94" i="250" a="1"/>
  <c r="F94" i="250" s="1"/>
  <c r="F57" i="251" a="1"/>
  <c r="F57" i="251" s="1"/>
  <c r="G75" i="251" a="1"/>
  <c r="G75" i="251" s="1"/>
  <c r="E41" i="252" a="1"/>
  <c r="E41" i="252" s="1"/>
  <c r="F90" i="252" a="1"/>
  <c r="F90" i="252" s="1"/>
  <c r="F98" i="252" a="1"/>
  <c r="F98" i="252" s="1"/>
  <c r="F68" i="248" a="1"/>
  <c r="F68" i="248" s="1"/>
  <c r="F45" i="249" a="1"/>
  <c r="F45" i="249" s="1"/>
  <c r="E80" i="250" a="1"/>
  <c r="E80" i="250" s="1"/>
  <c r="D46" i="251" a="1"/>
  <c r="D46" i="251" s="1"/>
  <c r="E57" i="251" a="1"/>
  <c r="E57" i="251" s="1"/>
  <c r="D90" i="251" a="1"/>
  <c r="D90" i="251" s="1"/>
  <c r="D86" i="252" a="1"/>
  <c r="D86" i="252" s="1"/>
  <c r="E52" i="248" a="1"/>
  <c r="E52" i="248" s="1"/>
  <c r="G47" i="245" a="1"/>
  <c r="G47" i="245" s="1"/>
  <c r="E83" i="245" a="1"/>
  <c r="E83" i="245" s="1"/>
  <c r="D87" i="245" a="1"/>
  <c r="D87" i="245" s="1"/>
  <c r="E49" i="249" a="1"/>
  <c r="E49" i="249" s="1"/>
  <c r="G26" i="250" a="1"/>
  <c r="G26" i="250" s="1"/>
  <c r="F47" i="251" a="1"/>
  <c r="F47" i="251" s="1"/>
  <c r="G57" i="251" a="1"/>
  <c r="G57" i="251" s="1"/>
  <c r="F77" i="251" a="1"/>
  <c r="F77" i="251" s="1"/>
  <c r="E90" i="251" a="1"/>
  <c r="E90" i="251" s="1"/>
  <c r="G99" i="251" a="1"/>
  <c r="G99" i="251" s="1"/>
  <c r="F35" i="252" a="1"/>
  <c r="F35" i="252" s="1"/>
  <c r="E60" i="252" a="1"/>
  <c r="E60" i="252" s="1"/>
  <c r="E82" i="252" a="1"/>
  <c r="E82" i="252" s="1"/>
  <c r="E51" i="250" a="1"/>
  <c r="E51" i="250" s="1"/>
  <c r="D87" i="250" a="1"/>
  <c r="D87" i="250" s="1"/>
  <c r="F88" i="248" a="1"/>
  <c r="F88" i="248" s="1"/>
  <c r="E76" i="249" a="1"/>
  <c r="E76" i="249" s="1"/>
  <c r="F88" i="249" a="1"/>
  <c r="F88" i="249" s="1"/>
  <c r="E92" i="249" a="1"/>
  <c r="E92" i="249" s="1"/>
  <c r="G96" i="249" a="1"/>
  <c r="G96" i="249" s="1"/>
  <c r="D42" i="250" a="1"/>
  <c r="D42" i="250" s="1"/>
  <c r="G81" i="250" a="1"/>
  <c r="G81" i="250" s="1"/>
  <c r="E85" i="250" a="1"/>
  <c r="E85" i="250" s="1"/>
  <c r="G41" i="251" a="1"/>
  <c r="G41" i="251" s="1"/>
  <c r="E58" i="251" a="1"/>
  <c r="E58" i="251" s="1"/>
  <c r="G61" i="251" a="1"/>
  <c r="G61" i="251" s="1"/>
  <c r="D70" i="251" a="1"/>
  <c r="D70" i="251" s="1"/>
  <c r="G90" i="251" a="1"/>
  <c r="G90" i="251" s="1"/>
  <c r="D100" i="251" a="1"/>
  <c r="D100" i="251" s="1"/>
  <c r="D82" i="252" a="1"/>
  <c r="D82" i="252" s="1"/>
  <c r="D94" i="252" a="1"/>
  <c r="D94" i="252" s="1"/>
  <c r="F31" i="249" a="1"/>
  <c r="F31" i="249" s="1"/>
  <c r="F38" i="252" a="1"/>
  <c r="F38" i="252" s="1"/>
  <c r="F46" i="252" a="1"/>
  <c r="F46" i="252" s="1"/>
  <c r="F76" i="252" a="1"/>
  <c r="F76" i="252" s="1"/>
  <c r="F89" i="252" a="1"/>
  <c r="F89" i="252" s="1"/>
  <c r="F27" i="249" a="1"/>
  <c r="F27" i="249" s="1"/>
  <c r="E29" i="246" a="1"/>
  <c r="E29" i="246" s="1"/>
  <c r="D77" i="249" a="1"/>
  <c r="D77" i="249" s="1"/>
  <c r="D93" i="249" a="1"/>
  <c r="D93" i="249" s="1"/>
  <c r="D78" i="250" a="1"/>
  <c r="D78" i="250" s="1"/>
  <c r="F38" i="251" a="1"/>
  <c r="F38" i="251" s="1"/>
  <c r="F89" i="251" a="1"/>
  <c r="F89" i="251" s="1"/>
  <c r="E57" i="252" a="1"/>
  <c r="E57" i="252" s="1"/>
  <c r="G99" i="252" a="1"/>
  <c r="G99" i="252" s="1"/>
  <c r="D39" i="252" a="1"/>
  <c r="D39" i="252" s="1"/>
  <c r="E39" i="252" a="1"/>
  <c r="E39" i="252" s="1"/>
  <c r="F39" i="252" a="1"/>
  <c r="F39" i="252" s="1"/>
  <c r="G39" i="252" a="1"/>
  <c r="G39" i="252" s="1"/>
  <c r="G34" i="252" a="1"/>
  <c r="G34" i="252" s="1"/>
  <c r="F34" i="252" a="1"/>
  <c r="F34" i="252" s="1"/>
  <c r="E34" i="252" a="1"/>
  <c r="E34" i="252" s="1"/>
  <c r="D34" i="252" a="1"/>
  <c r="D34" i="252" s="1"/>
  <c r="E73" i="252" a="1"/>
  <c r="E73" i="252" s="1"/>
  <c r="F73" i="252" a="1"/>
  <c r="F73" i="252" s="1"/>
  <c r="D73" i="252" a="1"/>
  <c r="D73" i="252" s="1"/>
  <c r="G73" i="252" a="1"/>
  <c r="G73" i="252" s="1"/>
  <c r="E59" i="252" a="1"/>
  <c r="E59" i="252" s="1"/>
  <c r="D59" i="252" a="1"/>
  <c r="D59" i="252" s="1"/>
  <c r="G59" i="252" a="1"/>
  <c r="G59" i="252" s="1"/>
  <c r="F59" i="252" a="1"/>
  <c r="F59" i="252" s="1"/>
  <c r="F25" i="252" a="1"/>
  <c r="F25" i="252" s="1"/>
  <c r="E25" i="252" a="1"/>
  <c r="E25" i="252" s="1"/>
  <c r="G25" i="252" a="1"/>
  <c r="G25" i="252" s="1"/>
  <c r="D58" i="252" a="1"/>
  <c r="D58" i="252" s="1"/>
  <c r="G58" i="252" a="1"/>
  <c r="G58" i="252" s="1"/>
  <c r="F58" i="252" a="1"/>
  <c r="F58" i="252" s="1"/>
  <c r="E58" i="252" a="1"/>
  <c r="E58" i="252" s="1"/>
  <c r="G66" i="252" a="1"/>
  <c r="G66" i="252" s="1"/>
  <c r="E66" i="252" a="1"/>
  <c r="E66" i="252" s="1"/>
  <c r="G68" i="252" a="1"/>
  <c r="G68" i="252" s="1"/>
  <c r="F68" i="252" a="1"/>
  <c r="F68" i="252" s="1"/>
  <c r="E68" i="252" a="1"/>
  <c r="E68" i="252" s="1"/>
  <c r="G70" i="252" a="1"/>
  <c r="G70" i="252" s="1"/>
  <c r="D70" i="252" a="1"/>
  <c r="D70" i="252" s="1"/>
  <c r="G79" i="252" a="1"/>
  <c r="G79" i="252" s="1"/>
  <c r="F79" i="252" a="1"/>
  <c r="F79" i="252" s="1"/>
  <c r="E79" i="252" a="1"/>
  <c r="E79" i="252" s="1"/>
  <c r="D79" i="252" a="1"/>
  <c r="D79" i="252" s="1"/>
  <c r="E61" i="252" a="1"/>
  <c r="E61" i="252" s="1"/>
  <c r="D61" i="252" a="1"/>
  <c r="D61" i="252" s="1"/>
  <c r="G61" i="252" a="1"/>
  <c r="G61" i="252" s="1"/>
  <c r="E28" i="252" a="1"/>
  <c r="E28" i="252" s="1"/>
  <c r="D28" i="252" a="1"/>
  <c r="D28" i="252" s="1"/>
  <c r="F28" i="252" a="1"/>
  <c r="F28" i="252" s="1"/>
  <c r="F29" i="252" a="1"/>
  <c r="F29" i="252" s="1"/>
  <c r="E29" i="252" a="1"/>
  <c r="E29" i="252" s="1"/>
  <c r="G29" i="252" a="1"/>
  <c r="G29" i="252" s="1"/>
  <c r="E32" i="252" a="1"/>
  <c r="E32" i="252" s="1"/>
  <c r="F32" i="252" a="1"/>
  <c r="F32" i="252" s="1"/>
  <c r="D32" i="252" a="1"/>
  <c r="D32" i="252" s="1"/>
  <c r="G32" i="252" a="1"/>
  <c r="G32" i="252" s="1"/>
  <c r="F33" i="252" a="1"/>
  <c r="F33" i="252" s="1"/>
  <c r="D33" i="252" a="1"/>
  <c r="D33" i="252" s="1"/>
  <c r="E36" i="252" a="1"/>
  <c r="E36" i="252" s="1"/>
  <c r="D36" i="252" a="1"/>
  <c r="D36" i="252" s="1"/>
  <c r="G36" i="252" a="1"/>
  <c r="G36" i="252" s="1"/>
  <c r="E47" i="252" a="1"/>
  <c r="E47" i="252" s="1"/>
  <c r="D47" i="252" a="1"/>
  <c r="D47" i="252" s="1"/>
  <c r="F47" i="252" a="1"/>
  <c r="F47" i="252" s="1"/>
  <c r="F56" i="252" a="1"/>
  <c r="F56" i="252" s="1"/>
  <c r="E56" i="252" a="1"/>
  <c r="E56" i="252" s="1"/>
  <c r="G56" i="252" a="1"/>
  <c r="G56" i="252" s="1"/>
  <c r="G63" i="252" a="1"/>
  <c r="G63" i="252" s="1"/>
  <c r="F63" i="252" a="1"/>
  <c r="F63" i="252" s="1"/>
  <c r="E63" i="252" a="1"/>
  <c r="E63" i="252" s="1"/>
  <c r="D65" i="252" a="1"/>
  <c r="D65" i="252" s="1"/>
  <c r="G65" i="252" a="1"/>
  <c r="G65" i="252" s="1"/>
  <c r="F65" i="252" a="1"/>
  <c r="F65" i="252" s="1"/>
  <c r="F67" i="252" a="1"/>
  <c r="F67" i="252" s="1"/>
  <c r="G67" i="252" a="1"/>
  <c r="G67" i="252" s="1"/>
  <c r="E67" i="252" a="1"/>
  <c r="E67" i="252" s="1"/>
  <c r="G84" i="252" a="1"/>
  <c r="G84" i="252" s="1"/>
  <c r="D84" i="252" a="1"/>
  <c r="D84" i="252" s="1"/>
  <c r="F84" i="252" a="1"/>
  <c r="F84" i="252" s="1"/>
  <c r="E84" i="252" a="1"/>
  <c r="E84" i="252" s="1"/>
  <c r="D25" i="252" a="1"/>
  <c r="D25" i="252" s="1"/>
  <c r="G30" i="252" a="1"/>
  <c r="G30" i="252" s="1"/>
  <c r="F30" i="252" a="1"/>
  <c r="F30" i="252" s="1"/>
  <c r="D30" i="252" a="1"/>
  <c r="D30" i="252" s="1"/>
  <c r="D31" i="252" a="1"/>
  <c r="D31" i="252" s="1"/>
  <c r="G31" i="252" a="1"/>
  <c r="G31" i="252" s="1"/>
  <c r="E31" i="252" a="1"/>
  <c r="E31" i="252" s="1"/>
  <c r="D35" i="252" a="1"/>
  <c r="D35" i="252" s="1"/>
  <c r="E35" i="252" a="1"/>
  <c r="E35" i="252" s="1"/>
  <c r="D42" i="252" a="1"/>
  <c r="D42" i="252" s="1"/>
  <c r="G42" i="252" a="1"/>
  <c r="G42" i="252" s="1"/>
  <c r="F42" i="252" a="1"/>
  <c r="F42" i="252" s="1"/>
  <c r="E42" i="252" a="1"/>
  <c r="E42" i="252" s="1"/>
  <c r="E51" i="252" a="1"/>
  <c r="E51" i="252" s="1"/>
  <c r="D51" i="252" a="1"/>
  <c r="D51" i="252" s="1"/>
  <c r="G51" i="252" a="1"/>
  <c r="G51" i="252" s="1"/>
  <c r="F51" i="252" a="1"/>
  <c r="F51" i="252" s="1"/>
  <c r="F61" i="252" a="1"/>
  <c r="F61" i="252" s="1"/>
  <c r="G69" i="252" a="1"/>
  <c r="G69" i="252" s="1"/>
  <c r="F69" i="252" a="1"/>
  <c r="F69" i="252" s="1"/>
  <c r="F71" i="252" a="1"/>
  <c r="F71" i="252" s="1"/>
  <c r="E71" i="252" a="1"/>
  <c r="E71" i="252" s="1"/>
  <c r="D71" i="252" a="1"/>
  <c r="D71" i="252" s="1"/>
  <c r="F52" i="252" a="1"/>
  <c r="F52" i="252" s="1"/>
  <c r="E52" i="252" a="1"/>
  <c r="E52" i="252" s="1"/>
  <c r="D52" i="252" a="1"/>
  <c r="D52" i="252" s="1"/>
  <c r="G52" i="252" a="1"/>
  <c r="G52" i="252" s="1"/>
  <c r="E55" i="252" a="1"/>
  <c r="E55" i="252" s="1"/>
  <c r="D55" i="252" a="1"/>
  <c r="D55" i="252" s="1"/>
  <c r="G55" i="252" a="1"/>
  <c r="G55" i="252" s="1"/>
  <c r="D88" i="252" a="1"/>
  <c r="D88" i="252" s="1"/>
  <c r="G88" i="252" a="1"/>
  <c r="G88" i="252" s="1"/>
  <c r="F88" i="252" a="1"/>
  <c r="F88" i="252" s="1"/>
  <c r="E88" i="252" a="1"/>
  <c r="E88" i="252" s="1"/>
  <c r="G26" i="252" a="1"/>
  <c r="G26" i="252" s="1"/>
  <c r="F26" i="252" a="1"/>
  <c r="F26" i="252" s="1"/>
  <c r="D26" i="252" a="1"/>
  <c r="D26" i="252" s="1"/>
  <c r="D27" i="252" a="1"/>
  <c r="D27" i="252" s="1"/>
  <c r="G27" i="252" a="1"/>
  <c r="G27" i="252" s="1"/>
  <c r="E27" i="252" a="1"/>
  <c r="E27" i="252" s="1"/>
  <c r="E26" i="252" a="1"/>
  <c r="E26" i="252" s="1"/>
  <c r="E40" i="252" a="1"/>
  <c r="E40" i="252" s="1"/>
  <c r="G40" i="252" a="1"/>
  <c r="G40" i="252" s="1"/>
  <c r="F40" i="252" a="1"/>
  <c r="F40" i="252" s="1"/>
  <c r="D50" i="252" a="1"/>
  <c r="D50" i="252" s="1"/>
  <c r="G50" i="252" a="1"/>
  <c r="G50" i="252" s="1"/>
  <c r="D56" i="252" a="1"/>
  <c r="D56" i="252" s="1"/>
  <c r="E65" i="252" a="1"/>
  <c r="E65" i="252" s="1"/>
  <c r="G71" i="252" a="1"/>
  <c r="G71" i="252" s="1"/>
  <c r="E43" i="252" a="1"/>
  <c r="E43" i="252" s="1"/>
  <c r="D43" i="252" a="1"/>
  <c r="D43" i="252" s="1"/>
  <c r="E37" i="252" a="1"/>
  <c r="E37" i="252" s="1"/>
  <c r="D37" i="252" a="1"/>
  <c r="D37" i="252" s="1"/>
  <c r="G43" i="252" a="1"/>
  <c r="G43" i="252" s="1"/>
  <c r="F27" i="252" a="1"/>
  <c r="F27" i="252" s="1"/>
  <c r="E33" i="252" a="1"/>
  <c r="E33" i="252" s="1"/>
  <c r="F36" i="252" a="1"/>
  <c r="F36" i="252" s="1"/>
  <c r="G45" i="252" a="1"/>
  <c r="G45" i="252" s="1"/>
  <c r="F45" i="252" a="1"/>
  <c r="F45" i="252" s="1"/>
  <c r="E45" i="252" a="1"/>
  <c r="E45" i="252" s="1"/>
  <c r="D45" i="252" a="1"/>
  <c r="D45" i="252" s="1"/>
  <c r="D54" i="252" a="1"/>
  <c r="D54" i="252" s="1"/>
  <c r="G54" i="252" a="1"/>
  <c r="G54" i="252" s="1"/>
  <c r="E54" i="252" a="1"/>
  <c r="E54" i="252" s="1"/>
  <c r="G62" i="252" a="1"/>
  <c r="G62" i="252" s="1"/>
  <c r="F62" i="252" a="1"/>
  <c r="F62" i="252" s="1"/>
  <c r="D62" i="252" a="1"/>
  <c r="D62" i="252" s="1"/>
  <c r="D64" i="252" a="1"/>
  <c r="D64" i="252" s="1"/>
  <c r="G64" i="252" a="1"/>
  <c r="G64" i="252" s="1"/>
  <c r="F64" i="252" a="1"/>
  <c r="F64" i="252" s="1"/>
  <c r="F66" i="252" a="1"/>
  <c r="F66" i="252" s="1"/>
  <c r="G72" i="252" a="1"/>
  <c r="G72" i="252" s="1"/>
  <c r="E72" i="252" a="1"/>
  <c r="E72" i="252" s="1"/>
  <c r="D72" i="252" a="1"/>
  <c r="D72" i="252" s="1"/>
  <c r="G44" i="252" a="1"/>
  <c r="G44" i="252" s="1"/>
  <c r="G49" i="252" a="1"/>
  <c r="G49" i="252" s="1"/>
  <c r="F49" i="252" a="1"/>
  <c r="F49" i="252" s="1"/>
  <c r="E49" i="252" a="1"/>
  <c r="E49" i="252" s="1"/>
  <c r="D53" i="252" a="1"/>
  <c r="D53" i="252" s="1"/>
  <c r="F55" i="252" a="1"/>
  <c r="F55" i="252" s="1"/>
  <c r="E74" i="252" a="1"/>
  <c r="E74" i="252" s="1"/>
  <c r="F74" i="252" a="1"/>
  <c r="F74" i="252" s="1"/>
  <c r="D74" i="252" a="1"/>
  <c r="D74" i="252" s="1"/>
  <c r="E77" i="252" a="1"/>
  <c r="E77" i="252" s="1"/>
  <c r="D77" i="252" a="1"/>
  <c r="D77" i="252" s="1"/>
  <c r="F77" i="252" a="1"/>
  <c r="F77" i="252" s="1"/>
  <c r="E93" i="252" a="1"/>
  <c r="E93" i="252" s="1"/>
  <c r="D93" i="252" a="1"/>
  <c r="D93" i="252" s="1"/>
  <c r="G93" i="252" a="1"/>
  <c r="G93" i="252" s="1"/>
  <c r="F93" i="252" a="1"/>
  <c r="F93" i="252" s="1"/>
  <c r="D97" i="252" a="1"/>
  <c r="D97" i="252" s="1"/>
  <c r="G97" i="252" a="1"/>
  <c r="G97" i="252" s="1"/>
  <c r="F97" i="252" a="1"/>
  <c r="F97" i="252" s="1"/>
  <c r="E97" i="252" a="1"/>
  <c r="E97" i="252" s="1"/>
  <c r="F37" i="252" a="1"/>
  <c r="F37" i="252" s="1"/>
  <c r="G37" i="252" a="1"/>
  <c r="G37" i="252" s="1"/>
  <c r="D38" i="252" a="1"/>
  <c r="D38" i="252" s="1"/>
  <c r="D44" i="252" a="1"/>
  <c r="D44" i="252" s="1"/>
  <c r="D60" i="252" a="1"/>
  <c r="D60" i="252" s="1"/>
  <c r="D68" i="252" a="1"/>
  <c r="D68" i="252" s="1"/>
  <c r="F70" i="252" a="1"/>
  <c r="F70" i="252" s="1"/>
  <c r="E70" i="252" a="1"/>
  <c r="E70" i="252" s="1"/>
  <c r="G80" i="252" a="1"/>
  <c r="G80" i="252" s="1"/>
  <c r="D80" i="252" a="1"/>
  <c r="D80" i="252" s="1"/>
  <c r="D89" i="252" a="1"/>
  <c r="D89" i="252" s="1"/>
  <c r="E89" i="252" a="1"/>
  <c r="E89" i="252" s="1"/>
  <c r="D90" i="252" a="1"/>
  <c r="D90" i="252" s="1"/>
  <c r="F94" i="252" a="1"/>
  <c r="F94" i="252" s="1"/>
  <c r="E94" i="252" a="1"/>
  <c r="E94" i="252" s="1"/>
  <c r="F48" i="252" a="1"/>
  <c r="F48" i="252" s="1"/>
  <c r="E48" i="252" a="1"/>
  <c r="E48" i="252" s="1"/>
  <c r="G57" i="252" a="1"/>
  <c r="G57" i="252" s="1"/>
  <c r="F57" i="252" a="1"/>
  <c r="F57" i="252" s="1"/>
  <c r="G75" i="252" a="1"/>
  <c r="G75" i="252" s="1"/>
  <c r="G76" i="252" a="1"/>
  <c r="G76" i="252" s="1"/>
  <c r="G83" i="252" a="1"/>
  <c r="G83" i="252" s="1"/>
  <c r="F83" i="252" a="1"/>
  <c r="F83" i="252" s="1"/>
  <c r="G85" i="252" a="1"/>
  <c r="G85" i="252" s="1"/>
  <c r="D92" i="252" a="1"/>
  <c r="D92" i="252" s="1"/>
  <c r="G92" i="252" a="1"/>
  <c r="G92" i="252" s="1"/>
  <c r="G96" i="252" a="1"/>
  <c r="G96" i="252" s="1"/>
  <c r="F96" i="252" a="1"/>
  <c r="F96" i="252" s="1"/>
  <c r="E96" i="252" a="1"/>
  <c r="E96" i="252" s="1"/>
  <c r="D96" i="252" a="1"/>
  <c r="D96" i="252" s="1"/>
  <c r="G41" i="252" a="1"/>
  <c r="G41" i="252" s="1"/>
  <c r="F41" i="252" a="1"/>
  <c r="F41" i="252" s="1"/>
  <c r="E69" i="252" a="1"/>
  <c r="E69" i="252" s="1"/>
  <c r="F78" i="252" a="1"/>
  <c r="F78" i="252" s="1"/>
  <c r="E78" i="252" a="1"/>
  <c r="E78" i="252" s="1"/>
  <c r="F80" i="252" a="1"/>
  <c r="F80" i="252" s="1"/>
  <c r="F82" i="252" a="1"/>
  <c r="F82" i="252" s="1"/>
  <c r="G87" i="252" a="1"/>
  <c r="G87" i="252" s="1"/>
  <c r="F87" i="252" a="1"/>
  <c r="F87" i="252" s="1"/>
  <c r="G89" i="252" a="1"/>
  <c r="G89" i="252" s="1"/>
  <c r="F127" i="252"/>
  <c r="G38" i="252" a="1"/>
  <c r="G38" i="252" s="1"/>
  <c r="F44" i="252" a="1"/>
  <c r="F44" i="252" s="1"/>
  <c r="E44" i="252" a="1"/>
  <c r="E44" i="252" s="1"/>
  <c r="D46" i="252" a="1"/>
  <c r="D46" i="252" s="1"/>
  <c r="G46" i="252" a="1"/>
  <c r="G46" i="252" s="1"/>
  <c r="G53" i="252" a="1"/>
  <c r="G53" i="252" s="1"/>
  <c r="F53" i="252" a="1"/>
  <c r="F53" i="252" s="1"/>
  <c r="G60" i="252" a="1"/>
  <c r="G60" i="252" s="1"/>
  <c r="D75" i="252" a="1"/>
  <c r="D75" i="252" s="1"/>
  <c r="D83" i="252" a="1"/>
  <c r="D83" i="252" s="1"/>
  <c r="F86" i="252" a="1"/>
  <c r="F86" i="252" s="1"/>
  <c r="F91" i="252" a="1"/>
  <c r="F91" i="252" s="1"/>
  <c r="G91" i="252" a="1"/>
  <c r="G91" i="252" s="1"/>
  <c r="E98" i="252" a="1"/>
  <c r="E98" i="252" s="1"/>
  <c r="D98" i="252" a="1"/>
  <c r="D98" i="252" s="1"/>
  <c r="G98" i="252" a="1"/>
  <c r="G98" i="252" s="1"/>
  <c r="D41" i="252" a="1"/>
  <c r="D41" i="252" s="1"/>
  <c r="D48" i="252" a="1"/>
  <c r="D48" i="252" s="1"/>
  <c r="D57" i="252" a="1"/>
  <c r="D57" i="252" s="1"/>
  <c r="D76" i="252" a="1"/>
  <c r="D76" i="252" s="1"/>
  <c r="E81" i="252" a="1"/>
  <c r="E81" i="252" s="1"/>
  <c r="D81" i="252" a="1"/>
  <c r="D81" i="252" s="1"/>
  <c r="E83" i="252" a="1"/>
  <c r="E83" i="252" s="1"/>
  <c r="E90" i="252" a="1"/>
  <c r="E90" i="252" s="1"/>
  <c r="E92" i="252" a="1"/>
  <c r="E92" i="252" s="1"/>
  <c r="D95" i="252" a="1"/>
  <c r="D95" i="252" s="1"/>
  <c r="E95" i="252" a="1"/>
  <c r="E95" i="252" s="1"/>
  <c r="E85" i="252" a="1"/>
  <c r="E85" i="252" s="1"/>
  <c r="D85" i="252" a="1"/>
  <c r="D85" i="252" s="1"/>
  <c r="F92" i="252" a="1"/>
  <c r="F92" i="252" s="1"/>
  <c r="E86" i="252" a="1"/>
  <c r="E86" i="252" s="1"/>
  <c r="F99" i="252" a="1"/>
  <c r="F99" i="252" s="1"/>
  <c r="E99" i="252" a="1"/>
  <c r="E99" i="252" s="1"/>
  <c r="D99" i="252" a="1"/>
  <c r="D99" i="252" s="1"/>
  <c r="G100" i="252" a="1"/>
  <c r="G100" i="252" s="1"/>
  <c r="F100" i="252" a="1"/>
  <c r="F100" i="252" s="1"/>
  <c r="E100" i="252" a="1"/>
  <c r="E100" i="252" s="1"/>
  <c r="G107" i="252"/>
  <c r="G127" i="252" s="1"/>
  <c r="D66" i="249" a="1"/>
  <c r="D66" i="249" s="1"/>
  <c r="G66" i="249" a="1"/>
  <c r="G66" i="249" s="1"/>
  <c r="E28" i="250" a="1"/>
  <c r="E28" i="250" s="1"/>
  <c r="F28" i="250" a="1"/>
  <c r="F28" i="250" s="1"/>
  <c r="G72" i="251" a="1"/>
  <c r="G72" i="251" s="1"/>
  <c r="F79" i="251" a="1"/>
  <c r="F79" i="251" s="1"/>
  <c r="E79" i="251" a="1"/>
  <c r="E79" i="251" s="1"/>
  <c r="D79" i="251" a="1"/>
  <c r="D79" i="251" s="1"/>
  <c r="G92" i="251" a="1"/>
  <c r="G92" i="251" s="1"/>
  <c r="D40" i="251" a="1"/>
  <c r="D40" i="251" s="1"/>
  <c r="G40" i="251" a="1"/>
  <c r="G40" i="251" s="1"/>
  <c r="E76" i="251" a="1"/>
  <c r="E76" i="251" s="1"/>
  <c r="F76" i="251" a="1"/>
  <c r="F76" i="251" s="1"/>
  <c r="E80" i="251" a="1"/>
  <c r="E80" i="251" s="1"/>
  <c r="F32" i="250" a="1"/>
  <c r="F32" i="250" s="1"/>
  <c r="D66" i="250" a="1"/>
  <c r="D66" i="250" s="1"/>
  <c r="G29" i="251" a="1"/>
  <c r="G29" i="251" s="1"/>
  <c r="G51" i="251" a="1"/>
  <c r="G51" i="251" s="1"/>
  <c r="E51" i="251" a="1"/>
  <c r="E51" i="251" s="1"/>
  <c r="G30" i="251" a="1"/>
  <c r="G30" i="251" s="1"/>
  <c r="D52" i="251" a="1"/>
  <c r="D52" i="251" s="1"/>
  <c r="D74" i="251" a="1"/>
  <c r="D74" i="251" s="1"/>
  <c r="G74" i="251" a="1"/>
  <c r="G74" i="251" s="1"/>
  <c r="E74" i="251" a="1"/>
  <c r="E74" i="251" s="1"/>
  <c r="E71" i="251" a="1"/>
  <c r="E71" i="251" s="1"/>
  <c r="D71" i="251" a="1"/>
  <c r="D71" i="251" s="1"/>
  <c r="F31" i="251" a="1"/>
  <c r="F31" i="251" s="1"/>
  <c r="D31" i="251" a="1"/>
  <c r="D31" i="251" s="1"/>
  <c r="G92" i="249" a="1"/>
  <c r="G92" i="249" s="1"/>
  <c r="G47" i="251" a="1"/>
  <c r="G47" i="251" s="1"/>
  <c r="E54" i="251" a="1"/>
  <c r="E54" i="251" s="1"/>
  <c r="E70" i="251" a="1"/>
  <c r="E70" i="251" s="1"/>
  <c r="D90" i="247" a="1"/>
  <c r="D90" i="247" s="1"/>
  <c r="G36" i="249" a="1"/>
  <c r="G36" i="249" s="1"/>
  <c r="D81" i="250" a="1"/>
  <c r="D81" i="250" s="1"/>
  <c r="D84" i="250" a="1"/>
  <c r="D84" i="250" s="1"/>
  <c r="E94" i="250" a="1"/>
  <c r="E94" i="250" s="1"/>
  <c r="F45" i="251" a="1"/>
  <c r="F45" i="251" s="1"/>
  <c r="E50" i="251" a="1"/>
  <c r="E50" i="251" s="1"/>
  <c r="F70" i="251" a="1"/>
  <c r="F70" i="251" s="1"/>
  <c r="G73" i="251" a="1"/>
  <c r="G73" i="251" s="1"/>
  <c r="G79" i="247" a="1"/>
  <c r="G79" i="247" s="1"/>
  <c r="G26" i="248" a="1"/>
  <c r="G26" i="248" s="1"/>
  <c r="E50" i="248" a="1"/>
  <c r="E50" i="248" s="1"/>
  <c r="D63" i="249" a="1"/>
  <c r="D63" i="249" s="1"/>
  <c r="E68" i="249" a="1"/>
  <c r="E68" i="249" s="1"/>
  <c r="G78" i="249" a="1"/>
  <c r="G78" i="249" s="1"/>
  <c r="G82" i="249" a="1"/>
  <c r="G82" i="249" s="1"/>
  <c r="E35" i="250" a="1"/>
  <c r="E35" i="250" s="1"/>
  <c r="G45" i="250" a="1"/>
  <c r="G45" i="250" s="1"/>
  <c r="E59" i="250" a="1"/>
  <c r="E59" i="250" s="1"/>
  <c r="E70" i="250" a="1"/>
  <c r="E70" i="250" s="1"/>
  <c r="G88" i="250" a="1"/>
  <c r="G88" i="250" s="1"/>
  <c r="D94" i="250" a="1"/>
  <c r="D94" i="250" s="1"/>
  <c r="D30" i="251" a="1"/>
  <c r="D30" i="251" s="1"/>
  <c r="E38" i="251" a="1"/>
  <c r="E38" i="251" s="1"/>
  <c r="F54" i="251" a="1"/>
  <c r="F54" i="251" s="1"/>
  <c r="D58" i="251" a="1"/>
  <c r="D58" i="251" s="1"/>
  <c r="G70" i="251" a="1"/>
  <c r="G70" i="251" s="1"/>
  <c r="E75" i="251" a="1"/>
  <c r="E75" i="251" s="1"/>
  <c r="D80" i="251" a="1"/>
  <c r="D80" i="251" s="1"/>
  <c r="E92" i="251" a="1"/>
  <c r="E92" i="251" s="1"/>
  <c r="F48" i="250" a="1"/>
  <c r="F48" i="250" s="1"/>
  <c r="G27" i="251" a="1"/>
  <c r="G27" i="251" s="1"/>
  <c r="E29" i="251" a="1"/>
  <c r="E29" i="251" s="1"/>
  <c r="F30" i="251" a="1"/>
  <c r="F30" i="251" s="1"/>
  <c r="D35" i="251" a="1"/>
  <c r="D35" i="251" s="1"/>
  <c r="E48" i="251" a="1"/>
  <c r="E48" i="251" s="1"/>
  <c r="G54" i="251" a="1"/>
  <c r="G54" i="251" s="1"/>
  <c r="F72" i="251" a="1"/>
  <c r="F72" i="251" s="1"/>
  <c r="F92" i="251" a="1"/>
  <c r="F92" i="251" s="1"/>
  <c r="F98" i="251" a="1"/>
  <c r="F98" i="251" s="1"/>
  <c r="G65" i="250" a="1"/>
  <c r="G65" i="250" s="1"/>
  <c r="E82" i="244" a="1"/>
  <c r="E82" i="244" s="1"/>
  <c r="E69" i="249" a="1"/>
  <c r="E69" i="249" s="1"/>
  <c r="F72" i="249" a="1"/>
  <c r="F72" i="249" s="1"/>
  <c r="E31" i="250" a="1"/>
  <c r="E31" i="250" s="1"/>
  <c r="F67" i="250" a="1"/>
  <c r="F67" i="250" s="1"/>
  <c r="D76" i="250" a="1"/>
  <c r="D76" i="250" s="1"/>
  <c r="E82" i="250" a="1"/>
  <c r="E82" i="250" s="1"/>
  <c r="G95" i="250" a="1"/>
  <c r="G95" i="250" s="1"/>
  <c r="F29" i="251" a="1"/>
  <c r="F29" i="251" s="1"/>
  <c r="D41" i="251" a="1"/>
  <c r="D41" i="251" s="1"/>
  <c r="F46" i="251" a="1"/>
  <c r="F46" i="251" s="1"/>
  <c r="G55" i="251" a="1"/>
  <c r="G55" i="251" s="1"/>
  <c r="D57" i="251" a="1"/>
  <c r="D57" i="251" s="1"/>
  <c r="G77" i="251" a="1"/>
  <c r="G77" i="251" s="1"/>
  <c r="D81" i="251" a="1"/>
  <c r="D81" i="251" s="1"/>
  <c r="D91" i="251" a="1"/>
  <c r="D91" i="251" s="1"/>
  <c r="F51" i="251" a="1"/>
  <c r="F51" i="251" s="1"/>
  <c r="E58" i="247" a="1"/>
  <c r="E58" i="247" s="1"/>
  <c r="E62" i="247" a="1"/>
  <c r="E62" i="247" s="1"/>
  <c r="F44" i="248" a="1"/>
  <c r="F44" i="248" s="1"/>
  <c r="F35" i="249" a="1"/>
  <c r="F35" i="249" s="1"/>
  <c r="F61" i="249" a="1"/>
  <c r="F61" i="249" s="1"/>
  <c r="D92" i="249" a="1"/>
  <c r="D92" i="249" s="1"/>
  <c r="F86" i="250" a="1"/>
  <c r="F86" i="250" s="1"/>
  <c r="G89" i="250" a="1"/>
  <c r="G89" i="250" s="1"/>
  <c r="E93" i="250" a="1"/>
  <c r="E93" i="250" s="1"/>
  <c r="G96" i="250" a="1"/>
  <c r="G96" i="250" s="1"/>
  <c r="G99" i="250" a="1"/>
  <c r="G99" i="250" s="1"/>
  <c r="G82" i="251" a="1"/>
  <c r="G82" i="251" s="1"/>
  <c r="G72" i="246" a="1"/>
  <c r="G72" i="246" s="1"/>
  <c r="G42" i="249" a="1"/>
  <c r="G42" i="249" s="1"/>
  <c r="E77" i="249" a="1"/>
  <c r="E77" i="249" s="1"/>
  <c r="E39" i="250" a="1"/>
  <c r="E39" i="250" s="1"/>
  <c r="D58" i="250" a="1"/>
  <c r="D58" i="250" s="1"/>
  <c r="G61" i="250" a="1"/>
  <c r="G61" i="250" s="1"/>
  <c r="E74" i="250" a="1"/>
  <c r="E74" i="250" s="1"/>
  <c r="G90" i="250" a="1"/>
  <c r="G90" i="250" s="1"/>
  <c r="D100" i="250" a="1"/>
  <c r="D100" i="250" s="1"/>
  <c r="E30" i="251" a="1"/>
  <c r="E30" i="251" s="1"/>
  <c r="G31" i="251" a="1"/>
  <c r="G31" i="251" s="1"/>
  <c r="F80" i="251" a="1"/>
  <c r="F80" i="251" s="1"/>
  <c r="G62" i="251" a="1"/>
  <c r="G62" i="251" s="1"/>
  <c r="D62" i="251" a="1"/>
  <c r="D62" i="251" s="1"/>
  <c r="F34" i="251" a="1"/>
  <c r="F34" i="251" s="1"/>
  <c r="G34" i="251" a="1"/>
  <c r="G34" i="251" s="1"/>
  <c r="G28" i="251" a="1"/>
  <c r="G28" i="251" s="1"/>
  <c r="F28" i="251" a="1"/>
  <c r="F28" i="251" s="1"/>
  <c r="E28" i="251" a="1"/>
  <c r="E28" i="251" s="1"/>
  <c r="D28" i="251" a="1"/>
  <c r="D28" i="251" s="1"/>
  <c r="G36" i="251" a="1"/>
  <c r="G36" i="251" s="1"/>
  <c r="F36" i="251" a="1"/>
  <c r="F36" i="251" s="1"/>
  <c r="E36" i="251" a="1"/>
  <c r="E36" i="251" s="1"/>
  <c r="D36" i="251" a="1"/>
  <c r="D36" i="251" s="1"/>
  <c r="F59" i="251" a="1"/>
  <c r="F59" i="251" s="1"/>
  <c r="E59" i="251" a="1"/>
  <c r="E59" i="251" s="1"/>
  <c r="D59" i="251" a="1"/>
  <c r="D59" i="251" s="1"/>
  <c r="G59" i="251" a="1"/>
  <c r="G59" i="251" s="1"/>
  <c r="D33" i="251" a="1"/>
  <c r="D33" i="251" s="1"/>
  <c r="F33" i="251" a="1"/>
  <c r="F33" i="251" s="1"/>
  <c r="E33" i="251" a="1"/>
  <c r="E33" i="251" s="1"/>
  <c r="G33" i="251" a="1"/>
  <c r="G33" i="251" s="1"/>
  <c r="D25" i="251" a="1"/>
  <c r="D25" i="251" s="1"/>
  <c r="E25" i="251" a="1"/>
  <c r="E25" i="251" s="1"/>
  <c r="F25" i="251" a="1"/>
  <c r="F25" i="251" s="1"/>
  <c r="G25" i="251" a="1"/>
  <c r="G25" i="251" s="1"/>
  <c r="F49" i="251" a="1"/>
  <c r="F49" i="251" s="1"/>
  <c r="E49" i="251" a="1"/>
  <c r="E49" i="251" s="1"/>
  <c r="G49" i="251" a="1"/>
  <c r="G49" i="251" s="1"/>
  <c r="D49" i="251" a="1"/>
  <c r="D49" i="251" s="1"/>
  <c r="D37" i="251" a="1"/>
  <c r="D37" i="251" s="1"/>
  <c r="G37" i="251" a="1"/>
  <c r="G37" i="251" s="1"/>
  <c r="F37" i="251" a="1"/>
  <c r="F37" i="251" s="1"/>
  <c r="E37" i="251" a="1"/>
  <c r="E37" i="251" s="1"/>
  <c r="E56" i="251" a="1"/>
  <c r="E56" i="251" s="1"/>
  <c r="D56" i="251" a="1"/>
  <c r="D56" i="251" s="1"/>
  <c r="G56" i="251" a="1"/>
  <c r="G56" i="251" s="1"/>
  <c r="F56" i="251" a="1"/>
  <c r="F56" i="251" s="1"/>
  <c r="D45" i="251" a="1"/>
  <c r="D45" i="251" s="1"/>
  <c r="F53" i="251" a="1"/>
  <c r="F53" i="251" s="1"/>
  <c r="D53" i="251" a="1"/>
  <c r="D53" i="251" s="1"/>
  <c r="E55" i="251" a="1"/>
  <c r="E55" i="251" s="1"/>
  <c r="E44" i="251" a="1"/>
  <c r="E44" i="251" s="1"/>
  <c r="E35" i="251" a="1"/>
  <c r="E35" i="251" s="1"/>
  <c r="G26" i="251" a="1"/>
  <c r="G26" i="251" s="1"/>
  <c r="E31" i="251" a="1"/>
  <c r="E31" i="251" s="1"/>
  <c r="E34" i="251" a="1"/>
  <c r="E34" i="251" s="1"/>
  <c r="D39" i="251" a="1"/>
  <c r="D39" i="251" s="1"/>
  <c r="G39" i="251" a="1"/>
  <c r="G39" i="251" s="1"/>
  <c r="G48" i="251" a="1"/>
  <c r="G48" i="251" s="1"/>
  <c r="F50" i="251" a="1"/>
  <c r="F50" i="251" s="1"/>
  <c r="G67" i="251" a="1"/>
  <c r="G67" i="251" s="1"/>
  <c r="F67" i="251" a="1"/>
  <c r="F67" i="251" s="1"/>
  <c r="E67" i="251" a="1"/>
  <c r="E67" i="251" s="1"/>
  <c r="D67" i="251" a="1"/>
  <c r="D67" i="251" s="1"/>
  <c r="E69" i="251" a="1"/>
  <c r="E69" i="251" s="1"/>
  <c r="D69" i="251" a="1"/>
  <c r="D69" i="251" s="1"/>
  <c r="F69" i="251" a="1"/>
  <c r="F69" i="251" s="1"/>
  <c r="D78" i="251" a="1"/>
  <c r="D78" i="251" s="1"/>
  <c r="E81" i="251" a="1"/>
  <c r="E81" i="251" s="1"/>
  <c r="G81" i="251" a="1"/>
  <c r="G81" i="251" s="1"/>
  <c r="F81" i="251" a="1"/>
  <c r="F81" i="251" s="1"/>
  <c r="E85" i="251" a="1"/>
  <c r="E85" i="251" s="1"/>
  <c r="D85" i="251" a="1"/>
  <c r="D85" i="251" s="1"/>
  <c r="G85" i="251" a="1"/>
  <c r="G85" i="251" s="1"/>
  <c r="F85" i="251" a="1"/>
  <c r="F85" i="251" s="1"/>
  <c r="F95" i="251" a="1"/>
  <c r="F95" i="251" s="1"/>
  <c r="G95" i="251" a="1"/>
  <c r="G95" i="251" s="1"/>
  <c r="E95" i="251" a="1"/>
  <c r="E95" i="251" s="1"/>
  <c r="D95" i="251" a="1"/>
  <c r="D95" i="251" s="1"/>
  <c r="F26" i="251" a="1"/>
  <c r="F26" i="251" s="1"/>
  <c r="G35" i="251" a="1"/>
  <c r="G35" i="251" s="1"/>
  <c r="E40" i="251" a="1"/>
  <c r="E40" i="251" s="1"/>
  <c r="G42" i="251" a="1"/>
  <c r="G42" i="251" s="1"/>
  <c r="F42" i="251" a="1"/>
  <c r="F42" i="251" s="1"/>
  <c r="E43" i="251" a="1"/>
  <c r="E43" i="251" s="1"/>
  <c r="D43" i="251" a="1"/>
  <c r="D43" i="251" s="1"/>
  <c r="E45" i="251" a="1"/>
  <c r="E45" i="251" s="1"/>
  <c r="D47" i="251" a="1"/>
  <c r="D47" i="251" s="1"/>
  <c r="F52" i="251" a="1"/>
  <c r="F52" i="251" s="1"/>
  <c r="E52" i="251" a="1"/>
  <c r="E52" i="251" s="1"/>
  <c r="E53" i="251" a="1"/>
  <c r="E53" i="251" s="1"/>
  <c r="E60" i="251" a="1"/>
  <c r="E60" i="251" s="1"/>
  <c r="D60" i="251" a="1"/>
  <c r="D60" i="251" s="1"/>
  <c r="E65" i="251" a="1"/>
  <c r="E65" i="251" s="1"/>
  <c r="G65" i="251" a="1"/>
  <c r="G65" i="251" s="1"/>
  <c r="F65" i="251" a="1"/>
  <c r="F65" i="251" s="1"/>
  <c r="D65" i="251" a="1"/>
  <c r="D65" i="251" s="1"/>
  <c r="E86" i="251" a="1"/>
  <c r="E86" i="251" s="1"/>
  <c r="G86" i="251" a="1"/>
  <c r="G86" i="251" s="1"/>
  <c r="F86" i="251" a="1"/>
  <c r="F86" i="251" s="1"/>
  <c r="D86" i="251" a="1"/>
  <c r="D86" i="251" s="1"/>
  <c r="G96" i="251" a="1"/>
  <c r="G96" i="251" s="1"/>
  <c r="D96" i="251" a="1"/>
  <c r="D96" i="251" s="1"/>
  <c r="F96" i="251" a="1"/>
  <c r="F96" i="251" s="1"/>
  <c r="E96" i="251" a="1"/>
  <c r="E96" i="251" s="1"/>
  <c r="G32" i="251" a="1"/>
  <c r="G32" i="251" s="1"/>
  <c r="D27" i="251" a="1"/>
  <c r="D27" i="251" s="1"/>
  <c r="E27" i="251" a="1"/>
  <c r="E27" i="251" s="1"/>
  <c r="D29" i="251" a="1"/>
  <c r="D29" i="251" s="1"/>
  <c r="D32" i="251" a="1"/>
  <c r="D32" i="251" s="1"/>
  <c r="E26" i="251" a="1"/>
  <c r="E26" i="251" s="1"/>
  <c r="E32" i="251" a="1"/>
  <c r="E32" i="251" s="1"/>
  <c r="D38" i="251" a="1"/>
  <c r="D38" i="251" s="1"/>
  <c r="F44" i="251" a="1"/>
  <c r="F44" i="251" s="1"/>
  <c r="D48" i="251" a="1"/>
  <c r="D48" i="251" s="1"/>
  <c r="G53" i="251" a="1"/>
  <c r="G53" i="251" s="1"/>
  <c r="G63" i="251" a="1"/>
  <c r="G63" i="251" s="1"/>
  <c r="F63" i="251" a="1"/>
  <c r="F63" i="251" s="1"/>
  <c r="E63" i="251" a="1"/>
  <c r="E63" i="251" s="1"/>
  <c r="G69" i="251" a="1"/>
  <c r="G69" i="251" s="1"/>
  <c r="D44" i="251" a="1"/>
  <c r="D44" i="251" s="1"/>
  <c r="D34" i="251" a="1"/>
  <c r="D34" i="251" s="1"/>
  <c r="F35" i="251" a="1"/>
  <c r="F35" i="251" s="1"/>
  <c r="E39" i="251" a="1"/>
  <c r="E39" i="251" s="1"/>
  <c r="D42" i="251" a="1"/>
  <c r="D42" i="251" s="1"/>
  <c r="F43" i="251" a="1"/>
  <c r="F43" i="251" s="1"/>
  <c r="G46" i="251" a="1"/>
  <c r="G46" i="251" s="1"/>
  <c r="E46" i="251" a="1"/>
  <c r="E46" i="251" s="1"/>
  <c r="E47" i="251" a="1"/>
  <c r="E47" i="251" s="1"/>
  <c r="G87" i="251" a="1"/>
  <c r="G87" i="251" s="1"/>
  <c r="F87" i="251" a="1"/>
  <c r="F87" i="251" s="1"/>
  <c r="E87" i="251" a="1"/>
  <c r="E87" i="251" s="1"/>
  <c r="D87" i="251" a="1"/>
  <c r="D87" i="251" s="1"/>
  <c r="F32" i="251" a="1"/>
  <c r="F32" i="251" s="1"/>
  <c r="G44" i="251" a="1"/>
  <c r="G44" i="251" s="1"/>
  <c r="F55" i="251" a="1"/>
  <c r="F55" i="251" s="1"/>
  <c r="E66" i="251" a="1"/>
  <c r="E66" i="251" s="1"/>
  <c r="G66" i="251" a="1"/>
  <c r="G66" i="251" s="1"/>
  <c r="F66" i="251" a="1"/>
  <c r="F66" i="251" s="1"/>
  <c r="D66" i="251" a="1"/>
  <c r="D66" i="251" s="1"/>
  <c r="G68" i="251" a="1"/>
  <c r="G68" i="251" s="1"/>
  <c r="F68" i="251" a="1"/>
  <c r="F68" i="251" s="1"/>
  <c r="E68" i="251" a="1"/>
  <c r="E68" i="251" s="1"/>
  <c r="D68" i="251" a="1"/>
  <c r="D68" i="251" s="1"/>
  <c r="G94" i="251" a="1"/>
  <c r="G94" i="251" s="1"/>
  <c r="D94" i="251" a="1"/>
  <c r="D94" i="251" s="1"/>
  <c r="F127" i="251"/>
  <c r="F27" i="251" a="1"/>
  <c r="F27" i="251" s="1"/>
  <c r="G38" i="251" a="1"/>
  <c r="G38" i="251" s="1"/>
  <c r="F40" i="251" a="1"/>
  <c r="F40" i="251" s="1"/>
  <c r="E41" i="251" a="1"/>
  <c r="E41" i="251" s="1"/>
  <c r="E42" i="251" a="1"/>
  <c r="E42" i="251" s="1"/>
  <c r="D50" i="251" a="1"/>
  <c r="D50" i="251" s="1"/>
  <c r="G52" i="251" a="1"/>
  <c r="G52" i="251" s="1"/>
  <c r="G60" i="251" a="1"/>
  <c r="G60" i="251" s="1"/>
  <c r="G64" i="251" a="1"/>
  <c r="G64" i="251" s="1"/>
  <c r="F64" i="251" a="1"/>
  <c r="F64" i="251" s="1"/>
  <c r="E64" i="251" a="1"/>
  <c r="E64" i="251" s="1"/>
  <c r="D64" i="251" a="1"/>
  <c r="D64" i="251" s="1"/>
  <c r="D97" i="251" a="1"/>
  <c r="D97" i="251" s="1"/>
  <c r="G97" i="251" a="1"/>
  <c r="G97" i="251" s="1"/>
  <c r="F97" i="251" a="1"/>
  <c r="F97" i="251" s="1"/>
  <c r="E97" i="251" a="1"/>
  <c r="E97" i="251" s="1"/>
  <c r="D84" i="251" a="1"/>
  <c r="D84" i="251" s="1"/>
  <c r="E88" i="251" a="1"/>
  <c r="E88" i="251" s="1"/>
  <c r="F94" i="251" a="1"/>
  <c r="F94" i="251" s="1"/>
  <c r="G45" i="251" a="1"/>
  <c r="G45" i="251" s="1"/>
  <c r="F58" i="251" a="1"/>
  <c r="F58" i="251" s="1"/>
  <c r="F61" i="251" a="1"/>
  <c r="F61" i="251" s="1"/>
  <c r="G71" i="251" a="1"/>
  <c r="G71" i="251" s="1"/>
  <c r="F71" i="251" a="1"/>
  <c r="F71" i="251" s="1"/>
  <c r="D72" i="251" a="1"/>
  <c r="D72" i="251" s="1"/>
  <c r="D73" i="251" a="1"/>
  <c r="D73" i="251" s="1"/>
  <c r="F74" i="251" a="1"/>
  <c r="F74" i="251" s="1"/>
  <c r="G79" i="251" a="1"/>
  <c r="G79" i="251" s="1"/>
  <c r="E83" i="251" a="1"/>
  <c r="E83" i="251" s="1"/>
  <c r="E84" i="251" a="1"/>
  <c r="E84" i="251" s="1"/>
  <c r="F88" i="251" a="1"/>
  <c r="F88" i="251" s="1"/>
  <c r="G89" i="251" a="1"/>
  <c r="G89" i="251" s="1"/>
  <c r="D93" i="251" a="1"/>
  <c r="D93" i="251" s="1"/>
  <c r="G58" i="251" a="1"/>
  <c r="G58" i="251" s="1"/>
  <c r="F75" i="251" a="1"/>
  <c r="F75" i="251" s="1"/>
  <c r="D76" i="251" a="1"/>
  <c r="D76" i="251" s="1"/>
  <c r="F78" i="251" a="1"/>
  <c r="F78" i="251" s="1"/>
  <c r="E78" i="251" a="1"/>
  <c r="E78" i="251" s="1"/>
  <c r="F83" i="251" a="1"/>
  <c r="F83" i="251" s="1"/>
  <c r="F84" i="251" a="1"/>
  <c r="F84" i="251" s="1"/>
  <c r="D92" i="251" a="1"/>
  <c r="D92" i="251" s="1"/>
  <c r="G80" i="251" a="1"/>
  <c r="G80" i="251" s="1"/>
  <c r="G91" i="251" a="1"/>
  <c r="G91" i="251" s="1"/>
  <c r="F91" i="251" a="1"/>
  <c r="F91" i="251" s="1"/>
  <c r="D51" i="251" a="1"/>
  <c r="D51" i="251" s="1"/>
  <c r="F62" i="251" a="1"/>
  <c r="F62" i="251" s="1"/>
  <c r="E62" i="251" a="1"/>
  <c r="E62" i="251" s="1"/>
  <c r="E72" i="251" a="1"/>
  <c r="E72" i="251" s="1"/>
  <c r="E73" i="251" a="1"/>
  <c r="E73" i="251" s="1"/>
  <c r="D75" i="251" a="1"/>
  <c r="D75" i="251" s="1"/>
  <c r="D77" i="251" a="1"/>
  <c r="D77" i="251" s="1"/>
  <c r="E82" i="251" a="1"/>
  <c r="E82" i="251" s="1"/>
  <c r="E89" i="251" a="1"/>
  <c r="E89" i="251" s="1"/>
  <c r="D89" i="251" a="1"/>
  <c r="D89" i="251" s="1"/>
  <c r="E93" i="251" a="1"/>
  <c r="E93" i="251" s="1"/>
  <c r="G83" i="251" a="1"/>
  <c r="G83" i="251" s="1"/>
  <c r="G84" i="251" a="1"/>
  <c r="G84" i="251" s="1"/>
  <c r="G88" i="251" a="1"/>
  <c r="G88" i="251" s="1"/>
  <c r="D88" i="251" a="1"/>
  <c r="D88" i="251" s="1"/>
  <c r="E98" i="251" a="1"/>
  <c r="E98" i="251" s="1"/>
  <c r="D98" i="251" a="1"/>
  <c r="D98" i="251" s="1"/>
  <c r="G98" i="251" a="1"/>
  <c r="G98" i="251" s="1"/>
  <c r="E94" i="251" a="1"/>
  <c r="E94" i="251" s="1"/>
  <c r="G100" i="251" a="1"/>
  <c r="G100" i="251" s="1"/>
  <c r="F100" i="251" a="1"/>
  <c r="F100" i="251" s="1"/>
  <c r="E100" i="251" a="1"/>
  <c r="E100" i="251" s="1"/>
  <c r="F99" i="251" a="1"/>
  <c r="F99" i="251" s="1"/>
  <c r="E99" i="251" a="1"/>
  <c r="E99" i="251" s="1"/>
  <c r="D99" i="251" a="1"/>
  <c r="D99" i="251" s="1"/>
  <c r="G107" i="251"/>
  <c r="G127" i="251" s="1"/>
  <c r="D27" i="249" a="1"/>
  <c r="D27" i="249" s="1"/>
  <c r="E30" i="249" a="1"/>
  <c r="E30" i="249" s="1"/>
  <c r="F76" i="249" a="1"/>
  <c r="F76" i="249" s="1"/>
  <c r="E95" i="249" a="1"/>
  <c r="E95" i="249" s="1"/>
  <c r="D72" i="250" a="1"/>
  <c r="D72" i="250" s="1"/>
  <c r="E63" i="248" a="1"/>
  <c r="E63" i="248" s="1"/>
  <c r="D74" i="248" a="1"/>
  <c r="D74" i="248" s="1"/>
  <c r="G43" i="249" a="1"/>
  <c r="G43" i="249" s="1"/>
  <c r="E67" i="249" a="1"/>
  <c r="E67" i="249" s="1"/>
  <c r="E79" i="249" a="1"/>
  <c r="E79" i="249" s="1"/>
  <c r="F90" i="249" a="1"/>
  <c r="F90" i="249" s="1"/>
  <c r="G49" i="250" a="1"/>
  <c r="G49" i="250" s="1"/>
  <c r="G78" i="250" a="1"/>
  <c r="G78" i="250" s="1"/>
  <c r="F88" i="250" a="1"/>
  <c r="F88" i="250" s="1"/>
  <c r="D95" i="250" a="1"/>
  <c r="D95" i="250" s="1"/>
  <c r="F43" i="243" a="1"/>
  <c r="F43" i="243" s="1"/>
  <c r="F82" i="245" a="1"/>
  <c r="F82" i="245" s="1"/>
  <c r="G89" i="246" a="1"/>
  <c r="G89" i="246" s="1"/>
  <c r="F28" i="247" a="1"/>
  <c r="F28" i="247" s="1"/>
  <c r="G77" i="249" a="1"/>
  <c r="G77" i="249" s="1"/>
  <c r="G80" i="249" a="1"/>
  <c r="G80" i="249" s="1"/>
  <c r="G93" i="249" a="1"/>
  <c r="G93" i="249" s="1"/>
  <c r="F33" i="250" a="1"/>
  <c r="F33" i="250" s="1"/>
  <c r="E63" i="250" a="1"/>
  <c r="E63" i="250" s="1"/>
  <c r="D73" i="250" a="1"/>
  <c r="D73" i="250" s="1"/>
  <c r="F81" i="250" a="1"/>
  <c r="F81" i="250" s="1"/>
  <c r="E88" i="250" a="1"/>
  <c r="E88" i="250" s="1"/>
  <c r="E95" i="250" a="1"/>
  <c r="E95" i="250" s="1"/>
  <c r="F98" i="250" a="1"/>
  <c r="F98" i="250" s="1"/>
  <c r="G45" i="249" a="1"/>
  <c r="G45" i="249" s="1"/>
  <c r="G55" i="248" a="1"/>
  <c r="G55" i="248" s="1"/>
  <c r="G53" i="249" a="1"/>
  <c r="G53" i="249" s="1"/>
  <c r="G74" i="249" a="1"/>
  <c r="G74" i="249" s="1"/>
  <c r="D38" i="250" a="1"/>
  <c r="D38" i="250" s="1"/>
  <c r="F44" i="250" a="1"/>
  <c r="F44" i="250" s="1"/>
  <c r="F60" i="250" a="1"/>
  <c r="F60" i="250" s="1"/>
  <c r="G94" i="250" a="1"/>
  <c r="G94" i="250" s="1"/>
  <c r="G67" i="250" a="1"/>
  <c r="G67" i="250" s="1"/>
  <c r="E67" i="245" a="1"/>
  <c r="E67" i="245" s="1"/>
  <c r="D98" i="245" a="1"/>
  <c r="D98" i="245" s="1"/>
  <c r="G30" i="250" a="1"/>
  <c r="G30" i="250" s="1"/>
  <c r="D62" i="250" a="1"/>
  <c r="D62" i="250" s="1"/>
  <c r="G76" i="250" a="1"/>
  <c r="G76" i="250" s="1"/>
  <c r="D89" i="250" a="1"/>
  <c r="D89" i="250" s="1"/>
  <c r="D86" i="249" a="1"/>
  <c r="D86" i="249" s="1"/>
  <c r="E47" i="250" a="1"/>
  <c r="E47" i="250" s="1"/>
  <c r="F40" i="243" a="1"/>
  <c r="F40" i="243" s="1"/>
  <c r="F80" i="243" a="1"/>
  <c r="F80" i="243" s="1"/>
  <c r="E74" i="246" a="1"/>
  <c r="E74" i="246" s="1"/>
  <c r="G37" i="247" a="1"/>
  <c r="G37" i="247" s="1"/>
  <c r="E75" i="247" a="1"/>
  <c r="E75" i="247" s="1"/>
  <c r="F59" i="248" a="1"/>
  <c r="F59" i="248" s="1"/>
  <c r="G90" i="248" a="1"/>
  <c r="G90" i="248" s="1"/>
  <c r="G41" i="249" a="1"/>
  <c r="G41" i="249" s="1"/>
  <c r="F68" i="249" a="1"/>
  <c r="F68" i="249" s="1"/>
  <c r="G88" i="249" a="1"/>
  <c r="G88" i="249" s="1"/>
  <c r="E94" i="249" a="1"/>
  <c r="E94" i="249" s="1"/>
  <c r="E98" i="250" a="1"/>
  <c r="E98" i="250" s="1"/>
  <c r="G80" i="247" a="1"/>
  <c r="G80" i="247" s="1"/>
  <c r="D84" i="247" a="1"/>
  <c r="D84" i="247" s="1"/>
  <c r="E27" i="248" a="1"/>
  <c r="E27" i="248" s="1"/>
  <c r="G54" i="249" a="1"/>
  <c r="G54" i="249" s="1"/>
  <c r="F63" i="249" a="1"/>
  <c r="F63" i="249" s="1"/>
  <c r="F66" i="249" a="1"/>
  <c r="F66" i="249" s="1"/>
  <c r="D68" i="249" a="1"/>
  <c r="D68" i="249" s="1"/>
  <c r="D88" i="249" a="1"/>
  <c r="D88" i="249" s="1"/>
  <c r="G82" i="250" a="1"/>
  <c r="G82" i="250" s="1"/>
  <c r="G57" i="250" a="1"/>
  <c r="G57" i="250" s="1"/>
  <c r="E29" i="250" a="1"/>
  <c r="E29" i="250" s="1"/>
  <c r="D29" i="250" a="1"/>
  <c r="D29" i="250" s="1"/>
  <c r="G29" i="250" a="1"/>
  <c r="G29" i="250" s="1"/>
  <c r="F29" i="250" a="1"/>
  <c r="F29" i="250" s="1"/>
  <c r="E40" i="250" a="1"/>
  <c r="E40" i="250" s="1"/>
  <c r="D40" i="250" a="1"/>
  <c r="D40" i="250" s="1"/>
  <c r="G40" i="250" a="1"/>
  <c r="G40" i="250" s="1"/>
  <c r="F40" i="250" a="1"/>
  <c r="F40" i="250" s="1"/>
  <c r="E64" i="250" a="1"/>
  <c r="E64" i="250" s="1"/>
  <c r="D64" i="250" a="1"/>
  <c r="D64" i="250" s="1"/>
  <c r="G64" i="250" a="1"/>
  <c r="G64" i="250" s="1"/>
  <c r="F64" i="250" a="1"/>
  <c r="F64" i="250" s="1"/>
  <c r="E56" i="250" a="1"/>
  <c r="E56" i="250" s="1"/>
  <c r="D56" i="250" a="1"/>
  <c r="D56" i="250" s="1"/>
  <c r="G56" i="250" a="1"/>
  <c r="G56" i="250" s="1"/>
  <c r="F56" i="250" a="1"/>
  <c r="F56" i="250" s="1"/>
  <c r="E52" i="250" a="1"/>
  <c r="E52" i="250" s="1"/>
  <c r="D52" i="250" a="1"/>
  <c r="D52" i="250" s="1"/>
  <c r="G52" i="250" a="1"/>
  <c r="G52" i="250" s="1"/>
  <c r="F52" i="250" a="1"/>
  <c r="F52" i="250" s="1"/>
  <c r="E37" i="250" a="1"/>
  <c r="E37" i="250" s="1"/>
  <c r="D37" i="250" a="1"/>
  <c r="D37" i="250" s="1"/>
  <c r="G37" i="250" a="1"/>
  <c r="G37" i="250" s="1"/>
  <c r="F37" i="250" a="1"/>
  <c r="F37" i="250" s="1"/>
  <c r="F34" i="250" a="1"/>
  <c r="F34" i="250" s="1"/>
  <c r="E34" i="250" a="1"/>
  <c r="E34" i="250" s="1"/>
  <c r="D36" i="250" a="1"/>
  <c r="D36" i="250" s="1"/>
  <c r="G36" i="250" a="1"/>
  <c r="G36" i="250" s="1"/>
  <c r="F79" i="250" a="1"/>
  <c r="F79" i="250" s="1"/>
  <c r="E27" i="250" a="1"/>
  <c r="E27" i="250" s="1"/>
  <c r="D30" i="250" a="1"/>
  <c r="D30" i="250" s="1"/>
  <c r="E33" i="250" a="1"/>
  <c r="E33" i="250" s="1"/>
  <c r="D33" i="250" a="1"/>
  <c r="D33" i="250" s="1"/>
  <c r="D54" i="250" a="1"/>
  <c r="D54" i="250" s="1"/>
  <c r="D55" i="250" a="1"/>
  <c r="D55" i="250" s="1"/>
  <c r="G55" i="250" a="1"/>
  <c r="G55" i="250" s="1"/>
  <c r="F55" i="250" a="1"/>
  <c r="F55" i="250" s="1"/>
  <c r="G66" i="250" a="1"/>
  <c r="G66" i="250" s="1"/>
  <c r="F66" i="250" a="1"/>
  <c r="F66" i="250" s="1"/>
  <c r="E66" i="250" a="1"/>
  <c r="E66" i="250" s="1"/>
  <c r="G69" i="250" a="1"/>
  <c r="G69" i="250" s="1"/>
  <c r="F69" i="250" a="1"/>
  <c r="F69" i="250" s="1"/>
  <c r="E69" i="250" a="1"/>
  <c r="E69" i="250" s="1"/>
  <c r="D75" i="250" a="1"/>
  <c r="D75" i="250" s="1"/>
  <c r="G75" i="250" a="1"/>
  <c r="G75" i="250" s="1"/>
  <c r="E75" i="250" a="1"/>
  <c r="E75" i="250" s="1"/>
  <c r="D26" i="250" a="1"/>
  <c r="D26" i="250" s="1"/>
  <c r="G34" i="250" a="1"/>
  <c r="G34" i="250" s="1"/>
  <c r="D35" i="250" a="1"/>
  <c r="D35" i="250" s="1"/>
  <c r="G42" i="250" a="1"/>
  <c r="G42" i="250" s="1"/>
  <c r="F42" i="250" a="1"/>
  <c r="F42" i="250" s="1"/>
  <c r="E42" i="250" a="1"/>
  <c r="E42" i="250" s="1"/>
  <c r="F49" i="250" a="1"/>
  <c r="F49" i="250" s="1"/>
  <c r="E49" i="250" a="1"/>
  <c r="E49" i="250" s="1"/>
  <c r="D49" i="250" a="1"/>
  <c r="D49" i="250" s="1"/>
  <c r="D63" i="250" a="1"/>
  <c r="D63" i="250" s="1"/>
  <c r="G63" i="250" a="1"/>
  <c r="G63" i="250" s="1"/>
  <c r="F63" i="250" a="1"/>
  <c r="F63" i="250" s="1"/>
  <c r="E68" i="250" a="1"/>
  <c r="E68" i="250" s="1"/>
  <c r="D68" i="250" a="1"/>
  <c r="D68" i="250" s="1"/>
  <c r="D69" i="250" a="1"/>
  <c r="D69" i="250" s="1"/>
  <c r="F74" i="250" a="1"/>
  <c r="F74" i="250" s="1"/>
  <c r="D74" i="250" a="1"/>
  <c r="D74" i="250" s="1"/>
  <c r="G74" i="250" a="1"/>
  <c r="G74" i="250" s="1"/>
  <c r="G86" i="250" a="1"/>
  <c r="G86" i="250" s="1"/>
  <c r="G91" i="250" a="1"/>
  <c r="G91" i="250" s="1"/>
  <c r="E91" i="250" a="1"/>
  <c r="E91" i="250" s="1"/>
  <c r="D91" i="250" a="1"/>
  <c r="D91" i="250" s="1"/>
  <c r="G46" i="250" a="1"/>
  <c r="G46" i="250" s="1"/>
  <c r="F46" i="250" a="1"/>
  <c r="F46" i="250" s="1"/>
  <c r="E46" i="250" a="1"/>
  <c r="E46" i="250" s="1"/>
  <c r="G77" i="250" a="1"/>
  <c r="G77" i="250" s="1"/>
  <c r="F77" i="250" a="1"/>
  <c r="F77" i="250" s="1"/>
  <c r="D77" i="250" a="1"/>
  <c r="D77" i="250" s="1"/>
  <c r="D31" i="250" a="1"/>
  <c r="D31" i="250" s="1"/>
  <c r="D39" i="250" a="1"/>
  <c r="D39" i="250" s="1"/>
  <c r="G39" i="250" a="1"/>
  <c r="G39" i="250" s="1"/>
  <c r="F39" i="250" a="1"/>
  <c r="F39" i="250" s="1"/>
  <c r="G50" i="250" a="1"/>
  <c r="G50" i="250" s="1"/>
  <c r="F50" i="250" a="1"/>
  <c r="F50" i="250" s="1"/>
  <c r="E50" i="250" a="1"/>
  <c r="E50" i="250" s="1"/>
  <c r="E55" i="250" a="1"/>
  <c r="E55" i="250" s="1"/>
  <c r="F57" i="250" a="1"/>
  <c r="F57" i="250" s="1"/>
  <c r="E57" i="250" a="1"/>
  <c r="E57" i="250" s="1"/>
  <c r="D57" i="250" a="1"/>
  <c r="D57" i="250" s="1"/>
  <c r="F75" i="250" a="1"/>
  <c r="F75" i="250" s="1"/>
  <c r="G80" i="250" a="1"/>
  <c r="G80" i="250" s="1"/>
  <c r="D80" i="250" a="1"/>
  <c r="D80" i="250" s="1"/>
  <c r="D86" i="250" a="1"/>
  <c r="D86" i="250" s="1"/>
  <c r="F90" i="250" a="1"/>
  <c r="F90" i="250" s="1"/>
  <c r="E90" i="250" a="1"/>
  <c r="E90" i="250" s="1"/>
  <c r="D90" i="250" a="1"/>
  <c r="D90" i="250" s="1"/>
  <c r="F30" i="250" a="1"/>
  <c r="F30" i="250" s="1"/>
  <c r="E30" i="250" a="1"/>
  <c r="E30" i="250" s="1"/>
  <c r="D32" i="250" a="1"/>
  <c r="D32" i="250" s="1"/>
  <c r="G32" i="250" a="1"/>
  <c r="G32" i="250" s="1"/>
  <c r="E83" i="250" a="1"/>
  <c r="E83" i="250" s="1"/>
  <c r="D83" i="250" a="1"/>
  <c r="D83" i="250" s="1"/>
  <c r="F92" i="250" a="1"/>
  <c r="F92" i="250" s="1"/>
  <c r="E92" i="250" a="1"/>
  <c r="E92" i="250" s="1"/>
  <c r="D92" i="250" a="1"/>
  <c r="D92" i="250" s="1"/>
  <c r="F97" i="250" a="1"/>
  <c r="F97" i="250" s="1"/>
  <c r="G97" i="250" a="1"/>
  <c r="G97" i="250" s="1"/>
  <c r="E97" i="250" a="1"/>
  <c r="E97" i="250" s="1"/>
  <c r="D25" i="250" a="1"/>
  <c r="D25" i="250" s="1"/>
  <c r="G25" i="250" a="1"/>
  <c r="G25" i="250" s="1"/>
  <c r="G27" i="250" a="1"/>
  <c r="G27" i="250" s="1"/>
  <c r="F27" i="250" a="1"/>
  <c r="F27" i="250" s="1"/>
  <c r="D27" i="250" a="1"/>
  <c r="D27" i="250" s="1"/>
  <c r="D34" i="250" a="1"/>
  <c r="D34" i="250" s="1"/>
  <c r="D46" i="250" a="1"/>
  <c r="D46" i="250" s="1"/>
  <c r="D47" i="250" a="1"/>
  <c r="D47" i="250" s="1"/>
  <c r="G47" i="250" a="1"/>
  <c r="G47" i="250" s="1"/>
  <c r="F47" i="250" a="1"/>
  <c r="F47" i="250" s="1"/>
  <c r="G58" i="250" a="1"/>
  <c r="G58" i="250" s="1"/>
  <c r="F58" i="250" a="1"/>
  <c r="F58" i="250" s="1"/>
  <c r="E58" i="250" a="1"/>
  <c r="E58" i="250" s="1"/>
  <c r="F65" i="250" a="1"/>
  <c r="F65" i="250" s="1"/>
  <c r="E65" i="250" a="1"/>
  <c r="E65" i="250" s="1"/>
  <c r="D65" i="250" a="1"/>
  <c r="D65" i="250" s="1"/>
  <c r="F76" i="250" a="1"/>
  <c r="F76" i="250" s="1"/>
  <c r="E76" i="250" a="1"/>
  <c r="E76" i="250" s="1"/>
  <c r="F80" i="250" a="1"/>
  <c r="F80" i="250" s="1"/>
  <c r="F82" i="250" a="1"/>
  <c r="F82" i="250" s="1"/>
  <c r="D82" i="250" a="1"/>
  <c r="D82" i="250" s="1"/>
  <c r="D85" i="250" a="1"/>
  <c r="D85" i="250" s="1"/>
  <c r="G85" i="250" a="1"/>
  <c r="G85" i="250" s="1"/>
  <c r="F85" i="250" a="1"/>
  <c r="F85" i="250" s="1"/>
  <c r="G87" i="250" a="1"/>
  <c r="G87" i="250" s="1"/>
  <c r="F87" i="250" a="1"/>
  <c r="F87" i="250" s="1"/>
  <c r="G73" i="250" a="1"/>
  <c r="G73" i="250" s="1"/>
  <c r="F73" i="250" a="1"/>
  <c r="F73" i="250" s="1"/>
  <c r="E73" i="250" a="1"/>
  <c r="E73" i="250" s="1"/>
  <c r="F61" i="250" a="1"/>
  <c r="F61" i="250" s="1"/>
  <c r="E61" i="250" a="1"/>
  <c r="E61" i="250" s="1"/>
  <c r="D61" i="250" a="1"/>
  <c r="D61" i="250" s="1"/>
  <c r="E25" i="250" a="1"/>
  <c r="E25" i="250" s="1"/>
  <c r="F26" i="250" a="1"/>
  <c r="F26" i="250" s="1"/>
  <c r="E26" i="250" a="1"/>
  <c r="E26" i="250" s="1"/>
  <c r="D28" i="250" a="1"/>
  <c r="D28" i="250" s="1"/>
  <c r="G28" i="250" a="1"/>
  <c r="G28" i="250" s="1"/>
  <c r="G33" i="250" a="1"/>
  <c r="G33" i="250" s="1"/>
  <c r="G35" i="250" a="1"/>
  <c r="G35" i="250" s="1"/>
  <c r="F35" i="250" a="1"/>
  <c r="F35" i="250" s="1"/>
  <c r="E36" i="250" a="1"/>
  <c r="E36" i="250" s="1"/>
  <c r="E44" i="250" a="1"/>
  <c r="E44" i="250" s="1"/>
  <c r="D44" i="250" a="1"/>
  <c r="D44" i="250" s="1"/>
  <c r="G44" i="250" a="1"/>
  <c r="G44" i="250" s="1"/>
  <c r="D51" i="250" a="1"/>
  <c r="D51" i="250" s="1"/>
  <c r="G51" i="250" a="1"/>
  <c r="G51" i="250" s="1"/>
  <c r="F51" i="250" a="1"/>
  <c r="F51" i="250" s="1"/>
  <c r="G62" i="250" a="1"/>
  <c r="G62" i="250" s="1"/>
  <c r="F62" i="250" a="1"/>
  <c r="F62" i="250" s="1"/>
  <c r="E62" i="250" a="1"/>
  <c r="E62" i="250" s="1"/>
  <c r="G70" i="250" a="1"/>
  <c r="G70" i="250" s="1"/>
  <c r="F70" i="250" a="1"/>
  <c r="F70" i="250" s="1"/>
  <c r="D70" i="250" a="1"/>
  <c r="D70" i="250" s="1"/>
  <c r="D79" i="250" a="1"/>
  <c r="D79" i="250" s="1"/>
  <c r="F83" i="250" a="1"/>
  <c r="F83" i="250" s="1"/>
  <c r="D97" i="250" a="1"/>
  <c r="D97" i="250" s="1"/>
  <c r="G127" i="250"/>
  <c r="F53" i="250" a="1"/>
  <c r="F53" i="250" s="1"/>
  <c r="E53" i="250" a="1"/>
  <c r="E53" i="250" s="1"/>
  <c r="D53" i="250" a="1"/>
  <c r="D53" i="250" s="1"/>
  <c r="E60" i="250" a="1"/>
  <c r="E60" i="250" s="1"/>
  <c r="D60" i="250" a="1"/>
  <c r="D60" i="250" s="1"/>
  <c r="G60" i="250" a="1"/>
  <c r="G60" i="250" s="1"/>
  <c r="G54" i="250" a="1"/>
  <c r="G54" i="250" s="1"/>
  <c r="F54" i="250" a="1"/>
  <c r="F54" i="250" s="1"/>
  <c r="E54" i="250" a="1"/>
  <c r="E54" i="250" s="1"/>
  <c r="F41" i="250" a="1"/>
  <c r="F41" i="250" s="1"/>
  <c r="E41" i="250" a="1"/>
  <c r="E41" i="250" s="1"/>
  <c r="D41" i="250" a="1"/>
  <c r="D41" i="250" s="1"/>
  <c r="E48" i="250" a="1"/>
  <c r="E48" i="250" s="1"/>
  <c r="D48" i="250" a="1"/>
  <c r="D48" i="250" s="1"/>
  <c r="G48" i="250" a="1"/>
  <c r="G48" i="250" s="1"/>
  <c r="G72" i="250" a="1"/>
  <c r="G72" i="250" s="1"/>
  <c r="E79" i="250" a="1"/>
  <c r="E79" i="250" s="1"/>
  <c r="F89" i="250" a="1"/>
  <c r="F89" i="250" s="1"/>
  <c r="E89" i="250" a="1"/>
  <c r="E89" i="250" s="1"/>
  <c r="G92" i="250" a="1"/>
  <c r="G92" i="250" s="1"/>
  <c r="D43" i="250" a="1"/>
  <c r="D43" i="250" s="1"/>
  <c r="G43" i="250" a="1"/>
  <c r="G43" i="250" s="1"/>
  <c r="F43" i="250" a="1"/>
  <c r="F43" i="250" s="1"/>
  <c r="E71" i="250" a="1"/>
  <c r="E71" i="250" s="1"/>
  <c r="D71" i="250" a="1"/>
  <c r="D71" i="250" s="1"/>
  <c r="G71" i="250" a="1"/>
  <c r="G71" i="250" s="1"/>
  <c r="E77" i="250" a="1"/>
  <c r="E77" i="250" s="1"/>
  <c r="F25" i="250" a="1"/>
  <c r="F25" i="250" s="1"/>
  <c r="G31" i="250" a="1"/>
  <c r="G31" i="250" s="1"/>
  <c r="F31" i="250" a="1"/>
  <c r="F31" i="250" s="1"/>
  <c r="E32" i="250" a="1"/>
  <c r="E32" i="250" s="1"/>
  <c r="F36" i="250" a="1"/>
  <c r="F36" i="250" s="1"/>
  <c r="G38" i="250" a="1"/>
  <c r="G38" i="250" s="1"/>
  <c r="F38" i="250" a="1"/>
  <c r="F38" i="250" s="1"/>
  <c r="E38" i="250" a="1"/>
  <c r="E38" i="250" s="1"/>
  <c r="E43" i="250" a="1"/>
  <c r="E43" i="250" s="1"/>
  <c r="F45" i="250" a="1"/>
  <c r="F45" i="250" s="1"/>
  <c r="E45" i="250" a="1"/>
  <c r="E45" i="250" s="1"/>
  <c r="D45" i="250" a="1"/>
  <c r="D45" i="250" s="1"/>
  <c r="G53" i="250" a="1"/>
  <c r="G53" i="250" s="1"/>
  <c r="D59" i="250" a="1"/>
  <c r="D59" i="250" s="1"/>
  <c r="G59" i="250" a="1"/>
  <c r="G59" i="250" s="1"/>
  <c r="F59" i="250" a="1"/>
  <c r="F59" i="250" s="1"/>
  <c r="E67" i="250" a="1"/>
  <c r="E67" i="250" s="1"/>
  <c r="D67" i="250" a="1"/>
  <c r="D67" i="250" s="1"/>
  <c r="F71" i="250" a="1"/>
  <c r="F71" i="250" s="1"/>
  <c r="G79" i="250" a="1"/>
  <c r="G79" i="250" s="1"/>
  <c r="E81" i="250" a="1"/>
  <c r="E81" i="250" s="1"/>
  <c r="F93" i="250" a="1"/>
  <c r="F93" i="250" s="1"/>
  <c r="D93" i="250" a="1"/>
  <c r="D93" i="250" s="1"/>
  <c r="G93" i="250" a="1"/>
  <c r="G93" i="250" s="1"/>
  <c r="G100" i="250" a="1"/>
  <c r="G100" i="250" s="1"/>
  <c r="F100" i="250" a="1"/>
  <c r="F100" i="250" s="1"/>
  <c r="E100" i="250" a="1"/>
  <c r="E100" i="250" s="1"/>
  <c r="F68" i="250" a="1"/>
  <c r="F68" i="250" s="1"/>
  <c r="E72" i="250" a="1"/>
  <c r="E72" i="250" s="1"/>
  <c r="G83" i="250" a="1"/>
  <c r="G83" i="250" s="1"/>
  <c r="F84" i="250" a="1"/>
  <c r="F84" i="250" s="1"/>
  <c r="E86" i="250" a="1"/>
  <c r="E86" i="250" s="1"/>
  <c r="D88" i="250" a="1"/>
  <c r="D88" i="250" s="1"/>
  <c r="F95" i="250" a="1"/>
  <c r="F95" i="250" s="1"/>
  <c r="F72" i="250" a="1"/>
  <c r="F72" i="250" s="1"/>
  <c r="E78" i="250" a="1"/>
  <c r="E78" i="250" s="1"/>
  <c r="F99" i="250" a="1"/>
  <c r="F99" i="250" s="1"/>
  <c r="E99" i="250" a="1"/>
  <c r="E99" i="250" s="1"/>
  <c r="D99" i="250" a="1"/>
  <c r="D99" i="250" s="1"/>
  <c r="D98" i="250" a="1"/>
  <c r="D98" i="250" s="1"/>
  <c r="G98" i="250" a="1"/>
  <c r="G98" i="250" s="1"/>
  <c r="E84" i="250" a="1"/>
  <c r="E84" i="250" s="1"/>
  <c r="D96" i="250" a="1"/>
  <c r="D96" i="250" s="1"/>
  <c r="H96" i="250" s="1"/>
  <c r="I96" i="250" s="1"/>
  <c r="F127" i="250"/>
  <c r="F34" i="249" a="1"/>
  <c r="F34" i="249" s="1"/>
  <c r="E34" i="249" a="1"/>
  <c r="E34" i="249" s="1"/>
  <c r="D34" i="249" a="1"/>
  <c r="D34" i="249" s="1"/>
  <c r="E35" i="249" a="1"/>
  <c r="E35" i="249" s="1"/>
  <c r="G26" i="249" a="1"/>
  <c r="G26" i="249" s="1"/>
  <c r="E26" i="249" a="1"/>
  <c r="E26" i="249" s="1"/>
  <c r="G44" i="249" a="1"/>
  <c r="G44" i="249" s="1"/>
  <c r="F44" i="249" a="1"/>
  <c r="F44" i="249" s="1"/>
  <c r="G50" i="249" a="1"/>
  <c r="G50" i="249" s="1"/>
  <c r="E50" i="249" a="1"/>
  <c r="E50" i="249" s="1"/>
  <c r="D50" i="249" a="1"/>
  <c r="D50" i="249" s="1"/>
  <c r="G70" i="247" a="1"/>
  <c r="G70" i="247" s="1"/>
  <c r="E73" i="247" a="1"/>
  <c r="E73" i="247" s="1"/>
  <c r="D30" i="248" a="1"/>
  <c r="D30" i="248" s="1"/>
  <c r="D41" i="248" a="1"/>
  <c r="D41" i="248" s="1"/>
  <c r="G62" i="248" a="1"/>
  <c r="G62" i="248" s="1"/>
  <c r="F80" i="248" a="1"/>
  <c r="F80" i="248" s="1"/>
  <c r="F57" i="249" a="1"/>
  <c r="F57" i="249" s="1"/>
  <c r="E66" i="249" a="1"/>
  <c r="E66" i="249" s="1"/>
  <c r="G67" i="249" a="1"/>
  <c r="G67" i="249" s="1"/>
  <c r="F74" i="249" a="1"/>
  <c r="F74" i="249" s="1"/>
  <c r="D76" i="249" a="1"/>
  <c r="D76" i="249" s="1"/>
  <c r="G48" i="249" a="1"/>
  <c r="G48" i="249" s="1"/>
  <c r="D84" i="245" a="1"/>
  <c r="D84" i="245" s="1"/>
  <c r="F95" i="245" a="1"/>
  <c r="F95" i="245" s="1"/>
  <c r="D42" i="246" a="1"/>
  <c r="D42" i="246" s="1"/>
  <c r="E31" i="248" a="1"/>
  <c r="E31" i="248" s="1"/>
  <c r="E35" i="248" a="1"/>
  <c r="E35" i="248" s="1"/>
  <c r="F42" i="248" a="1"/>
  <c r="F42" i="248" s="1"/>
  <c r="E46" i="248" a="1"/>
  <c r="E46" i="248" s="1"/>
  <c r="F49" i="248" a="1"/>
  <c r="F49" i="248" s="1"/>
  <c r="F55" i="248" a="1"/>
  <c r="F55" i="248" s="1"/>
  <c r="G68" i="248" a="1"/>
  <c r="G68" i="248" s="1"/>
  <c r="D26" i="249" a="1"/>
  <c r="D26" i="249" s="1"/>
  <c r="D35" i="249" a="1"/>
  <c r="D35" i="249" s="1"/>
  <c r="E54" i="249" a="1"/>
  <c r="E54" i="249" s="1"/>
  <c r="G70" i="249" a="1"/>
  <c r="G70" i="249" s="1"/>
  <c r="G72" i="249" a="1"/>
  <c r="G72" i="249" s="1"/>
  <c r="F82" i="249" a="1"/>
  <c r="F82" i="249" s="1"/>
  <c r="E51" i="246" a="1"/>
  <c r="E51" i="246" s="1"/>
  <c r="F98" i="246" a="1"/>
  <c r="F98" i="246" s="1"/>
  <c r="D52" i="247" a="1"/>
  <c r="D52" i="247" s="1"/>
  <c r="E85" i="247" a="1"/>
  <c r="E85" i="247" s="1"/>
  <c r="E39" i="248" a="1"/>
  <c r="E39" i="248" s="1"/>
  <c r="G78" i="248" a="1"/>
  <c r="G78" i="248" s="1"/>
  <c r="E92" i="248" a="1"/>
  <c r="E92" i="248" s="1"/>
  <c r="G99" i="248" a="1"/>
  <c r="G99" i="248" s="1"/>
  <c r="D48" i="249" a="1"/>
  <c r="D48" i="249" s="1"/>
  <c r="F50" i="249" a="1"/>
  <c r="F50" i="249" s="1"/>
  <c r="D75" i="249" a="1"/>
  <c r="D75" i="249" s="1"/>
  <c r="F78" i="249" a="1"/>
  <c r="F78" i="249" s="1"/>
  <c r="F98" i="249" a="1"/>
  <c r="F98" i="249" s="1"/>
  <c r="F48" i="249" a="1"/>
  <c r="F48" i="249" s="1"/>
  <c r="G76" i="249" a="1"/>
  <c r="G76" i="249" s="1"/>
  <c r="G66" i="245" a="1"/>
  <c r="G66" i="245" s="1"/>
  <c r="G25" i="246" a="1"/>
  <c r="G25" i="246" s="1"/>
  <c r="E60" i="247" a="1"/>
  <c r="E60" i="247" s="1"/>
  <c r="F72" i="248" a="1"/>
  <c r="F72" i="248" s="1"/>
  <c r="E76" i="248" a="1"/>
  <c r="E76" i="248" s="1"/>
  <c r="G82" i="248" a="1"/>
  <c r="G82" i="248" s="1"/>
  <c r="D90" i="248" a="1"/>
  <c r="D90" i="248" s="1"/>
  <c r="F99" i="248" a="1"/>
  <c r="F99" i="248" s="1"/>
  <c r="D70" i="249" a="1"/>
  <c r="D70" i="249" s="1"/>
  <c r="E75" i="249" a="1"/>
  <c r="E75" i="249" s="1"/>
  <c r="F93" i="249" a="1"/>
  <c r="F93" i="249" s="1"/>
  <c r="D26" i="248" a="1"/>
  <c r="D26" i="248" s="1"/>
  <c r="D50" i="248" a="1"/>
  <c r="D50" i="248" s="1"/>
  <c r="E79" i="248" a="1"/>
  <c r="E79" i="248" s="1"/>
  <c r="G93" i="248" a="1"/>
  <c r="G93" i="248" s="1"/>
  <c r="E53" i="249" a="1"/>
  <c r="E53" i="249" s="1"/>
  <c r="D61" i="249" a="1"/>
  <c r="D61" i="249" s="1"/>
  <c r="D67" i="249" a="1"/>
  <c r="D67" i="249" s="1"/>
  <c r="F75" i="249" a="1"/>
  <c r="F75" i="249" s="1"/>
  <c r="F77" i="249" a="1"/>
  <c r="F77" i="249" s="1"/>
  <c r="D78" i="249" a="1"/>
  <c r="D78" i="249" s="1"/>
  <c r="E80" i="249" a="1"/>
  <c r="E80" i="249" s="1"/>
  <c r="E98" i="249" a="1"/>
  <c r="E98" i="249" s="1"/>
  <c r="F61" i="243" a="1"/>
  <c r="F61" i="243" s="1"/>
  <c r="G27" i="247" a="1"/>
  <c r="G27" i="247" s="1"/>
  <c r="F42" i="247" a="1"/>
  <c r="F42" i="247" s="1"/>
  <c r="E54" i="247" a="1"/>
  <c r="E54" i="247" s="1"/>
  <c r="E54" i="248" a="1"/>
  <c r="E54" i="248" s="1"/>
  <c r="G61" i="248" a="1"/>
  <c r="G61" i="248" s="1"/>
  <c r="F97" i="248" a="1"/>
  <c r="F97" i="248" s="1"/>
  <c r="G64" i="249" a="1"/>
  <c r="G64" i="249" s="1"/>
  <c r="G69" i="249" a="1"/>
  <c r="G69" i="249" s="1"/>
  <c r="E71" i="249" a="1"/>
  <c r="E71" i="249" s="1"/>
  <c r="E78" i="249" a="1"/>
  <c r="E78" i="249" s="1"/>
  <c r="G33" i="249" a="1"/>
  <c r="G33" i="249" s="1"/>
  <c r="F33" i="249" a="1"/>
  <c r="F33" i="249" s="1"/>
  <c r="D28" i="249" a="1"/>
  <c r="D28" i="249" s="1"/>
  <c r="F28" i="249" a="1"/>
  <c r="F28" i="249" s="1"/>
  <c r="G28" i="249" a="1"/>
  <c r="G28" i="249" s="1"/>
  <c r="E28" i="249" a="1"/>
  <c r="E28" i="249" s="1"/>
  <c r="F58" i="249" a="1"/>
  <c r="F58" i="249" s="1"/>
  <c r="E58" i="249" a="1"/>
  <c r="E58" i="249" s="1"/>
  <c r="G58" i="249" a="1"/>
  <c r="G58" i="249" s="1"/>
  <c r="D58" i="249" a="1"/>
  <c r="D58" i="249" s="1"/>
  <c r="F52" i="249" a="1"/>
  <c r="F52" i="249" s="1"/>
  <c r="E52" i="249" a="1"/>
  <c r="E52" i="249" s="1"/>
  <c r="D55" i="249" a="1"/>
  <c r="D55" i="249" s="1"/>
  <c r="F55" i="249" a="1"/>
  <c r="F55" i="249" s="1"/>
  <c r="E55" i="249" a="1"/>
  <c r="E55" i="249" s="1"/>
  <c r="G55" i="249" a="1"/>
  <c r="G55" i="249" s="1"/>
  <c r="D29" i="249" a="1"/>
  <c r="D29" i="249" s="1"/>
  <c r="G29" i="249" a="1"/>
  <c r="G29" i="249" s="1"/>
  <c r="F29" i="249" a="1"/>
  <c r="F29" i="249" s="1"/>
  <c r="D32" i="249" a="1"/>
  <c r="D32" i="249" s="1"/>
  <c r="E32" i="249" a="1"/>
  <c r="E32" i="249" s="1"/>
  <c r="G32" i="249" a="1"/>
  <c r="G32" i="249" s="1"/>
  <c r="F32" i="249" a="1"/>
  <c r="F32" i="249" s="1"/>
  <c r="E51" i="249" a="1"/>
  <c r="E51" i="249" s="1"/>
  <c r="D51" i="249" a="1"/>
  <c r="D51" i="249" s="1"/>
  <c r="G59" i="249" a="1"/>
  <c r="G59" i="249" s="1"/>
  <c r="F60" i="249" a="1"/>
  <c r="F60" i="249" s="1"/>
  <c r="E60" i="249" a="1"/>
  <c r="E60" i="249" s="1"/>
  <c r="E62" i="249" a="1"/>
  <c r="E62" i="249" s="1"/>
  <c r="G62" i="249" a="1"/>
  <c r="G62" i="249" s="1"/>
  <c r="F84" i="249" a="1"/>
  <c r="F84" i="249" s="1"/>
  <c r="E84" i="249" a="1"/>
  <c r="E84" i="249" s="1"/>
  <c r="G89" i="249" a="1"/>
  <c r="G89" i="249" s="1"/>
  <c r="D89" i="249" a="1"/>
  <c r="D89" i="249" s="1"/>
  <c r="E89" i="249" a="1"/>
  <c r="E89" i="249" s="1"/>
  <c r="F91" i="249" a="1"/>
  <c r="F91" i="249" s="1"/>
  <c r="E91" i="249" a="1"/>
  <c r="E91" i="249" s="1"/>
  <c r="D91" i="249" a="1"/>
  <c r="D91" i="249" s="1"/>
  <c r="G91" i="249" a="1"/>
  <c r="G91" i="249" s="1"/>
  <c r="E27" i="249" a="1"/>
  <c r="E27" i="249" s="1"/>
  <c r="F30" i="249" a="1"/>
  <c r="F30" i="249" s="1"/>
  <c r="D36" i="249" a="1"/>
  <c r="D36" i="249" s="1"/>
  <c r="G37" i="249" a="1"/>
  <c r="G37" i="249" s="1"/>
  <c r="F41" i="249" a="1"/>
  <c r="F41" i="249" s="1"/>
  <c r="F47" i="249" a="1"/>
  <c r="F47" i="249" s="1"/>
  <c r="E48" i="249" a="1"/>
  <c r="E48" i="249" s="1"/>
  <c r="D49" i="249" a="1"/>
  <c r="D49" i="249" s="1"/>
  <c r="D64" i="249" a="1"/>
  <c r="D64" i="249" s="1"/>
  <c r="D97" i="249" a="1"/>
  <c r="D97" i="249" s="1"/>
  <c r="E97" i="249" a="1"/>
  <c r="E97" i="249" s="1"/>
  <c r="D38" i="249" a="1"/>
  <c r="D38" i="249" s="1"/>
  <c r="F38" i="249" a="1"/>
  <c r="F38" i="249" s="1"/>
  <c r="F39" i="249" a="1"/>
  <c r="F39" i="249" s="1"/>
  <c r="D40" i="249" a="1"/>
  <c r="D40" i="249" s="1"/>
  <c r="F40" i="249" a="1"/>
  <c r="F40" i="249" s="1"/>
  <c r="D42" i="249" a="1"/>
  <c r="D42" i="249" s="1"/>
  <c r="F43" i="249" a="1"/>
  <c r="F43" i="249" s="1"/>
  <c r="D57" i="249" a="1"/>
  <c r="D57" i="249" s="1"/>
  <c r="D62" i="249" a="1"/>
  <c r="D62" i="249" s="1"/>
  <c r="D73" i="249" a="1"/>
  <c r="D73" i="249" s="1"/>
  <c r="E73" i="249" a="1"/>
  <c r="E73" i="249" s="1"/>
  <c r="G73" i="249" a="1"/>
  <c r="G73" i="249" s="1"/>
  <c r="G85" i="249" a="1"/>
  <c r="G85" i="249" s="1"/>
  <c r="F85" i="249" a="1"/>
  <c r="F85" i="249" s="1"/>
  <c r="E85" i="249" a="1"/>
  <c r="E85" i="249" s="1"/>
  <c r="E87" i="249" a="1"/>
  <c r="E87" i="249" s="1"/>
  <c r="G87" i="249" a="1"/>
  <c r="G87" i="249" s="1"/>
  <c r="F87" i="249" a="1"/>
  <c r="F87" i="249" s="1"/>
  <c r="D87" i="249" a="1"/>
  <c r="D87" i="249" s="1"/>
  <c r="F89" i="249" a="1"/>
  <c r="F89" i="249" s="1"/>
  <c r="G31" i="249" a="1"/>
  <c r="G31" i="249" s="1"/>
  <c r="E44" i="249" a="1"/>
  <c r="E44" i="249" s="1"/>
  <c r="F49" i="249" a="1"/>
  <c r="F49" i="249" s="1"/>
  <c r="F56" i="249" a="1"/>
  <c r="F56" i="249" s="1"/>
  <c r="E56" i="249" a="1"/>
  <c r="E56" i="249" s="1"/>
  <c r="D59" i="249" a="1"/>
  <c r="D59" i="249" s="1"/>
  <c r="D60" i="249" a="1"/>
  <c r="D60" i="249" s="1"/>
  <c r="E25" i="249" a="1"/>
  <c r="E25" i="249" s="1"/>
  <c r="F51" i="249" a="1"/>
  <c r="F51" i="249" s="1"/>
  <c r="F62" i="249" a="1"/>
  <c r="F62" i="249" s="1"/>
  <c r="F26" i="249" a="1"/>
  <c r="F26" i="249" s="1"/>
  <c r="E33" i="249" a="1"/>
  <c r="E33" i="249" s="1"/>
  <c r="G34" i="249" a="1"/>
  <c r="G34" i="249" s="1"/>
  <c r="E36" i="249" a="1"/>
  <c r="E36" i="249" s="1"/>
  <c r="E38" i="249" a="1"/>
  <c r="E38" i="249" s="1"/>
  <c r="D39" i="249" a="1"/>
  <c r="D39" i="249" s="1"/>
  <c r="E45" i="249" a="1"/>
  <c r="E45" i="249" s="1"/>
  <c r="G51" i="249" a="1"/>
  <c r="G51" i="249" s="1"/>
  <c r="E59" i="249" a="1"/>
  <c r="E59" i="249" s="1"/>
  <c r="F73" i="249" a="1"/>
  <c r="F73" i="249" s="1"/>
  <c r="F83" i="249" a="1"/>
  <c r="F83" i="249" s="1"/>
  <c r="E83" i="249" a="1"/>
  <c r="E83" i="249" s="1"/>
  <c r="D83" i="249" a="1"/>
  <c r="D83" i="249" s="1"/>
  <c r="G83" i="249" a="1"/>
  <c r="G83" i="249" s="1"/>
  <c r="D85" i="249" a="1"/>
  <c r="D85" i="249" s="1"/>
  <c r="D30" i="249" a="1"/>
  <c r="D30" i="249" s="1"/>
  <c r="D25" i="249" a="1"/>
  <c r="D25" i="249" s="1"/>
  <c r="D31" i="249" a="1"/>
  <c r="D31" i="249" s="1"/>
  <c r="F36" i="249" a="1"/>
  <c r="F36" i="249" s="1"/>
  <c r="E39" i="249" a="1"/>
  <c r="E39" i="249" s="1"/>
  <c r="E40" i="249" a="1"/>
  <c r="E40" i="249" s="1"/>
  <c r="E41" i="249" a="1"/>
  <c r="E41" i="249" s="1"/>
  <c r="E42" i="249" a="1"/>
  <c r="E42" i="249" s="1"/>
  <c r="D43" i="249" a="1"/>
  <c r="D43" i="249" s="1"/>
  <c r="G46" i="249" a="1"/>
  <c r="G46" i="249" s="1"/>
  <c r="E46" i="249" a="1"/>
  <c r="E46" i="249" s="1"/>
  <c r="E47" i="249" a="1"/>
  <c r="E47" i="249" s="1"/>
  <c r="G47" i="249" a="1"/>
  <c r="G47" i="249" s="1"/>
  <c r="F54" i="249" a="1"/>
  <c r="F54" i="249" s="1"/>
  <c r="D54" i="249" a="1"/>
  <c r="D54" i="249" s="1"/>
  <c r="D56" i="249" a="1"/>
  <c r="D56" i="249" s="1"/>
  <c r="E57" i="249" a="1"/>
  <c r="E57" i="249" s="1"/>
  <c r="F59" i="249" a="1"/>
  <c r="F59" i="249" s="1"/>
  <c r="G60" i="249" a="1"/>
  <c r="G60" i="249" s="1"/>
  <c r="E65" i="249" a="1"/>
  <c r="E65" i="249" s="1"/>
  <c r="D65" i="249" a="1"/>
  <c r="D65" i="249" s="1"/>
  <c r="G65" i="249" a="1"/>
  <c r="G65" i="249" s="1"/>
  <c r="F69" i="249" a="1"/>
  <c r="F69" i="249" s="1"/>
  <c r="F81" i="249" a="1"/>
  <c r="F81" i="249" s="1"/>
  <c r="D81" i="249" a="1"/>
  <c r="D81" i="249" s="1"/>
  <c r="G81" i="249" a="1"/>
  <c r="G81" i="249" s="1"/>
  <c r="E81" i="249" a="1"/>
  <c r="E81" i="249" s="1"/>
  <c r="E31" i="249" a="1"/>
  <c r="E31" i="249" s="1"/>
  <c r="G49" i="249" a="1"/>
  <c r="G49" i="249" s="1"/>
  <c r="D53" i="249" a="1"/>
  <c r="D53" i="249" s="1"/>
  <c r="F53" i="249" a="1"/>
  <c r="F53" i="249" s="1"/>
  <c r="G27" i="249" a="1"/>
  <c r="G27" i="249" s="1"/>
  <c r="F42" i="249" a="1"/>
  <c r="F42" i="249" s="1"/>
  <c r="E43" i="249" a="1"/>
  <c r="E43" i="249" s="1"/>
  <c r="D44" i="249" a="1"/>
  <c r="D44" i="249" s="1"/>
  <c r="F64" i="249" a="1"/>
  <c r="F64" i="249" s="1"/>
  <c r="E64" i="249" a="1"/>
  <c r="E64" i="249" s="1"/>
  <c r="F25" i="249" a="1"/>
  <c r="F25" i="249" s="1"/>
  <c r="E29" i="249" a="1"/>
  <c r="E29" i="249" s="1"/>
  <c r="G30" i="249" a="1"/>
  <c r="G30" i="249" s="1"/>
  <c r="D33" i="249" a="1"/>
  <c r="D33" i="249" s="1"/>
  <c r="G35" i="249" a="1"/>
  <c r="G35" i="249" s="1"/>
  <c r="G38" i="249" a="1"/>
  <c r="G38" i="249" s="1"/>
  <c r="G39" i="249" a="1"/>
  <c r="G39" i="249" s="1"/>
  <c r="G40" i="249" a="1"/>
  <c r="G40" i="249" s="1"/>
  <c r="D45" i="249" a="1"/>
  <c r="D45" i="249" s="1"/>
  <c r="D46" i="249" a="1"/>
  <c r="D46" i="249" s="1"/>
  <c r="G52" i="249" a="1"/>
  <c r="G52" i="249" s="1"/>
  <c r="G56" i="249" a="1"/>
  <c r="G56" i="249" s="1"/>
  <c r="G57" i="249" a="1"/>
  <c r="G57" i="249" s="1"/>
  <c r="G63" i="249" a="1"/>
  <c r="G63" i="249" s="1"/>
  <c r="E63" i="249" a="1"/>
  <c r="E63" i="249" s="1"/>
  <c r="F65" i="249" a="1"/>
  <c r="F65" i="249" s="1"/>
  <c r="D69" i="249" a="1"/>
  <c r="D69" i="249" s="1"/>
  <c r="F86" i="249" a="1"/>
  <c r="F86" i="249" s="1"/>
  <c r="D94" i="249" a="1"/>
  <c r="D94" i="249" s="1"/>
  <c r="D37" i="249" a="1"/>
  <c r="D37" i="249" s="1"/>
  <c r="D52" i="249" a="1"/>
  <c r="D52" i="249" s="1"/>
  <c r="E61" i="249" a="1"/>
  <c r="E61" i="249" s="1"/>
  <c r="G71" i="249" a="1"/>
  <c r="G71" i="249" s="1"/>
  <c r="G75" i="249" a="1"/>
  <c r="G75" i="249" s="1"/>
  <c r="F79" i="249" a="1"/>
  <c r="F79" i="249" s="1"/>
  <c r="D84" i="249" a="1"/>
  <c r="D84" i="249" s="1"/>
  <c r="G84" i="249" a="1"/>
  <c r="G84" i="249" s="1"/>
  <c r="E93" i="249" a="1"/>
  <c r="E93" i="249" s="1"/>
  <c r="F95" i="249" a="1"/>
  <c r="F95" i="249" s="1"/>
  <c r="E82" i="249" a="1"/>
  <c r="E82" i="249" s="1"/>
  <c r="E86" i="249" a="1"/>
  <c r="E86" i="249" s="1"/>
  <c r="G90" i="249" a="1"/>
  <c r="G90" i="249" s="1"/>
  <c r="F94" i="249" a="1"/>
  <c r="F94" i="249" s="1"/>
  <c r="F96" i="249" a="1"/>
  <c r="F96" i="249" s="1"/>
  <c r="E96" i="249" a="1"/>
  <c r="E96" i="249" s="1"/>
  <c r="E72" i="249" a="1"/>
  <c r="E72" i="249" s="1"/>
  <c r="F80" i="249" a="1"/>
  <c r="F80" i="249" s="1"/>
  <c r="G86" i="249" a="1"/>
  <c r="G86" i="249" s="1"/>
  <c r="G94" i="249" a="1"/>
  <c r="G94" i="249" s="1"/>
  <c r="G127" i="249"/>
  <c r="G61" i="249" a="1"/>
  <c r="G61" i="249" s="1"/>
  <c r="F70" i="249" a="1"/>
  <c r="F70" i="249" s="1"/>
  <c r="F37" i="249" a="1"/>
  <c r="F37" i="249" s="1"/>
  <c r="G68" i="249" a="1"/>
  <c r="G68" i="249" s="1"/>
  <c r="D74" i="249" a="1"/>
  <c r="D74" i="249" s="1"/>
  <c r="D90" i="249" a="1"/>
  <c r="D90" i="249" s="1"/>
  <c r="F92" i="249" a="1"/>
  <c r="F92" i="249" s="1"/>
  <c r="D96" i="249" a="1"/>
  <c r="D96" i="249" s="1"/>
  <c r="G100" i="249" a="1"/>
  <c r="G100" i="249" s="1"/>
  <c r="F100" i="249" a="1"/>
  <c r="F100" i="249" s="1"/>
  <c r="E100" i="249" a="1"/>
  <c r="E100" i="249" s="1"/>
  <c r="D71" i="249" a="1"/>
  <c r="D71" i="249" s="1"/>
  <c r="D72" i="249" a="1"/>
  <c r="D72" i="249" s="1"/>
  <c r="E74" i="249" a="1"/>
  <c r="E74" i="249" s="1"/>
  <c r="D79" i="249" a="1"/>
  <c r="D79" i="249" s="1"/>
  <c r="D80" i="249" a="1"/>
  <c r="D80" i="249" s="1"/>
  <c r="D82" i="249" a="1"/>
  <c r="D82" i="249" s="1"/>
  <c r="E88" i="249" a="1"/>
  <c r="E88" i="249" s="1"/>
  <c r="E90" i="249" a="1"/>
  <c r="E90" i="249" s="1"/>
  <c r="D95" i="249" a="1"/>
  <c r="D95" i="249" s="1"/>
  <c r="G95" i="249" a="1"/>
  <c r="G95" i="249" s="1"/>
  <c r="F99" i="249" a="1"/>
  <c r="F99" i="249" s="1"/>
  <c r="E99" i="249" a="1"/>
  <c r="E99" i="249" s="1"/>
  <c r="D99" i="249" a="1"/>
  <c r="D99" i="249" s="1"/>
  <c r="D98" i="249" a="1"/>
  <c r="D98" i="249" s="1"/>
  <c r="G98" i="249" a="1"/>
  <c r="G98" i="249" s="1"/>
  <c r="G97" i="249" a="1"/>
  <c r="G97" i="249" s="1"/>
  <c r="F97" i="249" a="1"/>
  <c r="F97" i="249" s="1"/>
  <c r="F127" i="249"/>
  <c r="E87" i="248" a="1"/>
  <c r="E87" i="248" s="1"/>
  <c r="D87" i="248" a="1"/>
  <c r="D87" i="248" s="1"/>
  <c r="G30" i="248" a="1"/>
  <c r="G30" i="248" s="1"/>
  <c r="F67" i="248" a="1"/>
  <c r="F67" i="248" s="1"/>
  <c r="G67" i="248" a="1"/>
  <c r="G67" i="248" s="1"/>
  <c r="D38" i="248" a="1"/>
  <c r="D38" i="248" s="1"/>
  <c r="G38" i="248" a="1"/>
  <c r="G38" i="248" s="1"/>
  <c r="D52" i="248" a="1"/>
  <c r="D52" i="248" s="1"/>
  <c r="G34" i="248" a="1"/>
  <c r="G34" i="248" s="1"/>
  <c r="D34" i="248" a="1"/>
  <c r="D34" i="248" s="1"/>
  <c r="E75" i="248" a="1"/>
  <c r="E75" i="248" s="1"/>
  <c r="D75" i="248" a="1"/>
  <c r="D75" i="248" s="1"/>
  <c r="F75" i="248" a="1"/>
  <c r="F75" i="248" s="1"/>
  <c r="F32" i="248" a="1"/>
  <c r="F32" i="248" s="1"/>
  <c r="E32" i="248" a="1"/>
  <c r="E32" i="248" s="1"/>
  <c r="F36" i="248" a="1"/>
  <c r="F36" i="248" s="1"/>
  <c r="E36" i="248" a="1"/>
  <c r="E36" i="248" s="1"/>
  <c r="F69" i="248" a="1"/>
  <c r="F69" i="248" s="1"/>
  <c r="E69" i="248" a="1"/>
  <c r="E69" i="248" s="1"/>
  <c r="D69" i="248" a="1"/>
  <c r="D69" i="248" s="1"/>
  <c r="G35" i="246" a="1"/>
  <c r="G35" i="246" s="1"/>
  <c r="G80" i="246" a="1"/>
  <c r="G80" i="246" s="1"/>
  <c r="D60" i="247" a="1"/>
  <c r="D60" i="247" s="1"/>
  <c r="D31" i="248" a="1"/>
  <c r="D31" i="248" s="1"/>
  <c r="E68" i="248" a="1"/>
  <c r="E68" i="248" s="1"/>
  <c r="E78" i="248" a="1"/>
  <c r="E78" i="248" s="1"/>
  <c r="D70" i="244" a="1"/>
  <c r="D70" i="244" s="1"/>
  <c r="F33" i="246" a="1"/>
  <c r="F33" i="246" s="1"/>
  <c r="F96" i="246" a="1"/>
  <c r="F96" i="246" s="1"/>
  <c r="F37" i="247" a="1"/>
  <c r="F37" i="247" s="1"/>
  <c r="F51" i="247" a="1"/>
  <c r="F51" i="247" s="1"/>
  <c r="G64" i="247" a="1"/>
  <c r="G64" i="247" s="1"/>
  <c r="D81" i="247" a="1"/>
  <c r="D81" i="247" s="1"/>
  <c r="F92" i="247" a="1"/>
  <c r="F92" i="247" s="1"/>
  <c r="D27" i="248" a="1"/>
  <c r="D27" i="248" s="1"/>
  <c r="D35" i="248" a="1"/>
  <c r="D35" i="248" s="1"/>
  <c r="E40" i="248" a="1"/>
  <c r="E40" i="248" s="1"/>
  <c r="F51" i="248" a="1"/>
  <c r="F51" i="248" s="1"/>
  <c r="F53" i="248" a="1"/>
  <c r="F53" i="248" s="1"/>
  <c r="E59" i="248" a="1"/>
  <c r="E59" i="248" s="1"/>
  <c r="F62" i="248" a="1"/>
  <c r="F62" i="248" s="1"/>
  <c r="D78" i="248" a="1"/>
  <c r="D78" i="248" s="1"/>
  <c r="E78" i="247" a="1"/>
  <c r="E78" i="247" s="1"/>
  <c r="D30" i="247" a="1"/>
  <c r="D30" i="247" s="1"/>
  <c r="G78" i="247" a="1"/>
  <c r="G78" i="247" s="1"/>
  <c r="F40" i="248" a="1"/>
  <c r="F40" i="248" s="1"/>
  <c r="E44" i="248" a="1"/>
  <c r="E44" i="248" s="1"/>
  <c r="E88" i="248" a="1"/>
  <c r="E88" i="248" s="1"/>
  <c r="D47" i="244" a="1"/>
  <c r="D47" i="244" s="1"/>
  <c r="G41" i="245" a="1"/>
  <c r="G41" i="245" s="1"/>
  <c r="G33" i="246" a="1"/>
  <c r="G33" i="246" s="1"/>
  <c r="G41" i="247" a="1"/>
  <c r="G41" i="247" s="1"/>
  <c r="G48" i="247" a="1"/>
  <c r="G48" i="247" s="1"/>
  <c r="G89" i="247" a="1"/>
  <c r="G89" i="247" s="1"/>
  <c r="E95" i="247" a="1"/>
  <c r="E95" i="247" s="1"/>
  <c r="D39" i="248" a="1"/>
  <c r="D39" i="248" s="1"/>
  <c r="G41" i="248" a="1"/>
  <c r="G41" i="248" s="1"/>
  <c r="F78" i="248" a="1"/>
  <c r="F78" i="248" s="1"/>
  <c r="G52" i="244" a="1"/>
  <c r="G52" i="244" s="1"/>
  <c r="F56" i="244" a="1"/>
  <c r="F56" i="244" s="1"/>
  <c r="G84" i="244" a="1"/>
  <c r="G84" i="244" s="1"/>
  <c r="F92" i="245" a="1"/>
  <c r="F92" i="245" s="1"/>
  <c r="G28" i="246" a="1"/>
  <c r="G28" i="246" s="1"/>
  <c r="F71" i="246" a="1"/>
  <c r="F71" i="246" s="1"/>
  <c r="E26" i="247" a="1"/>
  <c r="E26" i="247" s="1"/>
  <c r="G49" i="247" a="1"/>
  <c r="G49" i="247" s="1"/>
  <c r="E52" i="247" a="1"/>
  <c r="E52" i="247" s="1"/>
  <c r="E56" i="247" a="1"/>
  <c r="E56" i="247" s="1"/>
  <c r="D79" i="247" a="1"/>
  <c r="D79" i="247" s="1"/>
  <c r="E28" i="248" a="1"/>
  <c r="E28" i="248" s="1"/>
  <c r="F48" i="248" a="1"/>
  <c r="F48" i="248" s="1"/>
  <c r="D94" i="248" a="1"/>
  <c r="D94" i="248" s="1"/>
  <c r="E89" i="245" a="1"/>
  <c r="E89" i="245" s="1"/>
  <c r="F36" i="247" a="1"/>
  <c r="F36" i="247" s="1"/>
  <c r="E53" i="247" a="1"/>
  <c r="E53" i="247" s="1"/>
  <c r="G49" i="248" a="1"/>
  <c r="G49" i="248" s="1"/>
  <c r="D60" i="248" a="1"/>
  <c r="D60" i="248" s="1"/>
  <c r="D62" i="248" a="1"/>
  <c r="D62" i="248" s="1"/>
  <c r="D63" i="248" a="1"/>
  <c r="D63" i="248" s="1"/>
  <c r="E73" i="248" a="1"/>
  <c r="E73" i="248" s="1"/>
  <c r="F90" i="248" a="1"/>
  <c r="F90" i="248" s="1"/>
  <c r="E37" i="248" a="1"/>
  <c r="E37" i="248" s="1"/>
  <c r="D37" i="248" a="1"/>
  <c r="D37" i="248" s="1"/>
  <c r="G37" i="248" a="1"/>
  <c r="G37" i="248" s="1"/>
  <c r="F37" i="248" a="1"/>
  <c r="F37" i="248" s="1"/>
  <c r="E25" i="248" a="1"/>
  <c r="E25" i="248" s="1"/>
  <c r="D25" i="248" a="1"/>
  <c r="D25" i="248" s="1"/>
  <c r="F25" i="248" a="1"/>
  <c r="F25" i="248" s="1"/>
  <c r="G25" i="248" a="1"/>
  <c r="G25" i="248" s="1"/>
  <c r="F64" i="248" a="1"/>
  <c r="F64" i="248" s="1"/>
  <c r="E64" i="248" a="1"/>
  <c r="E64" i="248" s="1"/>
  <c r="E29" i="248" a="1"/>
  <c r="E29" i="248" s="1"/>
  <c r="D29" i="248" a="1"/>
  <c r="D29" i="248" s="1"/>
  <c r="F29" i="248" a="1"/>
  <c r="F29" i="248" s="1"/>
  <c r="G29" i="248" a="1"/>
  <c r="G29" i="248" s="1"/>
  <c r="E33" i="248" a="1"/>
  <c r="E33" i="248" s="1"/>
  <c r="D33" i="248" a="1"/>
  <c r="D33" i="248" s="1"/>
  <c r="F33" i="248" a="1"/>
  <c r="F33" i="248" s="1"/>
  <c r="G33" i="248" a="1"/>
  <c r="G33" i="248" s="1"/>
  <c r="G43" i="248" a="1"/>
  <c r="G43" i="248" s="1"/>
  <c r="D43" i="248" a="1"/>
  <c r="D43" i="248" s="1"/>
  <c r="D48" i="248" a="1"/>
  <c r="D48" i="248" s="1"/>
  <c r="D57" i="248" a="1"/>
  <c r="D57" i="248" s="1"/>
  <c r="D44" i="248" a="1"/>
  <c r="D44" i="248" s="1"/>
  <c r="G44" i="248" a="1"/>
  <c r="G44" i="248" s="1"/>
  <c r="D58" i="248" a="1"/>
  <c r="D58" i="248" s="1"/>
  <c r="G71" i="248" a="1"/>
  <c r="G71" i="248" s="1"/>
  <c r="F71" i="248" a="1"/>
  <c r="F71" i="248" s="1"/>
  <c r="D71" i="248" a="1"/>
  <c r="D71" i="248" s="1"/>
  <c r="E71" i="248" a="1"/>
  <c r="E71" i="248" s="1"/>
  <c r="G56" i="248" a="1"/>
  <c r="G56" i="248" s="1"/>
  <c r="F56" i="248" a="1"/>
  <c r="F56" i="248" s="1"/>
  <c r="E56" i="248" a="1"/>
  <c r="E56" i="248" s="1"/>
  <c r="F43" i="248" a="1"/>
  <c r="F43" i="248" s="1"/>
  <c r="E43" i="248" a="1"/>
  <c r="E43" i="248" s="1"/>
  <c r="E48" i="248" a="1"/>
  <c r="E48" i="248" s="1"/>
  <c r="G54" i="248" a="1"/>
  <c r="G54" i="248" s="1"/>
  <c r="F54" i="248" a="1"/>
  <c r="F54" i="248" s="1"/>
  <c r="E55" i="248" a="1"/>
  <c r="E55" i="248" s="1"/>
  <c r="D55" i="248" a="1"/>
  <c r="D55" i="248" s="1"/>
  <c r="E57" i="248" a="1"/>
  <c r="E57" i="248" s="1"/>
  <c r="G65" i="248" a="1"/>
  <c r="G65" i="248" s="1"/>
  <c r="F65" i="248" a="1"/>
  <c r="F65" i="248" s="1"/>
  <c r="E65" i="248" a="1"/>
  <c r="E65" i="248" s="1"/>
  <c r="D65" i="248" a="1"/>
  <c r="D65" i="248" s="1"/>
  <c r="G86" i="248" a="1"/>
  <c r="G86" i="248" s="1"/>
  <c r="D86" i="248" a="1"/>
  <c r="D86" i="248" s="1"/>
  <c r="F45" i="248" a="1"/>
  <c r="F45" i="248" s="1"/>
  <c r="E45" i="248" a="1"/>
  <c r="E45" i="248" s="1"/>
  <c r="F26" i="248" a="1"/>
  <c r="F26" i="248" s="1"/>
  <c r="E26" i="248" a="1"/>
  <c r="E26" i="248" s="1"/>
  <c r="F30" i="248" a="1"/>
  <c r="F30" i="248" s="1"/>
  <c r="E30" i="248" a="1"/>
  <c r="E30" i="248" s="1"/>
  <c r="F34" i="248" a="1"/>
  <c r="F34" i="248" s="1"/>
  <c r="E34" i="248" a="1"/>
  <c r="E34" i="248" s="1"/>
  <c r="F38" i="248" a="1"/>
  <c r="F38" i="248" s="1"/>
  <c r="E38" i="248" a="1"/>
  <c r="E38" i="248" s="1"/>
  <c r="D42" i="248" a="1"/>
  <c r="D42" i="248" s="1"/>
  <c r="G42" i="248" a="1"/>
  <c r="G42" i="248" s="1"/>
  <c r="D45" i="248" a="1"/>
  <c r="D45" i="248" s="1"/>
  <c r="G47" i="248" a="1"/>
  <c r="G47" i="248" s="1"/>
  <c r="E77" i="248" a="1"/>
  <c r="E77" i="248" s="1"/>
  <c r="D77" i="248" a="1"/>
  <c r="D77" i="248" s="1"/>
  <c r="F77" i="248" a="1"/>
  <c r="F77" i="248" s="1"/>
  <c r="G77" i="248" a="1"/>
  <c r="G77" i="248" s="1"/>
  <c r="D84" i="248" a="1"/>
  <c r="D84" i="248" s="1"/>
  <c r="G84" i="248" a="1"/>
  <c r="G84" i="248" s="1"/>
  <c r="F84" i="248" a="1"/>
  <c r="F84" i="248" s="1"/>
  <c r="E84" i="248" a="1"/>
  <c r="E84" i="248" s="1"/>
  <c r="D56" i="248" a="1"/>
  <c r="D56" i="248" s="1"/>
  <c r="G58" i="248" a="1"/>
  <c r="G58" i="248" s="1"/>
  <c r="G27" i="248" a="1"/>
  <c r="G27" i="248" s="1"/>
  <c r="F27" i="248" a="1"/>
  <c r="F27" i="248" s="1"/>
  <c r="G31" i="248" a="1"/>
  <c r="G31" i="248" s="1"/>
  <c r="F31" i="248" a="1"/>
  <c r="F31" i="248" s="1"/>
  <c r="G35" i="248" a="1"/>
  <c r="G35" i="248" s="1"/>
  <c r="F35" i="248" a="1"/>
  <c r="F35" i="248" s="1"/>
  <c r="G39" i="248" a="1"/>
  <c r="G39" i="248" s="1"/>
  <c r="F39" i="248" a="1"/>
  <c r="F39" i="248" s="1"/>
  <c r="G45" i="248" a="1"/>
  <c r="G45" i="248" s="1"/>
  <c r="G52" i="248" a="1"/>
  <c r="G52" i="248" s="1"/>
  <c r="E53" i="248" a="1"/>
  <c r="E53" i="248" s="1"/>
  <c r="D53" i="248" a="1"/>
  <c r="D53" i="248" s="1"/>
  <c r="D54" i="248" a="1"/>
  <c r="D54" i="248" s="1"/>
  <c r="F57" i="248" a="1"/>
  <c r="F57" i="248" s="1"/>
  <c r="D61" i="248" a="1"/>
  <c r="D61" i="248" s="1"/>
  <c r="F61" i="248" a="1"/>
  <c r="F61" i="248" s="1"/>
  <c r="E61" i="248" a="1"/>
  <c r="E61" i="248" s="1"/>
  <c r="D46" i="248" a="1"/>
  <c r="D46" i="248" s="1"/>
  <c r="G46" i="248" a="1"/>
  <c r="G46" i="248" s="1"/>
  <c r="D28" i="248" a="1"/>
  <c r="D28" i="248" s="1"/>
  <c r="G28" i="248" a="1"/>
  <c r="G28" i="248" s="1"/>
  <c r="D32" i="248" a="1"/>
  <c r="D32" i="248" s="1"/>
  <c r="G32" i="248" a="1"/>
  <c r="G32" i="248" s="1"/>
  <c r="D36" i="248" a="1"/>
  <c r="D36" i="248" s="1"/>
  <c r="G36" i="248" a="1"/>
  <c r="G36" i="248" s="1"/>
  <c r="D40" i="248" a="1"/>
  <c r="D40" i="248" s="1"/>
  <c r="F41" i="248" a="1"/>
  <c r="F41" i="248" s="1"/>
  <c r="E41" i="248" a="1"/>
  <c r="E41" i="248" s="1"/>
  <c r="E42" i="248" a="1"/>
  <c r="E42" i="248" s="1"/>
  <c r="F46" i="248" a="1"/>
  <c r="F46" i="248" s="1"/>
  <c r="E49" i="248" a="1"/>
  <c r="E49" i="248" s="1"/>
  <c r="D49" i="248" a="1"/>
  <c r="D49" i="248" s="1"/>
  <c r="E51" i="248" a="1"/>
  <c r="E51" i="248" s="1"/>
  <c r="D51" i="248" a="1"/>
  <c r="D51" i="248" s="1"/>
  <c r="G57" i="248" a="1"/>
  <c r="G57" i="248" s="1"/>
  <c r="F66" i="248" a="1"/>
  <c r="F66" i="248" s="1"/>
  <c r="G66" i="248" a="1"/>
  <c r="G66" i="248" s="1"/>
  <c r="E66" i="248" a="1"/>
  <c r="E66" i="248" s="1"/>
  <c r="D66" i="248" a="1"/>
  <c r="D66" i="248" s="1"/>
  <c r="G70" i="248" a="1"/>
  <c r="G70" i="248" s="1"/>
  <c r="G48" i="248" a="1"/>
  <c r="G48" i="248" s="1"/>
  <c r="D59" i="248" a="1"/>
  <c r="D59" i="248" s="1"/>
  <c r="G59" i="248" a="1"/>
  <c r="G59" i="248" s="1"/>
  <c r="G60" i="248" a="1"/>
  <c r="G60" i="248" s="1"/>
  <c r="F60" i="248" a="1"/>
  <c r="F60" i="248" s="1"/>
  <c r="E60" i="248" a="1"/>
  <c r="E60" i="248" s="1"/>
  <c r="F47" i="248" a="1"/>
  <c r="F47" i="248" s="1"/>
  <c r="E47" i="248" a="1"/>
  <c r="E47" i="248" s="1"/>
  <c r="D47" i="248" a="1"/>
  <c r="D47" i="248" s="1"/>
  <c r="F58" i="248" a="1"/>
  <c r="F58" i="248" s="1"/>
  <c r="E58" i="248" a="1"/>
  <c r="E58" i="248" s="1"/>
  <c r="G64" i="248" a="1"/>
  <c r="G64" i="248" s="1"/>
  <c r="F70" i="248" a="1"/>
  <c r="F70" i="248" s="1"/>
  <c r="D70" i="248" a="1"/>
  <c r="D70" i="248" s="1"/>
  <c r="G72" i="248" a="1"/>
  <c r="G72" i="248" s="1"/>
  <c r="F82" i="248" a="1"/>
  <c r="F82" i="248" s="1"/>
  <c r="F83" i="248" a="1"/>
  <c r="F83" i="248" s="1"/>
  <c r="G83" i="248" a="1"/>
  <c r="G83" i="248" s="1"/>
  <c r="D91" i="248" a="1"/>
  <c r="D91" i="248" s="1"/>
  <c r="E96" i="248" a="1"/>
  <c r="E96" i="248" s="1"/>
  <c r="D98" i="248" a="1"/>
  <c r="D98" i="248" s="1"/>
  <c r="F98" i="248" a="1"/>
  <c r="F98" i="248" s="1"/>
  <c r="E98" i="248" a="1"/>
  <c r="E98" i="248" s="1"/>
  <c r="D81" i="248" a="1"/>
  <c r="D81" i="248" s="1"/>
  <c r="E81" i="248" a="1"/>
  <c r="E81" i="248" s="1"/>
  <c r="G100" i="248" a="1"/>
  <c r="G100" i="248" s="1"/>
  <c r="F100" i="248" a="1"/>
  <c r="F100" i="248" s="1"/>
  <c r="E100" i="248" a="1"/>
  <c r="E100" i="248" s="1"/>
  <c r="D100" i="248" a="1"/>
  <c r="D100" i="248" s="1"/>
  <c r="F50" i="248" a="1"/>
  <c r="F50" i="248" s="1"/>
  <c r="F52" i="248" a="1"/>
  <c r="F52" i="248" s="1"/>
  <c r="G63" i="248" a="1"/>
  <c r="G63" i="248" s="1"/>
  <c r="G69" i="248" a="1"/>
  <c r="G69" i="248" s="1"/>
  <c r="G75" i="248" a="1"/>
  <c r="G75" i="248" s="1"/>
  <c r="G76" i="248" a="1"/>
  <c r="G76" i="248" s="1"/>
  <c r="D80" i="248" a="1"/>
  <c r="D80" i="248" s="1"/>
  <c r="G80" i="248" a="1"/>
  <c r="G80" i="248" s="1"/>
  <c r="D82" i="248" a="1"/>
  <c r="D82" i="248" s="1"/>
  <c r="D83" i="248" a="1"/>
  <c r="D83" i="248" s="1"/>
  <c r="F85" i="248" a="1"/>
  <c r="F85" i="248" s="1"/>
  <c r="E93" i="248" a="1"/>
  <c r="E93" i="248" s="1"/>
  <c r="D93" i="248" a="1"/>
  <c r="D93" i="248" s="1"/>
  <c r="E95" i="248" a="1"/>
  <c r="E95" i="248" s="1"/>
  <c r="F94" i="248" a="1"/>
  <c r="F94" i="248" s="1"/>
  <c r="E94" i="248" a="1"/>
  <c r="E94" i="248" s="1"/>
  <c r="D95" i="248" a="1"/>
  <c r="D95" i="248" s="1"/>
  <c r="D67" i="248" a="1"/>
  <c r="D67" i="248" s="1"/>
  <c r="D72" i="248" a="1"/>
  <c r="D72" i="248" s="1"/>
  <c r="D73" i="248" a="1"/>
  <c r="D73" i="248" s="1"/>
  <c r="G79" i="248" a="1"/>
  <c r="G79" i="248" s="1"/>
  <c r="F79" i="248" a="1"/>
  <c r="F79" i="248" s="1"/>
  <c r="E82" i="248" a="1"/>
  <c r="E82" i="248" s="1"/>
  <c r="E83" i="248" a="1"/>
  <c r="E83" i="248" s="1"/>
  <c r="G85" i="248" a="1"/>
  <c r="G85" i="248" s="1"/>
  <c r="G88" i="248" a="1"/>
  <c r="G88" i="248" s="1"/>
  <c r="D88" i="248" a="1"/>
  <c r="D88" i="248" s="1"/>
  <c r="G97" i="248" a="1"/>
  <c r="G97" i="248" s="1"/>
  <c r="D97" i="248" a="1"/>
  <c r="D97" i="248" s="1"/>
  <c r="E97" i="248" a="1"/>
  <c r="E97" i="248" s="1"/>
  <c r="G127" i="248"/>
  <c r="E74" i="248" a="1"/>
  <c r="E74" i="248" s="1"/>
  <c r="E89" i="248" a="1"/>
  <c r="E89" i="248" s="1"/>
  <c r="D89" i="248" a="1"/>
  <c r="D89" i="248" s="1"/>
  <c r="G50" i="248" a="1"/>
  <c r="G50" i="248" s="1"/>
  <c r="E67" i="248" a="1"/>
  <c r="E67" i="248" s="1"/>
  <c r="E72" i="248" a="1"/>
  <c r="E72" i="248" s="1"/>
  <c r="F81" i="248" a="1"/>
  <c r="F81" i="248" s="1"/>
  <c r="F89" i="248" a="1"/>
  <c r="F89" i="248" s="1"/>
  <c r="G92" i="248" a="1"/>
  <c r="G92" i="248" s="1"/>
  <c r="D92" i="248" a="1"/>
  <c r="D92" i="248" s="1"/>
  <c r="G94" i="248" a="1"/>
  <c r="G94" i="248" s="1"/>
  <c r="G98" i="248" a="1"/>
  <c r="G98" i="248" s="1"/>
  <c r="D64" i="248" a="1"/>
  <c r="D64" i="248" s="1"/>
  <c r="D68" i="248" a="1"/>
  <c r="D68" i="248" s="1"/>
  <c r="E70" i="248" a="1"/>
  <c r="E70" i="248" s="1"/>
  <c r="F73" i="248" a="1"/>
  <c r="F73" i="248" s="1"/>
  <c r="F74" i="248" a="1"/>
  <c r="F74" i="248" s="1"/>
  <c r="D76" i="248" a="1"/>
  <c r="D76" i="248" s="1"/>
  <c r="D79" i="248" a="1"/>
  <c r="D79" i="248" s="1"/>
  <c r="E80" i="248" a="1"/>
  <c r="E80" i="248" s="1"/>
  <c r="G87" i="248" a="1"/>
  <c r="G87" i="248" s="1"/>
  <c r="F87" i="248" a="1"/>
  <c r="F87" i="248" s="1"/>
  <c r="G89" i="248" a="1"/>
  <c r="G89" i="248" s="1"/>
  <c r="F93" i="248" a="1"/>
  <c r="F93" i="248" s="1"/>
  <c r="D96" i="248" a="1"/>
  <c r="D96" i="248" s="1"/>
  <c r="G96" i="248" a="1"/>
  <c r="G96" i="248" s="1"/>
  <c r="E99" i="248" a="1"/>
  <c r="E99" i="248" s="1"/>
  <c r="D99" i="248" a="1"/>
  <c r="D99" i="248" s="1"/>
  <c r="G73" i="248" a="1"/>
  <c r="G73" i="248" s="1"/>
  <c r="G74" i="248" a="1"/>
  <c r="G74" i="248" s="1"/>
  <c r="G81" i="248" a="1"/>
  <c r="G81" i="248" s="1"/>
  <c r="D85" i="248" a="1"/>
  <c r="D85" i="248" s="1"/>
  <c r="G91" i="248" a="1"/>
  <c r="G91" i="248" s="1"/>
  <c r="F91" i="248" a="1"/>
  <c r="F91" i="248" s="1"/>
  <c r="G95" i="248" a="1"/>
  <c r="G95" i="248" s="1"/>
  <c r="F95" i="248" a="1"/>
  <c r="F95" i="248" s="1"/>
  <c r="F127" i="248"/>
  <c r="E86" i="248" a="1"/>
  <c r="E86" i="248" s="1"/>
  <c r="F86" i="248" a="1"/>
  <c r="F86" i="248" s="1"/>
  <c r="E90" i="248" a="1"/>
  <c r="E90" i="248" s="1"/>
  <c r="D91" i="247" a="1"/>
  <c r="D91" i="247" s="1"/>
  <c r="E43" i="247" a="1"/>
  <c r="E43" i="247" s="1"/>
  <c r="D43" i="247" a="1"/>
  <c r="D43" i="247" s="1"/>
  <c r="D27" i="246" a="1"/>
  <c r="D27" i="246" s="1"/>
  <c r="E27" i="246" a="1"/>
  <c r="E27" i="246" s="1"/>
  <c r="E47" i="247" a="1"/>
  <c r="E47" i="247" s="1"/>
  <c r="D47" i="247" a="1"/>
  <c r="D47" i="247" s="1"/>
  <c r="D55" i="247" a="1"/>
  <c r="D55" i="247" s="1"/>
  <c r="G55" i="247" a="1"/>
  <c r="G55" i="247" s="1"/>
  <c r="F55" i="247" a="1"/>
  <c r="F55" i="247" s="1"/>
  <c r="E55" i="247" a="1"/>
  <c r="E55" i="247" s="1"/>
  <c r="G61" i="247" a="1"/>
  <c r="G61" i="247" s="1"/>
  <c r="F61" i="247" a="1"/>
  <c r="F61" i="247" s="1"/>
  <c r="E65" i="247" a="1"/>
  <c r="E65" i="247" s="1"/>
  <c r="F65" i="247" a="1"/>
  <c r="F65" i="247" s="1"/>
  <c r="G88" i="247" a="1"/>
  <c r="G88" i="247" s="1"/>
  <c r="F88" i="247" a="1"/>
  <c r="F88" i="247" s="1"/>
  <c r="E88" i="247" a="1"/>
  <c r="E88" i="247" s="1"/>
  <c r="D88" i="247" a="1"/>
  <c r="D88" i="247" s="1"/>
  <c r="F99" i="247" a="1"/>
  <c r="F99" i="247" s="1"/>
  <c r="E99" i="247" a="1"/>
  <c r="E99" i="247" s="1"/>
  <c r="E28" i="247" a="1"/>
  <c r="E28" i="247" s="1"/>
  <c r="E35" i="247" a="1"/>
  <c r="E35" i="247" s="1"/>
  <c r="D35" i="247" a="1"/>
  <c r="D35" i="247" s="1"/>
  <c r="F62" i="247" a="1"/>
  <c r="F62" i="247" s="1"/>
  <c r="F77" i="247" a="1"/>
  <c r="F77" i="247" s="1"/>
  <c r="D77" i="247" a="1"/>
  <c r="D77" i="247" s="1"/>
  <c r="G46" i="247" a="1"/>
  <c r="G46" i="247" s="1"/>
  <c r="F46" i="247" a="1"/>
  <c r="F46" i="247" s="1"/>
  <c r="E46" i="247" a="1"/>
  <c r="E46" i="247" s="1"/>
  <c r="E84" i="245" a="1"/>
  <c r="E84" i="245" s="1"/>
  <c r="G88" i="245" a="1"/>
  <c r="G88" i="245" s="1"/>
  <c r="G99" i="245" a="1"/>
  <c r="G99" i="245" s="1"/>
  <c r="E35" i="246" a="1"/>
  <c r="E35" i="246" s="1"/>
  <c r="D85" i="246" a="1"/>
  <c r="D85" i="246" s="1"/>
  <c r="F100" i="246" a="1"/>
  <c r="F100" i="246" s="1"/>
  <c r="F78" i="247" a="1"/>
  <c r="F78" i="247" s="1"/>
  <c r="E47" i="244" a="1"/>
  <c r="E47" i="244" s="1"/>
  <c r="F98" i="244" a="1"/>
  <c r="F98" i="244" s="1"/>
  <c r="G29" i="246" a="1"/>
  <c r="G29" i="246" s="1"/>
  <c r="G42" i="246" a="1"/>
  <c r="G42" i="246" s="1"/>
  <c r="F45" i="246" a="1"/>
  <c r="F45" i="246" s="1"/>
  <c r="F49" i="246" a="1"/>
  <c r="F49" i="246" s="1"/>
  <c r="F85" i="246" a="1"/>
  <c r="F85" i="246" s="1"/>
  <c r="F93" i="246" a="1"/>
  <c r="F93" i="246" s="1"/>
  <c r="G63" i="247" a="1"/>
  <c r="G63" i="247" s="1"/>
  <c r="G44" i="244" a="1"/>
  <c r="G44" i="244" s="1"/>
  <c r="G80" i="244" a="1"/>
  <c r="G80" i="244" s="1"/>
  <c r="G29" i="245" a="1"/>
  <c r="G29" i="245" s="1"/>
  <c r="E40" i="245" a="1"/>
  <c r="E40" i="245" s="1"/>
  <c r="E44" i="245" a="1"/>
  <c r="E44" i="245" s="1"/>
  <c r="D79" i="245" a="1"/>
  <c r="D79" i="245" s="1"/>
  <c r="F25" i="246" a="1"/>
  <c r="F25" i="246" s="1"/>
  <c r="F68" i="246" a="1"/>
  <c r="F68" i="246" s="1"/>
  <c r="G75" i="246" a="1"/>
  <c r="G75" i="246" s="1"/>
  <c r="F83" i="246" a="1"/>
  <c r="F83" i="246" s="1"/>
  <c r="G86" i="246" a="1"/>
  <c r="G86" i="246" s="1"/>
  <c r="E92" i="247" a="1"/>
  <c r="E92" i="247" s="1"/>
  <c r="F94" i="247" a="1"/>
  <c r="F94" i="247" s="1"/>
  <c r="G27" i="246" a="1"/>
  <c r="G27" i="246" s="1"/>
  <c r="G42" i="247" a="1"/>
  <c r="G42" i="247" s="1"/>
  <c r="D92" i="247" a="1"/>
  <c r="D92" i="247" s="1"/>
  <c r="F57" i="244" a="1"/>
  <c r="F57" i="244" s="1"/>
  <c r="F92" i="244" a="1"/>
  <c r="F92" i="244" s="1"/>
  <c r="F61" i="245" a="1"/>
  <c r="F61" i="245" s="1"/>
  <c r="D72" i="245" a="1"/>
  <c r="D72" i="245" s="1"/>
  <c r="D76" i="245" a="1"/>
  <c r="D76" i="245" s="1"/>
  <c r="E25" i="246" a="1"/>
  <c r="E25" i="246" s="1"/>
  <c r="F37" i="246" a="1"/>
  <c r="F37" i="246" s="1"/>
  <c r="E46" i="246" a="1"/>
  <c r="E46" i="246" s="1"/>
  <c r="F69" i="246" a="1"/>
  <c r="F69" i="246" s="1"/>
  <c r="G76" i="246" a="1"/>
  <c r="G76" i="246" s="1"/>
  <c r="D80" i="246" a="1"/>
  <c r="D80" i="246" s="1"/>
  <c r="E84" i="246" a="1"/>
  <c r="E84" i="246" s="1"/>
  <c r="E95" i="246" a="1"/>
  <c r="E95" i="246" s="1"/>
  <c r="E37" i="247" a="1"/>
  <c r="E37" i="247" s="1"/>
  <c r="G38" i="247" a="1"/>
  <c r="G38" i="247" s="1"/>
  <c r="G58" i="247" a="1"/>
  <c r="G58" i="247" s="1"/>
  <c r="G84" i="247" a="1"/>
  <c r="G84" i="247" s="1"/>
  <c r="E84" i="244" a="1"/>
  <c r="E84" i="244" s="1"/>
  <c r="G64" i="245" a="1"/>
  <c r="G64" i="245" s="1"/>
  <c r="E94" i="245" a="1"/>
  <c r="E94" i="245" s="1"/>
  <c r="F35" i="247" a="1"/>
  <c r="F35" i="247" s="1"/>
  <c r="F43" i="247" a="1"/>
  <c r="F43" i="247" s="1"/>
  <c r="G47" i="247" a="1"/>
  <c r="G47" i="247" s="1"/>
  <c r="D58" i="247" a="1"/>
  <c r="D58" i="247" s="1"/>
  <c r="G74" i="243" a="1"/>
  <c r="G74" i="243" s="1"/>
  <c r="E78" i="243" a="1"/>
  <c r="E78" i="243" s="1"/>
  <c r="E28" i="244" a="1"/>
  <c r="E28" i="244" s="1"/>
  <c r="E89" i="244" a="1"/>
  <c r="E89" i="244" s="1"/>
  <c r="D38" i="245" a="1"/>
  <c r="D38" i="245" s="1"/>
  <c r="G58" i="245" a="1"/>
  <c r="G58" i="245" s="1"/>
  <c r="E61" i="245" a="1"/>
  <c r="E61" i="245" s="1"/>
  <c r="G37" i="246" a="1"/>
  <c r="G37" i="246" s="1"/>
  <c r="F43" i="246" a="1"/>
  <c r="F43" i="246" s="1"/>
  <c r="G70" i="246" a="1"/>
  <c r="G70" i="246" s="1"/>
  <c r="D77" i="246" a="1"/>
  <c r="D77" i="246" s="1"/>
  <c r="D59" i="247" a="1"/>
  <c r="D59" i="247" s="1"/>
  <c r="F59" i="247" a="1"/>
  <c r="F59" i="247" s="1"/>
  <c r="E59" i="247" a="1"/>
  <c r="E59" i="247" s="1"/>
  <c r="G59" i="247" a="1"/>
  <c r="G59" i="247" s="1"/>
  <c r="G68" i="247" a="1"/>
  <c r="G68" i="247" s="1"/>
  <c r="D68" i="247" a="1"/>
  <c r="D68" i="247" s="1"/>
  <c r="F68" i="247" a="1"/>
  <c r="F68" i="247" s="1"/>
  <c r="E68" i="247" a="1"/>
  <c r="E68" i="247" s="1"/>
  <c r="E96" i="247" a="1"/>
  <c r="E96" i="247" s="1"/>
  <c r="D96" i="247" a="1"/>
  <c r="D96" i="247" s="1"/>
  <c r="G31" i="247" a="1"/>
  <c r="G31" i="247" s="1"/>
  <c r="E31" i="247" a="1"/>
  <c r="E31" i="247" s="1"/>
  <c r="D31" i="247" a="1"/>
  <c r="D31" i="247" s="1"/>
  <c r="F31" i="247" a="1"/>
  <c r="F31" i="247" s="1"/>
  <c r="D33" i="247" a="1"/>
  <c r="D33" i="247" s="1"/>
  <c r="F33" i="247" a="1"/>
  <c r="F33" i="247" s="1"/>
  <c r="D57" i="247" a="1"/>
  <c r="D57" i="247" s="1"/>
  <c r="F57" i="247" a="1"/>
  <c r="F57" i="247" s="1"/>
  <c r="E57" i="247" a="1"/>
  <c r="E57" i="247" s="1"/>
  <c r="G57" i="247" a="1"/>
  <c r="G57" i="247" s="1"/>
  <c r="F83" i="247" a="1"/>
  <c r="F83" i="247" s="1"/>
  <c r="D83" i="247" a="1"/>
  <c r="D83" i="247" s="1"/>
  <c r="G83" i="247" a="1"/>
  <c r="G83" i="247" s="1"/>
  <c r="E83" i="247" a="1"/>
  <c r="E83" i="247" s="1"/>
  <c r="E25" i="247" a="1"/>
  <c r="E25" i="247" s="1"/>
  <c r="G25" i="247" a="1"/>
  <c r="G25" i="247" s="1"/>
  <c r="D25" i="247" a="1"/>
  <c r="D25" i="247" s="1"/>
  <c r="F25" i="247" a="1"/>
  <c r="F25" i="247" s="1"/>
  <c r="E29" i="247" a="1"/>
  <c r="E29" i="247" s="1"/>
  <c r="F29" i="247" a="1"/>
  <c r="F29" i="247" s="1"/>
  <c r="D29" i="247" a="1"/>
  <c r="D29" i="247" s="1"/>
  <c r="G29" i="247" a="1"/>
  <c r="G29" i="247" s="1"/>
  <c r="G40" i="247" a="1"/>
  <c r="G40" i="247" s="1"/>
  <c r="G44" i="247" a="1"/>
  <c r="G44" i="247" s="1"/>
  <c r="E40" i="247" a="1"/>
  <c r="E40" i="247" s="1"/>
  <c r="F40" i="247" a="1"/>
  <c r="F40" i="247" s="1"/>
  <c r="F45" i="247" a="1"/>
  <c r="F45" i="247" s="1"/>
  <c r="E45" i="247" a="1"/>
  <c r="E45" i="247" s="1"/>
  <c r="D45" i="247" a="1"/>
  <c r="D45" i="247" s="1"/>
  <c r="G45" i="247" a="1"/>
  <c r="G45" i="247" s="1"/>
  <c r="D67" i="247" a="1"/>
  <c r="D67" i="247" s="1"/>
  <c r="F67" i="247" a="1"/>
  <c r="F67" i="247" s="1"/>
  <c r="G67" i="247" a="1"/>
  <c r="G67" i="247" s="1"/>
  <c r="E67" i="247" a="1"/>
  <c r="E67" i="247" s="1"/>
  <c r="E50" i="247" a="1"/>
  <c r="E50" i="247" s="1"/>
  <c r="F50" i="247" a="1"/>
  <c r="F50" i="247" s="1"/>
  <c r="D50" i="247" a="1"/>
  <c r="D50" i="247" s="1"/>
  <c r="G50" i="247" a="1"/>
  <c r="G50" i="247" s="1"/>
  <c r="G76" i="247" a="1"/>
  <c r="G76" i="247" s="1"/>
  <c r="D76" i="247" a="1"/>
  <c r="D76" i="247" s="1"/>
  <c r="E76" i="247" a="1"/>
  <c r="E76" i="247" s="1"/>
  <c r="F76" i="247" a="1"/>
  <c r="F76" i="247" s="1"/>
  <c r="E87" i="247" a="1"/>
  <c r="E87" i="247" s="1"/>
  <c r="D87" i="247" a="1"/>
  <c r="D87" i="247" s="1"/>
  <c r="F87" i="247" a="1"/>
  <c r="F87" i="247" s="1"/>
  <c r="G87" i="247" a="1"/>
  <c r="G87" i="247" s="1"/>
  <c r="G39" i="247" a="1"/>
  <c r="G39" i="247" s="1"/>
  <c r="F39" i="247" a="1"/>
  <c r="F39" i="247" s="1"/>
  <c r="E39" i="247" a="1"/>
  <c r="E39" i="247" s="1"/>
  <c r="D39" i="247" a="1"/>
  <c r="D39" i="247" s="1"/>
  <c r="D32" i="247" a="1"/>
  <c r="D32" i="247" s="1"/>
  <c r="D48" i="247" a="1"/>
  <c r="D48" i="247" s="1"/>
  <c r="F66" i="247" a="1"/>
  <c r="F66" i="247" s="1"/>
  <c r="E66" i="247" a="1"/>
  <c r="E66" i="247" s="1"/>
  <c r="E69" i="247" a="1"/>
  <c r="E69" i="247" s="1"/>
  <c r="D73" i="247" a="1"/>
  <c r="D73" i="247" s="1"/>
  <c r="D74" i="247" a="1"/>
  <c r="D74" i="247" s="1"/>
  <c r="G93" i="247" a="1"/>
  <c r="G93" i="247" s="1"/>
  <c r="D93" i="247" a="1"/>
  <c r="D93" i="247" s="1"/>
  <c r="F34" i="247" a="1"/>
  <c r="F34" i="247" s="1"/>
  <c r="G34" i="247" a="1"/>
  <c r="G34" i="247" s="1"/>
  <c r="F82" i="247" a="1"/>
  <c r="F82" i="247" s="1"/>
  <c r="F26" i="247" a="1"/>
  <c r="F26" i="247" s="1"/>
  <c r="G26" i="247" a="1"/>
  <c r="G26" i="247" s="1"/>
  <c r="D27" i="247" a="1"/>
  <c r="D27" i="247" s="1"/>
  <c r="E30" i="247" a="1"/>
  <c r="E30" i="247" s="1"/>
  <c r="E51" i="247" a="1"/>
  <c r="E51" i="247" s="1"/>
  <c r="G51" i="247" a="1"/>
  <c r="G51" i="247" s="1"/>
  <c r="F52" i="247" a="1"/>
  <c r="F52" i="247" s="1"/>
  <c r="F64" i="247" a="1"/>
  <c r="F64" i="247" s="1"/>
  <c r="D64" i="247" a="1"/>
  <c r="D64" i="247" s="1"/>
  <c r="D65" i="247" a="1"/>
  <c r="D65" i="247" s="1"/>
  <c r="G65" i="247" a="1"/>
  <c r="G65" i="247" s="1"/>
  <c r="D69" i="247" a="1"/>
  <c r="D69" i="247" s="1"/>
  <c r="D70" i="247" a="1"/>
  <c r="D70" i="247" s="1"/>
  <c r="D71" i="247" a="1"/>
  <c r="D71" i="247" s="1"/>
  <c r="F81" i="247" a="1"/>
  <c r="F81" i="247" s="1"/>
  <c r="G81" i="247" a="1"/>
  <c r="G81" i="247" s="1"/>
  <c r="E84" i="247" a="1"/>
  <c r="E84" i="247" s="1"/>
  <c r="G85" i="247" a="1"/>
  <c r="G85" i="247" s="1"/>
  <c r="E93" i="247" a="1"/>
  <c r="E93" i="247" s="1"/>
  <c r="D94" i="247" a="1"/>
  <c r="D94" i="247" s="1"/>
  <c r="D97" i="247" a="1"/>
  <c r="D97" i="247" s="1"/>
  <c r="E97" i="247" a="1"/>
  <c r="E97" i="247" s="1"/>
  <c r="G98" i="247" a="1"/>
  <c r="G98" i="247" s="1"/>
  <c r="G100" i="247" a="1"/>
  <c r="G100" i="247" s="1"/>
  <c r="F100" i="247" a="1"/>
  <c r="F100" i="247" s="1"/>
  <c r="D100" i="247" a="1"/>
  <c r="D100" i="247" s="1"/>
  <c r="E38" i="247" a="1"/>
  <c r="E38" i="247" s="1"/>
  <c r="E32" i="247" a="1"/>
  <c r="E32" i="247" s="1"/>
  <c r="E33" i="247" a="1"/>
  <c r="E33" i="247" s="1"/>
  <c r="G33" i="247" a="1"/>
  <c r="G33" i="247" s="1"/>
  <c r="D34" i="247" a="1"/>
  <c r="D34" i="247" s="1"/>
  <c r="E36" i="247" a="1"/>
  <c r="E36" i="247" s="1"/>
  <c r="D40" i="247" a="1"/>
  <c r="D40" i="247" s="1"/>
  <c r="F41" i="247" a="1"/>
  <c r="F41" i="247" s="1"/>
  <c r="D42" i="247" a="1"/>
  <c r="D42" i="247" s="1"/>
  <c r="E44" i="247" a="1"/>
  <c r="E44" i="247" s="1"/>
  <c r="F48" i="247" a="1"/>
  <c r="F48" i="247" s="1"/>
  <c r="E49" i="247" a="1"/>
  <c r="E49" i="247" s="1"/>
  <c r="G52" i="247" a="1"/>
  <c r="G52" i="247" s="1"/>
  <c r="D63" i="247" a="1"/>
  <c r="D63" i="247" s="1"/>
  <c r="F63" i="247" a="1"/>
  <c r="F63" i="247" s="1"/>
  <c r="E63" i="247" a="1"/>
  <c r="E63" i="247" s="1"/>
  <c r="D66" i="247" a="1"/>
  <c r="D66" i="247" s="1"/>
  <c r="F70" i="247" a="1"/>
  <c r="F70" i="247" s="1"/>
  <c r="G72" i="247" a="1"/>
  <c r="G72" i="247" s="1"/>
  <c r="F73" i="247" a="1"/>
  <c r="F73" i="247" s="1"/>
  <c r="D78" i="247" a="1"/>
  <c r="D78" i="247" s="1"/>
  <c r="F79" i="247" a="1"/>
  <c r="F79" i="247" s="1"/>
  <c r="E79" i="247" a="1"/>
  <c r="E79" i="247" s="1"/>
  <c r="D80" i="247" a="1"/>
  <c r="D80" i="247" s="1"/>
  <c r="F80" i="247" a="1"/>
  <c r="F80" i="247" s="1"/>
  <c r="D82" i="247" a="1"/>
  <c r="D82" i="247" s="1"/>
  <c r="E89" i="247" a="1"/>
  <c r="E89" i="247" s="1"/>
  <c r="F89" i="247" a="1"/>
  <c r="F89" i="247" s="1"/>
  <c r="D41" i="247" a="1"/>
  <c r="D41" i="247" s="1"/>
  <c r="D49" i="247" a="1"/>
  <c r="D49" i="247" s="1"/>
  <c r="D53" i="247" a="1"/>
  <c r="D53" i="247" s="1"/>
  <c r="G35" i="247" a="1"/>
  <c r="G35" i="247" s="1"/>
  <c r="F47" i="247" a="1"/>
  <c r="F47" i="247" s="1"/>
  <c r="F49" i="247" a="1"/>
  <c r="F49" i="247" s="1"/>
  <c r="F53" i="247" a="1"/>
  <c r="F53" i="247" s="1"/>
  <c r="G56" i="247" a="1"/>
  <c r="G56" i="247" s="1"/>
  <c r="G60" i="247" a="1"/>
  <c r="G60" i="247" s="1"/>
  <c r="F60" i="247" a="1"/>
  <c r="F60" i="247" s="1"/>
  <c r="E61" i="247" a="1"/>
  <c r="E61" i="247" s="1"/>
  <c r="D61" i="247" a="1"/>
  <c r="D61" i="247" s="1"/>
  <c r="F69" i="247" a="1"/>
  <c r="F69" i="247" s="1"/>
  <c r="G75" i="247" a="1"/>
  <c r="G75" i="247" s="1"/>
  <c r="D75" i="247" a="1"/>
  <c r="D75" i="247" s="1"/>
  <c r="F75" i="247" a="1"/>
  <c r="F75" i="247" s="1"/>
  <c r="E77" i="247" a="1"/>
  <c r="E77" i="247" s="1"/>
  <c r="G77" i="247" a="1"/>
  <c r="G77" i="247" s="1"/>
  <c r="E82" i="247" a="1"/>
  <c r="E82" i="247" s="1"/>
  <c r="F84" i="247" a="1"/>
  <c r="F84" i="247" s="1"/>
  <c r="E91" i="247" a="1"/>
  <c r="E91" i="247" s="1"/>
  <c r="F93" i="247" a="1"/>
  <c r="F93" i="247" s="1"/>
  <c r="F97" i="247" a="1"/>
  <c r="F97" i="247" s="1"/>
  <c r="E100" i="247" a="1"/>
  <c r="E100" i="247" s="1"/>
  <c r="D36" i="247" a="1"/>
  <c r="D36" i="247" s="1"/>
  <c r="G54" i="247" a="1"/>
  <c r="G54" i="247" s="1"/>
  <c r="D54" i="247" a="1"/>
  <c r="D54" i="247" s="1"/>
  <c r="E27" i="247" a="1"/>
  <c r="E27" i="247" s="1"/>
  <c r="D28" i="247" a="1"/>
  <c r="D28" i="247" s="1"/>
  <c r="G28" i="247" a="1"/>
  <c r="G28" i="247" s="1"/>
  <c r="D37" i="247" a="1"/>
  <c r="D37" i="247" s="1"/>
  <c r="G43" i="247" a="1"/>
  <c r="G43" i="247" s="1"/>
  <c r="F44" i="247" a="1"/>
  <c r="F44" i="247" s="1"/>
  <c r="D26" i="247" a="1"/>
  <c r="D26" i="247" s="1"/>
  <c r="F30" i="247" a="1"/>
  <c r="F30" i="247" s="1"/>
  <c r="G30" i="247" a="1"/>
  <c r="G30" i="247" s="1"/>
  <c r="F32" i="247" a="1"/>
  <c r="F32" i="247" s="1"/>
  <c r="E34" i="247" a="1"/>
  <c r="E34" i="247" s="1"/>
  <c r="F38" i="247" a="1"/>
  <c r="F38" i="247" s="1"/>
  <c r="E41" i="247" a="1"/>
  <c r="E41" i="247" s="1"/>
  <c r="E42" i="247" a="1"/>
  <c r="E42" i="247" s="1"/>
  <c r="D46" i="247" a="1"/>
  <c r="D46" i="247" s="1"/>
  <c r="D51" i="247" a="1"/>
  <c r="D51" i="247" s="1"/>
  <c r="G53" i="247" a="1"/>
  <c r="G53" i="247" s="1"/>
  <c r="F54" i="247" a="1"/>
  <c r="F54" i="247" s="1"/>
  <c r="F58" i="247" a="1"/>
  <c r="F58" i="247" s="1"/>
  <c r="E64" i="247" a="1"/>
  <c r="E64" i="247" s="1"/>
  <c r="G66" i="247" a="1"/>
  <c r="G66" i="247" s="1"/>
  <c r="G69" i="247" a="1"/>
  <c r="G69" i="247" s="1"/>
  <c r="G71" i="247" a="1"/>
  <c r="G71" i="247" s="1"/>
  <c r="E74" i="247" a="1"/>
  <c r="E74" i="247" s="1"/>
  <c r="F74" i="247" a="1"/>
  <c r="F74" i="247" s="1"/>
  <c r="E80" i="247" a="1"/>
  <c r="E80" i="247" s="1"/>
  <c r="E81" i="247" a="1"/>
  <c r="E81" i="247" s="1"/>
  <c r="F86" i="247" a="1"/>
  <c r="F86" i="247" s="1"/>
  <c r="E86" i="247" a="1"/>
  <c r="E86" i="247" s="1"/>
  <c r="D86" i="247" a="1"/>
  <c r="D86" i="247" s="1"/>
  <c r="G86" i="247" a="1"/>
  <c r="G86" i="247" s="1"/>
  <c r="D89" i="247" a="1"/>
  <c r="D89" i="247" s="1"/>
  <c r="F91" i="247" a="1"/>
  <c r="F91" i="247" s="1"/>
  <c r="G97" i="247" a="1"/>
  <c r="G97" i="247" s="1"/>
  <c r="D99" i="247" a="1"/>
  <c r="D99" i="247" s="1"/>
  <c r="G99" i="247" a="1"/>
  <c r="G99" i="247" s="1"/>
  <c r="F27" i="247" a="1"/>
  <c r="F27" i="247" s="1"/>
  <c r="G36" i="247" a="1"/>
  <c r="G36" i="247" s="1"/>
  <c r="E48" i="247" a="1"/>
  <c r="E48" i="247" s="1"/>
  <c r="F56" i="247" a="1"/>
  <c r="F56" i="247" s="1"/>
  <c r="D56" i="247" a="1"/>
  <c r="D56" i="247" s="1"/>
  <c r="G62" i="247" a="1"/>
  <c r="G62" i="247" s="1"/>
  <c r="D62" i="247" a="1"/>
  <c r="D62" i="247" s="1"/>
  <c r="G82" i="247" a="1"/>
  <c r="G82" i="247" s="1"/>
  <c r="D85" i="247" a="1"/>
  <c r="D85" i="247" s="1"/>
  <c r="F85" i="247" a="1"/>
  <c r="F85" i="247" s="1"/>
  <c r="G91" i="247" a="1"/>
  <c r="G91" i="247" s="1"/>
  <c r="G32" i="247" a="1"/>
  <c r="G32" i="247" s="1"/>
  <c r="D44" i="247" a="1"/>
  <c r="D44" i="247" s="1"/>
  <c r="E70" i="247" a="1"/>
  <c r="E70" i="247" s="1"/>
  <c r="F71" i="247" a="1"/>
  <c r="F71" i="247" s="1"/>
  <c r="E71" i="247" a="1"/>
  <c r="E71" i="247" s="1"/>
  <c r="E72" i="247" a="1"/>
  <c r="E72" i="247" s="1"/>
  <c r="D72" i="247" a="1"/>
  <c r="D72" i="247" s="1"/>
  <c r="F72" i="247" a="1"/>
  <c r="F72" i="247" s="1"/>
  <c r="F98" i="247" a="1"/>
  <c r="F98" i="247" s="1"/>
  <c r="D98" i="247" a="1"/>
  <c r="D98" i="247" s="1"/>
  <c r="E98" i="247" a="1"/>
  <c r="E98" i="247" s="1"/>
  <c r="G90" i="247" a="1"/>
  <c r="G90" i="247" s="1"/>
  <c r="E94" i="247" a="1"/>
  <c r="E94" i="247" s="1"/>
  <c r="D95" i="247" a="1"/>
  <c r="D95" i="247" s="1"/>
  <c r="G95" i="247" a="1"/>
  <c r="G95" i="247" s="1"/>
  <c r="G96" i="247" a="1"/>
  <c r="G96" i="247" s="1"/>
  <c r="E90" i="247" a="1"/>
  <c r="E90" i="247" s="1"/>
  <c r="G92" i="247" a="1"/>
  <c r="G92" i="247" s="1"/>
  <c r="F95" i="247" a="1"/>
  <c r="F95" i="247" s="1"/>
  <c r="G73" i="247" a="1"/>
  <c r="G73" i="247" s="1"/>
  <c r="F90" i="247" a="1"/>
  <c r="F90" i="247" s="1"/>
  <c r="F96" i="247" a="1"/>
  <c r="F96" i="247" s="1"/>
  <c r="G94" i="247" a="1"/>
  <c r="G94" i="247" s="1"/>
  <c r="F127" i="247"/>
  <c r="D57" i="246" a="1"/>
  <c r="D57" i="246" s="1"/>
  <c r="G94" i="246" a="1"/>
  <c r="G94" i="246" s="1"/>
  <c r="F72" i="246" a="1"/>
  <c r="F72" i="246" s="1"/>
  <c r="E72" i="246" a="1"/>
  <c r="E72" i="246" s="1"/>
  <c r="D72" i="246" a="1"/>
  <c r="D72" i="246" s="1"/>
  <c r="F87" i="246" a="1"/>
  <c r="F87" i="246" s="1"/>
  <c r="E87" i="246" a="1"/>
  <c r="E87" i="246" s="1"/>
  <c r="F31" i="246" a="1"/>
  <c r="F31" i="246" s="1"/>
  <c r="E31" i="246" a="1"/>
  <c r="E31" i="246" s="1"/>
  <c r="D31" i="246" a="1"/>
  <c r="D31" i="246" s="1"/>
  <c r="G31" i="246" a="1"/>
  <c r="G31" i="246" s="1"/>
  <c r="E47" i="246" a="1"/>
  <c r="E47" i="246" s="1"/>
  <c r="F47" i="246" a="1"/>
  <c r="F47" i="246" s="1"/>
  <c r="E93" i="244" a="1"/>
  <c r="E93" i="244" s="1"/>
  <c r="D93" i="244" a="1"/>
  <c r="D93" i="244" s="1"/>
  <c r="E59" i="246" a="1"/>
  <c r="E59" i="246" s="1"/>
  <c r="F59" i="246" a="1"/>
  <c r="F59" i="246" s="1"/>
  <c r="G96" i="246" a="1"/>
  <c r="G96" i="246" s="1"/>
  <c r="D59" i="245" a="1"/>
  <c r="D59" i="245" s="1"/>
  <c r="E59" i="245" a="1"/>
  <c r="E59" i="245" s="1"/>
  <c r="F69" i="243" a="1"/>
  <c r="F69" i="243" s="1"/>
  <c r="G73" i="243" a="1"/>
  <c r="G73" i="243" s="1"/>
  <c r="G89" i="243" a="1"/>
  <c r="G89" i="243" s="1"/>
  <c r="E48" i="244" a="1"/>
  <c r="E48" i="244" s="1"/>
  <c r="F60" i="244" a="1"/>
  <c r="F60" i="244" s="1"/>
  <c r="D96" i="244" a="1"/>
  <c r="D96" i="244" s="1"/>
  <c r="F33" i="245" a="1"/>
  <c r="F33" i="245" s="1"/>
  <c r="E36" i="245" a="1"/>
  <c r="E36" i="245" s="1"/>
  <c r="E92" i="245" a="1"/>
  <c r="E92" i="245" s="1"/>
  <c r="E33" i="246" a="1"/>
  <c r="E33" i="246" s="1"/>
  <c r="G83" i="246" a="1"/>
  <c r="G83" i="246" s="1"/>
  <c r="G41" i="246" a="1"/>
  <c r="G41" i="246" s="1"/>
  <c r="F90" i="244" a="1"/>
  <c r="F90" i="244" s="1"/>
  <c r="G86" i="243" a="1"/>
  <c r="G86" i="243" s="1"/>
  <c r="F65" i="244" a="1"/>
  <c r="F65" i="244" s="1"/>
  <c r="F81" i="244" a="1"/>
  <c r="F81" i="244" s="1"/>
  <c r="E57" i="245" a="1"/>
  <c r="E57" i="245" s="1"/>
  <c r="D83" i="245" a="1"/>
  <c r="D83" i="245" s="1"/>
  <c r="G32" i="246" a="1"/>
  <c r="G32" i="246" s="1"/>
  <c r="G48" i="246" a="1"/>
  <c r="G48" i="246" s="1"/>
  <c r="E71" i="246" a="1"/>
  <c r="E71" i="246" s="1"/>
  <c r="D84" i="246" a="1"/>
  <c r="D84" i="246" s="1"/>
  <c r="G36" i="246" a="1"/>
  <c r="G36" i="246" s="1"/>
  <c r="F75" i="243" a="1"/>
  <c r="F75" i="243" s="1"/>
  <c r="E79" i="243" a="1"/>
  <c r="E79" i="243" s="1"/>
  <c r="G91" i="243" a="1"/>
  <c r="G91" i="243" s="1"/>
  <c r="F28" i="244" a="1"/>
  <c r="F28" i="244" s="1"/>
  <c r="F39" i="244" a="1"/>
  <c r="F39" i="244" s="1"/>
  <c r="F47" i="244" a="1"/>
  <c r="F47" i="244" s="1"/>
  <c r="D84" i="244" a="1"/>
  <c r="D84" i="244" s="1"/>
  <c r="F94" i="244" a="1"/>
  <c r="F94" i="244" s="1"/>
  <c r="F66" i="245" a="1"/>
  <c r="F66" i="245" s="1"/>
  <c r="D97" i="245" a="1"/>
  <c r="D97" i="245" s="1"/>
  <c r="F36" i="246" a="1"/>
  <c r="F36" i="246" s="1"/>
  <c r="D68" i="246" a="1"/>
  <c r="D68" i="246" s="1"/>
  <c r="E86" i="246" a="1"/>
  <c r="E86" i="246" s="1"/>
  <c r="G94" i="245" a="1"/>
  <c r="G94" i="245" s="1"/>
  <c r="F27" i="246" a="1"/>
  <c r="F27" i="246" s="1"/>
  <c r="F28" i="246" a="1"/>
  <c r="F28" i="246" s="1"/>
  <c r="F35" i="246" a="1"/>
  <c r="F35" i="246" s="1"/>
  <c r="E40" i="246" a="1"/>
  <c r="E40" i="246" s="1"/>
  <c r="F70" i="246" a="1"/>
  <c r="F70" i="246" s="1"/>
  <c r="E73" i="246" a="1"/>
  <c r="E73" i="246" s="1"/>
  <c r="D83" i="246" a="1"/>
  <c r="D83" i="246" s="1"/>
  <c r="F86" i="246" a="1"/>
  <c r="F86" i="246" s="1"/>
  <c r="F88" i="246" a="1"/>
  <c r="F88" i="246" s="1"/>
  <c r="E37" i="243" a="1"/>
  <c r="E37" i="243" s="1"/>
  <c r="G72" i="243" a="1"/>
  <c r="G72" i="243" s="1"/>
  <c r="G84" i="243" a="1"/>
  <c r="G84" i="243" s="1"/>
  <c r="G100" i="243" a="1"/>
  <c r="G100" i="243" s="1"/>
  <c r="G26" i="244" a="1"/>
  <c r="G26" i="244" s="1"/>
  <c r="D88" i="244" a="1"/>
  <c r="D88" i="244" s="1"/>
  <c r="E28" i="245" a="1"/>
  <c r="E28" i="245" s="1"/>
  <c r="D46" i="245" a="1"/>
  <c r="D46" i="245" s="1"/>
  <c r="G50" i="245" a="1"/>
  <c r="G50" i="245" s="1"/>
  <c r="D61" i="245" a="1"/>
  <c r="D61" i="245" s="1"/>
  <c r="F67" i="245" a="1"/>
  <c r="F67" i="245" s="1"/>
  <c r="D82" i="245" a="1"/>
  <c r="D82" i="245" s="1"/>
  <c r="F91" i="245" a="1"/>
  <c r="F91" i="245" s="1"/>
  <c r="E97" i="245" a="1"/>
  <c r="E97" i="245" s="1"/>
  <c r="F29" i="246" a="1"/>
  <c r="F29" i="246" s="1"/>
  <c r="F32" i="246" a="1"/>
  <c r="F32" i="246" s="1"/>
  <c r="E49" i="246" a="1"/>
  <c r="E49" i="246" s="1"/>
  <c r="D96" i="246" a="1"/>
  <c r="D96" i="246" s="1"/>
  <c r="E92" i="246" a="1"/>
  <c r="E92" i="246" s="1"/>
  <c r="E38" i="246" a="1"/>
  <c r="E38" i="246" s="1"/>
  <c r="D38" i="246" a="1"/>
  <c r="D38" i="246" s="1"/>
  <c r="G38" i="246" a="1"/>
  <c r="G38" i="246" s="1"/>
  <c r="F38" i="246" a="1"/>
  <c r="F38" i="246" s="1"/>
  <c r="D79" i="246" a="1"/>
  <c r="D79" i="246" s="1"/>
  <c r="G79" i="246" a="1"/>
  <c r="G79" i="246" s="1"/>
  <c r="F79" i="246" a="1"/>
  <c r="F79" i="246" s="1"/>
  <c r="E79" i="246" a="1"/>
  <c r="E79" i="246" s="1"/>
  <c r="E26" i="246" a="1"/>
  <c r="E26" i="246" s="1"/>
  <c r="D26" i="246" a="1"/>
  <c r="D26" i="246" s="1"/>
  <c r="G26" i="246" a="1"/>
  <c r="G26" i="246" s="1"/>
  <c r="F26" i="246" a="1"/>
  <c r="F26" i="246" s="1"/>
  <c r="E34" i="246" a="1"/>
  <c r="E34" i="246" s="1"/>
  <c r="D34" i="246" a="1"/>
  <c r="D34" i="246" s="1"/>
  <c r="G34" i="246" a="1"/>
  <c r="G34" i="246" s="1"/>
  <c r="F34" i="246" a="1"/>
  <c r="F34" i="246" s="1"/>
  <c r="E30" i="246" a="1"/>
  <c r="E30" i="246" s="1"/>
  <c r="D30" i="246" a="1"/>
  <c r="D30" i="246" s="1"/>
  <c r="G30" i="246" a="1"/>
  <c r="G30" i="246" s="1"/>
  <c r="F30" i="246" a="1"/>
  <c r="F30" i="246" s="1"/>
  <c r="E39" i="246" a="1"/>
  <c r="E39" i="246" s="1"/>
  <c r="D39" i="246" a="1"/>
  <c r="D39" i="246" s="1"/>
  <c r="G39" i="246" a="1"/>
  <c r="G39" i="246" s="1"/>
  <c r="F52" i="246" a="1"/>
  <c r="F52" i="246" s="1"/>
  <c r="E52" i="246" a="1"/>
  <c r="E52" i="246" s="1"/>
  <c r="D52" i="246" a="1"/>
  <c r="D52" i="246" s="1"/>
  <c r="G52" i="246" a="1"/>
  <c r="G52" i="246" s="1"/>
  <c r="F44" i="246" a="1"/>
  <c r="F44" i="246" s="1"/>
  <c r="E44" i="246" a="1"/>
  <c r="E44" i="246" s="1"/>
  <c r="D44" i="246" a="1"/>
  <c r="D44" i="246" s="1"/>
  <c r="D56" i="246" a="1"/>
  <c r="D56" i="246" s="1"/>
  <c r="E56" i="246" a="1"/>
  <c r="E56" i="246" s="1"/>
  <c r="G56" i="246" a="1"/>
  <c r="G56" i="246" s="1"/>
  <c r="F56" i="246" a="1"/>
  <c r="F56" i="246" s="1"/>
  <c r="G60" i="246" a="1"/>
  <c r="G60" i="246" s="1"/>
  <c r="E60" i="246" a="1"/>
  <c r="E60" i="246" s="1"/>
  <c r="D60" i="246" a="1"/>
  <c r="D60" i="246" s="1"/>
  <c r="F81" i="246" a="1"/>
  <c r="F81" i="246" s="1"/>
  <c r="G81" i="246" a="1"/>
  <c r="G81" i="246" s="1"/>
  <c r="E81" i="246" a="1"/>
  <c r="E81" i="246" s="1"/>
  <c r="D81" i="246" a="1"/>
  <c r="D81" i="246" s="1"/>
  <c r="D28" i="246" a="1"/>
  <c r="D28" i="246" s="1"/>
  <c r="D32" i="246" a="1"/>
  <c r="D32" i="246" s="1"/>
  <c r="D35" i="246" a="1"/>
  <c r="D35" i="246" s="1"/>
  <c r="D36" i="246" a="1"/>
  <c r="D36" i="246" s="1"/>
  <c r="E37" i="246" a="1"/>
  <c r="E37" i="246" s="1"/>
  <c r="E43" i="246" a="1"/>
  <c r="E43" i="246" s="1"/>
  <c r="D43" i="246" a="1"/>
  <c r="D43" i="246" s="1"/>
  <c r="G43" i="246" a="1"/>
  <c r="G43" i="246" s="1"/>
  <c r="F48" i="246" a="1"/>
  <c r="F48" i="246" s="1"/>
  <c r="E48" i="246" a="1"/>
  <c r="E48" i="246" s="1"/>
  <c r="D48" i="246" a="1"/>
  <c r="D48" i="246" s="1"/>
  <c r="D53" i="246" a="1"/>
  <c r="D53" i="246" s="1"/>
  <c r="F78" i="246" a="1"/>
  <c r="F78" i="246" s="1"/>
  <c r="G78" i="246" a="1"/>
  <c r="G78" i="246" s="1"/>
  <c r="E78" i="246" a="1"/>
  <c r="E78" i="246" s="1"/>
  <c r="D78" i="246" a="1"/>
  <c r="D78" i="246" s="1"/>
  <c r="G55" i="246" a="1"/>
  <c r="G55" i="246" s="1"/>
  <c r="F55" i="246" a="1"/>
  <c r="F55" i="246" s="1"/>
  <c r="E28" i="246" a="1"/>
  <c r="E28" i="246" s="1"/>
  <c r="E32" i="246" a="1"/>
  <c r="E32" i="246" s="1"/>
  <c r="E36" i="246" a="1"/>
  <c r="E36" i="246" s="1"/>
  <c r="G46" i="246" a="1"/>
  <c r="G46" i="246" s="1"/>
  <c r="D51" i="246" a="1"/>
  <c r="D51" i="246" s="1"/>
  <c r="G51" i="246" a="1"/>
  <c r="G51" i="246" s="1"/>
  <c r="F51" i="246" a="1"/>
  <c r="F51" i="246" s="1"/>
  <c r="E53" i="246" a="1"/>
  <c r="E53" i="246" s="1"/>
  <c r="G40" i="246" a="1"/>
  <c r="G40" i="246" s="1"/>
  <c r="F40" i="246" a="1"/>
  <c r="F40" i="246" s="1"/>
  <c r="E41" i="246" a="1"/>
  <c r="E41" i="246" s="1"/>
  <c r="D41" i="246" a="1"/>
  <c r="D41" i="246" s="1"/>
  <c r="F42" i="246" a="1"/>
  <c r="F42" i="246" s="1"/>
  <c r="E42" i="246" a="1"/>
  <c r="E42" i="246" s="1"/>
  <c r="D55" i="246" a="1"/>
  <c r="D55" i="246" s="1"/>
  <c r="F63" i="246" a="1"/>
  <c r="F63" i="246" s="1"/>
  <c r="G63" i="246" a="1"/>
  <c r="G63" i="246" s="1"/>
  <c r="E63" i="246" a="1"/>
  <c r="E63" i="246" s="1"/>
  <c r="D63" i="246" a="1"/>
  <c r="D63" i="246" s="1"/>
  <c r="F65" i="246" a="1"/>
  <c r="F65" i="246" s="1"/>
  <c r="E65" i="246" a="1"/>
  <c r="E65" i="246" s="1"/>
  <c r="D65" i="246" a="1"/>
  <c r="D65" i="246" s="1"/>
  <c r="F50" i="246" a="1"/>
  <c r="F50" i="246" s="1"/>
  <c r="E50" i="246" a="1"/>
  <c r="E50" i="246" s="1"/>
  <c r="D50" i="246" a="1"/>
  <c r="D50" i="246" s="1"/>
  <c r="E54" i="246" a="1"/>
  <c r="E54" i="246" s="1"/>
  <c r="D54" i="246" a="1"/>
  <c r="D54" i="246" s="1"/>
  <c r="D58" i="246" a="1"/>
  <c r="D58" i="246" s="1"/>
  <c r="F58" i="246" a="1"/>
  <c r="F58" i="246" s="1"/>
  <c r="E58" i="246" a="1"/>
  <c r="E58" i="246" s="1"/>
  <c r="G61" i="246" a="1"/>
  <c r="G61" i="246" s="1"/>
  <c r="F61" i="246" a="1"/>
  <c r="F61" i="246" s="1"/>
  <c r="E61" i="246" a="1"/>
  <c r="E61" i="246" s="1"/>
  <c r="E67" i="246" a="1"/>
  <c r="E67" i="246" s="1"/>
  <c r="F67" i="246" a="1"/>
  <c r="F67" i="246" s="1"/>
  <c r="D67" i="246" a="1"/>
  <c r="D67" i="246" s="1"/>
  <c r="D45" i="246" a="1"/>
  <c r="D45" i="246" s="1"/>
  <c r="G45" i="246" a="1"/>
  <c r="G45" i="246" s="1"/>
  <c r="D46" i="246" a="1"/>
  <c r="D46" i="246" s="1"/>
  <c r="G53" i="246" a="1"/>
  <c r="G53" i="246" s="1"/>
  <c r="F53" i="246" a="1"/>
  <c r="F53" i="246" s="1"/>
  <c r="E55" i="246" a="1"/>
  <c r="E55" i="246" s="1"/>
  <c r="G65" i="246" a="1"/>
  <c r="G65" i="246" s="1"/>
  <c r="D25" i="246" a="1"/>
  <c r="D25" i="246" s="1"/>
  <c r="D29" i="246" a="1"/>
  <c r="D29" i="246" s="1"/>
  <c r="D33" i="246" a="1"/>
  <c r="D33" i="246" s="1"/>
  <c r="H33" i="246" s="1"/>
  <c r="I33" i="246" s="1"/>
  <c r="D37" i="246" a="1"/>
  <c r="D37" i="246" s="1"/>
  <c r="D40" i="246" a="1"/>
  <c r="D40" i="246" s="1"/>
  <c r="F41" i="246" a="1"/>
  <c r="F41" i="246" s="1"/>
  <c r="F54" i="246" a="1"/>
  <c r="F54" i="246" s="1"/>
  <c r="G57" i="246" a="1"/>
  <c r="G57" i="246" s="1"/>
  <c r="F57" i="246" a="1"/>
  <c r="F57" i="246" s="1"/>
  <c r="E57" i="246" a="1"/>
  <c r="E57" i="246" s="1"/>
  <c r="G58" i="246" a="1"/>
  <c r="G58" i="246" s="1"/>
  <c r="D61" i="246" a="1"/>
  <c r="D61" i="246" s="1"/>
  <c r="E64" i="246" a="1"/>
  <c r="E64" i="246" s="1"/>
  <c r="G64" i="246" a="1"/>
  <c r="G64" i="246" s="1"/>
  <c r="F64" i="246" a="1"/>
  <c r="F64" i="246" s="1"/>
  <c r="D64" i="246" a="1"/>
  <c r="D64" i="246" s="1"/>
  <c r="G74" i="246" a="1"/>
  <c r="G74" i="246" s="1"/>
  <c r="F74" i="246" a="1"/>
  <c r="F74" i="246" s="1"/>
  <c r="F39" i="246" a="1"/>
  <c r="F39" i="246" s="1"/>
  <c r="E45" i="246" a="1"/>
  <c r="E45" i="246" s="1"/>
  <c r="G50" i="246" a="1"/>
  <c r="G50" i="246" s="1"/>
  <c r="G54" i="246" a="1"/>
  <c r="G54" i="246" s="1"/>
  <c r="F62" i="246" a="1"/>
  <c r="F62" i="246" s="1"/>
  <c r="G62" i="246" a="1"/>
  <c r="G62" i="246" s="1"/>
  <c r="E62" i="246" a="1"/>
  <c r="E62" i="246" s="1"/>
  <c r="D62" i="246" a="1"/>
  <c r="D62" i="246" s="1"/>
  <c r="G66" i="246" a="1"/>
  <c r="G66" i="246" s="1"/>
  <c r="E66" i="246" a="1"/>
  <c r="E66" i="246" s="1"/>
  <c r="F66" i="246" a="1"/>
  <c r="F66" i="246" s="1"/>
  <c r="D66" i="246" a="1"/>
  <c r="D66" i="246" s="1"/>
  <c r="G67" i="246" a="1"/>
  <c r="G67" i="246" s="1"/>
  <c r="F73" i="246" a="1"/>
  <c r="F73" i="246" s="1"/>
  <c r="D73" i="246" a="1"/>
  <c r="D73" i="246" s="1"/>
  <c r="G73" i="246" a="1"/>
  <c r="G73" i="246" s="1"/>
  <c r="G82" i="246" a="1"/>
  <c r="G82" i="246" s="1"/>
  <c r="E82" i="246" a="1"/>
  <c r="E82" i="246" s="1"/>
  <c r="D82" i="246" a="1"/>
  <c r="D82" i="246" s="1"/>
  <c r="F82" i="246" a="1"/>
  <c r="F82" i="246" s="1"/>
  <c r="E88" i="246" a="1"/>
  <c r="E88" i="246" s="1"/>
  <c r="D88" i="246" a="1"/>
  <c r="D88" i="246" s="1"/>
  <c r="G88" i="246" a="1"/>
  <c r="G88" i="246" s="1"/>
  <c r="E90" i="246" a="1"/>
  <c r="E90" i="246" s="1"/>
  <c r="F90" i="246" a="1"/>
  <c r="F90" i="246" s="1"/>
  <c r="F97" i="246" a="1"/>
  <c r="F97" i="246" s="1"/>
  <c r="D97" i="246" a="1"/>
  <c r="D97" i="246" s="1"/>
  <c r="G97" i="246" a="1"/>
  <c r="G97" i="246" s="1"/>
  <c r="E97" i="246" a="1"/>
  <c r="E97" i="246" s="1"/>
  <c r="F91" i="246" a="1"/>
  <c r="F91" i="246" s="1"/>
  <c r="E91" i="246" a="1"/>
  <c r="E91" i="246" s="1"/>
  <c r="F99" i="246" a="1"/>
  <c r="F99" i="246" s="1"/>
  <c r="D99" i="246" a="1"/>
  <c r="D99" i="246" s="1"/>
  <c r="G99" i="246" a="1"/>
  <c r="G99" i="246" s="1"/>
  <c r="G59" i="246" a="1"/>
  <c r="G59" i="246" s="1"/>
  <c r="G68" i="246" a="1"/>
  <c r="G68" i="246" s="1"/>
  <c r="G77" i="246" a="1"/>
  <c r="G77" i="246" s="1"/>
  <c r="G90" i="246" a="1"/>
  <c r="G90" i="246" s="1"/>
  <c r="D91" i="246" a="1"/>
  <c r="D91" i="246" s="1"/>
  <c r="F94" i="246" a="1"/>
  <c r="F94" i="246" s="1"/>
  <c r="G95" i="246" a="1"/>
  <c r="G95" i="246" s="1"/>
  <c r="D95" i="246" a="1"/>
  <c r="D95" i="246" s="1"/>
  <c r="G47" i="246" a="1"/>
  <c r="G47" i="246" s="1"/>
  <c r="G49" i="246" a="1"/>
  <c r="G49" i="246" s="1"/>
  <c r="G69" i="246" a="1"/>
  <c r="G69" i="246" s="1"/>
  <c r="E69" i="246" a="1"/>
  <c r="E69" i="246" s="1"/>
  <c r="F76" i="246" a="1"/>
  <c r="F76" i="246" s="1"/>
  <c r="D76" i="246" a="1"/>
  <c r="D76" i="246" s="1"/>
  <c r="F89" i="246" a="1"/>
  <c r="F89" i="246" s="1"/>
  <c r="D89" i="246" a="1"/>
  <c r="D89" i="246" s="1"/>
  <c r="E98" i="246" a="1"/>
  <c r="E98" i="246" s="1"/>
  <c r="G98" i="246" a="1"/>
  <c r="G98" i="246" s="1"/>
  <c r="D98" i="246" a="1"/>
  <c r="D98" i="246" s="1"/>
  <c r="E99" i="246" a="1"/>
  <c r="E99" i="246" s="1"/>
  <c r="D71" i="246" a="1"/>
  <c r="D71" i="246" s="1"/>
  <c r="G71" i="246" a="1"/>
  <c r="G71" i="246" s="1"/>
  <c r="F75" i="246" a="1"/>
  <c r="F75" i="246" s="1"/>
  <c r="E75" i="246" a="1"/>
  <c r="E75" i="246" s="1"/>
  <c r="F46" i="246" a="1"/>
  <c r="F46" i="246" s="1"/>
  <c r="D47" i="246" a="1"/>
  <c r="D47" i="246" s="1"/>
  <c r="D59" i="246" a="1"/>
  <c r="D59" i="246" s="1"/>
  <c r="E68" i="246" a="1"/>
  <c r="E68" i="246" s="1"/>
  <c r="D69" i="246" a="1"/>
  <c r="D69" i="246" s="1"/>
  <c r="D70" i="246" a="1"/>
  <c r="D70" i="246" s="1"/>
  <c r="E76" i="246" a="1"/>
  <c r="E76" i="246" s="1"/>
  <c r="E77" i="246" a="1"/>
  <c r="E77" i="246" s="1"/>
  <c r="F80" i="246" a="1"/>
  <c r="F80" i="246" s="1"/>
  <c r="G84" i="246" a="1"/>
  <c r="G84" i="246" s="1"/>
  <c r="F84" i="246" a="1"/>
  <c r="F84" i="246" s="1"/>
  <c r="G85" i="246" a="1"/>
  <c r="G85" i="246" s="1"/>
  <c r="E85" i="246" a="1"/>
  <c r="E85" i="246" s="1"/>
  <c r="G91" i="246" a="1"/>
  <c r="G91" i="246" s="1"/>
  <c r="D94" i="246" a="1"/>
  <c r="D94" i="246" s="1"/>
  <c r="F95" i="246" a="1"/>
  <c r="F95" i="246" s="1"/>
  <c r="G100" i="246" a="1"/>
  <c r="G100" i="246" s="1"/>
  <c r="E100" i="246" a="1"/>
  <c r="E100" i="246" s="1"/>
  <c r="D100" i="246" a="1"/>
  <c r="D100" i="246" s="1"/>
  <c r="D87" i="246" a="1"/>
  <c r="D87" i="246" s="1"/>
  <c r="G87" i="246" a="1"/>
  <c r="G87" i="246" s="1"/>
  <c r="E93" i="246" a="1"/>
  <c r="E93" i="246" s="1"/>
  <c r="G93" i="246" a="1"/>
  <c r="G93" i="246" s="1"/>
  <c r="G44" i="246" a="1"/>
  <c r="G44" i="246" s="1"/>
  <c r="D49" i="246" a="1"/>
  <c r="D49" i="246" s="1"/>
  <c r="F60" i="246" a="1"/>
  <c r="F60" i="246" s="1"/>
  <c r="E70" i="246" a="1"/>
  <c r="E70" i="246" s="1"/>
  <c r="D75" i="246" a="1"/>
  <c r="D75" i="246" s="1"/>
  <c r="F77" i="246" a="1"/>
  <c r="F77" i="246" s="1"/>
  <c r="E83" i="246" a="1"/>
  <c r="E83" i="246" s="1"/>
  <c r="D86" i="246" a="1"/>
  <c r="D86" i="246" s="1"/>
  <c r="E89" i="246" a="1"/>
  <c r="E89" i="246" s="1"/>
  <c r="G92" i="246" a="1"/>
  <c r="G92" i="246" s="1"/>
  <c r="F92" i="246" a="1"/>
  <c r="F92" i="246" s="1"/>
  <c r="D92" i="246" a="1"/>
  <c r="D92" i="246" s="1"/>
  <c r="D93" i="246" a="1"/>
  <c r="D93" i="246" s="1"/>
  <c r="E94" i="246" a="1"/>
  <c r="E94" i="246" s="1"/>
  <c r="F127" i="246"/>
  <c r="G108" i="246"/>
  <c r="G127" i="246" s="1"/>
  <c r="E96" i="246" a="1"/>
  <c r="E96" i="246" s="1"/>
  <c r="D74" i="246" a="1"/>
  <c r="D74" i="246" s="1"/>
  <c r="E80" i="246" a="1"/>
  <c r="E80" i="246" s="1"/>
  <c r="D90" i="246" a="1"/>
  <c r="D90" i="246" s="1"/>
  <c r="D54" i="245" a="1"/>
  <c r="D54" i="245" s="1"/>
  <c r="F54" i="245" a="1"/>
  <c r="F54" i="245" s="1"/>
  <c r="G54" i="245" a="1"/>
  <c r="G54" i="245" s="1"/>
  <c r="G64" i="244" a="1"/>
  <c r="G64" i="244" s="1"/>
  <c r="G26" i="245" a="1"/>
  <c r="G26" i="245" s="1"/>
  <c r="D68" i="245" a="1"/>
  <c r="D68" i="245" s="1"/>
  <c r="E68" i="245" a="1"/>
  <c r="E68" i="245" s="1"/>
  <c r="G62" i="245" a="1"/>
  <c r="G62" i="245" s="1"/>
  <c r="D62" i="245" a="1"/>
  <c r="D62" i="245" s="1"/>
  <c r="E53" i="245" a="1"/>
  <c r="E53" i="245" s="1"/>
  <c r="G93" i="245" a="1"/>
  <c r="G93" i="245" s="1"/>
  <c r="F93" i="245" a="1"/>
  <c r="F93" i="245" s="1"/>
  <c r="D93" i="245" a="1"/>
  <c r="D93" i="245" s="1"/>
  <c r="E54" i="244" a="1"/>
  <c r="E54" i="244" s="1"/>
  <c r="F70" i="244" a="1"/>
  <c r="F70" i="244" s="1"/>
  <c r="E50" i="245" a="1"/>
  <c r="E50" i="245" s="1"/>
  <c r="F46" i="243" a="1"/>
  <c r="F46" i="243" s="1"/>
  <c r="G37" i="244" a="1"/>
  <c r="G37" i="244" s="1"/>
  <c r="D67" i="245" a="1"/>
  <c r="D67" i="245" s="1"/>
  <c r="D78" i="245" a="1"/>
  <c r="D78" i="245" s="1"/>
  <c r="D85" i="245" a="1"/>
  <c r="D85" i="245" s="1"/>
  <c r="F98" i="245" a="1"/>
  <c r="F98" i="245" s="1"/>
  <c r="E25" i="243" a="1"/>
  <c r="E25" i="243" s="1"/>
  <c r="D50" i="243" a="1"/>
  <c r="D50" i="243" s="1"/>
  <c r="D61" i="243" a="1"/>
  <c r="D61" i="243" s="1"/>
  <c r="D64" i="243" a="1"/>
  <c r="D64" i="243" s="1"/>
  <c r="G68" i="243" a="1"/>
  <c r="G68" i="243" s="1"/>
  <c r="F30" i="244" a="1"/>
  <c r="F30" i="244" s="1"/>
  <c r="G56" i="244" a="1"/>
  <c r="G56" i="244" s="1"/>
  <c r="E98" i="244" a="1"/>
  <c r="E98" i="244" s="1"/>
  <c r="E63" i="245" a="1"/>
  <c r="E63" i="245" s="1"/>
  <c r="D88" i="245" a="1"/>
  <c r="D88" i="245" s="1"/>
  <c r="F94" i="245" a="1"/>
  <c r="F94" i="245" s="1"/>
  <c r="G38" i="245" a="1"/>
  <c r="G38" i="245" s="1"/>
  <c r="G61" i="243" a="1"/>
  <c r="G61" i="243" s="1"/>
  <c r="D54" i="244" a="1"/>
  <c r="D54" i="244" s="1"/>
  <c r="E70" i="244" a="1"/>
  <c r="E70" i="244" s="1"/>
  <c r="G32" i="245" a="1"/>
  <c r="G32" i="245" s="1"/>
  <c r="E38" i="245" a="1"/>
  <c r="E38" i="245" s="1"/>
  <c r="E55" i="245" a="1"/>
  <c r="E55" i="245" s="1"/>
  <c r="G61" i="245" a="1"/>
  <c r="G61" i="245" s="1"/>
  <c r="E82" i="245" a="1"/>
  <c r="E82" i="245" s="1"/>
  <c r="E88" i="245" a="1"/>
  <c r="E88" i="245" s="1"/>
  <c r="F58" i="245" a="1"/>
  <c r="F58" i="245" s="1"/>
  <c r="D99" i="243" a="1"/>
  <c r="D99" i="243" s="1"/>
  <c r="F84" i="244" a="1"/>
  <c r="F84" i="244" s="1"/>
  <c r="D66" i="245" a="1"/>
  <c r="D66" i="245" s="1"/>
  <c r="D91" i="245" a="1"/>
  <c r="D91" i="245" s="1"/>
  <c r="D62" i="244" a="1"/>
  <c r="D62" i="244" s="1"/>
  <c r="E37" i="245" a="1"/>
  <c r="E37" i="245" s="1"/>
  <c r="G53" i="245" a="1"/>
  <c r="G53" i="245" s="1"/>
  <c r="G59" i="245" a="1"/>
  <c r="G59" i="245" s="1"/>
  <c r="D80" i="245" a="1"/>
  <c r="D80" i="245" s="1"/>
  <c r="G92" i="245" a="1"/>
  <c r="G92" i="245" s="1"/>
  <c r="E95" i="245" a="1"/>
  <c r="E95" i="245" s="1"/>
  <c r="D32" i="244" a="1"/>
  <c r="D32" i="244" s="1"/>
  <c r="F74" i="243" a="1"/>
  <c r="F74" i="243" s="1"/>
  <c r="D78" i="243" a="1"/>
  <c r="D78" i="243" s="1"/>
  <c r="F44" i="244" a="1"/>
  <c r="F44" i="244" s="1"/>
  <c r="E56" i="244" a="1"/>
  <c r="E56" i="244" s="1"/>
  <c r="G63" i="244" a="1"/>
  <c r="G63" i="244" s="1"/>
  <c r="F79" i="244" a="1"/>
  <c r="F79" i="244" s="1"/>
  <c r="G52" i="245" a="1"/>
  <c r="G52" i="245" s="1"/>
  <c r="F57" i="245" a="1"/>
  <c r="F57" i="245" s="1"/>
  <c r="D31" i="245" a="1"/>
  <c r="D31" i="245" s="1"/>
  <c r="G31" i="245" a="1"/>
  <c r="G31" i="245" s="1"/>
  <c r="G35" i="245" a="1"/>
  <c r="G35" i="245" s="1"/>
  <c r="E35" i="245" a="1"/>
  <c r="E35" i="245" s="1"/>
  <c r="G44" i="245" a="1"/>
  <c r="G44" i="245" s="1"/>
  <c r="D44" i="245" a="1"/>
  <c r="D44" i="245" s="1"/>
  <c r="F48" i="245" a="1"/>
  <c r="F48" i="245" s="1"/>
  <c r="G48" i="245" a="1"/>
  <c r="G48" i="245" s="1"/>
  <c r="E48" i="245" a="1"/>
  <c r="E48" i="245" s="1"/>
  <c r="D48" i="245" a="1"/>
  <c r="D48" i="245" s="1"/>
  <c r="E56" i="245" a="1"/>
  <c r="E56" i="245" s="1"/>
  <c r="D56" i="245" a="1"/>
  <c r="D56" i="245" s="1"/>
  <c r="F56" i="245" a="1"/>
  <c r="F56" i="245" s="1"/>
  <c r="G56" i="245" a="1"/>
  <c r="G56" i="245" s="1"/>
  <c r="E30" i="245" a="1"/>
  <c r="E30" i="245" s="1"/>
  <c r="G30" i="245" a="1"/>
  <c r="G30" i="245" s="1"/>
  <c r="F30" i="245" a="1"/>
  <c r="F30" i="245" s="1"/>
  <c r="D30" i="245" a="1"/>
  <c r="D30" i="245" s="1"/>
  <c r="E39" i="245" a="1"/>
  <c r="E39" i="245" s="1"/>
  <c r="G39" i="245" a="1"/>
  <c r="G39" i="245" s="1"/>
  <c r="F39" i="245" a="1"/>
  <c r="F39" i="245" s="1"/>
  <c r="D39" i="245" a="1"/>
  <c r="D39" i="245" s="1"/>
  <c r="D45" i="245" a="1"/>
  <c r="D45" i="245" s="1"/>
  <c r="G45" i="245" a="1"/>
  <c r="G45" i="245" s="1"/>
  <c r="F45" i="245" a="1"/>
  <c r="F45" i="245" s="1"/>
  <c r="E45" i="245" a="1"/>
  <c r="E45" i="245" s="1"/>
  <c r="D43" i="245" a="1"/>
  <c r="D43" i="245" s="1"/>
  <c r="G43" i="245" a="1"/>
  <c r="G43" i="245" s="1"/>
  <c r="F43" i="245" a="1"/>
  <c r="F43" i="245" s="1"/>
  <c r="E43" i="245" a="1"/>
  <c r="E43" i="245" s="1"/>
  <c r="E27" i="245" a="1"/>
  <c r="E27" i="245" s="1"/>
  <c r="G27" i="245" a="1"/>
  <c r="G27" i="245" s="1"/>
  <c r="D27" i="245" a="1"/>
  <c r="D27" i="245" s="1"/>
  <c r="G49" i="245" a="1"/>
  <c r="G49" i="245" s="1"/>
  <c r="F49" i="245" a="1"/>
  <c r="F49" i="245" s="1"/>
  <c r="E49" i="245" a="1"/>
  <c r="E49" i="245" s="1"/>
  <c r="D49" i="245" a="1"/>
  <c r="D49" i="245" s="1"/>
  <c r="D35" i="245" a="1"/>
  <c r="D35" i="245" s="1"/>
  <c r="F42" i="245" a="1"/>
  <c r="F42" i="245" s="1"/>
  <c r="D42" i="245" a="1"/>
  <c r="D42" i="245" s="1"/>
  <c r="E42" i="245" a="1"/>
  <c r="E42" i="245" s="1"/>
  <c r="D25" i="245" a="1"/>
  <c r="D25" i="245" s="1"/>
  <c r="G28" i="245" a="1"/>
  <c r="G28" i="245" s="1"/>
  <c r="D33" i="245" a="1"/>
  <c r="D33" i="245" s="1"/>
  <c r="G36" i="245" a="1"/>
  <c r="G36" i="245" s="1"/>
  <c r="G37" i="245" a="1"/>
  <c r="G37" i="245" s="1"/>
  <c r="G40" i="245" a="1"/>
  <c r="G40" i="245" s="1"/>
  <c r="F29" i="245" a="1"/>
  <c r="F29" i="245" s="1"/>
  <c r="F31" i="245" a="1"/>
  <c r="F31" i="245" s="1"/>
  <c r="E32" i="245" a="1"/>
  <c r="E32" i="245" s="1"/>
  <c r="G34" i="245" a="1"/>
  <c r="G34" i="245" s="1"/>
  <c r="F46" i="245" a="1"/>
  <c r="F46" i="245" s="1"/>
  <c r="F47" i="245" a="1"/>
  <c r="F47" i="245" s="1"/>
  <c r="G55" i="245" a="1"/>
  <c r="G55" i="245" s="1"/>
  <c r="E58" i="245" a="1"/>
  <c r="E58" i="245" s="1"/>
  <c r="G63" i="245" a="1"/>
  <c r="G63" i="245" s="1"/>
  <c r="F63" i="245" a="1"/>
  <c r="F63" i="245" s="1"/>
  <c r="G51" i="245" a="1"/>
  <c r="G51" i="245" s="1"/>
  <c r="D60" i="245" a="1"/>
  <c r="D60" i="245" s="1"/>
  <c r="E26" i="245" a="1"/>
  <c r="E26" i="245" s="1"/>
  <c r="D41" i="245" a="1"/>
  <c r="D41" i="245" s="1"/>
  <c r="G74" i="245" a="1"/>
  <c r="G74" i="245" s="1"/>
  <c r="F74" i="245" a="1"/>
  <c r="F74" i="245" s="1"/>
  <c r="E74" i="245" a="1"/>
  <c r="E74" i="245" s="1"/>
  <c r="D74" i="245" a="1"/>
  <c r="D74" i="245" s="1"/>
  <c r="G86" i="245" a="1"/>
  <c r="G86" i="245" s="1"/>
  <c r="F86" i="245" a="1"/>
  <c r="F86" i="245" s="1"/>
  <c r="E86" i="245" a="1"/>
  <c r="E86" i="245" s="1"/>
  <c r="E25" i="245" a="1"/>
  <c r="E25" i="245" s="1"/>
  <c r="D28" i="245" a="1"/>
  <c r="D28" i="245" s="1"/>
  <c r="F32" i="245" a="1"/>
  <c r="F32" i="245" s="1"/>
  <c r="E33" i="245" a="1"/>
  <c r="E33" i="245" s="1"/>
  <c r="D36" i="245" a="1"/>
  <c r="D36" i="245" s="1"/>
  <c r="F38" i="245" a="1"/>
  <c r="F38" i="245" s="1"/>
  <c r="D40" i="245" a="1"/>
  <c r="D40" i="245" s="1"/>
  <c r="G42" i="245" a="1"/>
  <c r="G42" i="245" s="1"/>
  <c r="D50" i="245" a="1"/>
  <c r="D50" i="245" s="1"/>
  <c r="F53" i="245" a="1"/>
  <c r="F53" i="245" s="1"/>
  <c r="D55" i="245" a="1"/>
  <c r="D55" i="245" s="1"/>
  <c r="D63" i="245" a="1"/>
  <c r="D63" i="245" s="1"/>
  <c r="E79" i="245" a="1"/>
  <c r="E79" i="245" s="1"/>
  <c r="G79" i="245" a="1"/>
  <c r="G79" i="245" s="1"/>
  <c r="F79" i="245" a="1"/>
  <c r="F79" i="245" s="1"/>
  <c r="G84" i="245" a="1"/>
  <c r="G84" i="245" s="1"/>
  <c r="F84" i="245" a="1"/>
  <c r="F84" i="245" s="1"/>
  <c r="D29" i="245" a="1"/>
  <c r="D29" i="245" s="1"/>
  <c r="D47" i="245" a="1"/>
  <c r="D47" i="245" s="1"/>
  <c r="D51" i="245" a="1"/>
  <c r="D51" i="245" s="1"/>
  <c r="E52" i="245" a="1"/>
  <c r="E52" i="245" s="1"/>
  <c r="G57" i="245" a="1"/>
  <c r="G57" i="245" s="1"/>
  <c r="E60" i="245" a="1"/>
  <c r="E60" i="245" s="1"/>
  <c r="E65" i="245" a="1"/>
  <c r="E65" i="245" s="1"/>
  <c r="D65" i="245" a="1"/>
  <c r="D65" i="245" s="1"/>
  <c r="E69" i="245" a="1"/>
  <c r="E69" i="245" s="1"/>
  <c r="G69" i="245" a="1"/>
  <c r="G69" i="245" s="1"/>
  <c r="F69" i="245" a="1"/>
  <c r="F69" i="245" s="1"/>
  <c r="D71" i="245" a="1"/>
  <c r="D71" i="245" s="1"/>
  <c r="G71" i="245" a="1"/>
  <c r="G71" i="245" s="1"/>
  <c r="F71" i="245" a="1"/>
  <c r="F71" i="245" s="1"/>
  <c r="E71" i="245" a="1"/>
  <c r="E71" i="245" s="1"/>
  <c r="G73" i="245" a="1"/>
  <c r="G73" i="245" s="1"/>
  <c r="F73" i="245" a="1"/>
  <c r="F73" i="245" s="1"/>
  <c r="E73" i="245" a="1"/>
  <c r="E73" i="245" s="1"/>
  <c r="G75" i="245" a="1"/>
  <c r="G75" i="245" s="1"/>
  <c r="F75" i="245" a="1"/>
  <c r="F75" i="245" s="1"/>
  <c r="E75" i="245" a="1"/>
  <c r="E75" i="245" s="1"/>
  <c r="G77" i="245" a="1"/>
  <c r="G77" i="245" s="1"/>
  <c r="F77" i="245" a="1"/>
  <c r="F77" i="245" s="1"/>
  <c r="E77" i="245" a="1"/>
  <c r="E77" i="245" s="1"/>
  <c r="D81" i="245" a="1"/>
  <c r="D81" i="245" s="1"/>
  <c r="G81" i="245" a="1"/>
  <c r="G81" i="245" s="1"/>
  <c r="F25" i="245" a="1"/>
  <c r="F25" i="245" s="1"/>
  <c r="D26" i="245" a="1"/>
  <c r="D26" i="245" s="1"/>
  <c r="F50" i="245" a="1"/>
  <c r="F50" i="245" s="1"/>
  <c r="D86" i="245" a="1"/>
  <c r="D86" i="245" s="1"/>
  <c r="G90" i="245" a="1"/>
  <c r="G90" i="245" s="1"/>
  <c r="E90" i="245" a="1"/>
  <c r="E90" i="245" s="1"/>
  <c r="F90" i="245" a="1"/>
  <c r="F90" i="245" s="1"/>
  <c r="D90" i="245" a="1"/>
  <c r="D90" i="245" s="1"/>
  <c r="E34" i="245" a="1"/>
  <c r="E34" i="245" s="1"/>
  <c r="F27" i="245" a="1"/>
  <c r="F27" i="245" s="1"/>
  <c r="F35" i="245" a="1"/>
  <c r="F35" i="245" s="1"/>
  <c r="D37" i="245" a="1"/>
  <c r="D37" i="245" s="1"/>
  <c r="E41" i="245" a="1"/>
  <c r="E41" i="245" s="1"/>
  <c r="F40" i="245" a="1"/>
  <c r="F40" i="245" s="1"/>
  <c r="F41" i="245" a="1"/>
  <c r="F41" i="245" s="1"/>
  <c r="E46" i="245" a="1"/>
  <c r="E46" i="245" s="1"/>
  <c r="E51" i="245" a="1"/>
  <c r="E51" i="245" s="1"/>
  <c r="D58" i="245" a="1"/>
  <c r="D58" i="245" s="1"/>
  <c r="F60" i="245" a="1"/>
  <c r="F60" i="245" s="1"/>
  <c r="E62" i="245" a="1"/>
  <c r="E62" i="245" s="1"/>
  <c r="F64" i="245" a="1"/>
  <c r="F64" i="245" s="1"/>
  <c r="E64" i="245" a="1"/>
  <c r="E64" i="245" s="1"/>
  <c r="D64" i="245" a="1"/>
  <c r="D64" i="245" s="1"/>
  <c r="F65" i="245" a="1"/>
  <c r="F65" i="245" s="1"/>
  <c r="F68" i="245" a="1"/>
  <c r="F68" i="245" s="1"/>
  <c r="D69" i="245" a="1"/>
  <c r="D69" i="245" s="1"/>
  <c r="D73" i="245" a="1"/>
  <c r="D73" i="245" s="1"/>
  <c r="D75" i="245" a="1"/>
  <c r="D75" i="245" s="1"/>
  <c r="D77" i="245" a="1"/>
  <c r="D77" i="245" s="1"/>
  <c r="E81" i="245" a="1"/>
  <c r="E81" i="245" s="1"/>
  <c r="G100" i="245" a="1"/>
  <c r="G100" i="245" s="1"/>
  <c r="F100" i="245" a="1"/>
  <c r="F100" i="245" s="1"/>
  <c r="E100" i="245" a="1"/>
  <c r="E100" i="245" s="1"/>
  <c r="D100" i="245" a="1"/>
  <c r="D100" i="245" s="1"/>
  <c r="D34" i="245" a="1"/>
  <c r="D34" i="245" s="1"/>
  <c r="E31" i="245" a="1"/>
  <c r="E31" i="245" s="1"/>
  <c r="F36" i="245" a="1"/>
  <c r="F36" i="245" s="1"/>
  <c r="F37" i="245" a="1"/>
  <c r="F37" i="245" s="1"/>
  <c r="G25" i="245" a="1"/>
  <c r="G25" i="245" s="1"/>
  <c r="F26" i="245" a="1"/>
  <c r="F26" i="245" s="1"/>
  <c r="F28" i="245" a="1"/>
  <c r="F28" i="245" s="1"/>
  <c r="E29" i="245" a="1"/>
  <c r="E29" i="245" s="1"/>
  <c r="D32" i="245" a="1"/>
  <c r="D32" i="245" s="1"/>
  <c r="G33" i="245" a="1"/>
  <c r="G33" i="245" s="1"/>
  <c r="F34" i="245" a="1"/>
  <c r="F34" i="245" s="1"/>
  <c r="F44" i="245" a="1"/>
  <c r="F44" i="245" s="1"/>
  <c r="G46" i="245" a="1"/>
  <c r="G46" i="245" s="1"/>
  <c r="E47" i="245" a="1"/>
  <c r="E47" i="245" s="1"/>
  <c r="D52" i="245" a="1"/>
  <c r="D52" i="245" s="1"/>
  <c r="E54" i="245" a="1"/>
  <c r="E54" i="245" s="1"/>
  <c r="F55" i="245" a="1"/>
  <c r="F55" i="245" s="1"/>
  <c r="D57" i="245" a="1"/>
  <c r="D57" i="245" s="1"/>
  <c r="G60" i="245" a="1"/>
  <c r="G60" i="245" s="1"/>
  <c r="G65" i="245" a="1"/>
  <c r="G65" i="245" s="1"/>
  <c r="F78" i="245" a="1"/>
  <c r="F78" i="245" s="1"/>
  <c r="G78" i="245" a="1"/>
  <c r="G78" i="245" s="1"/>
  <c r="E78" i="245" a="1"/>
  <c r="E78" i="245" s="1"/>
  <c r="E80" i="245" a="1"/>
  <c r="E80" i="245" s="1"/>
  <c r="G80" i="245" a="1"/>
  <c r="G80" i="245" s="1"/>
  <c r="F80" i="245" a="1"/>
  <c r="F80" i="245" s="1"/>
  <c r="F81" i="245" a="1"/>
  <c r="F81" i="245" s="1"/>
  <c r="G85" i="245" a="1"/>
  <c r="G85" i="245" s="1"/>
  <c r="F85" i="245" a="1"/>
  <c r="F85" i="245" s="1"/>
  <c r="E85" i="245" a="1"/>
  <c r="E85" i="245" s="1"/>
  <c r="F87" i="245" a="1"/>
  <c r="F87" i="245" s="1"/>
  <c r="E87" i="245" a="1"/>
  <c r="E87" i="245" s="1"/>
  <c r="F51" i="245" a="1"/>
  <c r="F51" i="245" s="1"/>
  <c r="F52" i="245" a="1"/>
  <c r="F52" i="245" s="1"/>
  <c r="D53" i="245" a="1"/>
  <c r="D53" i="245" s="1"/>
  <c r="F59" i="245" a="1"/>
  <c r="F59" i="245" s="1"/>
  <c r="G67" i="245" a="1"/>
  <c r="G67" i="245" s="1"/>
  <c r="D70" i="245" a="1"/>
  <c r="D70" i="245" s="1"/>
  <c r="G70" i="245" a="1"/>
  <c r="G70" i="245" s="1"/>
  <c r="F70" i="245" a="1"/>
  <c r="F70" i="245" s="1"/>
  <c r="E70" i="245" a="1"/>
  <c r="E70" i="245" s="1"/>
  <c r="G72" i="245" a="1"/>
  <c r="G72" i="245" s="1"/>
  <c r="F72" i="245" a="1"/>
  <c r="F72" i="245" s="1"/>
  <c r="E72" i="245" a="1"/>
  <c r="E72" i="245" s="1"/>
  <c r="G76" i="245" a="1"/>
  <c r="G76" i="245" s="1"/>
  <c r="F76" i="245" a="1"/>
  <c r="F76" i="245" s="1"/>
  <c r="E76" i="245" a="1"/>
  <c r="E76" i="245" s="1"/>
  <c r="F96" i="245" a="1"/>
  <c r="F96" i="245" s="1"/>
  <c r="G96" i="245" a="1"/>
  <c r="G96" i="245" s="1"/>
  <c r="E96" i="245" a="1"/>
  <c r="E96" i="245" s="1"/>
  <c r="D96" i="245" a="1"/>
  <c r="D96" i="245" s="1"/>
  <c r="E66" i="245" a="1"/>
  <c r="E66" i="245" s="1"/>
  <c r="G82" i="245" a="1"/>
  <c r="G82" i="245" s="1"/>
  <c r="F83" i="245" a="1"/>
  <c r="F83" i="245" s="1"/>
  <c r="E91" i="245" a="1"/>
  <c r="E91" i="245" s="1"/>
  <c r="F99" i="245" a="1"/>
  <c r="F99" i="245" s="1"/>
  <c r="F127" i="245"/>
  <c r="G110" i="245"/>
  <c r="G83" i="245" a="1"/>
  <c r="G83" i="245" s="1"/>
  <c r="G91" i="245" a="1"/>
  <c r="G91" i="245" s="1"/>
  <c r="D94" i="245" a="1"/>
  <c r="D94" i="245" s="1"/>
  <c r="D95" i="245" a="1"/>
  <c r="D95" i="245" s="1"/>
  <c r="G95" i="245" a="1"/>
  <c r="G95" i="245" s="1"/>
  <c r="F62" i="245" a="1"/>
  <c r="F62" i="245" s="1"/>
  <c r="G89" i="245" a="1"/>
  <c r="G89" i="245" s="1"/>
  <c r="F89" i="245" a="1"/>
  <c r="F89" i="245" s="1"/>
  <c r="D89" i="245" a="1"/>
  <c r="D89" i="245" s="1"/>
  <c r="G98" i="245" a="1"/>
  <c r="G98" i="245" s="1"/>
  <c r="D99" i="245" a="1"/>
  <c r="D99" i="245" s="1"/>
  <c r="G68" i="245" a="1"/>
  <c r="G68" i="245" s="1"/>
  <c r="F88" i="245" a="1"/>
  <c r="F88" i="245" s="1"/>
  <c r="E93" i="245" a="1"/>
  <c r="E93" i="245" s="1"/>
  <c r="E99" i="245" a="1"/>
  <c r="E99" i="245" s="1"/>
  <c r="G127" i="245"/>
  <c r="G97" i="245" a="1"/>
  <c r="G97" i="245" s="1"/>
  <c r="F97" i="245" a="1"/>
  <c r="F97" i="245" s="1"/>
  <c r="E98" i="245" a="1"/>
  <c r="E98" i="245" s="1"/>
  <c r="G87" i="245" a="1"/>
  <c r="G87" i="245" s="1"/>
  <c r="D92" i="245" a="1"/>
  <c r="D92" i="245" s="1"/>
  <c r="G99" i="244" a="1"/>
  <c r="G99" i="244" s="1"/>
  <c r="F99" i="244" a="1"/>
  <c r="F99" i="244" s="1"/>
  <c r="F85" i="243" a="1"/>
  <c r="F85" i="243" s="1"/>
  <c r="D85" i="243" a="1"/>
  <c r="D85" i="243" s="1"/>
  <c r="E85" i="244" a="1"/>
  <c r="E85" i="244" s="1"/>
  <c r="D85" i="244" a="1"/>
  <c r="D85" i="244" s="1"/>
  <c r="F87" i="243" a="1"/>
  <c r="F87" i="243" s="1"/>
  <c r="G87" i="243" a="1"/>
  <c r="G87" i="243" s="1"/>
  <c r="D38" i="244" a="1"/>
  <c r="D38" i="244" s="1"/>
  <c r="F25" i="244" a="1"/>
  <c r="F25" i="244" s="1"/>
  <c r="E25" i="244" a="1"/>
  <c r="E25" i="244" s="1"/>
  <c r="G74" i="244" a="1"/>
  <c r="G74" i="244" s="1"/>
  <c r="D75" i="243" a="1"/>
  <c r="D75" i="243" s="1"/>
  <c r="E86" i="243" a="1"/>
  <c r="E86" i="243" s="1"/>
  <c r="G32" i="244" a="1"/>
  <c r="G32" i="244" s="1"/>
  <c r="F37" i="244" a="1"/>
  <c r="F37" i="244" s="1"/>
  <c r="F49" i="244" a="1"/>
  <c r="F49" i="244" s="1"/>
  <c r="G53" i="244" a="1"/>
  <c r="G53" i="244" s="1"/>
  <c r="D82" i="244" a="1"/>
  <c r="D82" i="244" s="1"/>
  <c r="G52" i="243" a="1"/>
  <c r="G52" i="243" s="1"/>
  <c r="D56" i="243" a="1"/>
  <c r="D56" i="243" s="1"/>
  <c r="E75" i="243" a="1"/>
  <c r="E75" i="243" s="1"/>
  <c r="E53" i="244" a="1"/>
  <c r="E53" i="244" s="1"/>
  <c r="D60" i="244" a="1"/>
  <c r="D60" i="244" s="1"/>
  <c r="D64" i="244" a="1"/>
  <c r="D64" i="244" s="1"/>
  <c r="G66" i="244" a="1"/>
  <c r="G66" i="244" s="1"/>
  <c r="F82" i="244" a="1"/>
  <c r="F82" i="244" s="1"/>
  <c r="F96" i="244" a="1"/>
  <c r="F96" i="244" s="1"/>
  <c r="D81" i="244" a="1"/>
  <c r="D81" i="244" s="1"/>
  <c r="G34" i="243" a="1"/>
  <c r="G34" i="243" s="1"/>
  <c r="E63" i="243" a="1"/>
  <c r="E63" i="243" s="1"/>
  <c r="E73" i="243" a="1"/>
  <c r="E73" i="243" s="1"/>
  <c r="G99" i="243" a="1"/>
  <c r="G99" i="243" s="1"/>
  <c r="E32" i="244" a="1"/>
  <c r="E32" i="244" s="1"/>
  <c r="D44" i="244" a="1"/>
  <c r="D44" i="244" s="1"/>
  <c r="G50" i="244" a="1"/>
  <c r="G50" i="244" s="1"/>
  <c r="F53" i="244" a="1"/>
  <c r="F53" i="244" s="1"/>
  <c r="E60" i="244" a="1"/>
  <c r="E60" i="244" s="1"/>
  <c r="E64" i="244" a="1"/>
  <c r="E64" i="244" s="1"/>
  <c r="E81" i="244" a="1"/>
  <c r="E81" i="244" s="1"/>
  <c r="D89" i="244" a="1"/>
  <c r="D89" i="244" s="1"/>
  <c r="D76" i="243" a="1"/>
  <c r="D76" i="243" s="1"/>
  <c r="F32" i="244" a="1"/>
  <c r="F32" i="244" s="1"/>
  <c r="D48" i="244" a="1"/>
  <c r="D48" i="244" s="1"/>
  <c r="F54" i="244" a="1"/>
  <c r="F54" i="244" s="1"/>
  <c r="F64" i="244" a="1"/>
  <c r="F64" i="244" s="1"/>
  <c r="F80" i="244" a="1"/>
  <c r="F80" i="244" s="1"/>
  <c r="F78" i="243" a="1"/>
  <c r="F78" i="243" s="1"/>
  <c r="G44" i="243" a="1"/>
  <c r="G44" i="243" s="1"/>
  <c r="G88" i="243" a="1"/>
  <c r="G88" i="243" s="1"/>
  <c r="E44" i="244" a="1"/>
  <c r="E44" i="244" s="1"/>
  <c r="G47" i="244" a="1"/>
  <c r="G47" i="244" s="1"/>
  <c r="H47" i="244" s="1"/>
  <c r="I47" i="244" s="1"/>
  <c r="D66" i="244" a="1"/>
  <c r="D66" i="244" s="1"/>
  <c r="E94" i="244" a="1"/>
  <c r="E94" i="244" s="1"/>
  <c r="F38" i="243" a="1"/>
  <c r="F38" i="243" s="1"/>
  <c r="F51" i="243" a="1"/>
  <c r="F51" i="243" s="1"/>
  <c r="F34" i="244" a="1"/>
  <c r="F34" i="244" s="1"/>
  <c r="E34" i="244" a="1"/>
  <c r="E34" i="244" s="1"/>
  <c r="D34" i="244" a="1"/>
  <c r="D34" i="244" s="1"/>
  <c r="F43" i="244" a="1"/>
  <c r="F43" i="244" s="1"/>
  <c r="E43" i="244" a="1"/>
  <c r="E43" i="244" s="1"/>
  <c r="G43" i="244" a="1"/>
  <c r="G43" i="244" s="1"/>
  <c r="F45" i="244" a="1"/>
  <c r="F45" i="244" s="1"/>
  <c r="G45" i="244" a="1"/>
  <c r="G45" i="244" s="1"/>
  <c r="E45" i="244" a="1"/>
  <c r="E45" i="244" s="1"/>
  <c r="D45" i="244" a="1"/>
  <c r="D45" i="244" s="1"/>
  <c r="F73" i="244" a="1"/>
  <c r="F73" i="244" s="1"/>
  <c r="G73" i="244" a="1"/>
  <c r="G73" i="244" s="1"/>
  <c r="E73" i="244" a="1"/>
  <c r="E73" i="244" s="1"/>
  <c r="D73" i="244" a="1"/>
  <c r="D73" i="244" s="1"/>
  <c r="F27" i="244" a="1"/>
  <c r="F27" i="244" s="1"/>
  <c r="E27" i="244" a="1"/>
  <c r="E27" i="244" s="1"/>
  <c r="D27" i="244" a="1"/>
  <c r="D27" i="244" s="1"/>
  <c r="G27" i="244" a="1"/>
  <c r="G27" i="244" s="1"/>
  <c r="E46" i="244" a="1"/>
  <c r="E46" i="244" s="1"/>
  <c r="D46" i="244" a="1"/>
  <c r="D46" i="244" s="1"/>
  <c r="G46" i="244" a="1"/>
  <c r="G46" i="244" s="1"/>
  <c r="F46" i="244" a="1"/>
  <c r="F46" i="244" s="1"/>
  <c r="G55" i="244" a="1"/>
  <c r="G55" i="244" s="1"/>
  <c r="D55" i="244" a="1"/>
  <c r="D55" i="244" s="1"/>
  <c r="F77" i="244" a="1"/>
  <c r="F77" i="244" s="1"/>
  <c r="E77" i="244" a="1"/>
  <c r="E77" i="244" s="1"/>
  <c r="D77" i="244" a="1"/>
  <c r="D77" i="244" s="1"/>
  <c r="G77" i="244" a="1"/>
  <c r="G77" i="244" s="1"/>
  <c r="E29" i="244" a="1"/>
  <c r="E29" i="244" s="1"/>
  <c r="F29" i="244" a="1"/>
  <c r="F29" i="244" s="1"/>
  <c r="G29" i="244" a="1"/>
  <c r="G29" i="244" s="1"/>
  <c r="D29" i="244" a="1"/>
  <c r="D29" i="244" s="1"/>
  <c r="D41" i="244" a="1"/>
  <c r="D41" i="244" s="1"/>
  <c r="E41" i="244" a="1"/>
  <c r="E41" i="244" s="1"/>
  <c r="G41" i="244" a="1"/>
  <c r="G41" i="244" s="1"/>
  <c r="F41" i="244" a="1"/>
  <c r="F41" i="244" s="1"/>
  <c r="D35" i="244" a="1"/>
  <c r="D35" i="244" s="1"/>
  <c r="F35" i="244" a="1"/>
  <c r="F35" i="244" s="1"/>
  <c r="E35" i="244" a="1"/>
  <c r="E35" i="244" s="1"/>
  <c r="G35" i="244" a="1"/>
  <c r="G35" i="244" s="1"/>
  <c r="F36" i="244" a="1"/>
  <c r="F36" i="244" s="1"/>
  <c r="D36" i="244" a="1"/>
  <c r="D36" i="244" s="1"/>
  <c r="E36" i="244" a="1"/>
  <c r="E36" i="244" s="1"/>
  <c r="F58" i="244" a="1"/>
  <c r="F58" i="244" s="1"/>
  <c r="E58" i="244" a="1"/>
  <c r="E58" i="244" s="1"/>
  <c r="G58" i="244" a="1"/>
  <c r="G58" i="244" s="1"/>
  <c r="D58" i="244" a="1"/>
  <c r="D58" i="244" s="1"/>
  <c r="E33" i="244" a="1"/>
  <c r="E33" i="244" s="1"/>
  <c r="G33" i="244" a="1"/>
  <c r="G33" i="244" s="1"/>
  <c r="F33" i="244" a="1"/>
  <c r="F33" i="244" s="1"/>
  <c r="D33" i="244" a="1"/>
  <c r="D33" i="244" s="1"/>
  <c r="F42" i="244" a="1"/>
  <c r="F42" i="244" s="1"/>
  <c r="G42" i="244" a="1"/>
  <c r="G42" i="244" s="1"/>
  <c r="D42" i="244" a="1"/>
  <c r="D42" i="244" s="1"/>
  <c r="E42" i="244" a="1"/>
  <c r="E42" i="244" s="1"/>
  <c r="G51" i="244" a="1"/>
  <c r="G51" i="244" s="1"/>
  <c r="F51" i="244" a="1"/>
  <c r="F51" i="244" s="1"/>
  <c r="E51" i="244" a="1"/>
  <c r="E51" i="244" s="1"/>
  <c r="D51" i="244" a="1"/>
  <c r="D51" i="244" s="1"/>
  <c r="E31" i="244" a="1"/>
  <c r="E31" i="244" s="1"/>
  <c r="F31" i="244" a="1"/>
  <c r="F31" i="244" s="1"/>
  <c r="D31" i="244" a="1"/>
  <c r="D31" i="244" s="1"/>
  <c r="G31" i="244" a="1"/>
  <c r="G31" i="244" s="1"/>
  <c r="E61" i="244" a="1"/>
  <c r="E61" i="244" s="1"/>
  <c r="D61" i="244" a="1"/>
  <c r="D61" i="244" s="1"/>
  <c r="E67" i="244" a="1"/>
  <c r="E67" i="244" s="1"/>
  <c r="D67" i="244" a="1"/>
  <c r="D67" i="244" s="1"/>
  <c r="F67" i="244" a="1"/>
  <c r="F67" i="244" s="1"/>
  <c r="G67" i="244" a="1"/>
  <c r="G67" i="244" s="1"/>
  <c r="F40" i="244" a="1"/>
  <c r="F40" i="244" s="1"/>
  <c r="G71" i="244" a="1"/>
  <c r="G71" i="244" s="1"/>
  <c r="F71" i="244" a="1"/>
  <c r="F71" i="244" s="1"/>
  <c r="D26" i="244" a="1"/>
  <c r="D26" i="244" s="1"/>
  <c r="D25" i="244" a="1"/>
  <c r="D25" i="244" s="1"/>
  <c r="G30" i="244" a="1"/>
  <c r="G30" i="244" s="1"/>
  <c r="G34" i="244" a="1"/>
  <c r="G34" i="244" s="1"/>
  <c r="E37" i="244" a="1"/>
  <c r="E37" i="244" s="1"/>
  <c r="E49" i="244" a="1"/>
  <c r="E49" i="244" s="1"/>
  <c r="E52" i="244" a="1"/>
  <c r="E52" i="244" s="1"/>
  <c r="F61" i="244" a="1"/>
  <c r="F61" i="244" s="1"/>
  <c r="G61" i="244" a="1"/>
  <c r="G61" i="244" s="1"/>
  <c r="F62" i="244" a="1"/>
  <c r="F62" i="244" s="1"/>
  <c r="E62" i="244" a="1"/>
  <c r="E62" i="244" s="1"/>
  <c r="G72" i="244" a="1"/>
  <c r="G72" i="244" s="1"/>
  <c r="E72" i="244" a="1"/>
  <c r="E72" i="244" s="1"/>
  <c r="D72" i="244" a="1"/>
  <c r="D72" i="244" s="1"/>
  <c r="F76" i="244" a="1"/>
  <c r="F76" i="244" s="1"/>
  <c r="E76" i="244" a="1"/>
  <c r="E76" i="244" s="1"/>
  <c r="G76" i="244" a="1"/>
  <c r="G76" i="244" s="1"/>
  <c r="D76" i="244" a="1"/>
  <c r="D76" i="244" s="1"/>
  <c r="E79" i="244" a="1"/>
  <c r="E79" i="244" s="1"/>
  <c r="D79" i="244" a="1"/>
  <c r="D79" i="244" s="1"/>
  <c r="E87" i="244" a="1"/>
  <c r="E87" i="244" s="1"/>
  <c r="D87" i="244" a="1"/>
  <c r="D87" i="244" s="1"/>
  <c r="G87" i="244" a="1"/>
  <c r="G87" i="244" s="1"/>
  <c r="F87" i="244" a="1"/>
  <c r="F87" i="244" s="1"/>
  <c r="D49" i="244" a="1"/>
  <c r="D49" i="244" s="1"/>
  <c r="D50" i="244" a="1"/>
  <c r="D50" i="244" s="1"/>
  <c r="D52" i="244" a="1"/>
  <c r="D52" i="244" s="1"/>
  <c r="D59" i="244" a="1"/>
  <c r="D59" i="244" s="1"/>
  <c r="G78" i="244" a="1"/>
  <c r="G78" i="244" s="1"/>
  <c r="E78" i="244" a="1"/>
  <c r="E78" i="244" s="1"/>
  <c r="D78" i="244" a="1"/>
  <c r="D78" i="244" s="1"/>
  <c r="G92" i="244" a="1"/>
  <c r="G92" i="244" s="1"/>
  <c r="D92" i="244" a="1"/>
  <c r="D92" i="244" s="1"/>
  <c r="D30" i="244" a="1"/>
  <c r="D30" i="244" s="1"/>
  <c r="E38" i="244" a="1"/>
  <c r="E38" i="244" s="1"/>
  <c r="E50" i="244" a="1"/>
  <c r="E50" i="244" s="1"/>
  <c r="F52" i="244" a="1"/>
  <c r="F52" i="244" s="1"/>
  <c r="E69" i="244" a="1"/>
  <c r="E69" i="244" s="1"/>
  <c r="D69" i="244" a="1"/>
  <c r="D69" i="244" s="1"/>
  <c r="D71" i="244" a="1"/>
  <c r="D71" i="244" s="1"/>
  <c r="G79" i="244" a="1"/>
  <c r="G79" i="244" s="1"/>
  <c r="E83" i="244" a="1"/>
  <c r="E83" i="244" s="1"/>
  <c r="D83" i="244" a="1"/>
  <c r="D83" i="244" s="1"/>
  <c r="E88" i="244" a="1"/>
  <c r="E88" i="244" s="1"/>
  <c r="G88" i="244" a="1"/>
  <c r="G88" i="244" s="1"/>
  <c r="D40" i="244" a="1"/>
  <c r="D40" i="244" s="1"/>
  <c r="E59" i="244" a="1"/>
  <c r="E59" i="244" s="1"/>
  <c r="E71" i="244" a="1"/>
  <c r="E71" i="244" s="1"/>
  <c r="F75" i="244" a="1"/>
  <c r="F75" i="244" s="1"/>
  <c r="E75" i="244" a="1"/>
  <c r="E75" i="244" s="1"/>
  <c r="D75" i="244" a="1"/>
  <c r="D75" i="244" s="1"/>
  <c r="G97" i="244" a="1"/>
  <c r="G97" i="244" s="1"/>
  <c r="F97" i="244" a="1"/>
  <c r="F97" i="244" s="1"/>
  <c r="E97" i="244" a="1"/>
  <c r="E97" i="244" s="1"/>
  <c r="D97" i="244" a="1"/>
  <c r="D97" i="244" s="1"/>
  <c r="F50" i="244" a="1"/>
  <c r="F50" i="244" s="1"/>
  <c r="G57" i="244" a="1"/>
  <c r="G57" i="244" s="1"/>
  <c r="G25" i="244" a="1"/>
  <c r="G25" i="244" s="1"/>
  <c r="G38" i="244" a="1"/>
  <c r="G38" i="244" s="1"/>
  <c r="D43" i="244" a="1"/>
  <c r="D43" i="244" s="1"/>
  <c r="G49" i="244" a="1"/>
  <c r="G49" i="244" s="1"/>
  <c r="F55" i="244" a="1"/>
  <c r="F55" i="244" s="1"/>
  <c r="E55" i="244" a="1"/>
  <c r="E55" i="244" s="1"/>
  <c r="D56" i="244" a="1"/>
  <c r="D56" i="244" s="1"/>
  <c r="F59" i="244" a="1"/>
  <c r="F59" i="244" s="1"/>
  <c r="E65" i="244" a="1"/>
  <c r="E65" i="244" s="1"/>
  <c r="D65" i="244" a="1"/>
  <c r="D65" i="244" s="1"/>
  <c r="G65" i="244" a="1"/>
  <c r="G65" i="244" s="1"/>
  <c r="F69" i="244" a="1"/>
  <c r="F69" i="244" s="1"/>
  <c r="F83" i="244" a="1"/>
  <c r="F83" i="244" s="1"/>
  <c r="G36" i="244" a="1"/>
  <c r="G36" i="244" s="1"/>
  <c r="F26" i="244" a="1"/>
  <c r="F26" i="244" s="1"/>
  <c r="G54" i="244" a="1"/>
  <c r="G54" i="244" s="1"/>
  <c r="D57" i="244" a="1"/>
  <c r="D57" i="244" s="1"/>
  <c r="F63" i="244" a="1"/>
  <c r="F63" i="244" s="1"/>
  <c r="E63" i="244" a="1"/>
  <c r="E63" i="244" s="1"/>
  <c r="D63" i="244" a="1"/>
  <c r="D63" i="244" s="1"/>
  <c r="G68" i="244" a="1"/>
  <c r="G68" i="244" s="1"/>
  <c r="F68" i="244" a="1"/>
  <c r="F68" i="244" s="1"/>
  <c r="E68" i="244" a="1"/>
  <c r="E68" i="244" s="1"/>
  <c r="D68" i="244" a="1"/>
  <c r="D68" i="244" s="1"/>
  <c r="F72" i="244" a="1"/>
  <c r="F72" i="244" s="1"/>
  <c r="G75" i="244" a="1"/>
  <c r="G75" i="244" s="1"/>
  <c r="F78" i="244" a="1"/>
  <c r="F78" i="244" s="1"/>
  <c r="D39" i="244" a="1"/>
  <c r="D39" i="244" s="1"/>
  <c r="E26" i="244" a="1"/>
  <c r="E26" i="244" s="1"/>
  <c r="E30" i="244" a="1"/>
  <c r="E30" i="244" s="1"/>
  <c r="E39" i="244" a="1"/>
  <c r="E39" i="244" s="1"/>
  <c r="D37" i="244" a="1"/>
  <c r="D37" i="244" s="1"/>
  <c r="E40" i="244" a="1"/>
  <c r="E40" i="244" s="1"/>
  <c r="G59" i="244" a="1"/>
  <c r="G59" i="244" s="1"/>
  <c r="D28" i="244" a="1"/>
  <c r="D28" i="244" s="1"/>
  <c r="H28" i="244" s="1"/>
  <c r="I28" i="244" s="1"/>
  <c r="F38" i="244" a="1"/>
  <c r="F38" i="244" s="1"/>
  <c r="G39" i="244" a="1"/>
  <c r="G39" i="244" s="1"/>
  <c r="G40" i="244" a="1"/>
  <c r="G40" i="244" s="1"/>
  <c r="G48" i="244" a="1"/>
  <c r="G48" i="244" s="1"/>
  <c r="F48" i="244" a="1"/>
  <c r="F48" i="244" s="1"/>
  <c r="D53" i="244" a="1"/>
  <c r="D53" i="244" s="1"/>
  <c r="E57" i="244" a="1"/>
  <c r="E57" i="244" s="1"/>
  <c r="G62" i="244" a="1"/>
  <c r="G62" i="244" s="1"/>
  <c r="G69" i="244" a="1"/>
  <c r="G69" i="244" s="1"/>
  <c r="D74" i="244" a="1"/>
  <c r="D74" i="244" s="1"/>
  <c r="F74" i="244" a="1"/>
  <c r="F74" i="244" s="1"/>
  <c r="E74" i="244" a="1"/>
  <c r="E74" i="244" s="1"/>
  <c r="G83" i="244" a="1"/>
  <c r="G83" i="244" s="1"/>
  <c r="D91" i="244" a="1"/>
  <c r="D91" i="244" s="1"/>
  <c r="E91" i="244" a="1"/>
  <c r="E91" i="244" s="1"/>
  <c r="G100" i="244" a="1"/>
  <c r="G100" i="244" s="1"/>
  <c r="E100" i="244" a="1"/>
  <c r="E100" i="244" s="1"/>
  <c r="F100" i="244" a="1"/>
  <c r="F100" i="244" s="1"/>
  <c r="D100" i="244" a="1"/>
  <c r="D100" i="244" s="1"/>
  <c r="E66" i="244" a="1"/>
  <c r="E66" i="244" s="1"/>
  <c r="E80" i="244" a="1"/>
  <c r="E80" i="244" s="1"/>
  <c r="G86" i="244" a="1"/>
  <c r="G86" i="244" s="1"/>
  <c r="D86" i="244" a="1"/>
  <c r="D86" i="244" s="1"/>
  <c r="E95" i="244" a="1"/>
  <c r="E95" i="244" s="1"/>
  <c r="D95" i="244" a="1"/>
  <c r="D95" i="244" s="1"/>
  <c r="G60" i="244" a="1"/>
  <c r="G60" i="244" s="1"/>
  <c r="G70" i="244" a="1"/>
  <c r="G70" i="244" s="1"/>
  <c r="G81" i="244" a="1"/>
  <c r="G81" i="244" s="1"/>
  <c r="G82" i="244" a="1"/>
  <c r="G82" i="244" s="1"/>
  <c r="D90" i="244" a="1"/>
  <c r="D90" i="244" s="1"/>
  <c r="G90" i="244" a="1"/>
  <c r="G90" i="244" s="1"/>
  <c r="D80" i="244" a="1"/>
  <c r="D80" i="244" s="1"/>
  <c r="G85" i="244" a="1"/>
  <c r="G85" i="244" s="1"/>
  <c r="F85" i="244" a="1"/>
  <c r="F85" i="244" s="1"/>
  <c r="F91" i="244" a="1"/>
  <c r="F91" i="244" s="1"/>
  <c r="D94" i="244" a="1"/>
  <c r="D94" i="244" s="1"/>
  <c r="G94" i="244" a="1"/>
  <c r="G94" i="244" s="1"/>
  <c r="G96" i="244" a="1"/>
  <c r="G96" i="244" s="1"/>
  <c r="D99" i="244" a="1"/>
  <c r="D99" i="244" s="1"/>
  <c r="E99" i="244" a="1"/>
  <c r="E99" i="244" s="1"/>
  <c r="F66" i="244" a="1"/>
  <c r="F66" i="244" s="1"/>
  <c r="E86" i="244" a="1"/>
  <c r="E86" i="244" s="1"/>
  <c r="G89" i="244" a="1"/>
  <c r="G89" i="244" s="1"/>
  <c r="F89" i="244" a="1"/>
  <c r="F89" i="244" s="1"/>
  <c r="G91" i="244" a="1"/>
  <c r="G91" i="244" s="1"/>
  <c r="F95" i="244" a="1"/>
  <c r="F95" i="244" s="1"/>
  <c r="G98" i="244" a="1"/>
  <c r="G98" i="244" s="1"/>
  <c r="D98" i="244" a="1"/>
  <c r="D98" i="244" s="1"/>
  <c r="F86" i="244" a="1"/>
  <c r="F86" i="244" s="1"/>
  <c r="F88" i="244" a="1"/>
  <c r="F88" i="244" s="1"/>
  <c r="E90" i="244" a="1"/>
  <c r="E90" i="244" s="1"/>
  <c r="F93" i="244" a="1"/>
  <c r="F93" i="244" s="1"/>
  <c r="G93" i="244" a="1"/>
  <c r="G93" i="244" s="1"/>
  <c r="G95" i="244" a="1"/>
  <c r="G95" i="244" s="1"/>
  <c r="E92" i="244" a="1"/>
  <c r="E92" i="244" s="1"/>
  <c r="E96" i="244" a="1"/>
  <c r="E96" i="244" s="1"/>
  <c r="F127" i="244"/>
  <c r="F60" i="243" a="1"/>
  <c r="F60" i="243" s="1"/>
  <c r="E60" i="243" a="1"/>
  <c r="E60" i="243" s="1"/>
  <c r="D60" i="243" a="1"/>
  <c r="D60" i="243" s="1"/>
  <c r="D37" i="243" a="1"/>
  <c r="D37" i="243" s="1"/>
  <c r="E77" i="243" a="1"/>
  <c r="E77" i="243" s="1"/>
  <c r="G77" i="243" a="1"/>
  <c r="G77" i="243" s="1"/>
  <c r="F77" i="243" a="1"/>
  <c r="F77" i="243" s="1"/>
  <c r="D77" i="243" a="1"/>
  <c r="D77" i="243" s="1"/>
  <c r="G55" i="243" a="1"/>
  <c r="G55" i="243" s="1"/>
  <c r="D55" i="243" a="1"/>
  <c r="D55" i="243" s="1"/>
  <c r="E88" i="243" a="1"/>
  <c r="E88" i="243" s="1"/>
  <c r="D88" i="243" a="1"/>
  <c r="D88" i="243" s="1"/>
  <c r="F29" i="243" a="1"/>
  <c r="F29" i="243" s="1"/>
  <c r="D29" i="243" a="1"/>
  <c r="D29" i="243" s="1"/>
  <c r="D72" i="243" a="1"/>
  <c r="D72" i="243" s="1"/>
  <c r="F72" i="243" a="1"/>
  <c r="F72" i="243" s="1"/>
  <c r="E72" i="243" a="1"/>
  <c r="E72" i="243" s="1"/>
  <c r="E56" i="243" a="1"/>
  <c r="E56" i="243" s="1"/>
  <c r="G62" i="243" a="1"/>
  <c r="G62" i="243" s="1"/>
  <c r="D63" i="243" a="1"/>
  <c r="D63" i="243" s="1"/>
  <c r="G70" i="243" a="1"/>
  <c r="G70" i="243" s="1"/>
  <c r="D83" i="243" a="1"/>
  <c r="D83" i="243" s="1"/>
  <c r="D86" i="243" a="1"/>
  <c r="D86" i="243" s="1"/>
  <c r="F31" i="243" a="1"/>
  <c r="F31" i="243" s="1"/>
  <c r="D34" i="243" a="1"/>
  <c r="D34" i="243" s="1"/>
  <c r="D44" i="243" a="1"/>
  <c r="D44" i="243" s="1"/>
  <c r="E85" i="243" a="1"/>
  <c r="E85" i="243" s="1"/>
  <c r="G26" i="243" a="1"/>
  <c r="G26" i="243" s="1"/>
  <c r="G51" i="243" a="1"/>
  <c r="G51" i="243" s="1"/>
  <c r="D62" i="243" a="1"/>
  <c r="D62" i="243" s="1"/>
  <c r="G75" i="243" a="1"/>
  <c r="G75" i="243" s="1"/>
  <c r="E84" i="243" a="1"/>
  <c r="E84" i="243" s="1"/>
  <c r="F25" i="243" a="1"/>
  <c r="F25" i="243" s="1"/>
  <c r="G28" i="243" a="1"/>
  <c r="G28" i="243" s="1"/>
  <c r="E44" i="243" a="1"/>
  <c r="E44" i="243" s="1"/>
  <c r="E62" i="243" a="1"/>
  <c r="E62" i="243" s="1"/>
  <c r="G50" i="243" a="1"/>
  <c r="G50" i="243" s="1"/>
  <c r="F62" i="243" a="1"/>
  <c r="F62" i="243" s="1"/>
  <c r="G78" i="243" a="1"/>
  <c r="G78" i="243" s="1"/>
  <c r="D79" i="243" a="1"/>
  <c r="D79" i="243" s="1"/>
  <c r="E87" i="243" a="1"/>
  <c r="E87" i="243" s="1"/>
  <c r="F88" i="243" a="1"/>
  <c r="F88" i="243" s="1"/>
  <c r="G40" i="243" a="1"/>
  <c r="G40" i="243" s="1"/>
  <c r="D25" i="243" a="1"/>
  <c r="D25" i="243" s="1"/>
  <c r="G43" i="243" a="1"/>
  <c r="G43" i="243" s="1"/>
  <c r="F44" i="243" a="1"/>
  <c r="F44" i="243" s="1"/>
  <c r="E76" i="243" a="1"/>
  <c r="E76" i="243" s="1"/>
  <c r="E32" i="243" a="1"/>
  <c r="E32" i="243" s="1"/>
  <c r="D32" i="243" a="1"/>
  <c r="D32" i="243" s="1"/>
  <c r="G32" i="243" a="1"/>
  <c r="G32" i="243" s="1"/>
  <c r="F32" i="243" a="1"/>
  <c r="F32" i="243" s="1"/>
  <c r="E41" i="243" a="1"/>
  <c r="E41" i="243" s="1"/>
  <c r="F41" i="243" a="1"/>
  <c r="F41" i="243" s="1"/>
  <c r="D41" i="243" a="1"/>
  <c r="D41" i="243" s="1"/>
  <c r="G41" i="243" a="1"/>
  <c r="G41" i="243" s="1"/>
  <c r="F54" i="243" a="1"/>
  <c r="F54" i="243" s="1"/>
  <c r="E54" i="243" a="1"/>
  <c r="E54" i="243" s="1"/>
  <c r="D54" i="243" a="1"/>
  <c r="D54" i="243" s="1"/>
  <c r="G54" i="243" a="1"/>
  <c r="G54" i="243" s="1"/>
  <c r="F58" i="243" a="1"/>
  <c r="F58" i="243" s="1"/>
  <c r="E58" i="243" a="1"/>
  <c r="E58" i="243" s="1"/>
  <c r="E27" i="243" a="1"/>
  <c r="E27" i="243" s="1"/>
  <c r="F27" i="243" a="1"/>
  <c r="F27" i="243" s="1"/>
  <c r="E48" i="243" a="1"/>
  <c r="E48" i="243" s="1"/>
  <c r="D48" i="243" a="1"/>
  <c r="D48" i="243" s="1"/>
  <c r="E59" i="243" a="1"/>
  <c r="E59" i="243" s="1"/>
  <c r="F59" i="243" a="1"/>
  <c r="F59" i="243" s="1"/>
  <c r="G59" i="243" a="1"/>
  <c r="G59" i="243" s="1"/>
  <c r="D59" i="243" a="1"/>
  <c r="D59" i="243" s="1"/>
  <c r="F67" i="243" a="1"/>
  <c r="F67" i="243" s="1"/>
  <c r="E67" i="243" a="1"/>
  <c r="E67" i="243" s="1"/>
  <c r="D67" i="243" a="1"/>
  <c r="D67" i="243" s="1"/>
  <c r="G67" i="243" a="1"/>
  <c r="G67" i="243" s="1"/>
  <c r="G30" i="243" a="1"/>
  <c r="G30" i="243" s="1"/>
  <c r="E30" i="243" a="1"/>
  <c r="E30" i="243" s="1"/>
  <c r="D30" i="243" a="1"/>
  <c r="D30" i="243" s="1"/>
  <c r="F30" i="243" a="1"/>
  <c r="F30" i="243" s="1"/>
  <c r="E39" i="243" a="1"/>
  <c r="E39" i="243" s="1"/>
  <c r="D39" i="243" a="1"/>
  <c r="D39" i="243" s="1"/>
  <c r="G39" i="243" a="1"/>
  <c r="G39" i="243" s="1"/>
  <c r="F39" i="243" a="1"/>
  <c r="F39" i="243" s="1"/>
  <c r="D49" i="243" a="1"/>
  <c r="D49" i="243" s="1"/>
  <c r="E49" i="243" a="1"/>
  <c r="E49" i="243" s="1"/>
  <c r="F49" i="243" a="1"/>
  <c r="F49" i="243" s="1"/>
  <c r="G49" i="243" a="1"/>
  <c r="G49" i="243" s="1"/>
  <c r="D71" i="243" a="1"/>
  <c r="D71" i="243" s="1"/>
  <c r="F71" i="243" a="1"/>
  <c r="F71" i="243" s="1"/>
  <c r="E71" i="243" a="1"/>
  <c r="E71" i="243" s="1"/>
  <c r="G71" i="243" a="1"/>
  <c r="G71" i="243" s="1"/>
  <c r="D35" i="243" a="1"/>
  <c r="D35" i="243" s="1"/>
  <c r="E35" i="243" a="1"/>
  <c r="E35" i="243" s="1"/>
  <c r="G35" i="243" a="1"/>
  <c r="G35" i="243" s="1"/>
  <c r="F35" i="243" a="1"/>
  <c r="F35" i="243" s="1"/>
  <c r="D42" i="243" a="1"/>
  <c r="D42" i="243" s="1"/>
  <c r="E42" i="243" a="1"/>
  <c r="E42" i="243" s="1"/>
  <c r="F42" i="243" a="1"/>
  <c r="F42" i="243" s="1"/>
  <c r="E52" i="243" a="1"/>
  <c r="E52" i="243" s="1"/>
  <c r="D65" i="243" a="1"/>
  <c r="D65" i="243" s="1"/>
  <c r="F65" i="243" a="1"/>
  <c r="F65" i="243" s="1"/>
  <c r="G65" i="243" a="1"/>
  <c r="G65" i="243" s="1"/>
  <c r="E65" i="243" a="1"/>
  <c r="E65" i="243" s="1"/>
  <c r="E31" i="243" a="1"/>
  <c r="E31" i="243" s="1"/>
  <c r="E36" i="243" a="1"/>
  <c r="E36" i="243" s="1"/>
  <c r="G36" i="243" a="1"/>
  <c r="G36" i="243" s="1"/>
  <c r="F36" i="243" a="1"/>
  <c r="F36" i="243" s="1"/>
  <c r="D36" i="243" a="1"/>
  <c r="D36" i="243" s="1"/>
  <c r="D53" i="243" a="1"/>
  <c r="D53" i="243" s="1"/>
  <c r="F53" i="243" a="1"/>
  <c r="F53" i="243" s="1"/>
  <c r="E53" i="243" a="1"/>
  <c r="E53" i="243" s="1"/>
  <c r="G53" i="243" a="1"/>
  <c r="G53" i="243" s="1"/>
  <c r="D82" i="243" a="1"/>
  <c r="D82" i="243" s="1"/>
  <c r="F82" i="243" a="1"/>
  <c r="F82" i="243" s="1"/>
  <c r="E82" i="243" a="1"/>
  <c r="E82" i="243" s="1"/>
  <c r="E45" i="243" a="1"/>
  <c r="E45" i="243" s="1"/>
  <c r="D45" i="243" a="1"/>
  <c r="D45" i="243" s="1"/>
  <c r="G45" i="243" a="1"/>
  <c r="G45" i="243" s="1"/>
  <c r="F45" i="243" a="1"/>
  <c r="F45" i="243" s="1"/>
  <c r="E66" i="243" a="1"/>
  <c r="E66" i="243" s="1"/>
  <c r="F66" i="243" a="1"/>
  <c r="F66" i="243" s="1"/>
  <c r="D66" i="243" a="1"/>
  <c r="D66" i="243" s="1"/>
  <c r="G57" i="243" a="1"/>
  <c r="G57" i="243" s="1"/>
  <c r="D57" i="243" a="1"/>
  <c r="D57" i="243" s="1"/>
  <c r="D46" i="243" a="1"/>
  <c r="D46" i="243" s="1"/>
  <c r="G48" i="243" a="1"/>
  <c r="G48" i="243" s="1"/>
  <c r="E50" i="243" a="1"/>
  <c r="E50" i="243" s="1"/>
  <c r="G58" i="243" a="1"/>
  <c r="G58" i="243" s="1"/>
  <c r="D80" i="243" a="1"/>
  <c r="D80" i="243" s="1"/>
  <c r="G93" i="243" a="1"/>
  <c r="G93" i="243" s="1"/>
  <c r="E93" i="243" a="1"/>
  <c r="E93" i="243" s="1"/>
  <c r="F93" i="243" a="1"/>
  <c r="F93" i="243" s="1"/>
  <c r="D93" i="243" a="1"/>
  <c r="D93" i="243" s="1"/>
  <c r="G38" i="243" a="1"/>
  <c r="G38" i="243" s="1"/>
  <c r="F98" i="243" a="1"/>
  <c r="F98" i="243" s="1"/>
  <c r="E98" i="243" a="1"/>
  <c r="E98" i="243" s="1"/>
  <c r="G25" i="243" a="1"/>
  <c r="G25" i="243" s="1"/>
  <c r="D26" i="243" a="1"/>
  <c r="D26" i="243" s="1"/>
  <c r="E34" i="243" a="1"/>
  <c r="E34" i="243" s="1"/>
  <c r="E46" i="243" a="1"/>
  <c r="E46" i="243" s="1"/>
  <c r="E51" i="243" a="1"/>
  <c r="E51" i="243" s="1"/>
  <c r="D52" i="243" a="1"/>
  <c r="D52" i="243" s="1"/>
  <c r="F55" i="243" a="1"/>
  <c r="F55" i="243" s="1"/>
  <c r="E57" i="243" a="1"/>
  <c r="E57" i="243" s="1"/>
  <c r="E64" i="243" a="1"/>
  <c r="E64" i="243" s="1"/>
  <c r="G64" i="243" a="1"/>
  <c r="G64" i="243" s="1"/>
  <c r="F89" i="243" a="1"/>
  <c r="F89" i="243" s="1"/>
  <c r="D89" i="243" a="1"/>
  <c r="D89" i="243" s="1"/>
  <c r="G96" i="243" a="1"/>
  <c r="G96" i="243" s="1"/>
  <c r="F96" i="243" a="1"/>
  <c r="F96" i="243" s="1"/>
  <c r="D96" i="243" a="1"/>
  <c r="D96" i="243" s="1"/>
  <c r="E28" i="243" a="1"/>
  <c r="E28" i="243" s="1"/>
  <c r="F33" i="243" a="1"/>
  <c r="F33" i="243" s="1"/>
  <c r="G33" i="243" a="1"/>
  <c r="G33" i="243" s="1"/>
  <c r="D47" i="243" a="1"/>
  <c r="D47" i="243" s="1"/>
  <c r="G82" i="243" a="1"/>
  <c r="G82" i="243" s="1"/>
  <c r="E29" i="243" a="1"/>
  <c r="E29" i="243" s="1"/>
  <c r="D43" i="243" a="1"/>
  <c r="D43" i="243" s="1"/>
  <c r="D28" i="243" a="1"/>
  <c r="D28" i="243" s="1"/>
  <c r="D33" i="243" a="1"/>
  <c r="D33" i="243" s="1"/>
  <c r="F37" i="243" a="1"/>
  <c r="F37" i="243" s="1"/>
  <c r="G37" i="243" a="1"/>
  <c r="G37" i="243" s="1"/>
  <c r="D38" i="243" a="1"/>
  <c r="D38" i="243" s="1"/>
  <c r="E40" i="243" a="1"/>
  <c r="E40" i="243" s="1"/>
  <c r="E47" i="243" a="1"/>
  <c r="E47" i="243" s="1"/>
  <c r="G94" i="243" a="1"/>
  <c r="G94" i="243" s="1"/>
  <c r="F94" i="243" a="1"/>
  <c r="F94" i="243" s="1"/>
  <c r="E94" i="243" a="1"/>
  <c r="E94" i="243" s="1"/>
  <c r="D94" i="243" a="1"/>
  <c r="D94" i="243" s="1"/>
  <c r="F70" i="243" a="1"/>
  <c r="F70" i="243" s="1"/>
  <c r="E70" i="243" a="1"/>
  <c r="E70" i="243" s="1"/>
  <c r="D70" i="243" a="1"/>
  <c r="D70" i="243" s="1"/>
  <c r="D40" i="243" a="1"/>
  <c r="D40" i="243" s="1"/>
  <c r="E26" i="243" a="1"/>
  <c r="E26" i="243" s="1"/>
  <c r="D27" i="243" a="1"/>
  <c r="D27" i="243" s="1"/>
  <c r="G27" i="243" a="1"/>
  <c r="G27" i="243" s="1"/>
  <c r="F34" i="243" a="1"/>
  <c r="F34" i="243" s="1"/>
  <c r="E38" i="243" a="1"/>
  <c r="E38" i="243" s="1"/>
  <c r="G42" i="243" a="1"/>
  <c r="G42" i="243" s="1"/>
  <c r="F47" i="243" a="1"/>
  <c r="F47" i="243" s="1"/>
  <c r="F57" i="243" a="1"/>
  <c r="F57" i="243" s="1"/>
  <c r="G63" i="243" a="1"/>
  <c r="G63" i="243" s="1"/>
  <c r="F63" i="243" a="1"/>
  <c r="F63" i="243" s="1"/>
  <c r="D68" i="243" a="1"/>
  <c r="D68" i="243" s="1"/>
  <c r="F68" i="243" a="1"/>
  <c r="F68" i="243" s="1"/>
  <c r="E69" i="243" a="1"/>
  <c r="E69" i="243" s="1"/>
  <c r="D69" i="243" a="1"/>
  <c r="D69" i="243" s="1"/>
  <c r="F73" i="243" a="1"/>
  <c r="F73" i="243" s="1"/>
  <c r="D73" i="243" a="1"/>
  <c r="D73" i="243" s="1"/>
  <c r="D81" i="243" a="1"/>
  <c r="D81" i="243" s="1"/>
  <c r="G81" i="243" a="1"/>
  <c r="G81" i="243" s="1"/>
  <c r="F81" i="243" a="1"/>
  <c r="F81" i="243" s="1"/>
  <c r="E89" i="243" a="1"/>
  <c r="E89" i="243" s="1"/>
  <c r="G29" i="243" a="1"/>
  <c r="G29" i="243" s="1"/>
  <c r="E33" i="243" a="1"/>
  <c r="E33" i="243" s="1"/>
  <c r="F50" i="243" a="1"/>
  <c r="F50" i="243" s="1"/>
  <c r="E55" i="243" a="1"/>
  <c r="E55" i="243" s="1"/>
  <c r="F26" i="243" a="1"/>
  <c r="F26" i="243" s="1"/>
  <c r="F28" i="243" a="1"/>
  <c r="F28" i="243" s="1"/>
  <c r="G47" i="243" a="1"/>
  <c r="G47" i="243" s="1"/>
  <c r="F56" i="243" a="1"/>
  <c r="F56" i="243" s="1"/>
  <c r="G56" i="243" a="1"/>
  <c r="G56" i="243" s="1"/>
  <c r="F64" i="243" a="1"/>
  <c r="F64" i="243" s="1"/>
  <c r="E68" i="243" a="1"/>
  <c r="E68" i="243" s="1"/>
  <c r="G90" i="243" a="1"/>
  <c r="G90" i="243" s="1"/>
  <c r="E90" i="243" a="1"/>
  <c r="E90" i="243" s="1"/>
  <c r="D90" i="243" a="1"/>
  <c r="D90" i="243" s="1"/>
  <c r="F90" i="243" a="1"/>
  <c r="F90" i="243" s="1"/>
  <c r="G92" i="243" a="1"/>
  <c r="G92" i="243" s="1"/>
  <c r="F92" i="243" a="1"/>
  <c r="F92" i="243" s="1"/>
  <c r="E92" i="243" a="1"/>
  <c r="E92" i="243" s="1"/>
  <c r="D92" i="243" a="1"/>
  <c r="D92" i="243" s="1"/>
  <c r="D31" i="243" a="1"/>
  <c r="D31" i="243" s="1"/>
  <c r="G31" i="243" a="1"/>
  <c r="G31" i="243" s="1"/>
  <c r="E43" i="243" a="1"/>
  <c r="E43" i="243" s="1"/>
  <c r="D51" i="243" a="1"/>
  <c r="D51" i="243" s="1"/>
  <c r="F52" i="243" a="1"/>
  <c r="F52" i="243" s="1"/>
  <c r="G66" i="243" a="1"/>
  <c r="G66" i="243" s="1"/>
  <c r="E81" i="243" a="1"/>
  <c r="E81" i="243" s="1"/>
  <c r="D95" i="243" a="1"/>
  <c r="D95" i="243" s="1"/>
  <c r="G95" i="243" a="1"/>
  <c r="G95" i="243" s="1"/>
  <c r="F95" i="243" a="1"/>
  <c r="F95" i="243" s="1"/>
  <c r="E95" i="243" a="1"/>
  <c r="E95" i="243" s="1"/>
  <c r="E91" i="243" a="1"/>
  <c r="E91" i="243" s="1"/>
  <c r="E97" i="243" a="1"/>
  <c r="E97" i="243" s="1"/>
  <c r="F48" i="243" a="1"/>
  <c r="F48" i="243" s="1"/>
  <c r="E74" i="243" a="1"/>
  <c r="E74" i="243" s="1"/>
  <c r="D74" i="243" a="1"/>
  <c r="D74" i="243" s="1"/>
  <c r="G76" i="243" a="1"/>
  <c r="G76" i="243" s="1"/>
  <c r="F76" i="243" a="1"/>
  <c r="F76" i="243" s="1"/>
  <c r="F79" i="243" a="1"/>
  <c r="F79" i="243" s="1"/>
  <c r="G80" i="243" a="1"/>
  <c r="G80" i="243" s="1"/>
  <c r="G83" i="243" a="1"/>
  <c r="G83" i="243" s="1"/>
  <c r="D91" i="243" a="1"/>
  <c r="D91" i="243" s="1"/>
  <c r="G46" i="243" a="1"/>
  <c r="G46" i="243" s="1"/>
  <c r="D58" i="243" a="1"/>
  <c r="D58" i="243" s="1"/>
  <c r="E61" i="243" a="1"/>
  <c r="E61" i="243" s="1"/>
  <c r="F86" i="243" a="1"/>
  <c r="F86" i="243" s="1"/>
  <c r="D87" i="243" a="1"/>
  <c r="D87" i="243" s="1"/>
  <c r="G97" i="243" a="1"/>
  <c r="G97" i="243" s="1"/>
  <c r="F100" i="243" a="1"/>
  <c r="F100" i="243" s="1"/>
  <c r="D100" i="243" a="1"/>
  <c r="D100" i="243" s="1"/>
  <c r="F84" i="243" a="1"/>
  <c r="F84" i="243" s="1"/>
  <c r="D84" i="243" a="1"/>
  <c r="D84" i="243" s="1"/>
  <c r="F91" i="243" a="1"/>
  <c r="F91" i="243" s="1"/>
  <c r="F99" i="243" a="1"/>
  <c r="F99" i="243" s="1"/>
  <c r="E99" i="243" a="1"/>
  <c r="E99" i="243" s="1"/>
  <c r="G79" i="243" a="1"/>
  <c r="G79" i="243" s="1"/>
  <c r="E80" i="243" a="1"/>
  <c r="E80" i="243" s="1"/>
  <c r="F83" i="243" a="1"/>
  <c r="F83" i="243" s="1"/>
  <c r="E83" i="243" a="1"/>
  <c r="E83" i="243" s="1"/>
  <c r="G98" i="243" a="1"/>
  <c r="G98" i="243" s="1"/>
  <c r="E100" i="243" a="1"/>
  <c r="E100" i="243" s="1"/>
  <c r="E96" i="243" a="1"/>
  <c r="E96" i="243" s="1"/>
  <c r="F97" i="243" a="1"/>
  <c r="F97" i="243" s="1"/>
  <c r="D97" i="243" a="1"/>
  <c r="D97" i="243" s="1"/>
  <c r="G69" i="243" a="1"/>
  <c r="G69" i="243" s="1"/>
  <c r="G85" i="243" a="1"/>
  <c r="G85" i="243" s="1"/>
  <c r="G60" i="243" a="1"/>
  <c r="G60" i="243" s="1"/>
  <c r="D98" i="243" a="1"/>
  <c r="D98" i="243" s="1"/>
  <c r="H89" i="261" l="1"/>
  <c r="I89" i="261" s="1"/>
  <c r="H87" i="266"/>
  <c r="I87" i="266" s="1"/>
  <c r="H59" i="266"/>
  <c r="I59" i="266" s="1"/>
  <c r="H85" i="266"/>
  <c r="I85" i="266" s="1"/>
  <c r="H73" i="266"/>
  <c r="I73" i="266" s="1"/>
  <c r="H25" i="266"/>
  <c r="H41" i="265"/>
  <c r="I41" i="265" s="1"/>
  <c r="H97" i="266"/>
  <c r="I97" i="266" s="1"/>
  <c r="H77" i="266"/>
  <c r="I77" i="266" s="1"/>
  <c r="H32" i="266"/>
  <c r="I32" i="266" s="1"/>
  <c r="H33" i="266"/>
  <c r="I33" i="266" s="1"/>
  <c r="H58" i="266"/>
  <c r="I58" i="266" s="1"/>
  <c r="H62" i="266"/>
  <c r="I62" i="266" s="1"/>
  <c r="H43" i="266"/>
  <c r="I43" i="266" s="1"/>
  <c r="H63" i="266"/>
  <c r="I63" i="266" s="1"/>
  <c r="H55" i="266"/>
  <c r="I55" i="266" s="1"/>
  <c r="H38" i="266"/>
  <c r="I38" i="266" s="1"/>
  <c r="H65" i="266"/>
  <c r="I65" i="266" s="1"/>
  <c r="H29" i="266"/>
  <c r="I29" i="266" s="1"/>
  <c r="H59" i="258"/>
  <c r="I59" i="258" s="1"/>
  <c r="H75" i="261"/>
  <c r="I75" i="261" s="1"/>
  <c r="H84" i="262"/>
  <c r="I84" i="262" s="1"/>
  <c r="H58" i="265"/>
  <c r="I58" i="265" s="1"/>
  <c r="H96" i="266"/>
  <c r="I96" i="266" s="1"/>
  <c r="H78" i="266"/>
  <c r="I78" i="266" s="1"/>
  <c r="H41" i="266"/>
  <c r="I41" i="266" s="1"/>
  <c r="H91" i="261"/>
  <c r="I91" i="261" s="1"/>
  <c r="H50" i="266"/>
  <c r="I50" i="266" s="1"/>
  <c r="H35" i="266"/>
  <c r="I35" i="266" s="1"/>
  <c r="H77" i="262"/>
  <c r="I77" i="262" s="1"/>
  <c r="H94" i="265"/>
  <c r="I94" i="265" s="1"/>
  <c r="H98" i="266"/>
  <c r="I98" i="266" s="1"/>
  <c r="H71" i="266"/>
  <c r="I71" i="266" s="1"/>
  <c r="H52" i="266"/>
  <c r="I52" i="266" s="1"/>
  <c r="H100" i="266"/>
  <c r="I100" i="266" s="1"/>
  <c r="H60" i="266"/>
  <c r="I60" i="266" s="1"/>
  <c r="H30" i="266"/>
  <c r="I30" i="266" s="1"/>
  <c r="I25" i="266"/>
  <c r="H88" i="266"/>
  <c r="I88" i="266" s="1"/>
  <c r="H37" i="266"/>
  <c r="I37" i="266" s="1"/>
  <c r="H39" i="266"/>
  <c r="I39" i="266" s="1"/>
  <c r="H44" i="266"/>
  <c r="I44" i="266" s="1"/>
  <c r="H64" i="266"/>
  <c r="I64" i="266" s="1"/>
  <c r="H31" i="266"/>
  <c r="I31" i="266" s="1"/>
  <c r="H40" i="266"/>
  <c r="I40" i="266" s="1"/>
  <c r="H74" i="266"/>
  <c r="I74" i="266" s="1"/>
  <c r="H49" i="266"/>
  <c r="I49" i="266" s="1"/>
  <c r="H70" i="266"/>
  <c r="I70" i="266" s="1"/>
  <c r="H52" i="257"/>
  <c r="I52" i="257" s="1"/>
  <c r="H99" i="263"/>
  <c r="I99" i="263" s="1"/>
  <c r="H28" i="263"/>
  <c r="I28" i="263" s="1"/>
  <c r="H37" i="264"/>
  <c r="I37" i="264" s="1"/>
  <c r="H64" i="264"/>
  <c r="I64" i="264" s="1"/>
  <c r="H75" i="264"/>
  <c r="I75" i="264" s="1"/>
  <c r="H54" i="265"/>
  <c r="I54" i="265" s="1"/>
  <c r="H63" i="258"/>
  <c r="I63" i="258" s="1"/>
  <c r="H64" i="260"/>
  <c r="I64" i="260" s="1"/>
  <c r="H72" i="265"/>
  <c r="I72" i="265" s="1"/>
  <c r="H80" i="263"/>
  <c r="I80" i="263" s="1"/>
  <c r="H36" i="264"/>
  <c r="I36" i="264" s="1"/>
  <c r="H96" i="265"/>
  <c r="I96" i="265" s="1"/>
  <c r="H55" i="265"/>
  <c r="I55" i="265" s="1"/>
  <c r="H43" i="265"/>
  <c r="I43" i="265" s="1"/>
  <c r="H27" i="265"/>
  <c r="I27" i="265" s="1"/>
  <c r="H90" i="259"/>
  <c r="I90" i="259" s="1"/>
  <c r="H59" i="260"/>
  <c r="I59" i="260" s="1"/>
  <c r="H98" i="264"/>
  <c r="I98" i="264" s="1"/>
  <c r="H51" i="264"/>
  <c r="I51" i="264" s="1"/>
  <c r="H38" i="264"/>
  <c r="I38" i="264" s="1"/>
  <c r="H66" i="264"/>
  <c r="I66" i="264" s="1"/>
  <c r="H51" i="265"/>
  <c r="I51" i="265" s="1"/>
  <c r="H70" i="265"/>
  <c r="I70" i="265" s="1"/>
  <c r="H35" i="265"/>
  <c r="I35" i="265" s="1"/>
  <c r="H47" i="265"/>
  <c r="I47" i="265" s="1"/>
  <c r="H34" i="265"/>
  <c r="I34" i="265" s="1"/>
  <c r="H74" i="261"/>
  <c r="I74" i="261" s="1"/>
  <c r="H35" i="262"/>
  <c r="I35" i="262" s="1"/>
  <c r="H43" i="263"/>
  <c r="I43" i="263" s="1"/>
  <c r="H39" i="263"/>
  <c r="I39" i="263" s="1"/>
  <c r="H54" i="264"/>
  <c r="I54" i="264" s="1"/>
  <c r="H63" i="264"/>
  <c r="I63" i="264" s="1"/>
  <c r="H61" i="264"/>
  <c r="I61" i="264" s="1"/>
  <c r="H56" i="264"/>
  <c r="I56" i="264" s="1"/>
  <c r="H48" i="264"/>
  <c r="I48" i="264" s="1"/>
  <c r="H39" i="265"/>
  <c r="I39" i="265" s="1"/>
  <c r="H45" i="265"/>
  <c r="I45" i="265" s="1"/>
  <c r="H98" i="265"/>
  <c r="I98" i="265" s="1"/>
  <c r="H76" i="265"/>
  <c r="I76" i="265" s="1"/>
  <c r="H32" i="265"/>
  <c r="I32" i="265" s="1"/>
  <c r="H30" i="265"/>
  <c r="I30" i="265" s="1"/>
  <c r="H93" i="265"/>
  <c r="I93" i="265" s="1"/>
  <c r="H60" i="265"/>
  <c r="I60" i="265" s="1"/>
  <c r="H97" i="265"/>
  <c r="I97" i="265" s="1"/>
  <c r="H58" i="264"/>
  <c r="I58" i="264" s="1"/>
  <c r="H62" i="264"/>
  <c r="I62" i="264" s="1"/>
  <c r="H89" i="265"/>
  <c r="I89" i="265" s="1"/>
  <c r="H48" i="265"/>
  <c r="I48" i="265" s="1"/>
  <c r="H99" i="265"/>
  <c r="I99" i="265" s="1"/>
  <c r="H92" i="265"/>
  <c r="I92" i="265" s="1"/>
  <c r="H95" i="265"/>
  <c r="I95" i="265" s="1"/>
  <c r="H90" i="248"/>
  <c r="I90" i="248" s="1"/>
  <c r="H54" i="256"/>
  <c r="I54" i="256" s="1"/>
  <c r="H67" i="258"/>
  <c r="I67" i="258" s="1"/>
  <c r="H72" i="260"/>
  <c r="I72" i="260" s="1"/>
  <c r="H47" i="263"/>
  <c r="I47" i="263" s="1"/>
  <c r="H100" i="264"/>
  <c r="I100" i="264" s="1"/>
  <c r="H29" i="264"/>
  <c r="I29" i="264" s="1"/>
  <c r="H85" i="265"/>
  <c r="I85" i="265" s="1"/>
  <c r="H40" i="265"/>
  <c r="I40" i="265" s="1"/>
  <c r="H77" i="265"/>
  <c r="I77" i="265" s="1"/>
  <c r="H37" i="265"/>
  <c r="I37" i="265" s="1"/>
  <c r="H29" i="265"/>
  <c r="I29" i="265" s="1"/>
  <c r="H78" i="260"/>
  <c r="I78" i="260" s="1"/>
  <c r="H79" i="264"/>
  <c r="I79" i="264" s="1"/>
  <c r="H59" i="265"/>
  <c r="I59" i="265" s="1"/>
  <c r="H42" i="265"/>
  <c r="I42" i="265" s="1"/>
  <c r="H75" i="265"/>
  <c r="I75" i="265" s="1"/>
  <c r="H87" i="265"/>
  <c r="I87" i="265" s="1"/>
  <c r="H61" i="265"/>
  <c r="I61" i="265" s="1"/>
  <c r="H67" i="265"/>
  <c r="I67" i="265" s="1"/>
  <c r="H100" i="265"/>
  <c r="I100" i="265" s="1"/>
  <c r="H53" i="265"/>
  <c r="I53" i="265" s="1"/>
  <c r="H36" i="265"/>
  <c r="I36" i="265" s="1"/>
  <c r="H31" i="265"/>
  <c r="I31" i="265" s="1"/>
  <c r="H88" i="261"/>
  <c r="I88" i="261" s="1"/>
  <c r="H66" i="261"/>
  <c r="I66" i="261" s="1"/>
  <c r="H46" i="261"/>
  <c r="I46" i="261" s="1"/>
  <c r="H83" i="262"/>
  <c r="I83" i="262" s="1"/>
  <c r="H60" i="263"/>
  <c r="I60" i="263" s="1"/>
  <c r="H89" i="263"/>
  <c r="I89" i="263" s="1"/>
  <c r="H96" i="263"/>
  <c r="I96" i="263" s="1"/>
  <c r="H26" i="263"/>
  <c r="I26" i="263" s="1"/>
  <c r="H80" i="264"/>
  <c r="I80" i="264" s="1"/>
  <c r="H33" i="264"/>
  <c r="I33" i="264" s="1"/>
  <c r="H43" i="264"/>
  <c r="I43" i="264" s="1"/>
  <c r="H99" i="264"/>
  <c r="I99" i="264" s="1"/>
  <c r="H95" i="264"/>
  <c r="I95" i="264" s="1"/>
  <c r="H84" i="264"/>
  <c r="I84" i="264" s="1"/>
  <c r="H42" i="264"/>
  <c r="I42" i="264" s="1"/>
  <c r="H50" i="264"/>
  <c r="I50" i="264" s="1"/>
  <c r="H73" i="259"/>
  <c r="I73" i="259" s="1"/>
  <c r="H57" i="263"/>
  <c r="I57" i="263" s="1"/>
  <c r="H74" i="263"/>
  <c r="I74" i="263" s="1"/>
  <c r="H85" i="264"/>
  <c r="I85" i="264" s="1"/>
  <c r="H68" i="264"/>
  <c r="I68" i="264" s="1"/>
  <c r="H71" i="264"/>
  <c r="I71" i="264" s="1"/>
  <c r="H72" i="262"/>
  <c r="I72" i="262" s="1"/>
  <c r="H54" i="263"/>
  <c r="I54" i="263" s="1"/>
  <c r="H47" i="264"/>
  <c r="I47" i="264" s="1"/>
  <c r="H55" i="264"/>
  <c r="I55" i="264" s="1"/>
  <c r="H90" i="261"/>
  <c r="I90" i="261" s="1"/>
  <c r="H28" i="264"/>
  <c r="I28" i="264" s="1"/>
  <c r="H52" i="264"/>
  <c r="I52" i="264" s="1"/>
  <c r="H94" i="260"/>
  <c r="I94" i="260" s="1"/>
  <c r="H53" i="261"/>
  <c r="I53" i="261" s="1"/>
  <c r="H67" i="262"/>
  <c r="I67" i="262" s="1"/>
  <c r="H67" i="264"/>
  <c r="I67" i="264" s="1"/>
  <c r="H44" i="264"/>
  <c r="I44" i="264" s="1"/>
  <c r="H78" i="264"/>
  <c r="I78" i="264" s="1"/>
  <c r="H39" i="264"/>
  <c r="I39" i="264" s="1"/>
  <c r="H53" i="264"/>
  <c r="I53" i="264" s="1"/>
  <c r="H42" i="255"/>
  <c r="I42" i="255" s="1"/>
  <c r="H99" i="257"/>
  <c r="I99" i="257" s="1"/>
  <c r="H80" i="260"/>
  <c r="I80" i="260" s="1"/>
  <c r="H78" i="263"/>
  <c r="I78" i="263" s="1"/>
  <c r="H40" i="264"/>
  <c r="I40" i="264" s="1"/>
  <c r="H26" i="264"/>
  <c r="I26" i="264" s="1"/>
  <c r="H70" i="264"/>
  <c r="I70" i="264" s="1"/>
  <c r="H34" i="264"/>
  <c r="I34" i="264" s="1"/>
  <c r="H72" i="264"/>
  <c r="I72" i="264" s="1"/>
  <c r="H60" i="264"/>
  <c r="I60" i="264" s="1"/>
  <c r="H59" i="264"/>
  <c r="I59" i="264" s="1"/>
  <c r="H30" i="264"/>
  <c r="I30" i="264" s="1"/>
  <c r="H30" i="261"/>
  <c r="I30" i="261" s="1"/>
  <c r="H44" i="261"/>
  <c r="I44" i="261" s="1"/>
  <c r="H53" i="262"/>
  <c r="I53" i="262" s="1"/>
  <c r="H52" i="262"/>
  <c r="I52" i="262" s="1"/>
  <c r="H56" i="263"/>
  <c r="I56" i="263" s="1"/>
  <c r="H36" i="263"/>
  <c r="I36" i="263" s="1"/>
  <c r="H98" i="263"/>
  <c r="I98" i="263" s="1"/>
  <c r="H48" i="263"/>
  <c r="I48" i="263" s="1"/>
  <c r="H86" i="264"/>
  <c r="I86" i="264" s="1"/>
  <c r="H46" i="264"/>
  <c r="I46" i="264" s="1"/>
  <c r="H32" i="264"/>
  <c r="I32" i="264" s="1"/>
  <c r="H31" i="264"/>
  <c r="I31" i="264" s="1"/>
  <c r="H35" i="264"/>
  <c r="I35" i="264" s="1"/>
  <c r="H67" i="263"/>
  <c r="I67" i="263" s="1"/>
  <c r="I25" i="264"/>
  <c r="H82" i="264"/>
  <c r="I82" i="264" s="1"/>
  <c r="H91" i="264"/>
  <c r="I91" i="264" s="1"/>
  <c r="H73" i="264"/>
  <c r="I73" i="264" s="1"/>
  <c r="H96" i="264"/>
  <c r="I96" i="264" s="1"/>
  <c r="H83" i="264"/>
  <c r="I83" i="264" s="1"/>
  <c r="H93" i="264"/>
  <c r="I93" i="264" s="1"/>
  <c r="H48" i="257"/>
  <c r="I48" i="257" s="1"/>
  <c r="H26" i="260"/>
  <c r="I26" i="260" s="1"/>
  <c r="H75" i="260"/>
  <c r="I75" i="260" s="1"/>
  <c r="H69" i="261"/>
  <c r="I69" i="261" s="1"/>
  <c r="H82" i="261"/>
  <c r="I82" i="261" s="1"/>
  <c r="H25" i="261"/>
  <c r="H93" i="249"/>
  <c r="I93" i="249" s="1"/>
  <c r="H75" i="254"/>
  <c r="I75" i="254" s="1"/>
  <c r="H28" i="259"/>
  <c r="I28" i="259" s="1"/>
  <c r="H30" i="260"/>
  <c r="I30" i="260" s="1"/>
  <c r="H87" i="261"/>
  <c r="I87" i="261" s="1"/>
  <c r="H33" i="262"/>
  <c r="I33" i="262" s="1"/>
  <c r="H32" i="263"/>
  <c r="I32" i="263" s="1"/>
  <c r="H72" i="263"/>
  <c r="I72" i="263" s="1"/>
  <c r="H64" i="263"/>
  <c r="I64" i="263" s="1"/>
  <c r="H40" i="263"/>
  <c r="I40" i="263" s="1"/>
  <c r="H62" i="263"/>
  <c r="I62" i="263" s="1"/>
  <c r="H27" i="263"/>
  <c r="I27" i="263" s="1"/>
  <c r="H32" i="257"/>
  <c r="I32" i="257" s="1"/>
  <c r="H51" i="260"/>
  <c r="I51" i="260" s="1"/>
  <c r="H78" i="261"/>
  <c r="I78" i="261" s="1"/>
  <c r="H49" i="263"/>
  <c r="I49" i="263" s="1"/>
  <c r="H45" i="263"/>
  <c r="I45" i="263" s="1"/>
  <c r="H91" i="263"/>
  <c r="I91" i="263" s="1"/>
  <c r="H42" i="263"/>
  <c r="I42" i="263" s="1"/>
  <c r="H46" i="263"/>
  <c r="I46" i="263" s="1"/>
  <c r="H34" i="263"/>
  <c r="I34" i="263" s="1"/>
  <c r="H29" i="263"/>
  <c r="I29" i="263" s="1"/>
  <c r="H78" i="258"/>
  <c r="I78" i="258" s="1"/>
  <c r="H44" i="259"/>
  <c r="I44" i="259" s="1"/>
  <c r="H26" i="259"/>
  <c r="I26" i="259" s="1"/>
  <c r="H62" i="261"/>
  <c r="I62" i="261" s="1"/>
  <c r="H37" i="261"/>
  <c r="I37" i="261" s="1"/>
  <c r="H97" i="262"/>
  <c r="I97" i="262" s="1"/>
  <c r="H87" i="262"/>
  <c r="I87" i="262" s="1"/>
  <c r="H79" i="262"/>
  <c r="I79" i="262" s="1"/>
  <c r="H78" i="262"/>
  <c r="I78" i="262" s="1"/>
  <c r="H74" i="262"/>
  <c r="I74" i="262" s="1"/>
  <c r="H27" i="262"/>
  <c r="I27" i="262" s="1"/>
  <c r="H87" i="263"/>
  <c r="I87" i="263" s="1"/>
  <c r="H31" i="263"/>
  <c r="I31" i="263" s="1"/>
  <c r="H58" i="263"/>
  <c r="I58" i="263" s="1"/>
  <c r="H73" i="263"/>
  <c r="I73" i="263" s="1"/>
  <c r="H92" i="259"/>
  <c r="I92" i="259" s="1"/>
  <c r="H83" i="259"/>
  <c r="I83" i="259" s="1"/>
  <c r="H38" i="261"/>
  <c r="I38" i="261" s="1"/>
  <c r="H100" i="262"/>
  <c r="I100" i="262" s="1"/>
  <c r="H89" i="262"/>
  <c r="I89" i="262" s="1"/>
  <c r="H55" i="262"/>
  <c r="I55" i="262" s="1"/>
  <c r="H79" i="263"/>
  <c r="I79" i="263" s="1"/>
  <c r="H86" i="263"/>
  <c r="I86" i="263" s="1"/>
  <c r="H63" i="263"/>
  <c r="I63" i="263" s="1"/>
  <c r="H81" i="263"/>
  <c r="I81" i="263" s="1"/>
  <c r="H38" i="263"/>
  <c r="I38" i="263" s="1"/>
  <c r="H90" i="263"/>
  <c r="I90" i="263" s="1"/>
  <c r="H68" i="263"/>
  <c r="I68" i="263" s="1"/>
  <c r="H59" i="263"/>
  <c r="I59" i="263" s="1"/>
  <c r="H70" i="260"/>
  <c r="I70" i="260" s="1"/>
  <c r="H38" i="260"/>
  <c r="I38" i="260" s="1"/>
  <c r="H42" i="260"/>
  <c r="I42" i="260" s="1"/>
  <c r="H48" i="260"/>
  <c r="I48" i="260" s="1"/>
  <c r="H51" i="261"/>
  <c r="I51" i="261" s="1"/>
  <c r="H100" i="263"/>
  <c r="I100" i="263" s="1"/>
  <c r="H97" i="263"/>
  <c r="I97" i="263" s="1"/>
  <c r="H77" i="263"/>
  <c r="I77" i="263" s="1"/>
  <c r="H61" i="263"/>
  <c r="I61" i="263" s="1"/>
  <c r="H52" i="263"/>
  <c r="I52" i="263" s="1"/>
  <c r="H53" i="263"/>
  <c r="I53" i="263" s="1"/>
  <c r="H66" i="263"/>
  <c r="I66" i="263" s="1"/>
  <c r="H30" i="263"/>
  <c r="I30" i="263" s="1"/>
  <c r="H51" i="259"/>
  <c r="I51" i="259" s="1"/>
  <c r="H70" i="259"/>
  <c r="I70" i="259" s="1"/>
  <c r="H90" i="260"/>
  <c r="I90" i="260" s="1"/>
  <c r="H39" i="260"/>
  <c r="I39" i="260" s="1"/>
  <c r="H77" i="260"/>
  <c r="I77" i="260" s="1"/>
  <c r="H72" i="261"/>
  <c r="I72" i="261" s="1"/>
  <c r="H42" i="261"/>
  <c r="I42" i="261" s="1"/>
  <c r="H99" i="262"/>
  <c r="I99" i="262" s="1"/>
  <c r="H66" i="262"/>
  <c r="I66" i="262" s="1"/>
  <c r="H59" i="262"/>
  <c r="I59" i="262" s="1"/>
  <c r="H40" i="262"/>
  <c r="I40" i="262" s="1"/>
  <c r="H95" i="263"/>
  <c r="I95" i="263" s="1"/>
  <c r="H33" i="263"/>
  <c r="I33" i="263" s="1"/>
  <c r="H88" i="263"/>
  <c r="I88" i="263" s="1"/>
  <c r="H70" i="263"/>
  <c r="I70" i="263" s="1"/>
  <c r="H50" i="263"/>
  <c r="I50" i="263" s="1"/>
  <c r="H55" i="263"/>
  <c r="I55" i="263" s="1"/>
  <c r="H69" i="263"/>
  <c r="I69" i="263" s="1"/>
  <c r="H35" i="263"/>
  <c r="I35" i="263" s="1"/>
  <c r="H92" i="263"/>
  <c r="I92" i="263" s="1"/>
  <c r="H25" i="263"/>
  <c r="H88" i="249"/>
  <c r="I88" i="249" s="1"/>
  <c r="H64" i="258"/>
  <c r="I64" i="258" s="1"/>
  <c r="H99" i="261"/>
  <c r="I99" i="261" s="1"/>
  <c r="H63" i="261"/>
  <c r="I63" i="261" s="1"/>
  <c r="H56" i="261"/>
  <c r="I56" i="261" s="1"/>
  <c r="H48" i="261"/>
  <c r="I48" i="261" s="1"/>
  <c r="H54" i="261"/>
  <c r="I54" i="261" s="1"/>
  <c r="H90" i="262"/>
  <c r="I90" i="262" s="1"/>
  <c r="H57" i="262"/>
  <c r="I57" i="262" s="1"/>
  <c r="H37" i="262"/>
  <c r="I37" i="262" s="1"/>
  <c r="H88" i="262"/>
  <c r="I88" i="262" s="1"/>
  <c r="H76" i="257"/>
  <c r="I76" i="257" s="1"/>
  <c r="H74" i="259"/>
  <c r="I74" i="259" s="1"/>
  <c r="H55" i="259"/>
  <c r="I55" i="259" s="1"/>
  <c r="H70" i="261"/>
  <c r="I70" i="261" s="1"/>
  <c r="H95" i="262"/>
  <c r="I95" i="262" s="1"/>
  <c r="H94" i="262"/>
  <c r="I94" i="262" s="1"/>
  <c r="H65" i="262"/>
  <c r="I65" i="262" s="1"/>
  <c r="H41" i="262"/>
  <c r="I41" i="262" s="1"/>
  <c r="H39" i="262"/>
  <c r="I39" i="262" s="1"/>
  <c r="H82" i="262"/>
  <c r="I82" i="262" s="1"/>
  <c r="H58" i="258"/>
  <c r="I58" i="258" s="1"/>
  <c r="H86" i="262"/>
  <c r="I86" i="262" s="1"/>
  <c r="H60" i="262"/>
  <c r="I60" i="262" s="1"/>
  <c r="H42" i="262"/>
  <c r="I42" i="262" s="1"/>
  <c r="H82" i="253"/>
  <c r="I82" i="253" s="1"/>
  <c r="H75" i="258"/>
  <c r="I75" i="258" s="1"/>
  <c r="H98" i="261"/>
  <c r="I98" i="261" s="1"/>
  <c r="H62" i="262"/>
  <c r="I62" i="262" s="1"/>
  <c r="H51" i="262"/>
  <c r="I51" i="262" s="1"/>
  <c r="H38" i="262"/>
  <c r="I38" i="262" s="1"/>
  <c r="H64" i="262"/>
  <c r="I64" i="262" s="1"/>
  <c r="H50" i="262"/>
  <c r="I50" i="262" s="1"/>
  <c r="H73" i="260"/>
  <c r="I73" i="260" s="1"/>
  <c r="H73" i="261"/>
  <c r="I73" i="261" s="1"/>
  <c r="H44" i="262"/>
  <c r="I44" i="262" s="1"/>
  <c r="H30" i="262"/>
  <c r="I30" i="262" s="1"/>
  <c r="H45" i="262"/>
  <c r="I45" i="262" s="1"/>
  <c r="H98" i="262"/>
  <c r="I98" i="262" s="1"/>
  <c r="H69" i="262"/>
  <c r="I69" i="262" s="1"/>
  <c r="H61" i="262"/>
  <c r="I61" i="262" s="1"/>
  <c r="H26" i="262"/>
  <c r="I26" i="262" s="1"/>
  <c r="H50" i="261"/>
  <c r="I50" i="261" s="1"/>
  <c r="H70" i="262"/>
  <c r="I70" i="262" s="1"/>
  <c r="H31" i="262"/>
  <c r="I31" i="262" s="1"/>
  <c r="H81" i="262"/>
  <c r="I81" i="262" s="1"/>
  <c r="H71" i="262"/>
  <c r="I71" i="262" s="1"/>
  <c r="H58" i="262"/>
  <c r="I58" i="262" s="1"/>
  <c r="H80" i="262"/>
  <c r="I80" i="262" s="1"/>
  <c r="H93" i="262"/>
  <c r="I93" i="262" s="1"/>
  <c r="H36" i="262"/>
  <c r="I36" i="262" s="1"/>
  <c r="H49" i="262"/>
  <c r="I49" i="262" s="1"/>
  <c r="H91" i="262"/>
  <c r="I91" i="262" s="1"/>
  <c r="H96" i="262"/>
  <c r="I96" i="262" s="1"/>
  <c r="H43" i="262"/>
  <c r="I43" i="262" s="1"/>
  <c r="H76" i="262"/>
  <c r="I76" i="262" s="1"/>
  <c r="I25" i="262"/>
  <c r="H47" i="259"/>
  <c r="I47" i="259" s="1"/>
  <c r="H67" i="261"/>
  <c r="I67" i="261" s="1"/>
  <c r="H64" i="261"/>
  <c r="I64" i="261" s="1"/>
  <c r="H33" i="261"/>
  <c r="I33" i="261" s="1"/>
  <c r="H86" i="258"/>
  <c r="I86" i="258" s="1"/>
  <c r="H25" i="259"/>
  <c r="H39" i="261"/>
  <c r="I39" i="261" s="1"/>
  <c r="H97" i="261"/>
  <c r="I97" i="261" s="1"/>
  <c r="H85" i="261"/>
  <c r="I85" i="261" s="1"/>
  <c r="H32" i="261"/>
  <c r="I32" i="261" s="1"/>
  <c r="H40" i="261"/>
  <c r="I40" i="261" s="1"/>
  <c r="H94" i="261"/>
  <c r="I94" i="261" s="1"/>
  <c r="H25" i="257"/>
  <c r="H37" i="258"/>
  <c r="I37" i="258" s="1"/>
  <c r="H94" i="258"/>
  <c r="I94" i="258" s="1"/>
  <c r="H82" i="258"/>
  <c r="I82" i="258" s="1"/>
  <c r="H55" i="260"/>
  <c r="I55" i="260" s="1"/>
  <c r="H83" i="261"/>
  <c r="I83" i="261" s="1"/>
  <c r="H36" i="261"/>
  <c r="I36" i="261" s="1"/>
  <c r="H61" i="261"/>
  <c r="I61" i="261" s="1"/>
  <c r="H94" i="250"/>
  <c r="I94" i="250" s="1"/>
  <c r="H56" i="254"/>
  <c r="I56" i="254" s="1"/>
  <c r="H91" i="255"/>
  <c r="I91" i="255" s="1"/>
  <c r="H51" i="256"/>
  <c r="I51" i="256" s="1"/>
  <c r="H88" i="258"/>
  <c r="I88" i="258" s="1"/>
  <c r="H85" i="260"/>
  <c r="I85" i="260" s="1"/>
  <c r="H100" i="261"/>
  <c r="I100" i="261" s="1"/>
  <c r="H92" i="261"/>
  <c r="I92" i="261" s="1"/>
  <c r="H27" i="261"/>
  <c r="I27" i="261" s="1"/>
  <c r="H45" i="261"/>
  <c r="I45" i="261" s="1"/>
  <c r="H65" i="261"/>
  <c r="I65" i="261" s="1"/>
  <c r="H57" i="251"/>
  <c r="I57" i="251" s="1"/>
  <c r="H93" i="259"/>
  <c r="I93" i="259" s="1"/>
  <c r="H97" i="260"/>
  <c r="I97" i="260" s="1"/>
  <c r="H98" i="260"/>
  <c r="I98" i="260" s="1"/>
  <c r="H34" i="260"/>
  <c r="I34" i="260" s="1"/>
  <c r="H54" i="260"/>
  <c r="I54" i="260" s="1"/>
  <c r="H86" i="261"/>
  <c r="I86" i="261" s="1"/>
  <c r="H80" i="261"/>
  <c r="I80" i="261" s="1"/>
  <c r="H26" i="261"/>
  <c r="I26" i="261" s="1"/>
  <c r="H52" i="261"/>
  <c r="I52" i="261" s="1"/>
  <c r="H28" i="261"/>
  <c r="I28" i="261" s="1"/>
  <c r="H70" i="255"/>
  <c r="I70" i="255" s="1"/>
  <c r="H82" i="256"/>
  <c r="I82" i="256" s="1"/>
  <c r="H72" i="259"/>
  <c r="I72" i="259" s="1"/>
  <c r="H31" i="259"/>
  <c r="I31" i="259" s="1"/>
  <c r="H32" i="259"/>
  <c r="I32" i="259" s="1"/>
  <c r="H57" i="260"/>
  <c r="I57" i="260" s="1"/>
  <c r="H58" i="260"/>
  <c r="I58" i="260" s="1"/>
  <c r="H60" i="260"/>
  <c r="I60" i="260" s="1"/>
  <c r="H53" i="260"/>
  <c r="I53" i="260" s="1"/>
  <c r="H37" i="260"/>
  <c r="I37" i="260" s="1"/>
  <c r="H96" i="261"/>
  <c r="I96" i="261" s="1"/>
  <c r="H41" i="261"/>
  <c r="I41" i="261" s="1"/>
  <c r="H58" i="261"/>
  <c r="I58" i="261" s="1"/>
  <c r="H31" i="261"/>
  <c r="I31" i="261" s="1"/>
  <c r="H43" i="260"/>
  <c r="I43" i="260" s="1"/>
  <c r="H49" i="261"/>
  <c r="I49" i="261" s="1"/>
  <c r="H29" i="261"/>
  <c r="I29" i="261" s="1"/>
  <c r="I25" i="261"/>
  <c r="H84" i="261"/>
  <c r="I84" i="261" s="1"/>
  <c r="H59" i="261"/>
  <c r="I59" i="261" s="1"/>
  <c r="H81" i="261"/>
  <c r="I81" i="261" s="1"/>
  <c r="H79" i="261"/>
  <c r="I79" i="261" s="1"/>
  <c r="H55" i="261"/>
  <c r="I55" i="261" s="1"/>
  <c r="H76" i="261"/>
  <c r="I76" i="261" s="1"/>
  <c r="H34" i="261"/>
  <c r="I34" i="261" s="1"/>
  <c r="H60" i="261"/>
  <c r="I60" i="261" s="1"/>
  <c r="H42" i="259"/>
  <c r="I42" i="259" s="1"/>
  <c r="H100" i="260"/>
  <c r="I100" i="260" s="1"/>
  <c r="H92" i="260"/>
  <c r="I92" i="260" s="1"/>
  <c r="H67" i="260"/>
  <c r="I67" i="260" s="1"/>
  <c r="H68" i="260"/>
  <c r="I68" i="260" s="1"/>
  <c r="H31" i="260"/>
  <c r="I31" i="260" s="1"/>
  <c r="H28" i="260"/>
  <c r="I28" i="260" s="1"/>
  <c r="H40" i="260"/>
  <c r="I40" i="260" s="1"/>
  <c r="H36" i="260"/>
  <c r="I36" i="260" s="1"/>
  <c r="H27" i="260"/>
  <c r="I27" i="260" s="1"/>
  <c r="H41" i="260"/>
  <c r="I41" i="260" s="1"/>
  <c r="H61" i="260"/>
  <c r="I61" i="260" s="1"/>
  <c r="H52" i="260"/>
  <c r="I52" i="260" s="1"/>
  <c r="H69" i="249"/>
  <c r="I69" i="249" s="1"/>
  <c r="H47" i="254"/>
  <c r="I47" i="254" s="1"/>
  <c r="H47" i="255"/>
  <c r="I47" i="255" s="1"/>
  <c r="H74" i="258"/>
  <c r="I74" i="258" s="1"/>
  <c r="H87" i="258"/>
  <c r="I87" i="258" s="1"/>
  <c r="H84" i="260"/>
  <c r="I84" i="260" s="1"/>
  <c r="H81" i="260"/>
  <c r="I81" i="260" s="1"/>
  <c r="H96" i="260"/>
  <c r="I96" i="260" s="1"/>
  <c r="H79" i="254"/>
  <c r="I79" i="254" s="1"/>
  <c r="H57" i="255"/>
  <c r="I57" i="255" s="1"/>
  <c r="H56" i="259"/>
  <c r="I56" i="259" s="1"/>
  <c r="H71" i="260"/>
  <c r="I71" i="260" s="1"/>
  <c r="H62" i="260"/>
  <c r="I62" i="260" s="1"/>
  <c r="H45" i="260"/>
  <c r="I45" i="260" s="1"/>
  <c r="H46" i="255"/>
  <c r="I46" i="255" s="1"/>
  <c r="H72" i="255"/>
  <c r="I72" i="255" s="1"/>
  <c r="H61" i="256"/>
  <c r="I61" i="256" s="1"/>
  <c r="H93" i="256"/>
  <c r="I93" i="256" s="1"/>
  <c r="H84" i="259"/>
  <c r="I84" i="259" s="1"/>
  <c r="H54" i="259"/>
  <c r="I54" i="259" s="1"/>
  <c r="H76" i="260"/>
  <c r="I76" i="260" s="1"/>
  <c r="H93" i="260"/>
  <c r="I93" i="260" s="1"/>
  <c r="H44" i="260"/>
  <c r="I44" i="260" s="1"/>
  <c r="H49" i="260"/>
  <c r="I49" i="260" s="1"/>
  <c r="H65" i="260"/>
  <c r="I65" i="260" s="1"/>
  <c r="H62" i="248"/>
  <c r="I62" i="248" s="1"/>
  <c r="H50" i="251"/>
  <c r="I50" i="251" s="1"/>
  <c r="H76" i="249"/>
  <c r="I76" i="249" s="1"/>
  <c r="H76" i="254"/>
  <c r="I76" i="254" s="1"/>
  <c r="H62" i="257"/>
  <c r="I62" i="257" s="1"/>
  <c r="H51" i="257"/>
  <c r="I51" i="257" s="1"/>
  <c r="H54" i="257"/>
  <c r="I54" i="257" s="1"/>
  <c r="H80" i="258"/>
  <c r="I80" i="258" s="1"/>
  <c r="H70" i="258"/>
  <c r="I70" i="258" s="1"/>
  <c r="H99" i="259"/>
  <c r="I99" i="259" s="1"/>
  <c r="H80" i="259"/>
  <c r="I80" i="259" s="1"/>
  <c r="H61" i="259"/>
  <c r="I61" i="259" s="1"/>
  <c r="H37" i="259"/>
  <c r="I37" i="259" s="1"/>
  <c r="H89" i="260"/>
  <c r="I89" i="260" s="1"/>
  <c r="H47" i="260"/>
  <c r="I47" i="260" s="1"/>
  <c r="H32" i="260"/>
  <c r="I32" i="260" s="1"/>
  <c r="H77" i="258"/>
  <c r="I77" i="258" s="1"/>
  <c r="H25" i="258"/>
  <c r="I25" i="258" s="1"/>
  <c r="H29" i="258"/>
  <c r="I29" i="258" s="1"/>
  <c r="H34" i="259"/>
  <c r="I34" i="259" s="1"/>
  <c r="H89" i="259"/>
  <c r="I89" i="259" s="1"/>
  <c r="H77" i="259"/>
  <c r="I77" i="259" s="1"/>
  <c r="H49" i="259"/>
  <c r="I49" i="259" s="1"/>
  <c r="H99" i="260"/>
  <c r="I99" i="260" s="1"/>
  <c r="H46" i="260"/>
  <c r="I46" i="260" s="1"/>
  <c r="H66" i="260"/>
  <c r="I66" i="260" s="1"/>
  <c r="H72" i="254"/>
  <c r="I72" i="254" s="1"/>
  <c r="H35" i="255"/>
  <c r="I35" i="255" s="1"/>
  <c r="H69" i="260"/>
  <c r="I69" i="260" s="1"/>
  <c r="H70" i="257"/>
  <c r="I70" i="257" s="1"/>
  <c r="H65" i="259"/>
  <c r="I65" i="259" s="1"/>
  <c r="H86" i="259"/>
  <c r="I86" i="259" s="1"/>
  <c r="H95" i="260"/>
  <c r="I95" i="260" s="1"/>
  <c r="H33" i="260"/>
  <c r="I33" i="260" s="1"/>
  <c r="H29" i="260"/>
  <c r="I29" i="260" s="1"/>
  <c r="H25" i="260"/>
  <c r="I25" i="260" s="1"/>
  <c r="H82" i="260"/>
  <c r="I82" i="260" s="1"/>
  <c r="H83" i="260"/>
  <c r="I83" i="260" s="1"/>
  <c r="H91" i="260"/>
  <c r="I91" i="260" s="1"/>
  <c r="H35" i="260"/>
  <c r="I35" i="260" s="1"/>
  <c r="H50" i="260"/>
  <c r="I50" i="260" s="1"/>
  <c r="H88" i="260"/>
  <c r="I88" i="260" s="1"/>
  <c r="H63" i="260"/>
  <c r="I63" i="260" s="1"/>
  <c r="H56" i="260"/>
  <c r="I56" i="260" s="1"/>
  <c r="H81" i="250"/>
  <c r="I81" i="250" s="1"/>
  <c r="H77" i="251"/>
  <c r="I77" i="251" s="1"/>
  <c r="H74" i="251"/>
  <c r="I74" i="251" s="1"/>
  <c r="H41" i="251"/>
  <c r="I41" i="251" s="1"/>
  <c r="H33" i="255"/>
  <c r="I33" i="255" s="1"/>
  <c r="H85" i="257"/>
  <c r="I85" i="257" s="1"/>
  <c r="H98" i="258"/>
  <c r="I98" i="258" s="1"/>
  <c r="H76" i="258"/>
  <c r="I76" i="258" s="1"/>
  <c r="H73" i="258"/>
  <c r="I73" i="258" s="1"/>
  <c r="H85" i="258"/>
  <c r="I85" i="258" s="1"/>
  <c r="H54" i="258"/>
  <c r="I54" i="258" s="1"/>
  <c r="H68" i="259"/>
  <c r="I68" i="259" s="1"/>
  <c r="H81" i="259"/>
  <c r="I81" i="259" s="1"/>
  <c r="H38" i="259"/>
  <c r="I38" i="259" s="1"/>
  <c r="H39" i="259"/>
  <c r="I39" i="259" s="1"/>
  <c r="H63" i="259"/>
  <c r="I63" i="259" s="1"/>
  <c r="H54" i="248"/>
  <c r="I54" i="248" s="1"/>
  <c r="H70" i="249"/>
  <c r="I70" i="249" s="1"/>
  <c r="H78" i="250"/>
  <c r="I78" i="250" s="1"/>
  <c r="H40" i="257"/>
  <c r="I40" i="257" s="1"/>
  <c r="H89" i="257"/>
  <c r="I89" i="257" s="1"/>
  <c r="H61" i="258"/>
  <c r="I61" i="258" s="1"/>
  <c r="H86" i="256"/>
  <c r="I86" i="256" s="1"/>
  <c r="H52" i="256"/>
  <c r="I52" i="256" s="1"/>
  <c r="H98" i="257"/>
  <c r="I98" i="257" s="1"/>
  <c r="H97" i="257"/>
  <c r="I97" i="257" s="1"/>
  <c r="H63" i="257"/>
  <c r="I63" i="257" s="1"/>
  <c r="H62" i="258"/>
  <c r="I62" i="258" s="1"/>
  <c r="H48" i="258"/>
  <c r="I48" i="258" s="1"/>
  <c r="H97" i="259"/>
  <c r="I97" i="259" s="1"/>
  <c r="H58" i="259"/>
  <c r="I58" i="259" s="1"/>
  <c r="H71" i="259"/>
  <c r="I71" i="259" s="1"/>
  <c r="H53" i="259"/>
  <c r="I53" i="259" s="1"/>
  <c r="H80" i="257"/>
  <c r="I80" i="257" s="1"/>
  <c r="H75" i="257"/>
  <c r="I75" i="257" s="1"/>
  <c r="H71" i="258"/>
  <c r="I71" i="258" s="1"/>
  <c r="H62" i="259"/>
  <c r="I62" i="259" s="1"/>
  <c r="H48" i="259"/>
  <c r="I48" i="259" s="1"/>
  <c r="H52" i="259"/>
  <c r="I52" i="259" s="1"/>
  <c r="H67" i="259"/>
  <c r="I67" i="259" s="1"/>
  <c r="H69" i="259"/>
  <c r="I69" i="259" s="1"/>
  <c r="H46" i="259"/>
  <c r="I46" i="259" s="1"/>
  <c r="H78" i="248"/>
  <c r="I78" i="248" s="1"/>
  <c r="H88" i="250"/>
  <c r="I88" i="250" s="1"/>
  <c r="H71" i="254"/>
  <c r="I71" i="254" s="1"/>
  <c r="H46" i="256"/>
  <c r="I46" i="256" s="1"/>
  <c r="H74" i="256"/>
  <c r="I74" i="256" s="1"/>
  <c r="H96" i="257"/>
  <c r="I96" i="257" s="1"/>
  <c r="H36" i="257"/>
  <c r="I36" i="257" s="1"/>
  <c r="H44" i="258"/>
  <c r="I44" i="258" s="1"/>
  <c r="H41" i="258"/>
  <c r="I41" i="258" s="1"/>
  <c r="H40" i="259"/>
  <c r="I40" i="259" s="1"/>
  <c r="H57" i="259"/>
  <c r="I57" i="259" s="1"/>
  <c r="H91" i="259"/>
  <c r="I91" i="259" s="1"/>
  <c r="H78" i="259"/>
  <c r="I78" i="259" s="1"/>
  <c r="H98" i="259"/>
  <c r="I98" i="259" s="1"/>
  <c r="H60" i="259"/>
  <c r="I60" i="259" s="1"/>
  <c r="H66" i="259"/>
  <c r="I66" i="259" s="1"/>
  <c r="H33" i="259"/>
  <c r="I33" i="259" s="1"/>
  <c r="H45" i="259"/>
  <c r="I45" i="259" s="1"/>
  <c r="H61" i="251"/>
  <c r="I61" i="251" s="1"/>
  <c r="H92" i="257"/>
  <c r="I92" i="257" s="1"/>
  <c r="H84" i="257"/>
  <c r="I84" i="257" s="1"/>
  <c r="H69" i="257"/>
  <c r="I69" i="257" s="1"/>
  <c r="H90" i="257"/>
  <c r="I90" i="257" s="1"/>
  <c r="H26" i="257"/>
  <c r="I26" i="257" s="1"/>
  <c r="H93" i="258"/>
  <c r="I93" i="258" s="1"/>
  <c r="H40" i="258"/>
  <c r="I40" i="258" s="1"/>
  <c r="H35" i="258"/>
  <c r="I35" i="258" s="1"/>
  <c r="H79" i="259"/>
  <c r="I79" i="259" s="1"/>
  <c r="H85" i="259"/>
  <c r="I85" i="259" s="1"/>
  <c r="H75" i="259"/>
  <c r="I75" i="259" s="1"/>
  <c r="H64" i="259"/>
  <c r="I64" i="259" s="1"/>
  <c r="H96" i="259"/>
  <c r="I96" i="259" s="1"/>
  <c r="H70" i="253"/>
  <c r="I70" i="253" s="1"/>
  <c r="H81" i="253"/>
  <c r="I81" i="253" s="1"/>
  <c r="H41" i="254"/>
  <c r="I41" i="254" s="1"/>
  <c r="H60" i="256"/>
  <c r="I60" i="256" s="1"/>
  <c r="H59" i="257"/>
  <c r="I59" i="257" s="1"/>
  <c r="H56" i="257"/>
  <c r="I56" i="257" s="1"/>
  <c r="H38" i="257"/>
  <c r="I38" i="257" s="1"/>
  <c r="H81" i="258"/>
  <c r="I81" i="258" s="1"/>
  <c r="H50" i="259"/>
  <c r="I50" i="259" s="1"/>
  <c r="H41" i="259"/>
  <c r="I41" i="259" s="1"/>
  <c r="H59" i="259"/>
  <c r="I59" i="259" s="1"/>
  <c r="H30" i="259"/>
  <c r="I30" i="259" s="1"/>
  <c r="H29" i="259"/>
  <c r="I29" i="259" s="1"/>
  <c r="I25" i="259"/>
  <c r="H94" i="259"/>
  <c r="I94" i="259" s="1"/>
  <c r="H95" i="259"/>
  <c r="I95" i="259" s="1"/>
  <c r="H87" i="259"/>
  <c r="I87" i="259" s="1"/>
  <c r="H35" i="259"/>
  <c r="I35" i="259" s="1"/>
  <c r="H43" i="259"/>
  <c r="I43" i="259" s="1"/>
  <c r="H36" i="259"/>
  <c r="I36" i="259" s="1"/>
  <c r="H100" i="259"/>
  <c r="I100" i="259" s="1"/>
  <c r="H76" i="259"/>
  <c r="I76" i="259" s="1"/>
  <c r="H27" i="259"/>
  <c r="I27" i="259" s="1"/>
  <c r="H25" i="246"/>
  <c r="H65" i="253"/>
  <c r="I65" i="253" s="1"/>
  <c r="H49" i="255"/>
  <c r="I49" i="255" s="1"/>
  <c r="H44" i="257"/>
  <c r="I44" i="257" s="1"/>
  <c r="H31" i="255"/>
  <c r="I31" i="255" s="1"/>
  <c r="H71" i="257"/>
  <c r="I71" i="257" s="1"/>
  <c r="H93" i="257"/>
  <c r="I93" i="257" s="1"/>
  <c r="H47" i="257"/>
  <c r="I47" i="257" s="1"/>
  <c r="H39" i="257"/>
  <c r="I39" i="257" s="1"/>
  <c r="H42" i="258"/>
  <c r="I42" i="258" s="1"/>
  <c r="H26" i="258"/>
  <c r="I26" i="258" s="1"/>
  <c r="H30" i="258"/>
  <c r="I30" i="258" s="1"/>
  <c r="H47" i="258"/>
  <c r="I47" i="258" s="1"/>
  <c r="H79" i="258"/>
  <c r="I79" i="258" s="1"/>
  <c r="H28" i="258"/>
  <c r="I28" i="258" s="1"/>
  <c r="H66" i="249"/>
  <c r="I66" i="249" s="1"/>
  <c r="H86" i="250"/>
  <c r="I86" i="250" s="1"/>
  <c r="H61" i="255"/>
  <c r="I61" i="255" s="1"/>
  <c r="H80" i="255"/>
  <c r="I80" i="255" s="1"/>
  <c r="H30" i="256"/>
  <c r="I30" i="256" s="1"/>
  <c r="H27" i="256"/>
  <c r="I27" i="256" s="1"/>
  <c r="H99" i="256"/>
  <c r="I99" i="256" s="1"/>
  <c r="H60" i="257"/>
  <c r="I60" i="257" s="1"/>
  <c r="H27" i="257"/>
  <c r="I27" i="257" s="1"/>
  <c r="H99" i="258"/>
  <c r="I99" i="258" s="1"/>
  <c r="H39" i="258"/>
  <c r="I39" i="258" s="1"/>
  <c r="H51" i="251"/>
  <c r="I51" i="251" s="1"/>
  <c r="H25" i="253"/>
  <c r="H25" i="254"/>
  <c r="H85" i="256"/>
  <c r="I85" i="256" s="1"/>
  <c r="H95" i="257"/>
  <c r="I95" i="257" s="1"/>
  <c r="H97" i="258"/>
  <c r="I97" i="258" s="1"/>
  <c r="H92" i="258"/>
  <c r="I92" i="258" s="1"/>
  <c r="H51" i="258"/>
  <c r="I51" i="258" s="1"/>
  <c r="H89" i="258"/>
  <c r="I89" i="258" s="1"/>
  <c r="H68" i="258"/>
  <c r="I68" i="258" s="1"/>
  <c r="H68" i="249"/>
  <c r="I68" i="249" s="1"/>
  <c r="H76" i="256"/>
  <c r="I76" i="256" s="1"/>
  <c r="H88" i="256"/>
  <c r="I88" i="256" s="1"/>
  <c r="H25" i="256"/>
  <c r="H62" i="256"/>
  <c r="I62" i="256" s="1"/>
  <c r="H95" i="258"/>
  <c r="I95" i="258" s="1"/>
  <c r="H90" i="258"/>
  <c r="I90" i="258" s="1"/>
  <c r="H50" i="258"/>
  <c r="I50" i="258" s="1"/>
  <c r="H43" i="258"/>
  <c r="I43" i="258" s="1"/>
  <c r="H69" i="258"/>
  <c r="I69" i="258" s="1"/>
  <c r="H60" i="258"/>
  <c r="I60" i="258" s="1"/>
  <c r="H31" i="258"/>
  <c r="I31" i="258" s="1"/>
  <c r="H76" i="252"/>
  <c r="I76" i="252" s="1"/>
  <c r="H95" i="254"/>
  <c r="I95" i="254" s="1"/>
  <c r="H68" i="254"/>
  <c r="I68" i="254" s="1"/>
  <c r="H67" i="254"/>
  <c r="I67" i="254" s="1"/>
  <c r="H72" i="256"/>
  <c r="I72" i="256" s="1"/>
  <c r="H79" i="257"/>
  <c r="I79" i="257" s="1"/>
  <c r="H81" i="257"/>
  <c r="I81" i="257" s="1"/>
  <c r="H45" i="257"/>
  <c r="I45" i="257" s="1"/>
  <c r="H31" i="257"/>
  <c r="I31" i="257" s="1"/>
  <c r="H65" i="257"/>
  <c r="I65" i="257" s="1"/>
  <c r="H83" i="257"/>
  <c r="I83" i="257" s="1"/>
  <c r="H46" i="258"/>
  <c r="I46" i="258" s="1"/>
  <c r="H72" i="258"/>
  <c r="I72" i="258" s="1"/>
  <c r="H45" i="258"/>
  <c r="I45" i="258" s="1"/>
  <c r="H49" i="258"/>
  <c r="I49" i="258" s="1"/>
  <c r="H33" i="258"/>
  <c r="I33" i="258" s="1"/>
  <c r="H57" i="258"/>
  <c r="I57" i="258" s="1"/>
  <c r="H75" i="243"/>
  <c r="I75" i="243" s="1"/>
  <c r="H42" i="248"/>
  <c r="I42" i="248" s="1"/>
  <c r="H27" i="258"/>
  <c r="I27" i="258" s="1"/>
  <c r="H85" i="248"/>
  <c r="I85" i="248" s="1"/>
  <c r="H92" i="251"/>
  <c r="I92" i="251" s="1"/>
  <c r="H45" i="255"/>
  <c r="I45" i="255" s="1"/>
  <c r="H41" i="256"/>
  <c r="I41" i="256" s="1"/>
  <c r="H31" i="256"/>
  <c r="I31" i="256" s="1"/>
  <c r="H35" i="256"/>
  <c r="I35" i="256" s="1"/>
  <c r="H94" i="257"/>
  <c r="I94" i="257" s="1"/>
  <c r="H53" i="257"/>
  <c r="I53" i="257" s="1"/>
  <c r="H100" i="258"/>
  <c r="I100" i="258" s="1"/>
  <c r="H34" i="258"/>
  <c r="I34" i="258" s="1"/>
  <c r="H38" i="258"/>
  <c r="I38" i="258" s="1"/>
  <c r="H84" i="258"/>
  <c r="I84" i="258" s="1"/>
  <c r="H83" i="258"/>
  <c r="I83" i="258" s="1"/>
  <c r="H32" i="258"/>
  <c r="I32" i="258" s="1"/>
  <c r="H36" i="258"/>
  <c r="I36" i="258" s="1"/>
  <c r="H96" i="258"/>
  <c r="I96" i="258" s="1"/>
  <c r="H66" i="258"/>
  <c r="I66" i="258" s="1"/>
  <c r="H53" i="258"/>
  <c r="I53" i="258" s="1"/>
  <c r="H91" i="258"/>
  <c r="I91" i="258" s="1"/>
  <c r="H56" i="258"/>
  <c r="I56" i="258" s="1"/>
  <c r="H55" i="258"/>
  <c r="I55" i="258" s="1"/>
  <c r="H40" i="255"/>
  <c r="I40" i="255" s="1"/>
  <c r="H69" i="255"/>
  <c r="I69" i="255" s="1"/>
  <c r="H51" i="255"/>
  <c r="I51" i="255" s="1"/>
  <c r="H39" i="255"/>
  <c r="I39" i="255" s="1"/>
  <c r="H81" i="256"/>
  <c r="I81" i="256" s="1"/>
  <c r="H26" i="256"/>
  <c r="I26" i="256" s="1"/>
  <c r="H66" i="256"/>
  <c r="I66" i="256" s="1"/>
  <c r="H32" i="256"/>
  <c r="I32" i="256" s="1"/>
  <c r="H80" i="256"/>
  <c r="I80" i="256" s="1"/>
  <c r="H87" i="255"/>
  <c r="I87" i="255" s="1"/>
  <c r="H100" i="257"/>
  <c r="I100" i="257" s="1"/>
  <c r="H58" i="257"/>
  <c r="I58" i="257" s="1"/>
  <c r="H58" i="256"/>
  <c r="I58" i="256" s="1"/>
  <c r="H86" i="257"/>
  <c r="I86" i="257" s="1"/>
  <c r="H50" i="257"/>
  <c r="I50" i="257" s="1"/>
  <c r="H42" i="257"/>
  <c r="I42" i="257" s="1"/>
  <c r="H55" i="257"/>
  <c r="I55" i="257" s="1"/>
  <c r="H49" i="257"/>
  <c r="I49" i="257" s="1"/>
  <c r="H29" i="257"/>
  <c r="I29" i="257" s="1"/>
  <c r="H78" i="257"/>
  <c r="I78" i="257" s="1"/>
  <c r="H66" i="257"/>
  <c r="I66" i="257" s="1"/>
  <c r="H67" i="255"/>
  <c r="I67" i="255" s="1"/>
  <c r="H96" i="256"/>
  <c r="I96" i="256" s="1"/>
  <c r="H87" i="257"/>
  <c r="I87" i="257" s="1"/>
  <c r="H64" i="257"/>
  <c r="I64" i="257" s="1"/>
  <c r="H73" i="257"/>
  <c r="I73" i="257" s="1"/>
  <c r="H37" i="257"/>
  <c r="I37" i="257" s="1"/>
  <c r="H61" i="257"/>
  <c r="I61" i="257" s="1"/>
  <c r="H91" i="257"/>
  <c r="I91" i="257" s="1"/>
  <c r="H78" i="253"/>
  <c r="I78" i="253" s="1"/>
  <c r="H37" i="256"/>
  <c r="I37" i="256" s="1"/>
  <c r="H43" i="257"/>
  <c r="I43" i="257" s="1"/>
  <c r="H35" i="257"/>
  <c r="I35" i="257" s="1"/>
  <c r="H28" i="257"/>
  <c r="I28" i="257" s="1"/>
  <c r="H67" i="257"/>
  <c r="I67" i="257" s="1"/>
  <c r="H68" i="257"/>
  <c r="I68" i="257" s="1"/>
  <c r="H78" i="249"/>
  <c r="I78" i="249" s="1"/>
  <c r="H46" i="257"/>
  <c r="I46" i="257" s="1"/>
  <c r="H30" i="257"/>
  <c r="I30" i="257" s="1"/>
  <c r="H34" i="257"/>
  <c r="I34" i="257" s="1"/>
  <c r="H50" i="248"/>
  <c r="I50" i="248" s="1"/>
  <c r="H30" i="251"/>
  <c r="I30" i="251" s="1"/>
  <c r="H90" i="251"/>
  <c r="I90" i="251" s="1"/>
  <c r="H59" i="255"/>
  <c r="I59" i="255" s="1"/>
  <c r="H77" i="257"/>
  <c r="I77" i="257" s="1"/>
  <c r="H57" i="257"/>
  <c r="I57" i="257" s="1"/>
  <c r="H41" i="257"/>
  <c r="I41" i="257" s="1"/>
  <c r="H33" i="257"/>
  <c r="I33" i="257" s="1"/>
  <c r="H74" i="257"/>
  <c r="I74" i="257" s="1"/>
  <c r="I25" i="257"/>
  <c r="H88" i="257"/>
  <c r="I88" i="257" s="1"/>
  <c r="H72" i="257"/>
  <c r="I72" i="257" s="1"/>
  <c r="H45" i="249"/>
  <c r="I45" i="249" s="1"/>
  <c r="H75" i="251"/>
  <c r="I75" i="251" s="1"/>
  <c r="H97" i="253"/>
  <c r="I97" i="253" s="1"/>
  <c r="H71" i="253"/>
  <c r="I71" i="253" s="1"/>
  <c r="H39" i="253"/>
  <c r="I39" i="253" s="1"/>
  <c r="H77" i="254"/>
  <c r="I77" i="254" s="1"/>
  <c r="H97" i="254"/>
  <c r="I97" i="254" s="1"/>
  <c r="H44" i="255"/>
  <c r="I44" i="255" s="1"/>
  <c r="H86" i="255"/>
  <c r="I86" i="255" s="1"/>
  <c r="H66" i="255"/>
  <c r="I66" i="255" s="1"/>
  <c r="H45" i="256"/>
  <c r="I45" i="256" s="1"/>
  <c r="H56" i="256"/>
  <c r="I56" i="256" s="1"/>
  <c r="H28" i="256"/>
  <c r="I28" i="256" s="1"/>
  <c r="H83" i="256"/>
  <c r="I83" i="256" s="1"/>
  <c r="H53" i="256"/>
  <c r="I53" i="256" s="1"/>
  <c r="H91" i="256"/>
  <c r="I91" i="256" s="1"/>
  <c r="H50" i="256"/>
  <c r="I50" i="256" s="1"/>
  <c r="H40" i="256"/>
  <c r="I40" i="256" s="1"/>
  <c r="H68" i="248"/>
  <c r="I68" i="248" s="1"/>
  <c r="H26" i="253"/>
  <c r="I26" i="253" s="1"/>
  <c r="H96" i="254"/>
  <c r="I96" i="254" s="1"/>
  <c r="H83" i="255"/>
  <c r="I83" i="255" s="1"/>
  <c r="H89" i="255"/>
  <c r="I89" i="255" s="1"/>
  <c r="H43" i="255"/>
  <c r="I43" i="255" s="1"/>
  <c r="H79" i="256"/>
  <c r="I79" i="256" s="1"/>
  <c r="H34" i="256"/>
  <c r="I34" i="256" s="1"/>
  <c r="H87" i="256"/>
  <c r="I87" i="256" s="1"/>
  <c r="H59" i="256"/>
  <c r="I59" i="256" s="1"/>
  <c r="H57" i="256"/>
  <c r="I57" i="256" s="1"/>
  <c r="H92" i="249"/>
  <c r="I92" i="249" s="1"/>
  <c r="H53" i="253"/>
  <c r="I53" i="253" s="1"/>
  <c r="H94" i="254"/>
  <c r="I94" i="254" s="1"/>
  <c r="H65" i="254"/>
  <c r="I65" i="254" s="1"/>
  <c r="H100" i="255"/>
  <c r="I100" i="255" s="1"/>
  <c r="H95" i="256"/>
  <c r="I95" i="256" s="1"/>
  <c r="H48" i="256"/>
  <c r="I48" i="256" s="1"/>
  <c r="H33" i="256"/>
  <c r="I33" i="256" s="1"/>
  <c r="H77" i="256"/>
  <c r="I77" i="256" s="1"/>
  <c r="H42" i="256"/>
  <c r="I42" i="256" s="1"/>
  <c r="H49" i="256"/>
  <c r="I49" i="256" s="1"/>
  <c r="H44" i="249"/>
  <c r="I44" i="249" s="1"/>
  <c r="H80" i="254"/>
  <c r="I80" i="254" s="1"/>
  <c r="H78" i="254"/>
  <c r="I78" i="254" s="1"/>
  <c r="H37" i="255"/>
  <c r="I37" i="255" s="1"/>
  <c r="H71" i="255"/>
  <c r="I71" i="255" s="1"/>
  <c r="H94" i="256"/>
  <c r="I94" i="256" s="1"/>
  <c r="H36" i="256"/>
  <c r="I36" i="256" s="1"/>
  <c r="H67" i="256"/>
  <c r="I67" i="256" s="1"/>
  <c r="H63" i="256"/>
  <c r="I63" i="256" s="1"/>
  <c r="H69" i="256"/>
  <c r="I69" i="256" s="1"/>
  <c r="H56" i="248"/>
  <c r="I56" i="248" s="1"/>
  <c r="H77" i="249"/>
  <c r="I77" i="249" s="1"/>
  <c r="H69" i="253"/>
  <c r="I69" i="253" s="1"/>
  <c r="H65" i="255"/>
  <c r="I65" i="255" s="1"/>
  <c r="H75" i="255"/>
  <c r="I75" i="255" s="1"/>
  <c r="H41" i="255"/>
  <c r="I41" i="255" s="1"/>
  <c r="H71" i="256"/>
  <c r="I71" i="256" s="1"/>
  <c r="H47" i="256"/>
  <c r="I47" i="256" s="1"/>
  <c r="H43" i="256"/>
  <c r="I43" i="256" s="1"/>
  <c r="H44" i="256"/>
  <c r="I44" i="256" s="1"/>
  <c r="H66" i="245"/>
  <c r="I66" i="245" s="1"/>
  <c r="H42" i="253"/>
  <c r="I42" i="253" s="1"/>
  <c r="H60" i="254"/>
  <c r="I60" i="254" s="1"/>
  <c r="H98" i="255"/>
  <c r="I98" i="255" s="1"/>
  <c r="H97" i="255"/>
  <c r="I97" i="255" s="1"/>
  <c r="H29" i="255"/>
  <c r="I29" i="255" s="1"/>
  <c r="H36" i="255"/>
  <c r="I36" i="255" s="1"/>
  <c r="H32" i="255"/>
  <c r="I32" i="255" s="1"/>
  <c r="H92" i="256"/>
  <c r="I92" i="256" s="1"/>
  <c r="H78" i="256"/>
  <c r="I78" i="256" s="1"/>
  <c r="H29" i="256"/>
  <c r="I29" i="256" s="1"/>
  <c r="H65" i="256"/>
  <c r="I65" i="256" s="1"/>
  <c r="H39" i="256"/>
  <c r="I39" i="256" s="1"/>
  <c r="H79" i="251"/>
  <c r="I79" i="251" s="1"/>
  <c r="H80" i="253"/>
  <c r="I80" i="253" s="1"/>
  <c r="H64" i="253"/>
  <c r="I64" i="253" s="1"/>
  <c r="H81" i="254"/>
  <c r="I81" i="254" s="1"/>
  <c r="H62" i="254"/>
  <c r="I62" i="254" s="1"/>
  <c r="H81" i="255"/>
  <c r="I81" i="255" s="1"/>
  <c r="H64" i="256"/>
  <c r="I64" i="256" s="1"/>
  <c r="H89" i="256"/>
  <c r="I89" i="256" s="1"/>
  <c r="I25" i="256"/>
  <c r="H70" i="256"/>
  <c r="I70" i="256" s="1"/>
  <c r="H84" i="256"/>
  <c r="I84" i="256" s="1"/>
  <c r="H98" i="256"/>
  <c r="I98" i="256" s="1"/>
  <c r="H55" i="256"/>
  <c r="I55" i="256" s="1"/>
  <c r="H75" i="256"/>
  <c r="I75" i="256" s="1"/>
  <c r="H73" i="256"/>
  <c r="I73" i="256" s="1"/>
  <c r="H97" i="256"/>
  <c r="I97" i="256" s="1"/>
  <c r="H38" i="256"/>
  <c r="I38" i="256" s="1"/>
  <c r="H68" i="256"/>
  <c r="I68" i="256" s="1"/>
  <c r="H48" i="251"/>
  <c r="I48" i="251" s="1"/>
  <c r="H48" i="252"/>
  <c r="I48" i="252" s="1"/>
  <c r="H58" i="254"/>
  <c r="I58" i="254" s="1"/>
  <c r="H33" i="254"/>
  <c r="I33" i="254" s="1"/>
  <c r="H85" i="254"/>
  <c r="I85" i="254" s="1"/>
  <c r="H37" i="254"/>
  <c r="I37" i="254" s="1"/>
  <c r="H94" i="255"/>
  <c r="I94" i="255" s="1"/>
  <c r="H77" i="255"/>
  <c r="I77" i="255" s="1"/>
  <c r="H28" i="255"/>
  <c r="I28" i="255" s="1"/>
  <c r="H84" i="247"/>
  <c r="I84" i="247" s="1"/>
  <c r="H41" i="252"/>
  <c r="I41" i="252" s="1"/>
  <c r="H75" i="252"/>
  <c r="I75" i="252" s="1"/>
  <c r="H60" i="253"/>
  <c r="I60" i="253" s="1"/>
  <c r="H29" i="254"/>
  <c r="I29" i="254" s="1"/>
  <c r="H99" i="255"/>
  <c r="I99" i="255" s="1"/>
  <c r="H85" i="255"/>
  <c r="I85" i="255" s="1"/>
  <c r="H53" i="255"/>
  <c r="I53" i="255" s="1"/>
  <c r="H92" i="254"/>
  <c r="I92" i="254" s="1"/>
  <c r="H48" i="254"/>
  <c r="I48" i="254" s="1"/>
  <c r="H56" i="255"/>
  <c r="I56" i="255" s="1"/>
  <c r="H52" i="255"/>
  <c r="I52" i="255" s="1"/>
  <c r="H79" i="255"/>
  <c r="I79" i="255" s="1"/>
  <c r="H30" i="253"/>
  <c r="I30" i="253" s="1"/>
  <c r="H82" i="254"/>
  <c r="I82" i="254" s="1"/>
  <c r="H82" i="255"/>
  <c r="I82" i="255" s="1"/>
  <c r="H68" i="255"/>
  <c r="I68" i="255" s="1"/>
  <c r="H58" i="255"/>
  <c r="I58" i="255" s="1"/>
  <c r="H88" i="255"/>
  <c r="I88" i="255" s="1"/>
  <c r="H60" i="255"/>
  <c r="I60" i="255" s="1"/>
  <c r="H30" i="255"/>
  <c r="I30" i="255" s="1"/>
  <c r="H53" i="252"/>
  <c r="I53" i="252" s="1"/>
  <c r="H50" i="252"/>
  <c r="I50" i="252" s="1"/>
  <c r="H92" i="253"/>
  <c r="I92" i="253" s="1"/>
  <c r="H78" i="255"/>
  <c r="I78" i="255" s="1"/>
  <c r="H55" i="255"/>
  <c r="I55" i="255" s="1"/>
  <c r="H48" i="255"/>
  <c r="I48" i="255" s="1"/>
  <c r="H34" i="255"/>
  <c r="I34" i="255" s="1"/>
  <c r="H27" i="253"/>
  <c r="I27" i="253" s="1"/>
  <c r="H89" i="254"/>
  <c r="I89" i="254" s="1"/>
  <c r="H54" i="254"/>
  <c r="I54" i="254" s="1"/>
  <c r="H28" i="254"/>
  <c r="I28" i="254" s="1"/>
  <c r="H44" i="254"/>
  <c r="I44" i="254" s="1"/>
  <c r="H73" i="255"/>
  <c r="I73" i="255" s="1"/>
  <c r="H43" i="251"/>
  <c r="I43" i="251" s="1"/>
  <c r="H85" i="252"/>
  <c r="I85" i="252" s="1"/>
  <c r="H46" i="252"/>
  <c r="I46" i="252" s="1"/>
  <c r="H82" i="252"/>
  <c r="I82" i="252" s="1"/>
  <c r="H96" i="252"/>
  <c r="I96" i="252" s="1"/>
  <c r="H97" i="252"/>
  <c r="I97" i="252" s="1"/>
  <c r="H100" i="253"/>
  <c r="I100" i="253" s="1"/>
  <c r="H39" i="254"/>
  <c r="I39" i="254" s="1"/>
  <c r="H69" i="254"/>
  <c r="I69" i="254" s="1"/>
  <c r="H74" i="255"/>
  <c r="I74" i="255" s="1"/>
  <c r="H27" i="255"/>
  <c r="I27" i="255" s="1"/>
  <c r="H38" i="255"/>
  <c r="I38" i="255" s="1"/>
  <c r="H26" i="255"/>
  <c r="I26" i="255" s="1"/>
  <c r="H64" i="255"/>
  <c r="I64" i="255" s="1"/>
  <c r="H93" i="255"/>
  <c r="I93" i="255" s="1"/>
  <c r="H95" i="255"/>
  <c r="I95" i="255" s="1"/>
  <c r="H84" i="255"/>
  <c r="I84" i="255" s="1"/>
  <c r="H62" i="255"/>
  <c r="I62" i="255" s="1"/>
  <c r="H50" i="255"/>
  <c r="I50" i="255" s="1"/>
  <c r="H76" i="255"/>
  <c r="I76" i="255" s="1"/>
  <c r="H25" i="255"/>
  <c r="H63" i="255"/>
  <c r="I63" i="255" s="1"/>
  <c r="H90" i="255"/>
  <c r="I90" i="255" s="1"/>
  <c r="H96" i="255"/>
  <c r="I96" i="255" s="1"/>
  <c r="H54" i="255"/>
  <c r="I54" i="255" s="1"/>
  <c r="H43" i="244"/>
  <c r="I43" i="244" s="1"/>
  <c r="H52" i="247"/>
  <c r="I52" i="247" s="1"/>
  <c r="H71" i="249"/>
  <c r="I71" i="249" s="1"/>
  <c r="H81" i="252"/>
  <c r="I81" i="252" s="1"/>
  <c r="H95" i="253"/>
  <c r="I95" i="253" s="1"/>
  <c r="H72" i="253"/>
  <c r="I72" i="253" s="1"/>
  <c r="H64" i="254"/>
  <c r="I64" i="254" s="1"/>
  <c r="H84" i="254"/>
  <c r="I84" i="254" s="1"/>
  <c r="H63" i="254"/>
  <c r="I63" i="254" s="1"/>
  <c r="H57" i="254"/>
  <c r="I57" i="254" s="1"/>
  <c r="H52" i="254"/>
  <c r="I52" i="254" s="1"/>
  <c r="H35" i="254"/>
  <c r="I35" i="254" s="1"/>
  <c r="H68" i="252"/>
  <c r="I68" i="252" s="1"/>
  <c r="H26" i="249"/>
  <c r="I26" i="249" s="1"/>
  <c r="H100" i="254"/>
  <c r="I100" i="254" s="1"/>
  <c r="H93" i="254"/>
  <c r="I93" i="254" s="1"/>
  <c r="H46" i="254"/>
  <c r="I46" i="254" s="1"/>
  <c r="H61" i="254"/>
  <c r="I61" i="254" s="1"/>
  <c r="H45" i="254"/>
  <c r="I45" i="254" s="1"/>
  <c r="H27" i="254"/>
  <c r="I27" i="254" s="1"/>
  <c r="H82" i="244"/>
  <c r="I82" i="244" s="1"/>
  <c r="H61" i="245"/>
  <c r="I61" i="245" s="1"/>
  <c r="H81" i="247"/>
  <c r="I81" i="247" s="1"/>
  <c r="H58" i="247"/>
  <c r="I58" i="247" s="1"/>
  <c r="H34" i="247"/>
  <c r="I34" i="247" s="1"/>
  <c r="H70" i="248"/>
  <c r="I70" i="248" s="1"/>
  <c r="H57" i="248"/>
  <c r="I57" i="248" s="1"/>
  <c r="H82" i="249"/>
  <c r="I82" i="249" s="1"/>
  <c r="H51" i="249"/>
  <c r="I51" i="249" s="1"/>
  <c r="H82" i="251"/>
  <c r="I82" i="251" s="1"/>
  <c r="H61" i="252"/>
  <c r="I61" i="252" s="1"/>
  <c r="H52" i="253"/>
  <c r="I52" i="253" s="1"/>
  <c r="H54" i="253"/>
  <c r="I54" i="253" s="1"/>
  <c r="H99" i="254"/>
  <c r="I99" i="254" s="1"/>
  <c r="H30" i="254"/>
  <c r="I30" i="254" s="1"/>
  <c r="H61" i="243"/>
  <c r="I61" i="243" s="1"/>
  <c r="H55" i="246"/>
  <c r="I55" i="246" s="1"/>
  <c r="H51" i="248"/>
  <c r="I51" i="248" s="1"/>
  <c r="H85" i="249"/>
  <c r="I85" i="249" s="1"/>
  <c r="H68" i="250"/>
  <c r="I68" i="250" s="1"/>
  <c r="H76" i="251"/>
  <c r="I76" i="251" s="1"/>
  <c r="H34" i="251"/>
  <c r="I34" i="251" s="1"/>
  <c r="H59" i="253"/>
  <c r="I59" i="253" s="1"/>
  <c r="H98" i="254"/>
  <c r="I98" i="254" s="1"/>
  <c r="H90" i="254"/>
  <c r="I90" i="254" s="1"/>
  <c r="H36" i="254"/>
  <c r="I36" i="254" s="1"/>
  <c r="H43" i="254"/>
  <c r="I43" i="254" s="1"/>
  <c r="H87" i="254"/>
  <c r="I87" i="254" s="1"/>
  <c r="H40" i="254"/>
  <c r="I40" i="254" s="1"/>
  <c r="H31" i="254"/>
  <c r="I31" i="254" s="1"/>
  <c r="H92" i="247"/>
  <c r="I92" i="247" s="1"/>
  <c r="H80" i="251"/>
  <c r="I80" i="251" s="1"/>
  <c r="H97" i="251"/>
  <c r="I97" i="251" s="1"/>
  <c r="H47" i="251"/>
  <c r="I47" i="251" s="1"/>
  <c r="H80" i="252"/>
  <c r="I80" i="252" s="1"/>
  <c r="H35" i="252"/>
  <c r="I35" i="252" s="1"/>
  <c r="H86" i="254"/>
  <c r="I86" i="254" s="1"/>
  <c r="H59" i="254"/>
  <c r="I59" i="254" s="1"/>
  <c r="H32" i="254"/>
  <c r="I32" i="254" s="1"/>
  <c r="H50" i="254"/>
  <c r="I50" i="254" s="1"/>
  <c r="H26" i="254"/>
  <c r="I26" i="254" s="1"/>
  <c r="H82" i="245"/>
  <c r="I82" i="245" s="1"/>
  <c r="H63" i="248"/>
  <c r="I63" i="248" s="1"/>
  <c r="H75" i="249"/>
  <c r="I75" i="249" s="1"/>
  <c r="H48" i="249"/>
  <c r="I48" i="249" s="1"/>
  <c r="H34" i="250"/>
  <c r="I34" i="250" s="1"/>
  <c r="H58" i="251"/>
  <c r="I58" i="251" s="1"/>
  <c r="H55" i="251"/>
  <c r="I55" i="251" s="1"/>
  <c r="H54" i="251"/>
  <c r="I54" i="251" s="1"/>
  <c r="H69" i="252"/>
  <c r="I69" i="252" s="1"/>
  <c r="H56" i="252"/>
  <c r="I56" i="252" s="1"/>
  <c r="H74" i="254"/>
  <c r="I74" i="254" s="1"/>
  <c r="H70" i="254"/>
  <c r="I70" i="254" s="1"/>
  <c r="H44" i="244"/>
  <c r="I44" i="244" s="1"/>
  <c r="H26" i="251"/>
  <c r="I26" i="251" s="1"/>
  <c r="H41" i="253"/>
  <c r="I41" i="253" s="1"/>
  <c r="H29" i="253"/>
  <c r="I29" i="253" s="1"/>
  <c r="H36" i="253"/>
  <c r="I36" i="253" s="1"/>
  <c r="H51" i="254"/>
  <c r="I51" i="254" s="1"/>
  <c r="H73" i="254"/>
  <c r="I73" i="254" s="1"/>
  <c r="H34" i="254"/>
  <c r="I34" i="254" s="1"/>
  <c r="H42" i="254"/>
  <c r="I42" i="254" s="1"/>
  <c r="I25" i="254"/>
  <c r="H55" i="254"/>
  <c r="I55" i="254" s="1"/>
  <c r="H38" i="254"/>
  <c r="I38" i="254" s="1"/>
  <c r="H91" i="254"/>
  <c r="I91" i="254" s="1"/>
  <c r="H88" i="254"/>
  <c r="I88" i="254" s="1"/>
  <c r="H49" i="254"/>
  <c r="I49" i="254" s="1"/>
  <c r="H83" i="254"/>
  <c r="I83" i="254" s="1"/>
  <c r="H53" i="254"/>
  <c r="I53" i="254" s="1"/>
  <c r="H48" i="247"/>
  <c r="I48" i="247" s="1"/>
  <c r="H29" i="251"/>
  <c r="I29" i="251" s="1"/>
  <c r="H64" i="252"/>
  <c r="I64" i="252" s="1"/>
  <c r="H67" i="252"/>
  <c r="I67" i="252" s="1"/>
  <c r="H73" i="252"/>
  <c r="I73" i="252" s="1"/>
  <c r="H46" i="253"/>
  <c r="I46" i="253" s="1"/>
  <c r="H85" i="253"/>
  <c r="I85" i="253" s="1"/>
  <c r="H48" i="253"/>
  <c r="I48" i="253" s="1"/>
  <c r="H38" i="253"/>
  <c r="I38" i="253" s="1"/>
  <c r="H28" i="253"/>
  <c r="I28" i="253" s="1"/>
  <c r="H91" i="251"/>
  <c r="I91" i="251" s="1"/>
  <c r="H74" i="252"/>
  <c r="I74" i="252" s="1"/>
  <c r="H52" i="252"/>
  <c r="I52" i="252" s="1"/>
  <c r="H42" i="252"/>
  <c r="I42" i="252" s="1"/>
  <c r="H29" i="252"/>
  <c r="I29" i="252" s="1"/>
  <c r="H75" i="253"/>
  <c r="I75" i="253" s="1"/>
  <c r="H93" i="253"/>
  <c r="I93" i="253" s="1"/>
  <c r="H73" i="253"/>
  <c r="I73" i="253" s="1"/>
  <c r="H43" i="253"/>
  <c r="I43" i="253" s="1"/>
  <c r="H46" i="250"/>
  <c r="I46" i="250" s="1"/>
  <c r="H57" i="252"/>
  <c r="I57" i="252" s="1"/>
  <c r="H98" i="253"/>
  <c r="I98" i="253" s="1"/>
  <c r="H77" i="253"/>
  <c r="I77" i="253" s="1"/>
  <c r="H35" i="253"/>
  <c r="I35" i="253" s="1"/>
  <c r="H47" i="253"/>
  <c r="I47" i="253" s="1"/>
  <c r="H61" i="253"/>
  <c r="I61" i="253" s="1"/>
  <c r="H89" i="253"/>
  <c r="I89" i="253" s="1"/>
  <c r="H25" i="244"/>
  <c r="I25" i="244" s="1"/>
  <c r="H53" i="248"/>
  <c r="I53" i="248" s="1"/>
  <c r="H34" i="249"/>
  <c r="I34" i="249" s="1"/>
  <c r="H98" i="250"/>
  <c r="I98" i="250" s="1"/>
  <c r="H95" i="252"/>
  <c r="I95" i="252" s="1"/>
  <c r="H83" i="252"/>
  <c r="I83" i="252" s="1"/>
  <c r="H78" i="252"/>
  <c r="I78" i="252" s="1"/>
  <c r="H40" i="253"/>
  <c r="I40" i="253" s="1"/>
  <c r="H63" i="253"/>
  <c r="I63" i="253" s="1"/>
  <c r="H68" i="253"/>
  <c r="I68" i="253" s="1"/>
  <c r="H57" i="253"/>
  <c r="I57" i="253" s="1"/>
  <c r="H91" i="253"/>
  <c r="I91" i="253" s="1"/>
  <c r="H45" i="253"/>
  <c r="I45" i="253" s="1"/>
  <c r="H56" i="253"/>
  <c r="I56" i="253" s="1"/>
  <c r="H79" i="253"/>
  <c r="I79" i="253" s="1"/>
  <c r="H67" i="253"/>
  <c r="I67" i="253" s="1"/>
  <c r="H83" i="253"/>
  <c r="I83" i="253" s="1"/>
  <c r="H44" i="253"/>
  <c r="I44" i="253" s="1"/>
  <c r="H88" i="245"/>
  <c r="I88" i="245" s="1"/>
  <c r="H28" i="250"/>
  <c r="I28" i="250" s="1"/>
  <c r="H73" i="250"/>
  <c r="I73" i="250" s="1"/>
  <c r="H28" i="252"/>
  <c r="I28" i="252" s="1"/>
  <c r="H80" i="246"/>
  <c r="I80" i="246" s="1"/>
  <c r="H35" i="246"/>
  <c r="I35" i="246" s="1"/>
  <c r="H64" i="248"/>
  <c r="I64" i="248" s="1"/>
  <c r="H69" i="248"/>
  <c r="I69" i="248" s="1"/>
  <c r="H29" i="249"/>
  <c r="I29" i="249" s="1"/>
  <c r="H89" i="251"/>
  <c r="I89" i="251" s="1"/>
  <c r="H84" i="252"/>
  <c r="I84" i="252" s="1"/>
  <c r="H84" i="253"/>
  <c r="I84" i="253" s="1"/>
  <c r="H55" i="253"/>
  <c r="I55" i="253" s="1"/>
  <c r="H33" i="253"/>
  <c r="I33" i="253" s="1"/>
  <c r="H58" i="253"/>
  <c r="I58" i="253" s="1"/>
  <c r="H51" i="253"/>
  <c r="I51" i="253" s="1"/>
  <c r="H32" i="253"/>
  <c r="I32" i="253" s="1"/>
  <c r="H34" i="253"/>
  <c r="I34" i="253" s="1"/>
  <c r="H94" i="253"/>
  <c r="I94" i="253" s="1"/>
  <c r="H49" i="246"/>
  <c r="I49" i="246" s="1"/>
  <c r="H89" i="247"/>
  <c r="I89" i="247" s="1"/>
  <c r="H51" i="247"/>
  <c r="I51" i="247" s="1"/>
  <c r="H31" i="251"/>
  <c r="I31" i="251" s="1"/>
  <c r="H36" i="251"/>
  <c r="I36" i="251" s="1"/>
  <c r="H31" i="252"/>
  <c r="I31" i="252" s="1"/>
  <c r="H99" i="253"/>
  <c r="I99" i="253" s="1"/>
  <c r="H50" i="253"/>
  <c r="I50" i="253" s="1"/>
  <c r="H88" i="253"/>
  <c r="I88" i="253" s="1"/>
  <c r="H76" i="253"/>
  <c r="I76" i="253" s="1"/>
  <c r="H96" i="253"/>
  <c r="I96" i="253" s="1"/>
  <c r="H74" i="253"/>
  <c r="I74" i="253" s="1"/>
  <c r="H62" i="253"/>
  <c r="I62" i="253" s="1"/>
  <c r="H90" i="253"/>
  <c r="I90" i="253" s="1"/>
  <c r="H87" i="253"/>
  <c r="I87" i="253" s="1"/>
  <c r="H37" i="253"/>
  <c r="I37" i="253" s="1"/>
  <c r="H49" i="253"/>
  <c r="I49" i="253" s="1"/>
  <c r="H86" i="253"/>
  <c r="I86" i="253" s="1"/>
  <c r="I25" i="253"/>
  <c r="H31" i="253"/>
  <c r="I31" i="253" s="1"/>
  <c r="H78" i="247"/>
  <c r="I78" i="247" s="1"/>
  <c r="H34" i="248"/>
  <c r="I34" i="248" s="1"/>
  <c r="H64" i="249"/>
  <c r="I64" i="249" s="1"/>
  <c r="H87" i="250"/>
  <c r="I87" i="250" s="1"/>
  <c r="H32" i="251"/>
  <c r="I32" i="251" s="1"/>
  <c r="H100" i="252"/>
  <c r="I100" i="252" s="1"/>
  <c r="H98" i="252"/>
  <c r="I98" i="252" s="1"/>
  <c r="H92" i="252"/>
  <c r="I92" i="252" s="1"/>
  <c r="H72" i="252"/>
  <c r="I72" i="252" s="1"/>
  <c r="H43" i="252"/>
  <c r="I43" i="252" s="1"/>
  <c r="H40" i="252"/>
  <c r="I40" i="252" s="1"/>
  <c r="H59" i="252"/>
  <c r="I59" i="252" s="1"/>
  <c r="H45" i="250"/>
  <c r="I45" i="250" s="1"/>
  <c r="H100" i="250"/>
  <c r="I100" i="250" s="1"/>
  <c r="H91" i="252"/>
  <c r="I91" i="252" s="1"/>
  <c r="H87" i="252"/>
  <c r="I87" i="252" s="1"/>
  <c r="H94" i="252"/>
  <c r="I94" i="252" s="1"/>
  <c r="H93" i="252"/>
  <c r="I93" i="252" s="1"/>
  <c r="H54" i="252"/>
  <c r="I54" i="252" s="1"/>
  <c r="H30" i="252"/>
  <c r="I30" i="252" s="1"/>
  <c r="H58" i="252"/>
  <c r="I58" i="252" s="1"/>
  <c r="H88" i="252"/>
  <c r="I88" i="252" s="1"/>
  <c r="H51" i="252"/>
  <c r="I51" i="252" s="1"/>
  <c r="H70" i="247"/>
  <c r="I70" i="247" s="1"/>
  <c r="H47" i="247"/>
  <c r="I47" i="247" s="1"/>
  <c r="H26" i="248"/>
  <c r="I26" i="248" s="1"/>
  <c r="H30" i="250"/>
  <c r="I30" i="250" s="1"/>
  <c r="H99" i="252"/>
  <c r="I99" i="252" s="1"/>
  <c r="H44" i="252"/>
  <c r="I44" i="252" s="1"/>
  <c r="H77" i="252"/>
  <c r="I77" i="252" s="1"/>
  <c r="H49" i="252"/>
  <c r="I49" i="252" s="1"/>
  <c r="H27" i="252"/>
  <c r="I27" i="252" s="1"/>
  <c r="H55" i="252"/>
  <c r="I55" i="252" s="1"/>
  <c r="H71" i="252"/>
  <c r="I71" i="252" s="1"/>
  <c r="H79" i="252"/>
  <c r="I79" i="252" s="1"/>
  <c r="H48" i="248"/>
  <c r="I48" i="248" s="1"/>
  <c r="H26" i="252"/>
  <c r="I26" i="252" s="1"/>
  <c r="H66" i="252"/>
  <c r="I66" i="252" s="1"/>
  <c r="H93" i="250"/>
  <c r="I93" i="250" s="1"/>
  <c r="H65" i="251"/>
  <c r="I65" i="251" s="1"/>
  <c r="H25" i="251"/>
  <c r="I25" i="251" s="1"/>
  <c r="H89" i="252"/>
  <c r="I89" i="252" s="1"/>
  <c r="H65" i="252"/>
  <c r="I65" i="252" s="1"/>
  <c r="H47" i="252"/>
  <c r="I47" i="252" s="1"/>
  <c r="H32" i="252"/>
  <c r="I32" i="252" s="1"/>
  <c r="H34" i="252"/>
  <c r="I34" i="252" s="1"/>
  <c r="H39" i="252"/>
  <c r="I39" i="252" s="1"/>
  <c r="H79" i="247"/>
  <c r="I79" i="247" s="1"/>
  <c r="H60" i="252"/>
  <c r="I60" i="252" s="1"/>
  <c r="H63" i="252"/>
  <c r="I63" i="252" s="1"/>
  <c r="H86" i="252"/>
  <c r="I86" i="252" s="1"/>
  <c r="H90" i="252"/>
  <c r="I90" i="252" s="1"/>
  <c r="H70" i="252"/>
  <c r="I70" i="252" s="1"/>
  <c r="H38" i="252"/>
  <c r="I38" i="252" s="1"/>
  <c r="H36" i="252"/>
  <c r="I36" i="252" s="1"/>
  <c r="H62" i="252"/>
  <c r="I62" i="252" s="1"/>
  <c r="H25" i="252"/>
  <c r="H45" i="252"/>
  <c r="I45" i="252" s="1"/>
  <c r="H37" i="252"/>
  <c r="I37" i="252" s="1"/>
  <c r="H33" i="252"/>
  <c r="I33" i="252" s="1"/>
  <c r="H89" i="249"/>
  <c r="I89" i="249" s="1"/>
  <c r="H91" i="249"/>
  <c r="I91" i="249" s="1"/>
  <c r="H54" i="250"/>
  <c r="I54" i="250" s="1"/>
  <c r="H55" i="250"/>
  <c r="I55" i="250" s="1"/>
  <c r="H95" i="250"/>
  <c r="I95" i="250" s="1"/>
  <c r="H99" i="251"/>
  <c r="I99" i="251" s="1"/>
  <c r="H96" i="251"/>
  <c r="I96" i="251" s="1"/>
  <c r="H95" i="251"/>
  <c r="I95" i="251" s="1"/>
  <c r="H37" i="251"/>
  <c r="I37" i="251" s="1"/>
  <c r="H59" i="251"/>
  <c r="I59" i="251" s="1"/>
  <c r="H70" i="251"/>
  <c r="I70" i="251" s="1"/>
  <c r="H85" i="246"/>
  <c r="I85" i="246" s="1"/>
  <c r="H40" i="248"/>
  <c r="I40" i="248" s="1"/>
  <c r="H98" i="251"/>
  <c r="I98" i="251" s="1"/>
  <c r="H83" i="251"/>
  <c r="I83" i="251" s="1"/>
  <c r="H62" i="250"/>
  <c r="I62" i="250" s="1"/>
  <c r="H81" i="251"/>
  <c r="I81" i="251" s="1"/>
  <c r="H56" i="251"/>
  <c r="I56" i="251" s="1"/>
  <c r="H91" i="245"/>
  <c r="I91" i="245" s="1"/>
  <c r="H62" i="249"/>
  <c r="I62" i="249" s="1"/>
  <c r="H67" i="249"/>
  <c r="I67" i="249" s="1"/>
  <c r="H43" i="250"/>
  <c r="I43" i="250" s="1"/>
  <c r="H63" i="250"/>
  <c r="I63" i="250" s="1"/>
  <c r="H66" i="250"/>
  <c r="I66" i="250" s="1"/>
  <c r="H64" i="251"/>
  <c r="I64" i="251" s="1"/>
  <c r="H44" i="251"/>
  <c r="I44" i="251" s="1"/>
  <c r="H60" i="251"/>
  <c r="I60" i="251" s="1"/>
  <c r="H35" i="251"/>
  <c r="I35" i="251" s="1"/>
  <c r="H64" i="244"/>
  <c r="I64" i="244" s="1"/>
  <c r="H96" i="249"/>
  <c r="I96" i="249" s="1"/>
  <c r="H85" i="250"/>
  <c r="I85" i="250" s="1"/>
  <c r="H50" i="250"/>
  <c r="I50" i="250" s="1"/>
  <c r="H49" i="250"/>
  <c r="I49" i="250" s="1"/>
  <c r="H100" i="251"/>
  <c r="I100" i="251" s="1"/>
  <c r="H88" i="251"/>
  <c r="I88" i="251" s="1"/>
  <c r="H73" i="251"/>
  <c r="I73" i="251" s="1"/>
  <c r="H46" i="251"/>
  <c r="I46" i="251" s="1"/>
  <c r="H78" i="251"/>
  <c r="I78" i="251" s="1"/>
  <c r="H99" i="248"/>
  <c r="I99" i="248" s="1"/>
  <c r="H88" i="248"/>
  <c r="I88" i="248" s="1"/>
  <c r="H38" i="250"/>
  <c r="I38" i="250" s="1"/>
  <c r="H89" i="250"/>
  <c r="I89" i="250" s="1"/>
  <c r="H41" i="250"/>
  <c r="I41" i="250" s="1"/>
  <c r="H70" i="250"/>
  <c r="I70" i="250" s="1"/>
  <c r="H58" i="250"/>
  <c r="I58" i="250" s="1"/>
  <c r="H37" i="250"/>
  <c r="I37" i="250" s="1"/>
  <c r="H56" i="250"/>
  <c r="I56" i="250" s="1"/>
  <c r="H40" i="250"/>
  <c r="I40" i="250" s="1"/>
  <c r="H93" i="251"/>
  <c r="I93" i="251" s="1"/>
  <c r="H63" i="251"/>
  <c r="I63" i="251" s="1"/>
  <c r="H40" i="251"/>
  <c r="I40" i="251" s="1"/>
  <c r="H33" i="251"/>
  <c r="I33" i="251" s="1"/>
  <c r="H84" i="251"/>
  <c r="I84" i="251" s="1"/>
  <c r="H28" i="251"/>
  <c r="I28" i="251" s="1"/>
  <c r="H39" i="250"/>
  <c r="I39" i="250" s="1"/>
  <c r="H71" i="251"/>
  <c r="I71" i="251" s="1"/>
  <c r="H87" i="251"/>
  <c r="I87" i="251" s="1"/>
  <c r="H42" i="251"/>
  <c r="I42" i="251" s="1"/>
  <c r="H85" i="251"/>
  <c r="I85" i="251" s="1"/>
  <c r="H68" i="251"/>
  <c r="I68" i="251" s="1"/>
  <c r="H27" i="251"/>
  <c r="I27" i="251" s="1"/>
  <c r="H69" i="251"/>
  <c r="I69" i="251" s="1"/>
  <c r="H52" i="251"/>
  <c r="I52" i="251" s="1"/>
  <c r="H53" i="251"/>
  <c r="I53" i="251" s="1"/>
  <c r="H86" i="251"/>
  <c r="I86" i="251" s="1"/>
  <c r="H67" i="251"/>
  <c r="I67" i="251" s="1"/>
  <c r="H38" i="251"/>
  <c r="I38" i="251" s="1"/>
  <c r="H39" i="251"/>
  <c r="I39" i="251" s="1"/>
  <c r="H45" i="251"/>
  <c r="I45" i="251" s="1"/>
  <c r="H94" i="251"/>
  <c r="I94" i="251" s="1"/>
  <c r="H49" i="251"/>
  <c r="I49" i="251" s="1"/>
  <c r="H62" i="251"/>
  <c r="I62" i="251" s="1"/>
  <c r="H72" i="251"/>
  <c r="I72" i="251" s="1"/>
  <c r="H66" i="251"/>
  <c r="I66" i="251" s="1"/>
  <c r="H62" i="247"/>
  <c r="I62" i="247" s="1"/>
  <c r="H46" i="249"/>
  <c r="I46" i="249" s="1"/>
  <c r="H84" i="250"/>
  <c r="I84" i="250" s="1"/>
  <c r="H72" i="250"/>
  <c r="I72" i="250" s="1"/>
  <c r="H71" i="250"/>
  <c r="I71" i="250" s="1"/>
  <c r="H60" i="250"/>
  <c r="I60" i="250" s="1"/>
  <c r="H79" i="250"/>
  <c r="I79" i="250" s="1"/>
  <c r="H42" i="250"/>
  <c r="I42" i="250" s="1"/>
  <c r="H75" i="248"/>
  <c r="I75" i="248" s="1"/>
  <c r="H28" i="248"/>
  <c r="I28" i="248" s="1"/>
  <c r="H32" i="250"/>
  <c r="I32" i="250" s="1"/>
  <c r="H53" i="250"/>
  <c r="I53" i="250" s="1"/>
  <c r="H74" i="250"/>
  <c r="I74" i="250" s="1"/>
  <c r="H52" i="250"/>
  <c r="I52" i="250" s="1"/>
  <c r="H64" i="250"/>
  <c r="I64" i="250" s="1"/>
  <c r="H29" i="250"/>
  <c r="I29" i="250" s="1"/>
  <c r="H87" i="248"/>
  <c r="I87" i="248" s="1"/>
  <c r="H98" i="249"/>
  <c r="I98" i="249" s="1"/>
  <c r="H86" i="249"/>
  <c r="I86" i="249" s="1"/>
  <c r="H63" i="249"/>
  <c r="I63" i="249" s="1"/>
  <c r="H67" i="250"/>
  <c r="I67" i="250" s="1"/>
  <c r="H27" i="250"/>
  <c r="I27" i="250" s="1"/>
  <c r="H92" i="250"/>
  <c r="I92" i="250" s="1"/>
  <c r="H57" i="250"/>
  <c r="I57" i="250" s="1"/>
  <c r="H33" i="250"/>
  <c r="I33" i="250" s="1"/>
  <c r="H41" i="249"/>
  <c r="I41" i="249" s="1"/>
  <c r="H99" i="250"/>
  <c r="I99" i="250" s="1"/>
  <c r="H44" i="250"/>
  <c r="I44" i="250" s="1"/>
  <c r="H90" i="250"/>
  <c r="I90" i="250" s="1"/>
  <c r="H79" i="248"/>
  <c r="I79" i="248" s="1"/>
  <c r="H52" i="249"/>
  <c r="I52" i="249" s="1"/>
  <c r="H35" i="249"/>
  <c r="I35" i="249" s="1"/>
  <c r="H48" i="250"/>
  <c r="I48" i="250" s="1"/>
  <c r="H36" i="250"/>
  <c r="I36" i="250" s="1"/>
  <c r="H76" i="250"/>
  <c r="I76" i="250" s="1"/>
  <c r="H47" i="250"/>
  <c r="I47" i="250" s="1"/>
  <c r="H66" i="247"/>
  <c r="I66" i="247" s="1"/>
  <c r="H76" i="248"/>
  <c r="I76" i="248" s="1"/>
  <c r="H80" i="249"/>
  <c r="I80" i="249" s="1"/>
  <c r="H33" i="249"/>
  <c r="I33" i="249" s="1"/>
  <c r="H77" i="250"/>
  <c r="I77" i="250" s="1"/>
  <c r="H97" i="250"/>
  <c r="I97" i="250" s="1"/>
  <c r="H31" i="250"/>
  <c r="I31" i="250" s="1"/>
  <c r="H61" i="248"/>
  <c r="I61" i="248" s="1"/>
  <c r="H39" i="248"/>
  <c r="I39" i="248" s="1"/>
  <c r="H60" i="249"/>
  <c r="I60" i="249" s="1"/>
  <c r="H59" i="250"/>
  <c r="I59" i="250" s="1"/>
  <c r="H51" i="250"/>
  <c r="I51" i="250" s="1"/>
  <c r="H61" i="250"/>
  <c r="I61" i="250" s="1"/>
  <c r="H65" i="250"/>
  <c r="I65" i="250" s="1"/>
  <c r="H25" i="250"/>
  <c r="I25" i="250" s="1"/>
  <c r="H82" i="250"/>
  <c r="I82" i="250" s="1"/>
  <c r="H80" i="250"/>
  <c r="I80" i="250" s="1"/>
  <c r="H91" i="250"/>
  <c r="I91" i="250" s="1"/>
  <c r="H69" i="250"/>
  <c r="I69" i="250" s="1"/>
  <c r="H83" i="250"/>
  <c r="I83" i="250" s="1"/>
  <c r="H35" i="250"/>
  <c r="I35" i="250" s="1"/>
  <c r="H75" i="250"/>
  <c r="I75" i="250" s="1"/>
  <c r="H26" i="250"/>
  <c r="I26" i="250" s="1"/>
  <c r="H86" i="245"/>
  <c r="I86" i="245" s="1"/>
  <c r="H72" i="246"/>
  <c r="I72" i="246" s="1"/>
  <c r="H60" i="247"/>
  <c r="I60" i="247" s="1"/>
  <c r="H45" i="247"/>
  <c r="I45" i="247" s="1"/>
  <c r="H94" i="249"/>
  <c r="I94" i="249" s="1"/>
  <c r="H83" i="249"/>
  <c r="I83" i="249" s="1"/>
  <c r="H39" i="249"/>
  <c r="I39" i="249" s="1"/>
  <c r="H27" i="249"/>
  <c r="I27" i="249" s="1"/>
  <c r="H81" i="246"/>
  <c r="I81" i="246" s="1"/>
  <c r="H67" i="248"/>
  <c r="I67" i="248" s="1"/>
  <c r="H99" i="249"/>
  <c r="I99" i="249" s="1"/>
  <c r="H40" i="249"/>
  <c r="I40" i="249" s="1"/>
  <c r="H50" i="243"/>
  <c r="I50" i="243" s="1"/>
  <c r="H54" i="244"/>
  <c r="I54" i="244" s="1"/>
  <c r="H27" i="245"/>
  <c r="I27" i="245" s="1"/>
  <c r="H75" i="246"/>
  <c r="I75" i="246" s="1"/>
  <c r="H74" i="248"/>
  <c r="I74" i="248" s="1"/>
  <c r="H45" i="248"/>
  <c r="I45" i="248" s="1"/>
  <c r="H55" i="248"/>
  <c r="I55" i="248" s="1"/>
  <c r="H44" i="248"/>
  <c r="I44" i="248" s="1"/>
  <c r="H81" i="249"/>
  <c r="I81" i="249" s="1"/>
  <c r="H47" i="249"/>
  <c r="I47" i="249" s="1"/>
  <c r="H59" i="249"/>
  <c r="I59" i="249" s="1"/>
  <c r="H56" i="244"/>
  <c r="I56" i="244" s="1"/>
  <c r="H31" i="249"/>
  <c r="I31" i="249" s="1"/>
  <c r="H55" i="249"/>
  <c r="I55" i="249" s="1"/>
  <c r="H60" i="246"/>
  <c r="I60" i="246" s="1"/>
  <c r="H53" i="246"/>
  <c r="I53" i="246" s="1"/>
  <c r="H25" i="247"/>
  <c r="I25" i="247" s="1"/>
  <c r="H27" i="246"/>
  <c r="I27" i="246" s="1"/>
  <c r="H61" i="249"/>
  <c r="I61" i="249" s="1"/>
  <c r="H57" i="249"/>
  <c r="I57" i="249" s="1"/>
  <c r="H25" i="249"/>
  <c r="H32" i="249"/>
  <c r="I32" i="249" s="1"/>
  <c r="H85" i="243"/>
  <c r="I85" i="243" s="1"/>
  <c r="H84" i="244"/>
  <c r="I84" i="244" s="1"/>
  <c r="H58" i="248"/>
  <c r="I58" i="248" s="1"/>
  <c r="H41" i="248"/>
  <c r="I41" i="248" s="1"/>
  <c r="H30" i="248"/>
  <c r="I30" i="248" s="1"/>
  <c r="H65" i="248"/>
  <c r="I65" i="248" s="1"/>
  <c r="H29" i="248"/>
  <c r="I29" i="248" s="1"/>
  <c r="H53" i="249"/>
  <c r="I53" i="249" s="1"/>
  <c r="H56" i="249"/>
  <c r="I56" i="249" s="1"/>
  <c r="H43" i="249"/>
  <c r="I43" i="249" s="1"/>
  <c r="H28" i="249"/>
  <c r="I28" i="249" s="1"/>
  <c r="H50" i="249"/>
  <c r="I50" i="249" s="1"/>
  <c r="H59" i="245"/>
  <c r="I59" i="245" s="1"/>
  <c r="H84" i="245"/>
  <c r="I84" i="245" s="1"/>
  <c r="H96" i="246"/>
  <c r="I96" i="246" s="1"/>
  <c r="H95" i="249"/>
  <c r="I95" i="249" s="1"/>
  <c r="H90" i="249"/>
  <c r="I90" i="249" s="1"/>
  <c r="H54" i="249"/>
  <c r="I54" i="249" s="1"/>
  <c r="H42" i="249"/>
  <c r="I42" i="249" s="1"/>
  <c r="H58" i="249"/>
  <c r="I58" i="249" s="1"/>
  <c r="H84" i="248"/>
  <c r="I84" i="248" s="1"/>
  <c r="H65" i="249"/>
  <c r="I65" i="249" s="1"/>
  <c r="I25" i="249"/>
  <c r="H79" i="249"/>
  <c r="I79" i="249" s="1"/>
  <c r="H38" i="249"/>
  <c r="I38" i="249" s="1"/>
  <c r="H87" i="249"/>
  <c r="I87" i="249" s="1"/>
  <c r="H72" i="249"/>
  <c r="I72" i="249" s="1"/>
  <c r="H84" i="249"/>
  <c r="I84" i="249" s="1"/>
  <c r="H37" i="249"/>
  <c r="I37" i="249" s="1"/>
  <c r="H97" i="249"/>
  <c r="I97" i="249" s="1"/>
  <c r="H73" i="249"/>
  <c r="I73" i="249" s="1"/>
  <c r="H36" i="249"/>
  <c r="I36" i="249" s="1"/>
  <c r="H100" i="249"/>
  <c r="I100" i="249" s="1"/>
  <c r="H74" i="249"/>
  <c r="I74" i="249" s="1"/>
  <c r="H30" i="249"/>
  <c r="I30" i="249" s="1"/>
  <c r="H49" i="249"/>
  <c r="I49" i="249" s="1"/>
  <c r="H94" i="245"/>
  <c r="I94" i="245" s="1"/>
  <c r="H68" i="246"/>
  <c r="I68" i="246" s="1"/>
  <c r="H65" i="246"/>
  <c r="I65" i="246" s="1"/>
  <c r="H71" i="247"/>
  <c r="I71" i="247" s="1"/>
  <c r="H46" i="247"/>
  <c r="I46" i="247" s="1"/>
  <c r="H40" i="247"/>
  <c r="I40" i="247" s="1"/>
  <c r="H83" i="248"/>
  <c r="I83" i="248" s="1"/>
  <c r="H95" i="248"/>
  <c r="I95" i="248" s="1"/>
  <c r="H82" i="248"/>
  <c r="I82" i="248" s="1"/>
  <c r="H32" i="248"/>
  <c r="I32" i="248" s="1"/>
  <c r="H77" i="248"/>
  <c r="I77" i="248" s="1"/>
  <c r="H25" i="248"/>
  <c r="I25" i="248" s="1"/>
  <c r="H73" i="247"/>
  <c r="I73" i="247" s="1"/>
  <c r="H36" i="247"/>
  <c r="I36" i="247" s="1"/>
  <c r="H49" i="247"/>
  <c r="I49" i="247" s="1"/>
  <c r="H57" i="247"/>
  <c r="I57" i="247" s="1"/>
  <c r="H59" i="247"/>
  <c r="I59" i="247" s="1"/>
  <c r="H94" i="248"/>
  <c r="I94" i="248" s="1"/>
  <c r="H98" i="248"/>
  <c r="I98" i="248" s="1"/>
  <c r="H60" i="248"/>
  <c r="I60" i="248" s="1"/>
  <c r="H35" i="248"/>
  <c r="I35" i="248" s="1"/>
  <c r="H69" i="245"/>
  <c r="I69" i="245" s="1"/>
  <c r="H55" i="245"/>
  <c r="I55" i="245" s="1"/>
  <c r="H35" i="245"/>
  <c r="I35" i="245" s="1"/>
  <c r="H74" i="246"/>
  <c r="I74" i="246" s="1"/>
  <c r="H43" i="247"/>
  <c r="I43" i="247" s="1"/>
  <c r="H66" i="248"/>
  <c r="I66" i="248" s="1"/>
  <c r="H53" i="244"/>
  <c r="I53" i="244" s="1"/>
  <c r="H50" i="245"/>
  <c r="I50" i="245" s="1"/>
  <c r="H37" i="247"/>
  <c r="I37" i="247" s="1"/>
  <c r="H87" i="247"/>
  <c r="I87" i="247" s="1"/>
  <c r="H33" i="247"/>
  <c r="I33" i="247" s="1"/>
  <c r="H35" i="247"/>
  <c r="I35" i="247" s="1"/>
  <c r="H88" i="247"/>
  <c r="I88" i="247" s="1"/>
  <c r="H55" i="247"/>
  <c r="I55" i="247" s="1"/>
  <c r="H91" i="248"/>
  <c r="I91" i="248" s="1"/>
  <c r="H49" i="248"/>
  <c r="I49" i="248" s="1"/>
  <c r="H46" i="248"/>
  <c r="I46" i="248" s="1"/>
  <c r="H31" i="248"/>
  <c r="I31" i="248" s="1"/>
  <c r="H97" i="247"/>
  <c r="I97" i="247" s="1"/>
  <c r="H29" i="247"/>
  <c r="I29" i="247" s="1"/>
  <c r="H83" i="247"/>
  <c r="I83" i="247" s="1"/>
  <c r="H93" i="248"/>
  <c r="I93" i="248" s="1"/>
  <c r="H100" i="248"/>
  <c r="I100" i="248" s="1"/>
  <c r="H52" i="248"/>
  <c r="I52" i="248" s="1"/>
  <c r="H37" i="248"/>
  <c r="I37" i="248" s="1"/>
  <c r="H25" i="243"/>
  <c r="H62" i="245"/>
  <c r="I62" i="245" s="1"/>
  <c r="H75" i="245"/>
  <c r="I75" i="245" s="1"/>
  <c r="H89" i="248"/>
  <c r="I89" i="248" s="1"/>
  <c r="H72" i="248"/>
  <c r="I72" i="248" s="1"/>
  <c r="H59" i="248"/>
  <c r="I59" i="248" s="1"/>
  <c r="H27" i="248"/>
  <c r="I27" i="248" s="1"/>
  <c r="H54" i="245"/>
  <c r="I54" i="245" s="1"/>
  <c r="H72" i="247"/>
  <c r="I72" i="247" s="1"/>
  <c r="H27" i="247"/>
  <c r="I27" i="247" s="1"/>
  <c r="H96" i="248"/>
  <c r="I96" i="248" s="1"/>
  <c r="H92" i="248"/>
  <c r="I92" i="248" s="1"/>
  <c r="H81" i="248"/>
  <c r="I81" i="248" s="1"/>
  <c r="H47" i="248"/>
  <c r="I47" i="248" s="1"/>
  <c r="H36" i="248"/>
  <c r="I36" i="248" s="1"/>
  <c r="H38" i="248"/>
  <c r="I38" i="248" s="1"/>
  <c r="H33" i="248"/>
  <c r="I33" i="248" s="1"/>
  <c r="H86" i="248"/>
  <c r="I86" i="248" s="1"/>
  <c r="H73" i="248"/>
  <c r="I73" i="248" s="1"/>
  <c r="H80" i="248"/>
  <c r="I80" i="248" s="1"/>
  <c r="H97" i="248"/>
  <c r="I97" i="248" s="1"/>
  <c r="H71" i="248"/>
  <c r="I71" i="248" s="1"/>
  <c r="H43" i="248"/>
  <c r="I43" i="248" s="1"/>
  <c r="H92" i="245"/>
  <c r="I92" i="245" s="1"/>
  <c r="H57" i="245"/>
  <c r="I57" i="245" s="1"/>
  <c r="H65" i="245"/>
  <c r="I65" i="245" s="1"/>
  <c r="H84" i="246"/>
  <c r="I84" i="246" s="1"/>
  <c r="H47" i="246"/>
  <c r="I47" i="246" s="1"/>
  <c r="H63" i="246"/>
  <c r="I63" i="246" s="1"/>
  <c r="H75" i="247"/>
  <c r="I75" i="247" s="1"/>
  <c r="H53" i="247"/>
  <c r="I53" i="247" s="1"/>
  <c r="H39" i="247"/>
  <c r="I39" i="247" s="1"/>
  <c r="H32" i="245"/>
  <c r="I32" i="245" s="1"/>
  <c r="H77" i="245"/>
  <c r="I77" i="245" s="1"/>
  <c r="H28" i="247"/>
  <c r="I28" i="247" s="1"/>
  <c r="H31" i="247"/>
  <c r="I31" i="247" s="1"/>
  <c r="H40" i="246"/>
  <c r="I40" i="246" s="1"/>
  <c r="H85" i="247"/>
  <c r="I85" i="247" s="1"/>
  <c r="H91" i="247"/>
  <c r="I91" i="247" s="1"/>
  <c r="H34" i="243"/>
  <c r="I34" i="243" s="1"/>
  <c r="H67" i="245"/>
  <c r="I67" i="245" s="1"/>
  <c r="H95" i="246"/>
  <c r="I95" i="246" s="1"/>
  <c r="H99" i="246"/>
  <c r="I99" i="246" s="1"/>
  <c r="H61" i="246"/>
  <c r="I61" i="246" s="1"/>
  <c r="H37" i="246"/>
  <c r="I37" i="246" s="1"/>
  <c r="H42" i="247"/>
  <c r="I42" i="247" s="1"/>
  <c r="H54" i="247"/>
  <c r="I54" i="247" s="1"/>
  <c r="H82" i="247"/>
  <c r="I82" i="247" s="1"/>
  <c r="H67" i="247"/>
  <c r="I67" i="247" s="1"/>
  <c r="H55" i="243"/>
  <c r="I55" i="243" s="1"/>
  <c r="H57" i="243"/>
  <c r="I57" i="243" s="1"/>
  <c r="H62" i="243"/>
  <c r="I62" i="243" s="1"/>
  <c r="H93" i="244"/>
  <c r="I93" i="244" s="1"/>
  <c r="H83" i="245"/>
  <c r="I83" i="245" s="1"/>
  <c r="H74" i="245"/>
  <c r="I74" i="245" s="1"/>
  <c r="H70" i="246"/>
  <c r="I70" i="246" s="1"/>
  <c r="H73" i="246"/>
  <c r="I73" i="246" s="1"/>
  <c r="H62" i="246"/>
  <c r="I62" i="246" s="1"/>
  <c r="H30" i="246"/>
  <c r="I30" i="246" s="1"/>
  <c r="H26" i="246"/>
  <c r="I26" i="246" s="1"/>
  <c r="H83" i="246"/>
  <c r="I83" i="246" s="1"/>
  <c r="H59" i="246"/>
  <c r="I59" i="246" s="1"/>
  <c r="H31" i="246"/>
  <c r="I31" i="246" s="1"/>
  <c r="H90" i="247"/>
  <c r="I90" i="247" s="1"/>
  <c r="H98" i="247"/>
  <c r="I98" i="247" s="1"/>
  <c r="H44" i="247"/>
  <c r="I44" i="247" s="1"/>
  <c r="H32" i="247"/>
  <c r="I32" i="247" s="1"/>
  <c r="H60" i="243"/>
  <c r="I60" i="243" s="1"/>
  <c r="H69" i="246"/>
  <c r="I69" i="246" s="1"/>
  <c r="H57" i="246"/>
  <c r="I57" i="246" s="1"/>
  <c r="H29" i="246"/>
  <c r="I29" i="246" s="1"/>
  <c r="H80" i="247"/>
  <c r="I80" i="247" s="1"/>
  <c r="H38" i="247"/>
  <c r="I38" i="247" s="1"/>
  <c r="H69" i="247"/>
  <c r="I69" i="247" s="1"/>
  <c r="H93" i="247"/>
  <c r="I93" i="247" s="1"/>
  <c r="H50" i="247"/>
  <c r="I50" i="247" s="1"/>
  <c r="H53" i="245"/>
  <c r="I53" i="245" s="1"/>
  <c r="H51" i="246"/>
  <c r="I51" i="246" s="1"/>
  <c r="H56" i="246"/>
  <c r="I56" i="246" s="1"/>
  <c r="H99" i="247"/>
  <c r="I99" i="247" s="1"/>
  <c r="H100" i="247"/>
  <c r="I100" i="247" s="1"/>
  <c r="H30" i="247"/>
  <c r="I30" i="247" s="1"/>
  <c r="H56" i="247"/>
  <c r="I56" i="247" s="1"/>
  <c r="H61" i="247"/>
  <c r="I61" i="247" s="1"/>
  <c r="H65" i="247"/>
  <c r="I65" i="247" s="1"/>
  <c r="H41" i="247"/>
  <c r="I41" i="247" s="1"/>
  <c r="H96" i="247"/>
  <c r="I96" i="247" s="1"/>
  <c r="H86" i="247"/>
  <c r="I86" i="247" s="1"/>
  <c r="H77" i="247"/>
  <c r="I77" i="247" s="1"/>
  <c r="H26" i="247"/>
  <c r="I26" i="247" s="1"/>
  <c r="H64" i="247"/>
  <c r="I64" i="247" s="1"/>
  <c r="H74" i="247"/>
  <c r="I74" i="247" s="1"/>
  <c r="H95" i="247"/>
  <c r="I95" i="247" s="1"/>
  <c r="H94" i="247"/>
  <c r="I94" i="247" s="1"/>
  <c r="H76" i="247"/>
  <c r="I76" i="247" s="1"/>
  <c r="H63" i="247"/>
  <c r="I63" i="247" s="1"/>
  <c r="H68" i="247"/>
  <c r="I68" i="247" s="1"/>
  <c r="H58" i="244"/>
  <c r="I58" i="244" s="1"/>
  <c r="H93" i="245"/>
  <c r="I93" i="245" s="1"/>
  <c r="H56" i="245"/>
  <c r="I56" i="245" s="1"/>
  <c r="H93" i="246"/>
  <c r="I93" i="246" s="1"/>
  <c r="H71" i="246"/>
  <c r="I71" i="246" s="1"/>
  <c r="H50" i="246"/>
  <c r="I50" i="246" s="1"/>
  <c r="H38" i="246"/>
  <c r="I38" i="246" s="1"/>
  <c r="H90" i="244"/>
  <c r="I90" i="244" s="1"/>
  <c r="H92" i="246"/>
  <c r="I92" i="246" s="1"/>
  <c r="H87" i="246"/>
  <c r="I87" i="246" s="1"/>
  <c r="H91" i="246"/>
  <c r="I91" i="246" s="1"/>
  <c r="H28" i="243"/>
  <c r="I28" i="243" s="1"/>
  <c r="H99" i="244"/>
  <c r="I99" i="244" s="1"/>
  <c r="H68" i="245"/>
  <c r="I68" i="245" s="1"/>
  <c r="H58" i="245"/>
  <c r="I58" i="245" s="1"/>
  <c r="H38" i="245"/>
  <c r="I38" i="245" s="1"/>
  <c r="H100" i="246"/>
  <c r="I100" i="246" s="1"/>
  <c r="H98" i="246"/>
  <c r="I98" i="246" s="1"/>
  <c r="H34" i="246"/>
  <c r="I34" i="246" s="1"/>
  <c r="H79" i="246"/>
  <c r="I79" i="246" s="1"/>
  <c r="H44" i="245"/>
  <c r="I44" i="245" s="1"/>
  <c r="H74" i="243"/>
  <c r="I74" i="243" s="1"/>
  <c r="H90" i="246"/>
  <c r="I90" i="246" s="1"/>
  <c r="H45" i="246"/>
  <c r="I45" i="246" s="1"/>
  <c r="H42" i="246"/>
  <c r="I42" i="246" s="1"/>
  <c r="H70" i="244"/>
  <c r="I70" i="244" s="1"/>
  <c r="H65" i="244"/>
  <c r="I65" i="244" s="1"/>
  <c r="H97" i="245"/>
  <c r="I97" i="245" s="1"/>
  <c r="H76" i="245"/>
  <c r="I76" i="245" s="1"/>
  <c r="H64" i="245"/>
  <c r="I64" i="245" s="1"/>
  <c r="H90" i="245"/>
  <c r="I90" i="245" s="1"/>
  <c r="H45" i="245"/>
  <c r="I45" i="245" s="1"/>
  <c r="H86" i="246"/>
  <c r="I86" i="246" s="1"/>
  <c r="H77" i="246"/>
  <c r="I77" i="246" s="1"/>
  <c r="H97" i="246"/>
  <c r="I97" i="246" s="1"/>
  <c r="H82" i="246"/>
  <c r="I82" i="246" s="1"/>
  <c r="H66" i="246"/>
  <c r="I66" i="246" s="1"/>
  <c r="H64" i="246"/>
  <c r="I64" i="246" s="1"/>
  <c r="H67" i="246"/>
  <c r="I67" i="246" s="1"/>
  <c r="H58" i="246"/>
  <c r="I58" i="246" s="1"/>
  <c r="H52" i="246"/>
  <c r="I52" i="246" s="1"/>
  <c r="H78" i="245"/>
  <c r="I78" i="245" s="1"/>
  <c r="H94" i="246"/>
  <c r="I94" i="246" s="1"/>
  <c r="H54" i="246"/>
  <c r="I54" i="246" s="1"/>
  <c r="H41" i="246"/>
  <c r="I41" i="246" s="1"/>
  <c r="H78" i="246"/>
  <c r="I78" i="246" s="1"/>
  <c r="H43" i="246"/>
  <c r="I43" i="246" s="1"/>
  <c r="I25" i="246"/>
  <c r="H89" i="246"/>
  <c r="I89" i="246" s="1"/>
  <c r="H44" i="246"/>
  <c r="I44" i="246" s="1"/>
  <c r="H88" i="246"/>
  <c r="I88" i="246" s="1"/>
  <c r="H48" i="246"/>
  <c r="I48" i="246" s="1"/>
  <c r="H76" i="246"/>
  <c r="I76" i="246" s="1"/>
  <c r="H36" i="246"/>
  <c r="I36" i="246" s="1"/>
  <c r="H39" i="246"/>
  <c r="I39" i="246" s="1"/>
  <c r="H32" i="246"/>
  <c r="I32" i="246" s="1"/>
  <c r="H46" i="246"/>
  <c r="I46" i="246" s="1"/>
  <c r="H28" i="246"/>
  <c r="I28" i="246" s="1"/>
  <c r="H47" i="245"/>
  <c r="I47" i="245" s="1"/>
  <c r="H74" i="244"/>
  <c r="I74" i="244" s="1"/>
  <c r="H99" i="245"/>
  <c r="I99" i="245" s="1"/>
  <c r="H95" i="245"/>
  <c r="I95" i="245" s="1"/>
  <c r="H85" i="245"/>
  <c r="I85" i="245" s="1"/>
  <c r="H81" i="245"/>
  <c r="I81" i="245" s="1"/>
  <c r="H29" i="245"/>
  <c r="I29" i="245" s="1"/>
  <c r="H28" i="245"/>
  <c r="I28" i="245" s="1"/>
  <c r="H39" i="245"/>
  <c r="I39" i="245" s="1"/>
  <c r="H52" i="245"/>
  <c r="I52" i="245" s="1"/>
  <c r="H25" i="245"/>
  <c r="I25" i="245" s="1"/>
  <c r="H41" i="245"/>
  <c r="I41" i="245" s="1"/>
  <c r="H36" i="245"/>
  <c r="I36" i="245" s="1"/>
  <c r="H49" i="245"/>
  <c r="I49" i="245" s="1"/>
  <c r="H43" i="245"/>
  <c r="I43" i="245" s="1"/>
  <c r="H43" i="243"/>
  <c r="I43" i="243" s="1"/>
  <c r="H88" i="243"/>
  <c r="I88" i="243" s="1"/>
  <c r="H32" i="244"/>
  <c r="I32" i="244" s="1"/>
  <c r="H37" i="245"/>
  <c r="I37" i="245" s="1"/>
  <c r="H71" i="245"/>
  <c r="I71" i="245" s="1"/>
  <c r="H33" i="245"/>
  <c r="I33" i="245" s="1"/>
  <c r="H70" i="245"/>
  <c r="I70" i="245" s="1"/>
  <c r="H34" i="245"/>
  <c r="I34" i="245" s="1"/>
  <c r="H73" i="245"/>
  <c r="I73" i="245" s="1"/>
  <c r="H40" i="245"/>
  <c r="I40" i="245" s="1"/>
  <c r="H60" i="245"/>
  <c r="I60" i="245" s="1"/>
  <c r="H100" i="245"/>
  <c r="I100" i="245" s="1"/>
  <c r="H26" i="245"/>
  <c r="I26" i="245" s="1"/>
  <c r="H30" i="245"/>
  <c r="I30" i="245" s="1"/>
  <c r="H48" i="245"/>
  <c r="I48" i="245" s="1"/>
  <c r="H80" i="243"/>
  <c r="I80" i="243" s="1"/>
  <c r="H89" i="244"/>
  <c r="I89" i="244" s="1"/>
  <c r="H88" i="244"/>
  <c r="I88" i="244" s="1"/>
  <c r="H79" i="244"/>
  <c r="I79" i="244" s="1"/>
  <c r="H34" i="244"/>
  <c r="I34" i="244" s="1"/>
  <c r="H98" i="245"/>
  <c r="I98" i="245" s="1"/>
  <c r="H96" i="245"/>
  <c r="I96" i="245" s="1"/>
  <c r="H72" i="245"/>
  <c r="I72" i="245" s="1"/>
  <c r="H80" i="245"/>
  <c r="I80" i="245" s="1"/>
  <c r="H79" i="245"/>
  <c r="I79" i="245" s="1"/>
  <c r="H97" i="243"/>
  <c r="I97" i="243" s="1"/>
  <c r="H67" i="243"/>
  <c r="I67" i="243" s="1"/>
  <c r="H38" i="244"/>
  <c r="I38" i="244" s="1"/>
  <c r="H75" i="244"/>
  <c r="I75" i="244" s="1"/>
  <c r="H83" i="244"/>
  <c r="I83" i="244" s="1"/>
  <c r="H62" i="244"/>
  <c r="I62" i="244" s="1"/>
  <c r="H51" i="244"/>
  <c r="I51" i="244" s="1"/>
  <c r="H33" i="244"/>
  <c r="I33" i="244" s="1"/>
  <c r="H41" i="244"/>
  <c r="I41" i="244" s="1"/>
  <c r="H77" i="244"/>
  <c r="I77" i="244" s="1"/>
  <c r="H87" i="245"/>
  <c r="I87" i="245" s="1"/>
  <c r="H46" i="245"/>
  <c r="I46" i="245" s="1"/>
  <c r="H51" i="245"/>
  <c r="I51" i="245" s="1"/>
  <c r="H63" i="245"/>
  <c r="I63" i="245" s="1"/>
  <c r="H89" i="245"/>
  <c r="I89" i="245" s="1"/>
  <c r="H42" i="245"/>
  <c r="I42" i="245" s="1"/>
  <c r="H31" i="245"/>
  <c r="I31" i="245" s="1"/>
  <c r="H67" i="244"/>
  <c r="I67" i="244" s="1"/>
  <c r="H59" i="244"/>
  <c r="I59" i="244" s="1"/>
  <c r="H79" i="243"/>
  <c r="I79" i="243" s="1"/>
  <c r="H86" i="244"/>
  <c r="I86" i="244" s="1"/>
  <c r="H26" i="244"/>
  <c r="I26" i="244" s="1"/>
  <c r="H30" i="244"/>
  <c r="I30" i="244" s="1"/>
  <c r="H50" i="244"/>
  <c r="I50" i="244" s="1"/>
  <c r="H35" i="244"/>
  <c r="I35" i="244" s="1"/>
  <c r="H73" i="244"/>
  <c r="I73" i="244" s="1"/>
  <c r="H87" i="243"/>
  <c r="I87" i="243" s="1"/>
  <c r="H29" i="243"/>
  <c r="I29" i="243" s="1"/>
  <c r="H94" i="244"/>
  <c r="I94" i="244" s="1"/>
  <c r="H39" i="244"/>
  <c r="I39" i="244" s="1"/>
  <c r="H63" i="244"/>
  <c r="I63" i="244" s="1"/>
  <c r="H46" i="244"/>
  <c r="I46" i="244" s="1"/>
  <c r="H51" i="243"/>
  <c r="I51" i="243" s="1"/>
  <c r="H37" i="243"/>
  <c r="I37" i="243" s="1"/>
  <c r="H81" i="244"/>
  <c r="I81" i="244" s="1"/>
  <c r="H91" i="244"/>
  <c r="I91" i="244" s="1"/>
  <c r="H97" i="244"/>
  <c r="I97" i="244" s="1"/>
  <c r="H71" i="244"/>
  <c r="I71" i="244" s="1"/>
  <c r="H87" i="244"/>
  <c r="I87" i="244" s="1"/>
  <c r="H76" i="244"/>
  <c r="I76" i="244" s="1"/>
  <c r="H61" i="244"/>
  <c r="I61" i="244" s="1"/>
  <c r="H39" i="243"/>
  <c r="I39" i="243" s="1"/>
  <c r="H78" i="243"/>
  <c r="I78" i="243" s="1"/>
  <c r="H86" i="243"/>
  <c r="I86" i="243" s="1"/>
  <c r="H72" i="243"/>
  <c r="I72" i="243" s="1"/>
  <c r="H77" i="243"/>
  <c r="I77" i="243" s="1"/>
  <c r="H96" i="244"/>
  <c r="I96" i="244" s="1"/>
  <c r="H66" i="244"/>
  <c r="I66" i="244" s="1"/>
  <c r="H78" i="244"/>
  <c r="I78" i="244" s="1"/>
  <c r="H84" i="243"/>
  <c r="I84" i="243" s="1"/>
  <c r="H63" i="243"/>
  <c r="I63" i="243" s="1"/>
  <c r="H27" i="243"/>
  <c r="I27" i="243" s="1"/>
  <c r="H71" i="243"/>
  <c r="I71" i="243" s="1"/>
  <c r="H98" i="244"/>
  <c r="I98" i="244" s="1"/>
  <c r="H85" i="244"/>
  <c r="I85" i="244" s="1"/>
  <c r="H60" i="244"/>
  <c r="I60" i="244" s="1"/>
  <c r="H48" i="244"/>
  <c r="I48" i="244" s="1"/>
  <c r="H57" i="244"/>
  <c r="I57" i="244" s="1"/>
  <c r="H40" i="244"/>
  <c r="I40" i="244" s="1"/>
  <c r="H69" i="244"/>
  <c r="I69" i="244" s="1"/>
  <c r="H31" i="244"/>
  <c r="I31" i="244" s="1"/>
  <c r="H42" i="244"/>
  <c r="I42" i="244" s="1"/>
  <c r="H45" i="244"/>
  <c r="I45" i="244" s="1"/>
  <c r="H95" i="244"/>
  <c r="I95" i="244" s="1"/>
  <c r="H58" i="243"/>
  <c r="I58" i="243" s="1"/>
  <c r="H26" i="243"/>
  <c r="I26" i="243" s="1"/>
  <c r="H59" i="243"/>
  <c r="I59" i="243" s="1"/>
  <c r="H100" i="244"/>
  <c r="I100" i="244" s="1"/>
  <c r="H37" i="244"/>
  <c r="I37" i="244" s="1"/>
  <c r="H68" i="244"/>
  <c r="I68" i="244" s="1"/>
  <c r="H52" i="244"/>
  <c r="I52" i="244" s="1"/>
  <c r="H29" i="244"/>
  <c r="I29" i="244" s="1"/>
  <c r="H27" i="244"/>
  <c r="I27" i="244" s="1"/>
  <c r="H36" i="244"/>
  <c r="I36" i="244" s="1"/>
  <c r="H49" i="244"/>
  <c r="I49" i="244" s="1"/>
  <c r="H55" i="244"/>
  <c r="I55" i="244" s="1"/>
  <c r="H80" i="244"/>
  <c r="I80" i="244" s="1"/>
  <c r="H72" i="244"/>
  <c r="I72" i="244" s="1"/>
  <c r="H92" i="244"/>
  <c r="I92" i="244" s="1"/>
  <c r="H99" i="243"/>
  <c r="I99" i="243" s="1"/>
  <c r="H76" i="243"/>
  <c r="I76" i="243" s="1"/>
  <c r="H56" i="243"/>
  <c r="I56" i="243" s="1"/>
  <c r="H73" i="243"/>
  <c r="I73" i="243" s="1"/>
  <c r="H45" i="243"/>
  <c r="I45" i="243" s="1"/>
  <c r="H65" i="243"/>
  <c r="I65" i="243" s="1"/>
  <c r="H49" i="243"/>
  <c r="I49" i="243" s="1"/>
  <c r="H95" i="243"/>
  <c r="I95" i="243" s="1"/>
  <c r="H90" i="243"/>
  <c r="I90" i="243" s="1"/>
  <c r="H47" i="243"/>
  <c r="I47" i="243" s="1"/>
  <c r="H69" i="243"/>
  <c r="I69" i="243" s="1"/>
  <c r="H93" i="243"/>
  <c r="I93" i="243" s="1"/>
  <c r="H53" i="243"/>
  <c r="I53" i="243" s="1"/>
  <c r="H30" i="243"/>
  <c r="I30" i="243" s="1"/>
  <c r="H41" i="243"/>
  <c r="I41" i="243" s="1"/>
  <c r="H91" i="243"/>
  <c r="I91" i="243" s="1"/>
  <c r="H31" i="243"/>
  <c r="I31" i="243" s="1"/>
  <c r="H89" i="243"/>
  <c r="I89" i="243" s="1"/>
  <c r="H36" i="243"/>
  <c r="I36" i="243" s="1"/>
  <c r="H35" i="243"/>
  <c r="I35" i="243" s="1"/>
  <c r="H83" i="243"/>
  <c r="I83" i="243" s="1"/>
  <c r="H81" i="243"/>
  <c r="I81" i="243" s="1"/>
  <c r="H70" i="243"/>
  <c r="I70" i="243" s="1"/>
  <c r="H38" i="243"/>
  <c r="I38" i="243" s="1"/>
  <c r="H92" i="243"/>
  <c r="I92" i="243" s="1"/>
  <c r="H52" i="243"/>
  <c r="I52" i="243" s="1"/>
  <c r="H94" i="243"/>
  <c r="I94" i="243" s="1"/>
  <c r="H64" i="243"/>
  <c r="I64" i="243" s="1"/>
  <c r="H82" i="243"/>
  <c r="I82" i="243" s="1"/>
  <c r="H44" i="243"/>
  <c r="I44" i="243" s="1"/>
  <c r="H33" i="243"/>
  <c r="I33" i="243" s="1"/>
  <c r="H54" i="243"/>
  <c r="I54" i="243" s="1"/>
  <c r="H32" i="243"/>
  <c r="I32" i="243" s="1"/>
  <c r="H46" i="243"/>
  <c r="I46" i="243" s="1"/>
  <c r="I25" i="243"/>
  <c r="H68" i="243"/>
  <c r="I68" i="243" s="1"/>
  <c r="H40" i="243"/>
  <c r="I40" i="243" s="1"/>
  <c r="H42" i="243"/>
  <c r="I42" i="243" s="1"/>
  <c r="H100" i="243"/>
  <c r="I100" i="243" s="1"/>
  <c r="H66" i="243"/>
  <c r="I66" i="243" s="1"/>
  <c r="H98" i="243"/>
  <c r="I98" i="243" s="1"/>
  <c r="H96" i="243"/>
  <c r="I96" i="243" s="1"/>
  <c r="H48" i="243"/>
  <c r="I48" i="243" s="1"/>
  <c r="I101" i="265" l="1"/>
  <c r="J143" i="265" s="1"/>
  <c r="I101" i="266"/>
  <c r="H101" i="266"/>
  <c r="H101" i="265"/>
  <c r="I138" i="265" s="1"/>
  <c r="J171" i="265"/>
  <c r="E194" i="265"/>
  <c r="F194" i="265" s="1"/>
  <c r="J133" i="265"/>
  <c r="E192" i="265"/>
  <c r="F192" i="265" s="1"/>
  <c r="E199" i="265"/>
  <c r="F199" i="265" s="1"/>
  <c r="J174" i="265"/>
  <c r="J163" i="265"/>
  <c r="J162" i="265"/>
  <c r="J169" i="265"/>
  <c r="E197" i="265"/>
  <c r="F197" i="265" s="1"/>
  <c r="J166" i="265"/>
  <c r="J155" i="265"/>
  <c r="J172" i="265"/>
  <c r="J161" i="265"/>
  <c r="E195" i="265"/>
  <c r="F195" i="265" s="1"/>
  <c r="J158" i="265"/>
  <c r="E189" i="265"/>
  <c r="F189" i="265" s="1"/>
  <c r="J175" i="265"/>
  <c r="J164" i="265"/>
  <c r="J153" i="265"/>
  <c r="E186" i="265"/>
  <c r="F186" i="265" s="1"/>
  <c r="J154" i="265"/>
  <c r="J159" i="265"/>
  <c r="J146" i="265"/>
  <c r="E191" i="265"/>
  <c r="F191" i="265" s="1"/>
  <c r="J142" i="265"/>
  <c r="J131" i="265"/>
  <c r="J170" i="265"/>
  <c r="J140" i="265"/>
  <c r="E203" i="265"/>
  <c r="F203" i="265" s="1"/>
  <c r="E187" i="265"/>
  <c r="F187" i="265" s="1"/>
  <c r="J179" i="265"/>
  <c r="J137" i="265"/>
  <c r="I149" i="265"/>
  <c r="I136" i="265"/>
  <c r="I180" i="265"/>
  <c r="I135" i="265"/>
  <c r="I154" i="265"/>
  <c r="I132" i="265"/>
  <c r="I157" i="265"/>
  <c r="I173" i="265"/>
  <c r="I171" i="265"/>
  <c r="I159" i="265"/>
  <c r="I178" i="265"/>
  <c r="I167" i="265"/>
  <c r="I141" i="265"/>
  <c r="I160" i="265"/>
  <c r="I179" i="265"/>
  <c r="I134" i="265"/>
  <c r="I153" i="265"/>
  <c r="I172" i="265"/>
  <c r="I101" i="264"/>
  <c r="H101" i="264"/>
  <c r="H101" i="263"/>
  <c r="I25" i="263"/>
  <c r="I101" i="263" s="1"/>
  <c r="I101" i="262"/>
  <c r="H101" i="262"/>
  <c r="I101" i="261"/>
  <c r="H101" i="261"/>
  <c r="I101" i="260"/>
  <c r="H101" i="260"/>
  <c r="I101" i="259"/>
  <c r="H101" i="259"/>
  <c r="H101" i="258"/>
  <c r="I168" i="258" s="1"/>
  <c r="I101" i="258"/>
  <c r="I101" i="257"/>
  <c r="J155" i="257" s="1"/>
  <c r="H101" i="257"/>
  <c r="I142" i="257" s="1"/>
  <c r="I101" i="256"/>
  <c r="H101" i="256"/>
  <c r="H101" i="255"/>
  <c r="I25" i="255"/>
  <c r="I101" i="255" s="1"/>
  <c r="I101" i="254"/>
  <c r="H101" i="254"/>
  <c r="I101" i="253"/>
  <c r="H101" i="253"/>
  <c r="H101" i="252"/>
  <c r="I25" i="252"/>
  <c r="I101" i="252" s="1"/>
  <c r="H101" i="251"/>
  <c r="I146" i="251" s="1"/>
  <c r="I101" i="251"/>
  <c r="J175" i="251" s="1"/>
  <c r="I101" i="250"/>
  <c r="H101" i="250"/>
  <c r="I101" i="249"/>
  <c r="H101" i="249"/>
  <c r="I101" i="248"/>
  <c r="H101" i="248"/>
  <c r="I101" i="247"/>
  <c r="H101" i="247"/>
  <c r="I101" i="246"/>
  <c r="H101" i="246"/>
  <c r="I101" i="245"/>
  <c r="H101" i="245"/>
  <c r="I101" i="244"/>
  <c r="H101" i="244"/>
  <c r="I101" i="243"/>
  <c r="H101" i="243"/>
  <c r="I165" i="265" l="1"/>
  <c r="I137" i="265"/>
  <c r="I133" i="265"/>
  <c r="I150" i="265"/>
  <c r="J152" i="265"/>
  <c r="J151" i="265"/>
  <c r="J145" i="265"/>
  <c r="E190" i="265"/>
  <c r="F190" i="265" s="1"/>
  <c r="E198" i="265"/>
  <c r="F198" i="265" s="1"/>
  <c r="J134" i="265"/>
  <c r="J180" i="265"/>
  <c r="J177" i="265"/>
  <c r="E185" i="265"/>
  <c r="I175" i="265"/>
  <c r="I176" i="265"/>
  <c r="I170" i="265"/>
  <c r="I152" i="265"/>
  <c r="J141" i="265"/>
  <c r="J148" i="265"/>
  <c r="J156" i="265"/>
  <c r="J139" i="265"/>
  <c r="E202" i="265"/>
  <c r="F202" i="265" s="1"/>
  <c r="J168" i="265"/>
  <c r="J176" i="265"/>
  <c r="J135" i="265"/>
  <c r="E201" i="265"/>
  <c r="F201" i="265" s="1"/>
  <c r="I164" i="265"/>
  <c r="I155" i="265"/>
  <c r="I151" i="265"/>
  <c r="I158" i="265"/>
  <c r="J138" i="265"/>
  <c r="J136" i="265"/>
  <c r="J167" i="265"/>
  <c r="J150" i="265"/>
  <c r="E200" i="265"/>
  <c r="F200" i="265" s="1"/>
  <c r="J160" i="265"/>
  <c r="J178" i="265"/>
  <c r="J165" i="265"/>
  <c r="J132" i="265"/>
  <c r="I145" i="265"/>
  <c r="I168" i="265"/>
  <c r="I140" i="265"/>
  <c r="I163" i="265"/>
  <c r="E188" i="265"/>
  <c r="F188" i="265" s="1"/>
  <c r="J173" i="265"/>
  <c r="J149" i="265"/>
  <c r="E193" i="265"/>
  <c r="F193" i="265" s="1"/>
  <c r="J147" i="265"/>
  <c r="J157" i="265"/>
  <c r="E196" i="265"/>
  <c r="F196" i="265" s="1"/>
  <c r="J144" i="265"/>
  <c r="I170" i="266"/>
  <c r="I151" i="266"/>
  <c r="I140" i="266"/>
  <c r="I174" i="266"/>
  <c r="I163" i="266"/>
  <c r="I149" i="266"/>
  <c r="I162" i="266"/>
  <c r="I143" i="266"/>
  <c r="I132" i="266"/>
  <c r="I166" i="266"/>
  <c r="I155" i="266"/>
  <c r="I141" i="266"/>
  <c r="I154" i="266"/>
  <c r="I135" i="266"/>
  <c r="I177" i="266"/>
  <c r="I158" i="266"/>
  <c r="I147" i="266"/>
  <c r="I176" i="266"/>
  <c r="I146" i="266"/>
  <c r="I180" i="266"/>
  <c r="I169" i="266"/>
  <c r="I150" i="266"/>
  <c r="I139" i="266"/>
  <c r="I144" i="266"/>
  <c r="I138" i="266"/>
  <c r="I172" i="266"/>
  <c r="I161" i="266"/>
  <c r="I142" i="266"/>
  <c r="I131" i="266"/>
  <c r="I168" i="266"/>
  <c r="I175" i="266"/>
  <c r="I164" i="266"/>
  <c r="I153" i="266"/>
  <c r="I134" i="266"/>
  <c r="I173" i="266"/>
  <c r="I136" i="266"/>
  <c r="I167" i="266"/>
  <c r="I156" i="266"/>
  <c r="I145" i="266"/>
  <c r="I179" i="266"/>
  <c r="I165" i="266"/>
  <c r="I160" i="266"/>
  <c r="I152" i="266"/>
  <c r="I178" i="266"/>
  <c r="I159" i="266"/>
  <c r="I148" i="266"/>
  <c r="I137" i="266"/>
  <c r="I171" i="266"/>
  <c r="I157" i="266"/>
  <c r="I133" i="266"/>
  <c r="J180" i="266"/>
  <c r="J169" i="266"/>
  <c r="E197" i="266"/>
  <c r="F197" i="266" s="1"/>
  <c r="J166" i="266"/>
  <c r="J155" i="266"/>
  <c r="J144" i="266"/>
  <c r="E190" i="266"/>
  <c r="F190" i="266" s="1"/>
  <c r="J138" i="266"/>
  <c r="J172" i="266"/>
  <c r="J161" i="266"/>
  <c r="E195" i="266"/>
  <c r="F195" i="266" s="1"/>
  <c r="J158" i="266"/>
  <c r="J147" i="266"/>
  <c r="J136" i="266"/>
  <c r="E188" i="266"/>
  <c r="F188" i="266" s="1"/>
  <c r="J157" i="266"/>
  <c r="J175" i="266"/>
  <c r="J164" i="266"/>
  <c r="J153" i="266"/>
  <c r="E193" i="266"/>
  <c r="F193" i="266" s="1"/>
  <c r="J150" i="266"/>
  <c r="J139" i="266"/>
  <c r="E202" i="266"/>
  <c r="F202" i="266" s="1"/>
  <c r="E186" i="266"/>
  <c r="F186" i="266" s="1"/>
  <c r="J149" i="266"/>
  <c r="J167" i="266"/>
  <c r="J156" i="266"/>
  <c r="J145" i="266"/>
  <c r="E191" i="266"/>
  <c r="F191" i="266" s="1"/>
  <c r="J142" i="266"/>
  <c r="J131" i="266"/>
  <c r="E200" i="266"/>
  <c r="F200" i="266" s="1"/>
  <c r="J178" i="266"/>
  <c r="J173" i="266"/>
  <c r="J159" i="266"/>
  <c r="J148" i="266"/>
  <c r="J137" i="266"/>
  <c r="E189" i="266"/>
  <c r="F189" i="266" s="1"/>
  <c r="J134" i="266"/>
  <c r="J176" i="266"/>
  <c r="E198" i="266"/>
  <c r="F198" i="266" s="1"/>
  <c r="J170" i="266"/>
  <c r="J141" i="266"/>
  <c r="J151" i="266"/>
  <c r="J140" i="266"/>
  <c r="E203" i="266"/>
  <c r="F203" i="266" s="1"/>
  <c r="E187" i="266"/>
  <c r="F187" i="266" s="1"/>
  <c r="J179" i="266"/>
  <c r="J168" i="266"/>
  <c r="E196" i="266"/>
  <c r="F196" i="266" s="1"/>
  <c r="J162" i="266"/>
  <c r="J165" i="266"/>
  <c r="J143" i="266"/>
  <c r="J132" i="266"/>
  <c r="E201" i="266"/>
  <c r="F201" i="266" s="1"/>
  <c r="E185" i="266"/>
  <c r="J171" i="266"/>
  <c r="J160" i="266"/>
  <c r="E194" i="266"/>
  <c r="F194" i="266" s="1"/>
  <c r="J154" i="266"/>
  <c r="J133" i="266"/>
  <c r="J135" i="266"/>
  <c r="J177" i="266"/>
  <c r="E199" i="266"/>
  <c r="F199" i="266" s="1"/>
  <c r="J174" i="266"/>
  <c r="J163" i="266"/>
  <c r="J152" i="266"/>
  <c r="E192" i="266"/>
  <c r="F192" i="266" s="1"/>
  <c r="J146" i="266"/>
  <c r="I139" i="265"/>
  <c r="I169" i="265"/>
  <c r="I146" i="265"/>
  <c r="I148" i="265"/>
  <c r="I166" i="265"/>
  <c r="I162" i="265"/>
  <c r="I161" i="265"/>
  <c r="I131" i="265"/>
  <c r="I156" i="265"/>
  <c r="I174" i="265"/>
  <c r="I144" i="265"/>
  <c r="I143" i="265"/>
  <c r="I142" i="265"/>
  <c r="I177" i="265"/>
  <c r="I147" i="265"/>
  <c r="J181" i="265"/>
  <c r="B208" i="265" s="1"/>
  <c r="E204" i="265"/>
  <c r="B215" i="265" s="1"/>
  <c r="F185" i="265"/>
  <c r="F204" i="265" s="1"/>
  <c r="B216" i="265" s="1"/>
  <c r="I162" i="264"/>
  <c r="I143" i="264"/>
  <c r="I132" i="264"/>
  <c r="I166" i="264"/>
  <c r="I155" i="264"/>
  <c r="I141" i="264"/>
  <c r="I154" i="264"/>
  <c r="I135" i="264"/>
  <c r="I177" i="264"/>
  <c r="I158" i="264"/>
  <c r="I147" i="264"/>
  <c r="I133" i="264"/>
  <c r="I146" i="264"/>
  <c r="I180" i="264"/>
  <c r="I169" i="264"/>
  <c r="I150" i="264"/>
  <c r="I139" i="264"/>
  <c r="I176" i="264"/>
  <c r="I138" i="264"/>
  <c r="I172" i="264"/>
  <c r="I161" i="264"/>
  <c r="I142" i="264"/>
  <c r="I131" i="264"/>
  <c r="I144" i="264"/>
  <c r="I175" i="264"/>
  <c r="I164" i="264"/>
  <c r="I153" i="264"/>
  <c r="I134" i="264"/>
  <c r="I173" i="264"/>
  <c r="I168" i="264"/>
  <c r="I167" i="264"/>
  <c r="I156" i="264"/>
  <c r="I145" i="264"/>
  <c r="I179" i="264"/>
  <c r="I165" i="264"/>
  <c r="I136" i="264"/>
  <c r="I178" i="264"/>
  <c r="I159" i="264"/>
  <c r="I148" i="264"/>
  <c r="I137" i="264"/>
  <c r="I171" i="264"/>
  <c r="I157" i="264"/>
  <c r="I160" i="264"/>
  <c r="I170" i="264"/>
  <c r="I151" i="264"/>
  <c r="I140" i="264"/>
  <c r="I174" i="264"/>
  <c r="I163" i="264"/>
  <c r="I149" i="264"/>
  <c r="I152" i="264"/>
  <c r="J161" i="264"/>
  <c r="E195" i="264"/>
  <c r="F195" i="264" s="1"/>
  <c r="J158" i="264"/>
  <c r="J147" i="264"/>
  <c r="J136" i="264"/>
  <c r="J175" i="264"/>
  <c r="J164" i="264"/>
  <c r="J153" i="264"/>
  <c r="E193" i="264"/>
  <c r="F193" i="264" s="1"/>
  <c r="J150" i="264"/>
  <c r="J139" i="264"/>
  <c r="E202" i="264"/>
  <c r="F202" i="264" s="1"/>
  <c r="E186" i="264"/>
  <c r="F186" i="264" s="1"/>
  <c r="J149" i="264"/>
  <c r="J167" i="264"/>
  <c r="J156" i="264"/>
  <c r="J145" i="264"/>
  <c r="E191" i="264"/>
  <c r="F191" i="264" s="1"/>
  <c r="J142" i="264"/>
  <c r="J131" i="264"/>
  <c r="E200" i="264"/>
  <c r="F200" i="264" s="1"/>
  <c r="J178" i="264"/>
  <c r="J173" i="264"/>
  <c r="J159" i="264"/>
  <c r="J148" i="264"/>
  <c r="J137" i="264"/>
  <c r="E189" i="264"/>
  <c r="F189" i="264" s="1"/>
  <c r="J134" i="264"/>
  <c r="J176" i="264"/>
  <c r="E198" i="264"/>
  <c r="F198" i="264" s="1"/>
  <c r="J170" i="264"/>
  <c r="J141" i="264"/>
  <c r="J151" i="264"/>
  <c r="J140" i="264"/>
  <c r="E203" i="264"/>
  <c r="F203" i="264" s="1"/>
  <c r="E187" i="264"/>
  <c r="F187" i="264" s="1"/>
  <c r="J179" i="264"/>
  <c r="J168" i="264"/>
  <c r="E196" i="264"/>
  <c r="F196" i="264" s="1"/>
  <c r="J162" i="264"/>
  <c r="J165" i="264"/>
  <c r="J157" i="264"/>
  <c r="J143" i="264"/>
  <c r="J132" i="264"/>
  <c r="E201" i="264"/>
  <c r="F201" i="264" s="1"/>
  <c r="E185" i="264"/>
  <c r="J171" i="264"/>
  <c r="J160" i="264"/>
  <c r="E194" i="264"/>
  <c r="F194" i="264" s="1"/>
  <c r="J154" i="264"/>
  <c r="J133" i="264"/>
  <c r="E188" i="264"/>
  <c r="F188" i="264" s="1"/>
  <c r="J135" i="264"/>
  <c r="J177" i="264"/>
  <c r="E199" i="264"/>
  <c r="F199" i="264" s="1"/>
  <c r="J174" i="264"/>
  <c r="J163" i="264"/>
  <c r="J152" i="264"/>
  <c r="E192" i="264"/>
  <c r="F192" i="264" s="1"/>
  <c r="J146" i="264"/>
  <c r="J180" i="264"/>
  <c r="J169" i="264"/>
  <c r="E197" i="264"/>
  <c r="F197" i="264" s="1"/>
  <c r="J166" i="264"/>
  <c r="J155" i="264"/>
  <c r="J144" i="264"/>
  <c r="E190" i="264"/>
  <c r="F190" i="264" s="1"/>
  <c r="J138" i="264"/>
  <c r="J172" i="264"/>
  <c r="J175" i="263"/>
  <c r="J164" i="263"/>
  <c r="J153" i="263"/>
  <c r="E193" i="263"/>
  <c r="F193" i="263" s="1"/>
  <c r="J150" i="263"/>
  <c r="J139" i="263"/>
  <c r="E202" i="263"/>
  <c r="F202" i="263" s="1"/>
  <c r="E186" i="263"/>
  <c r="F186" i="263" s="1"/>
  <c r="J149" i="263"/>
  <c r="J167" i="263"/>
  <c r="J156" i="263"/>
  <c r="J145" i="263"/>
  <c r="E191" i="263"/>
  <c r="F191" i="263" s="1"/>
  <c r="J142" i="263"/>
  <c r="J131" i="263"/>
  <c r="E200" i="263"/>
  <c r="F200" i="263" s="1"/>
  <c r="J178" i="263"/>
  <c r="J173" i="263"/>
  <c r="J159" i="263"/>
  <c r="J148" i="263"/>
  <c r="J137" i="263"/>
  <c r="E189" i="263"/>
  <c r="F189" i="263" s="1"/>
  <c r="J134" i="263"/>
  <c r="J176" i="263"/>
  <c r="E198" i="263"/>
  <c r="F198" i="263" s="1"/>
  <c r="J170" i="263"/>
  <c r="J141" i="263"/>
  <c r="J151" i="263"/>
  <c r="J140" i="263"/>
  <c r="E203" i="263"/>
  <c r="F203" i="263" s="1"/>
  <c r="E187" i="263"/>
  <c r="F187" i="263" s="1"/>
  <c r="J179" i="263"/>
  <c r="J168" i="263"/>
  <c r="E196" i="263"/>
  <c r="F196" i="263" s="1"/>
  <c r="J162" i="263"/>
  <c r="J165" i="263"/>
  <c r="J143" i="263"/>
  <c r="J132" i="263"/>
  <c r="E201" i="263"/>
  <c r="F201" i="263" s="1"/>
  <c r="E185" i="263"/>
  <c r="J171" i="263"/>
  <c r="J160" i="263"/>
  <c r="E194" i="263"/>
  <c r="F194" i="263" s="1"/>
  <c r="J154" i="263"/>
  <c r="J133" i="263"/>
  <c r="J135" i="263"/>
  <c r="J177" i="263"/>
  <c r="E199" i="263"/>
  <c r="F199" i="263" s="1"/>
  <c r="J174" i="263"/>
  <c r="J163" i="263"/>
  <c r="J152" i="263"/>
  <c r="E192" i="263"/>
  <c r="F192" i="263" s="1"/>
  <c r="J146" i="263"/>
  <c r="J180" i="263"/>
  <c r="J169" i="263"/>
  <c r="E197" i="263"/>
  <c r="F197" i="263" s="1"/>
  <c r="J166" i="263"/>
  <c r="J155" i="263"/>
  <c r="J144" i="263"/>
  <c r="E190" i="263"/>
  <c r="F190" i="263" s="1"/>
  <c r="J138" i="263"/>
  <c r="J172" i="263"/>
  <c r="J161" i="263"/>
  <c r="E195" i="263"/>
  <c r="F195" i="263" s="1"/>
  <c r="J158" i="263"/>
  <c r="J147" i="263"/>
  <c r="J136" i="263"/>
  <c r="E188" i="263"/>
  <c r="F188" i="263" s="1"/>
  <c r="J157" i="263"/>
  <c r="I178" i="263"/>
  <c r="I159" i="263"/>
  <c r="I148" i="263"/>
  <c r="I137" i="263"/>
  <c r="I171" i="263"/>
  <c r="I157" i="263"/>
  <c r="I160" i="263"/>
  <c r="I170" i="263"/>
  <c r="I151" i="263"/>
  <c r="I140" i="263"/>
  <c r="I174" i="263"/>
  <c r="I163" i="263"/>
  <c r="I149" i="263"/>
  <c r="I152" i="263"/>
  <c r="I162" i="263"/>
  <c r="I143" i="263"/>
  <c r="I132" i="263"/>
  <c r="I166" i="263"/>
  <c r="I155" i="263"/>
  <c r="I141" i="263"/>
  <c r="I154" i="263"/>
  <c r="I135" i="263"/>
  <c r="I177" i="263"/>
  <c r="I158" i="263"/>
  <c r="I147" i="263"/>
  <c r="I133" i="263"/>
  <c r="I146" i="263"/>
  <c r="I180" i="263"/>
  <c r="I169" i="263"/>
  <c r="I150" i="263"/>
  <c r="I139" i="263"/>
  <c r="I176" i="263"/>
  <c r="I138" i="263"/>
  <c r="I172" i="263"/>
  <c r="I161" i="263"/>
  <c r="I142" i="263"/>
  <c r="I131" i="263"/>
  <c r="I144" i="263"/>
  <c r="I175" i="263"/>
  <c r="I164" i="263"/>
  <c r="I153" i="263"/>
  <c r="I134" i="263"/>
  <c r="I173" i="263"/>
  <c r="I168" i="263"/>
  <c r="I167" i="263"/>
  <c r="I156" i="263"/>
  <c r="I145" i="263"/>
  <c r="I179" i="263"/>
  <c r="I165" i="263"/>
  <c r="I136" i="263"/>
  <c r="I146" i="262"/>
  <c r="I180" i="262"/>
  <c r="I169" i="262"/>
  <c r="I150" i="262"/>
  <c r="I176" i="262"/>
  <c r="I149" i="262"/>
  <c r="I138" i="262"/>
  <c r="I172" i="262"/>
  <c r="I161" i="262"/>
  <c r="I142" i="262"/>
  <c r="I168" i="262"/>
  <c r="I173" i="262"/>
  <c r="I175" i="262"/>
  <c r="I164" i="262"/>
  <c r="I153" i="262"/>
  <c r="I134" i="262"/>
  <c r="I160" i="262"/>
  <c r="I141" i="262"/>
  <c r="I135" i="262"/>
  <c r="I167" i="262"/>
  <c r="I156" i="262"/>
  <c r="I145" i="262"/>
  <c r="I179" i="262"/>
  <c r="I152" i="262"/>
  <c r="I165" i="262"/>
  <c r="I177" i="262"/>
  <c r="I133" i="262"/>
  <c r="I178" i="262"/>
  <c r="I159" i="262"/>
  <c r="I148" i="262"/>
  <c r="I137" i="262"/>
  <c r="I171" i="262"/>
  <c r="I144" i="262"/>
  <c r="I139" i="262"/>
  <c r="I154" i="262"/>
  <c r="I147" i="262"/>
  <c r="I170" i="262"/>
  <c r="I151" i="262"/>
  <c r="I140" i="262"/>
  <c r="I174" i="262"/>
  <c r="I163" i="262"/>
  <c r="I136" i="262"/>
  <c r="I131" i="262"/>
  <c r="I162" i="262"/>
  <c r="I143" i="262"/>
  <c r="I132" i="262"/>
  <c r="I166" i="262"/>
  <c r="I155" i="262"/>
  <c r="I157" i="262"/>
  <c r="I158" i="262"/>
  <c r="J167" i="262"/>
  <c r="J156" i="262"/>
  <c r="J145" i="262"/>
  <c r="E191" i="262"/>
  <c r="F191" i="262" s="1"/>
  <c r="J142" i="262"/>
  <c r="J131" i="262"/>
  <c r="J157" i="262"/>
  <c r="J162" i="262"/>
  <c r="J178" i="262"/>
  <c r="J159" i="262"/>
  <c r="J148" i="262"/>
  <c r="J137" i="262"/>
  <c r="E189" i="262"/>
  <c r="F189" i="262" s="1"/>
  <c r="J134" i="262"/>
  <c r="J176" i="262"/>
  <c r="J149" i="262"/>
  <c r="E190" i="262"/>
  <c r="F190" i="262" s="1"/>
  <c r="J146" i="262"/>
  <c r="J139" i="262"/>
  <c r="J151" i="262"/>
  <c r="J140" i="262"/>
  <c r="E203" i="262"/>
  <c r="F203" i="262" s="1"/>
  <c r="E187" i="262"/>
  <c r="F187" i="262" s="1"/>
  <c r="J179" i="262"/>
  <c r="J168" i="262"/>
  <c r="J141" i="262"/>
  <c r="E196" i="262"/>
  <c r="F196" i="262" s="1"/>
  <c r="E192" i="262"/>
  <c r="F192" i="262" s="1"/>
  <c r="J150" i="262"/>
  <c r="J143" i="262"/>
  <c r="J132" i="262"/>
  <c r="E201" i="262"/>
  <c r="F201" i="262" s="1"/>
  <c r="E185" i="262"/>
  <c r="J171" i="262"/>
  <c r="J160" i="262"/>
  <c r="J133" i="262"/>
  <c r="J154" i="262"/>
  <c r="J138" i="262"/>
  <c r="J164" i="262"/>
  <c r="J165" i="262"/>
  <c r="J135" i="262"/>
  <c r="J177" i="262"/>
  <c r="E199" i="262"/>
  <c r="F199" i="262" s="1"/>
  <c r="J174" i="262"/>
  <c r="J163" i="262"/>
  <c r="J152" i="262"/>
  <c r="E188" i="262"/>
  <c r="F188" i="262" s="1"/>
  <c r="J136" i="262"/>
  <c r="J175" i="262"/>
  <c r="E200" i="262"/>
  <c r="F200" i="262" s="1"/>
  <c r="J180" i="262"/>
  <c r="J169" i="262"/>
  <c r="E197" i="262"/>
  <c r="F197" i="262" s="1"/>
  <c r="J166" i="262"/>
  <c r="J155" i="262"/>
  <c r="J144" i="262"/>
  <c r="J170" i="262"/>
  <c r="E202" i="262"/>
  <c r="F202" i="262" s="1"/>
  <c r="E193" i="262"/>
  <c r="F193" i="262" s="1"/>
  <c r="J172" i="262"/>
  <c r="J161" i="262"/>
  <c r="E195" i="262"/>
  <c r="F195" i="262" s="1"/>
  <c r="J158" i="262"/>
  <c r="J147" i="262"/>
  <c r="J173" i="262"/>
  <c r="E194" i="262"/>
  <c r="F194" i="262" s="1"/>
  <c r="E186" i="262"/>
  <c r="F186" i="262" s="1"/>
  <c r="J153" i="262"/>
  <c r="E198" i="262"/>
  <c r="F198" i="262" s="1"/>
  <c r="I154" i="261"/>
  <c r="I135" i="261"/>
  <c r="I177" i="261"/>
  <c r="I158" i="261"/>
  <c r="I147" i="261"/>
  <c r="I144" i="261"/>
  <c r="I146" i="261"/>
  <c r="I180" i="261"/>
  <c r="I169" i="261"/>
  <c r="I150" i="261"/>
  <c r="I173" i="261"/>
  <c r="I168" i="261"/>
  <c r="I138" i="261"/>
  <c r="I172" i="261"/>
  <c r="I161" i="261"/>
  <c r="I142" i="261"/>
  <c r="I165" i="261"/>
  <c r="I160" i="261"/>
  <c r="I175" i="261"/>
  <c r="I164" i="261"/>
  <c r="I153" i="261"/>
  <c r="I134" i="261"/>
  <c r="I157" i="261"/>
  <c r="I136" i="261"/>
  <c r="I167" i="261"/>
  <c r="I156" i="261"/>
  <c r="I145" i="261"/>
  <c r="I179" i="261"/>
  <c r="I149" i="261"/>
  <c r="I139" i="261"/>
  <c r="I178" i="261"/>
  <c r="I159" i="261"/>
  <c r="I148" i="261"/>
  <c r="I137" i="261"/>
  <c r="I171" i="261"/>
  <c r="I141" i="261"/>
  <c r="I131" i="261"/>
  <c r="I170" i="261"/>
  <c r="I151" i="261"/>
  <c r="I140" i="261"/>
  <c r="I174" i="261"/>
  <c r="I163" i="261"/>
  <c r="I133" i="261"/>
  <c r="I152" i="261"/>
  <c r="I162" i="261"/>
  <c r="I143" i="261"/>
  <c r="I132" i="261"/>
  <c r="I166" i="261"/>
  <c r="I155" i="261"/>
  <c r="I176" i="261"/>
  <c r="J159" i="261"/>
  <c r="J148" i="261"/>
  <c r="J137" i="261"/>
  <c r="E189" i="261"/>
  <c r="F189" i="261" s="1"/>
  <c r="J134" i="261"/>
  <c r="J176" i="261"/>
  <c r="E196" i="261"/>
  <c r="F196" i="261" s="1"/>
  <c r="J162" i="261"/>
  <c r="J165" i="261"/>
  <c r="J151" i="261"/>
  <c r="J140" i="261"/>
  <c r="E203" i="261"/>
  <c r="F203" i="261" s="1"/>
  <c r="E187" i="261"/>
  <c r="F187" i="261" s="1"/>
  <c r="J179" i="261"/>
  <c r="J168" i="261"/>
  <c r="E194" i="261"/>
  <c r="F194" i="261" s="1"/>
  <c r="J154" i="261"/>
  <c r="J136" i="261"/>
  <c r="J143" i="261"/>
  <c r="J132" i="261"/>
  <c r="E201" i="261"/>
  <c r="F201" i="261" s="1"/>
  <c r="E185" i="261"/>
  <c r="J171" i="261"/>
  <c r="J160" i="261"/>
  <c r="E192" i="261"/>
  <c r="F192" i="261" s="1"/>
  <c r="J146" i="261"/>
  <c r="J133" i="261"/>
  <c r="J135" i="261"/>
  <c r="J177" i="261"/>
  <c r="E199" i="261"/>
  <c r="F199" i="261" s="1"/>
  <c r="J174" i="261"/>
  <c r="J163" i="261"/>
  <c r="J152" i="261"/>
  <c r="E190" i="261"/>
  <c r="F190" i="261" s="1"/>
  <c r="J138" i="261"/>
  <c r="J180" i="261"/>
  <c r="J169" i="261"/>
  <c r="E197" i="261"/>
  <c r="F197" i="261" s="1"/>
  <c r="J166" i="261"/>
  <c r="J155" i="261"/>
  <c r="J144" i="261"/>
  <c r="E188" i="261"/>
  <c r="F188" i="261" s="1"/>
  <c r="J157" i="261"/>
  <c r="J172" i="261"/>
  <c r="J161" i="261"/>
  <c r="E195" i="261"/>
  <c r="F195" i="261" s="1"/>
  <c r="J158" i="261"/>
  <c r="J147" i="261"/>
  <c r="E202" i="261"/>
  <c r="F202" i="261" s="1"/>
  <c r="E186" i="261"/>
  <c r="F186" i="261" s="1"/>
  <c r="J149" i="261"/>
  <c r="J175" i="261"/>
  <c r="J164" i="261"/>
  <c r="J153" i="261"/>
  <c r="E193" i="261"/>
  <c r="F193" i="261" s="1"/>
  <c r="J150" i="261"/>
  <c r="J139" i="261"/>
  <c r="E200" i="261"/>
  <c r="F200" i="261" s="1"/>
  <c r="J178" i="261"/>
  <c r="J173" i="261"/>
  <c r="J167" i="261"/>
  <c r="J156" i="261"/>
  <c r="J145" i="261"/>
  <c r="E191" i="261"/>
  <c r="F191" i="261" s="1"/>
  <c r="J142" i="261"/>
  <c r="J131" i="261"/>
  <c r="E198" i="261"/>
  <c r="F198" i="261" s="1"/>
  <c r="J170" i="261"/>
  <c r="J141" i="261"/>
  <c r="I174" i="258"/>
  <c r="I146" i="260"/>
  <c r="I180" i="260"/>
  <c r="I169" i="260"/>
  <c r="I150" i="260"/>
  <c r="I139" i="260"/>
  <c r="I138" i="260"/>
  <c r="I172" i="260"/>
  <c r="I161" i="260"/>
  <c r="I142" i="260"/>
  <c r="I131" i="260"/>
  <c r="I144" i="260"/>
  <c r="I175" i="260"/>
  <c r="I164" i="260"/>
  <c r="I153" i="260"/>
  <c r="I134" i="260"/>
  <c r="I173" i="260"/>
  <c r="I168" i="260"/>
  <c r="I167" i="260"/>
  <c r="I156" i="260"/>
  <c r="I145" i="260"/>
  <c r="I179" i="260"/>
  <c r="I165" i="260"/>
  <c r="I136" i="260"/>
  <c r="I178" i="260"/>
  <c r="I159" i="260"/>
  <c r="I148" i="260"/>
  <c r="I137" i="260"/>
  <c r="I171" i="260"/>
  <c r="I157" i="260"/>
  <c r="I160" i="260"/>
  <c r="I170" i="260"/>
  <c r="I151" i="260"/>
  <c r="I140" i="260"/>
  <c r="I174" i="260"/>
  <c r="I163" i="260"/>
  <c r="I149" i="260"/>
  <c r="I152" i="260"/>
  <c r="I176" i="260"/>
  <c r="I162" i="260"/>
  <c r="I143" i="260"/>
  <c r="I132" i="260"/>
  <c r="I166" i="260"/>
  <c r="I155" i="260"/>
  <c r="I141" i="260"/>
  <c r="I154" i="260"/>
  <c r="I135" i="260"/>
  <c r="I177" i="260"/>
  <c r="I158" i="260"/>
  <c r="I147" i="260"/>
  <c r="I133" i="260"/>
  <c r="J180" i="260"/>
  <c r="J169" i="260"/>
  <c r="E197" i="260"/>
  <c r="F197" i="260" s="1"/>
  <c r="J166" i="260"/>
  <c r="J155" i="260"/>
  <c r="J144" i="260"/>
  <c r="E190" i="260"/>
  <c r="F190" i="260" s="1"/>
  <c r="J138" i="260"/>
  <c r="J172" i="260"/>
  <c r="J161" i="260"/>
  <c r="E195" i="260"/>
  <c r="F195" i="260" s="1"/>
  <c r="J158" i="260"/>
  <c r="J147" i="260"/>
  <c r="J136" i="260"/>
  <c r="E188" i="260"/>
  <c r="F188" i="260" s="1"/>
  <c r="J157" i="260"/>
  <c r="J175" i="260"/>
  <c r="J164" i="260"/>
  <c r="J153" i="260"/>
  <c r="E193" i="260"/>
  <c r="F193" i="260" s="1"/>
  <c r="J150" i="260"/>
  <c r="J139" i="260"/>
  <c r="E202" i="260"/>
  <c r="F202" i="260" s="1"/>
  <c r="E186" i="260"/>
  <c r="F186" i="260" s="1"/>
  <c r="J149" i="260"/>
  <c r="J167" i="260"/>
  <c r="J156" i="260"/>
  <c r="J145" i="260"/>
  <c r="E191" i="260"/>
  <c r="F191" i="260" s="1"/>
  <c r="J142" i="260"/>
  <c r="J131" i="260"/>
  <c r="E200" i="260"/>
  <c r="F200" i="260" s="1"/>
  <c r="J178" i="260"/>
  <c r="J173" i="260"/>
  <c r="J159" i="260"/>
  <c r="J148" i="260"/>
  <c r="J137" i="260"/>
  <c r="E189" i="260"/>
  <c r="F189" i="260" s="1"/>
  <c r="J134" i="260"/>
  <c r="J176" i="260"/>
  <c r="E198" i="260"/>
  <c r="F198" i="260" s="1"/>
  <c r="J170" i="260"/>
  <c r="J141" i="260"/>
  <c r="J151" i="260"/>
  <c r="J140" i="260"/>
  <c r="E203" i="260"/>
  <c r="F203" i="260" s="1"/>
  <c r="E187" i="260"/>
  <c r="F187" i="260" s="1"/>
  <c r="J179" i="260"/>
  <c r="J168" i="260"/>
  <c r="E196" i="260"/>
  <c r="F196" i="260" s="1"/>
  <c r="J162" i="260"/>
  <c r="J165" i="260"/>
  <c r="J143" i="260"/>
  <c r="J132" i="260"/>
  <c r="E201" i="260"/>
  <c r="F201" i="260" s="1"/>
  <c r="E185" i="260"/>
  <c r="J171" i="260"/>
  <c r="J160" i="260"/>
  <c r="E194" i="260"/>
  <c r="F194" i="260" s="1"/>
  <c r="J154" i="260"/>
  <c r="J133" i="260"/>
  <c r="J135" i="260"/>
  <c r="J177" i="260"/>
  <c r="E199" i="260"/>
  <c r="F199" i="260" s="1"/>
  <c r="J174" i="260"/>
  <c r="J163" i="260"/>
  <c r="J152" i="260"/>
  <c r="E192" i="260"/>
  <c r="F192" i="260" s="1"/>
  <c r="J146" i="260"/>
  <c r="I158" i="258"/>
  <c r="I150" i="258"/>
  <c r="I173" i="258"/>
  <c r="I141" i="258"/>
  <c r="I165" i="258"/>
  <c r="I156" i="258"/>
  <c r="I131" i="258"/>
  <c r="I140" i="258"/>
  <c r="I154" i="259"/>
  <c r="I135" i="259"/>
  <c r="I177" i="259"/>
  <c r="I158" i="259"/>
  <c r="I147" i="259"/>
  <c r="I133" i="259"/>
  <c r="I146" i="259"/>
  <c r="I180" i="259"/>
  <c r="I169" i="259"/>
  <c r="I150" i="259"/>
  <c r="I139" i="259"/>
  <c r="I176" i="259"/>
  <c r="I138" i="259"/>
  <c r="I172" i="259"/>
  <c r="I161" i="259"/>
  <c r="I142" i="259"/>
  <c r="I131" i="259"/>
  <c r="I144" i="259"/>
  <c r="I175" i="259"/>
  <c r="I164" i="259"/>
  <c r="I153" i="259"/>
  <c r="I134" i="259"/>
  <c r="I173" i="259"/>
  <c r="I168" i="259"/>
  <c r="I167" i="259"/>
  <c r="I156" i="259"/>
  <c r="I145" i="259"/>
  <c r="I179" i="259"/>
  <c r="I165" i="259"/>
  <c r="I136" i="259"/>
  <c r="I178" i="259"/>
  <c r="I159" i="259"/>
  <c r="I148" i="259"/>
  <c r="I137" i="259"/>
  <c r="I171" i="259"/>
  <c r="I157" i="259"/>
  <c r="I160" i="259"/>
  <c r="I170" i="259"/>
  <c r="I151" i="259"/>
  <c r="I140" i="259"/>
  <c r="I174" i="259"/>
  <c r="I163" i="259"/>
  <c r="I149" i="259"/>
  <c r="I152" i="259"/>
  <c r="I162" i="259"/>
  <c r="I143" i="259"/>
  <c r="I132" i="259"/>
  <c r="I166" i="259"/>
  <c r="I155" i="259"/>
  <c r="I141" i="259"/>
  <c r="J167" i="259"/>
  <c r="J156" i="259"/>
  <c r="J145" i="259"/>
  <c r="E191" i="259"/>
  <c r="F191" i="259" s="1"/>
  <c r="J142" i="259"/>
  <c r="J131" i="259"/>
  <c r="E200" i="259"/>
  <c r="F200" i="259" s="1"/>
  <c r="J178" i="259"/>
  <c r="J173" i="259"/>
  <c r="J159" i="259"/>
  <c r="J148" i="259"/>
  <c r="J137" i="259"/>
  <c r="E189" i="259"/>
  <c r="F189" i="259" s="1"/>
  <c r="J134" i="259"/>
  <c r="J176" i="259"/>
  <c r="E198" i="259"/>
  <c r="F198" i="259" s="1"/>
  <c r="J170" i="259"/>
  <c r="J141" i="259"/>
  <c r="J151" i="259"/>
  <c r="J140" i="259"/>
  <c r="E203" i="259"/>
  <c r="F203" i="259" s="1"/>
  <c r="E187" i="259"/>
  <c r="F187" i="259" s="1"/>
  <c r="J179" i="259"/>
  <c r="J168" i="259"/>
  <c r="E196" i="259"/>
  <c r="F196" i="259" s="1"/>
  <c r="J162" i="259"/>
  <c r="J165" i="259"/>
  <c r="J143" i="259"/>
  <c r="J132" i="259"/>
  <c r="E201" i="259"/>
  <c r="F201" i="259" s="1"/>
  <c r="E185" i="259"/>
  <c r="J171" i="259"/>
  <c r="J160" i="259"/>
  <c r="E194" i="259"/>
  <c r="F194" i="259" s="1"/>
  <c r="J154" i="259"/>
  <c r="J133" i="259"/>
  <c r="J135" i="259"/>
  <c r="J177" i="259"/>
  <c r="E199" i="259"/>
  <c r="F199" i="259" s="1"/>
  <c r="J174" i="259"/>
  <c r="J163" i="259"/>
  <c r="J152" i="259"/>
  <c r="E192" i="259"/>
  <c r="F192" i="259" s="1"/>
  <c r="J146" i="259"/>
  <c r="J180" i="259"/>
  <c r="J169" i="259"/>
  <c r="E197" i="259"/>
  <c r="F197" i="259" s="1"/>
  <c r="J166" i="259"/>
  <c r="J155" i="259"/>
  <c r="J144" i="259"/>
  <c r="E190" i="259"/>
  <c r="F190" i="259" s="1"/>
  <c r="J138" i="259"/>
  <c r="J172" i="259"/>
  <c r="J161" i="259"/>
  <c r="E195" i="259"/>
  <c r="F195" i="259" s="1"/>
  <c r="J158" i="259"/>
  <c r="J147" i="259"/>
  <c r="J136" i="259"/>
  <c r="E188" i="259"/>
  <c r="F188" i="259" s="1"/>
  <c r="J157" i="259"/>
  <c r="J175" i="259"/>
  <c r="J164" i="259"/>
  <c r="J153" i="259"/>
  <c r="E193" i="259"/>
  <c r="F193" i="259" s="1"/>
  <c r="J150" i="259"/>
  <c r="J139" i="259"/>
  <c r="E202" i="259"/>
  <c r="F202" i="259" s="1"/>
  <c r="E186" i="259"/>
  <c r="F186" i="259" s="1"/>
  <c r="J149" i="259"/>
  <c r="J174" i="257"/>
  <c r="E198" i="257"/>
  <c r="F198" i="257" s="1"/>
  <c r="J131" i="257"/>
  <c r="I148" i="257"/>
  <c r="I160" i="257"/>
  <c r="J159" i="257"/>
  <c r="I164" i="258"/>
  <c r="I155" i="258"/>
  <c r="I139" i="258"/>
  <c r="I134" i="258"/>
  <c r="I154" i="258"/>
  <c r="I137" i="257"/>
  <c r="I174" i="257"/>
  <c r="J148" i="257"/>
  <c r="I145" i="258"/>
  <c r="I133" i="258"/>
  <c r="I144" i="258"/>
  <c r="I132" i="258"/>
  <c r="I180" i="258"/>
  <c r="J166" i="257"/>
  <c r="J178" i="257"/>
  <c r="E186" i="257"/>
  <c r="F186" i="257" s="1"/>
  <c r="I163" i="258"/>
  <c r="I135" i="258"/>
  <c r="I137" i="258"/>
  <c r="I162" i="258"/>
  <c r="I161" i="258"/>
  <c r="J152" i="257"/>
  <c r="J170" i="257"/>
  <c r="I175" i="257"/>
  <c r="I170" i="258"/>
  <c r="I143" i="258"/>
  <c r="I179" i="258"/>
  <c r="I179" i="257"/>
  <c r="I158" i="257"/>
  <c r="J132" i="257"/>
  <c r="I136" i="258"/>
  <c r="I178" i="258"/>
  <c r="I151" i="258"/>
  <c r="I169" i="258"/>
  <c r="I157" i="258"/>
  <c r="I168" i="257"/>
  <c r="J167" i="257"/>
  <c r="E201" i="257"/>
  <c r="F201" i="257" s="1"/>
  <c r="I175" i="258"/>
  <c r="I159" i="258"/>
  <c r="I177" i="258"/>
  <c r="I142" i="258"/>
  <c r="E199" i="257"/>
  <c r="F199" i="257" s="1"/>
  <c r="J144" i="257"/>
  <c r="J154" i="257"/>
  <c r="I138" i="258"/>
  <c r="I171" i="258"/>
  <c r="I147" i="258"/>
  <c r="I146" i="258"/>
  <c r="I149" i="258"/>
  <c r="I167" i="258"/>
  <c r="I176" i="258"/>
  <c r="I172" i="258"/>
  <c r="I160" i="258"/>
  <c r="I148" i="258"/>
  <c r="I152" i="258"/>
  <c r="I153" i="258"/>
  <c r="I166" i="258"/>
  <c r="J167" i="258"/>
  <c r="J156" i="258"/>
  <c r="J137" i="258"/>
  <c r="E189" i="258"/>
  <c r="F189" i="258" s="1"/>
  <c r="J179" i="258"/>
  <c r="J160" i="258"/>
  <c r="E194" i="258"/>
  <c r="F194" i="258" s="1"/>
  <c r="J154" i="258"/>
  <c r="J132" i="258"/>
  <c r="J159" i="258"/>
  <c r="J148" i="258"/>
  <c r="E203" i="258"/>
  <c r="F203" i="258" s="1"/>
  <c r="E187" i="258"/>
  <c r="F187" i="258" s="1"/>
  <c r="J171" i="258"/>
  <c r="J152" i="258"/>
  <c r="E192" i="258"/>
  <c r="F192" i="258" s="1"/>
  <c r="J146" i="258"/>
  <c r="J165" i="258"/>
  <c r="J151" i="258"/>
  <c r="J140" i="258"/>
  <c r="E201" i="258"/>
  <c r="F201" i="258" s="1"/>
  <c r="E185" i="258"/>
  <c r="J163" i="258"/>
  <c r="J144" i="258"/>
  <c r="E190" i="258"/>
  <c r="F190" i="258" s="1"/>
  <c r="J138" i="258"/>
  <c r="J131" i="258"/>
  <c r="J143" i="258"/>
  <c r="J177" i="258"/>
  <c r="E199" i="258"/>
  <c r="F199" i="258" s="1"/>
  <c r="J174" i="258"/>
  <c r="J155" i="258"/>
  <c r="J136" i="258"/>
  <c r="E188" i="258"/>
  <c r="F188" i="258" s="1"/>
  <c r="J157" i="258"/>
  <c r="J134" i="258"/>
  <c r="J135" i="258"/>
  <c r="J169" i="258"/>
  <c r="E197" i="258"/>
  <c r="F197" i="258" s="1"/>
  <c r="J166" i="258"/>
  <c r="J147" i="258"/>
  <c r="E202" i="258"/>
  <c r="F202" i="258" s="1"/>
  <c r="E186" i="258"/>
  <c r="F186" i="258" s="1"/>
  <c r="J149" i="258"/>
  <c r="J180" i="258"/>
  <c r="J161" i="258"/>
  <c r="E195" i="258"/>
  <c r="F195" i="258" s="1"/>
  <c r="J158" i="258"/>
  <c r="J139" i="258"/>
  <c r="E200" i="258"/>
  <c r="F200" i="258" s="1"/>
  <c r="J178" i="258"/>
  <c r="J133" i="258"/>
  <c r="J172" i="258"/>
  <c r="J153" i="258"/>
  <c r="E193" i="258"/>
  <c r="F193" i="258" s="1"/>
  <c r="J150" i="258"/>
  <c r="J176" i="258"/>
  <c r="E198" i="258"/>
  <c r="F198" i="258" s="1"/>
  <c r="J170" i="258"/>
  <c r="J173" i="258"/>
  <c r="J175" i="258"/>
  <c r="J164" i="258"/>
  <c r="J145" i="258"/>
  <c r="E191" i="258"/>
  <c r="F191" i="258" s="1"/>
  <c r="J142" i="258"/>
  <c r="J168" i="258"/>
  <c r="E196" i="258"/>
  <c r="F196" i="258" s="1"/>
  <c r="J162" i="258"/>
  <c r="J141" i="258"/>
  <c r="I156" i="257"/>
  <c r="J160" i="257"/>
  <c r="I176" i="257"/>
  <c r="J133" i="257"/>
  <c r="I165" i="257"/>
  <c r="E190" i="257"/>
  <c r="F190" i="257" s="1"/>
  <c r="J175" i="257"/>
  <c r="J179" i="257"/>
  <c r="J156" i="257"/>
  <c r="I146" i="257"/>
  <c r="J137" i="257"/>
  <c r="I164" i="257"/>
  <c r="E185" i="257"/>
  <c r="I145" i="257"/>
  <c r="J141" i="257"/>
  <c r="I134" i="257"/>
  <c r="E200" i="257"/>
  <c r="F200" i="257" s="1"/>
  <c r="I141" i="257"/>
  <c r="E202" i="257"/>
  <c r="F202" i="257" s="1"/>
  <c r="J164" i="257"/>
  <c r="I154" i="257"/>
  <c r="J145" i="257"/>
  <c r="I180" i="257"/>
  <c r="E189" i="257"/>
  <c r="F189" i="257" s="1"/>
  <c r="I153" i="257"/>
  <c r="J168" i="257"/>
  <c r="I131" i="257"/>
  <c r="J171" i="257"/>
  <c r="I149" i="257"/>
  <c r="J139" i="257"/>
  <c r="J172" i="257"/>
  <c r="I162" i="257"/>
  <c r="J153" i="257"/>
  <c r="I135" i="257"/>
  <c r="E191" i="257"/>
  <c r="F191" i="257" s="1"/>
  <c r="I169" i="257"/>
  <c r="J134" i="257"/>
  <c r="I139" i="257"/>
  <c r="J149" i="257"/>
  <c r="I150" i="257"/>
  <c r="J147" i="257"/>
  <c r="J180" i="257"/>
  <c r="I170" i="257"/>
  <c r="J161" i="257"/>
  <c r="I143" i="257"/>
  <c r="E193" i="257"/>
  <c r="F193" i="257" s="1"/>
  <c r="I177" i="257"/>
  <c r="J142" i="257"/>
  <c r="I155" i="257"/>
  <c r="J165" i="257"/>
  <c r="I166" i="257"/>
  <c r="E194" i="257"/>
  <c r="F194" i="257" s="1"/>
  <c r="I133" i="257"/>
  <c r="I178" i="257"/>
  <c r="J169" i="257"/>
  <c r="I151" i="257"/>
  <c r="E195" i="257"/>
  <c r="F195" i="257" s="1"/>
  <c r="I132" i="257"/>
  <c r="J150" i="257"/>
  <c r="I163" i="257"/>
  <c r="J173" i="257"/>
  <c r="I144" i="257"/>
  <c r="J146" i="257"/>
  <c r="I157" i="257"/>
  <c r="E192" i="257"/>
  <c r="F192" i="257" s="1"/>
  <c r="J177" i="257"/>
  <c r="I159" i="257"/>
  <c r="E197" i="257"/>
  <c r="F197" i="257" s="1"/>
  <c r="I140" i="257"/>
  <c r="J158" i="257"/>
  <c r="I171" i="257"/>
  <c r="J136" i="257"/>
  <c r="I152" i="257"/>
  <c r="J162" i="257"/>
  <c r="J138" i="257"/>
  <c r="J143" i="257"/>
  <c r="I167" i="257"/>
  <c r="I138" i="257"/>
  <c r="I172" i="257"/>
  <c r="I161" i="257"/>
  <c r="I147" i="257"/>
  <c r="I136" i="257"/>
  <c r="I173" i="257"/>
  <c r="J135" i="257"/>
  <c r="J140" i="257"/>
  <c r="E203" i="257"/>
  <c r="F203" i="257" s="1"/>
  <c r="E187" i="257"/>
  <c r="F187" i="257" s="1"/>
  <c r="J176" i="257"/>
  <c r="J157" i="257"/>
  <c r="E188" i="257"/>
  <c r="F188" i="257" s="1"/>
  <c r="E196" i="257"/>
  <c r="F196" i="257" s="1"/>
  <c r="J151" i="257"/>
  <c r="J163" i="257"/>
  <c r="F185" i="257"/>
  <c r="I175" i="256"/>
  <c r="I164" i="256"/>
  <c r="I153" i="256"/>
  <c r="I139" i="256"/>
  <c r="I166" i="256"/>
  <c r="I173" i="256"/>
  <c r="I167" i="256"/>
  <c r="I156" i="256"/>
  <c r="I145" i="256"/>
  <c r="I131" i="256"/>
  <c r="I150" i="256"/>
  <c r="I141" i="256"/>
  <c r="I178" i="256"/>
  <c r="I159" i="256"/>
  <c r="I148" i="256"/>
  <c r="I137" i="256"/>
  <c r="I176" i="256"/>
  <c r="I134" i="256"/>
  <c r="I157" i="256"/>
  <c r="I170" i="256"/>
  <c r="I151" i="256"/>
  <c r="I140" i="256"/>
  <c r="I179" i="256"/>
  <c r="I168" i="256"/>
  <c r="I165" i="256"/>
  <c r="I133" i="256"/>
  <c r="I162" i="256"/>
  <c r="I143" i="256"/>
  <c r="I132" i="256"/>
  <c r="I171" i="256"/>
  <c r="I160" i="256"/>
  <c r="I174" i="256"/>
  <c r="I154" i="256"/>
  <c r="I135" i="256"/>
  <c r="I177" i="256"/>
  <c r="I163" i="256"/>
  <c r="I152" i="256"/>
  <c r="I158" i="256"/>
  <c r="I146" i="256"/>
  <c r="I180" i="256"/>
  <c r="I169" i="256"/>
  <c r="I155" i="256"/>
  <c r="I144" i="256"/>
  <c r="I142" i="256"/>
  <c r="I138" i="256"/>
  <c r="I172" i="256"/>
  <c r="I161" i="256"/>
  <c r="I147" i="256"/>
  <c r="I136" i="256"/>
  <c r="I149" i="256"/>
  <c r="J151" i="256"/>
  <c r="J140" i="256"/>
  <c r="E203" i="256"/>
  <c r="F203" i="256" s="1"/>
  <c r="E187" i="256"/>
  <c r="F187" i="256" s="1"/>
  <c r="J176" i="256"/>
  <c r="J157" i="256"/>
  <c r="E188" i="256"/>
  <c r="F188" i="256" s="1"/>
  <c r="J163" i="256"/>
  <c r="J171" i="256"/>
  <c r="J143" i="256"/>
  <c r="J132" i="256"/>
  <c r="E201" i="256"/>
  <c r="F201" i="256" s="1"/>
  <c r="E185" i="256"/>
  <c r="J168" i="256"/>
  <c r="J149" i="256"/>
  <c r="E194" i="256"/>
  <c r="F194" i="256" s="1"/>
  <c r="E192" i="256"/>
  <c r="F192" i="256" s="1"/>
  <c r="J139" i="256"/>
  <c r="J135" i="256"/>
  <c r="J177" i="256"/>
  <c r="E199" i="256"/>
  <c r="F199" i="256" s="1"/>
  <c r="J174" i="256"/>
  <c r="J160" i="256"/>
  <c r="J141" i="256"/>
  <c r="E200" i="256"/>
  <c r="F200" i="256" s="1"/>
  <c r="J138" i="256"/>
  <c r="J180" i="256"/>
  <c r="J169" i="256"/>
  <c r="E197" i="256"/>
  <c r="F197" i="256" s="1"/>
  <c r="J166" i="256"/>
  <c r="J152" i="256"/>
  <c r="J133" i="256"/>
  <c r="E196" i="256"/>
  <c r="F196" i="256" s="1"/>
  <c r="J155" i="256"/>
  <c r="J172" i="256"/>
  <c r="J161" i="256"/>
  <c r="E195" i="256"/>
  <c r="F195" i="256" s="1"/>
  <c r="J158" i="256"/>
  <c r="J144" i="256"/>
  <c r="E198" i="256"/>
  <c r="F198" i="256" s="1"/>
  <c r="E202" i="256"/>
  <c r="F202" i="256" s="1"/>
  <c r="J131" i="256"/>
  <c r="J175" i="256"/>
  <c r="J164" i="256"/>
  <c r="J153" i="256"/>
  <c r="E193" i="256"/>
  <c r="F193" i="256" s="1"/>
  <c r="J150" i="256"/>
  <c r="J136" i="256"/>
  <c r="J178" i="256"/>
  <c r="E186" i="256"/>
  <c r="F186" i="256" s="1"/>
  <c r="J154" i="256"/>
  <c r="J167" i="256"/>
  <c r="J156" i="256"/>
  <c r="J145" i="256"/>
  <c r="E191" i="256"/>
  <c r="F191" i="256" s="1"/>
  <c r="J142" i="256"/>
  <c r="J173" i="256"/>
  <c r="J162" i="256"/>
  <c r="J179" i="256"/>
  <c r="J147" i="256"/>
  <c r="J159" i="256"/>
  <c r="J148" i="256"/>
  <c r="J137" i="256"/>
  <c r="E189" i="256"/>
  <c r="F189" i="256" s="1"/>
  <c r="J134" i="256"/>
  <c r="J165" i="256"/>
  <c r="J146" i="256"/>
  <c r="J170" i="256"/>
  <c r="E190" i="256"/>
  <c r="F190" i="256" s="1"/>
  <c r="J143" i="255"/>
  <c r="J132" i="255"/>
  <c r="E201" i="255"/>
  <c r="F201" i="255" s="1"/>
  <c r="E185" i="255"/>
  <c r="J176" i="255"/>
  <c r="J157" i="255"/>
  <c r="J162" i="255"/>
  <c r="J154" i="255"/>
  <c r="J135" i="255"/>
  <c r="J177" i="255"/>
  <c r="E199" i="255"/>
  <c r="F199" i="255" s="1"/>
  <c r="J174" i="255"/>
  <c r="J168" i="255"/>
  <c r="J149" i="255"/>
  <c r="J146" i="255"/>
  <c r="J138" i="255"/>
  <c r="J180" i="255"/>
  <c r="J169" i="255"/>
  <c r="E197" i="255"/>
  <c r="F197" i="255" s="1"/>
  <c r="J166" i="255"/>
  <c r="J160" i="255"/>
  <c r="J141" i="255"/>
  <c r="E198" i="255"/>
  <c r="F198" i="255" s="1"/>
  <c r="E196" i="255"/>
  <c r="F196" i="255" s="1"/>
  <c r="J172" i="255"/>
  <c r="J161" i="255"/>
  <c r="E195" i="255"/>
  <c r="F195" i="255" s="1"/>
  <c r="J158" i="255"/>
  <c r="J152" i="255"/>
  <c r="J133" i="255"/>
  <c r="E188" i="255"/>
  <c r="F188" i="255" s="1"/>
  <c r="J163" i="255"/>
  <c r="J175" i="255"/>
  <c r="J164" i="255"/>
  <c r="J153" i="255"/>
  <c r="E193" i="255"/>
  <c r="F193" i="255" s="1"/>
  <c r="J150" i="255"/>
  <c r="J144" i="255"/>
  <c r="E202" i="255"/>
  <c r="F202" i="255" s="1"/>
  <c r="J171" i="255"/>
  <c r="J139" i="255"/>
  <c r="E190" i="255"/>
  <c r="F190" i="255" s="1"/>
  <c r="J167" i="255"/>
  <c r="J156" i="255"/>
  <c r="J145" i="255"/>
  <c r="E191" i="255"/>
  <c r="F191" i="255" s="1"/>
  <c r="J142" i="255"/>
  <c r="J136" i="255"/>
  <c r="E186" i="255"/>
  <c r="F186" i="255" s="1"/>
  <c r="E194" i="255"/>
  <c r="F194" i="255" s="1"/>
  <c r="J155" i="255"/>
  <c r="J159" i="255"/>
  <c r="J148" i="255"/>
  <c r="J137" i="255"/>
  <c r="E189" i="255"/>
  <c r="F189" i="255" s="1"/>
  <c r="J134" i="255"/>
  <c r="J173" i="255"/>
  <c r="E192" i="255"/>
  <c r="F192" i="255" s="1"/>
  <c r="E200" i="255"/>
  <c r="F200" i="255" s="1"/>
  <c r="J131" i="255"/>
  <c r="J151" i="255"/>
  <c r="J140" i="255"/>
  <c r="E203" i="255"/>
  <c r="F203" i="255" s="1"/>
  <c r="E187" i="255"/>
  <c r="F187" i="255" s="1"/>
  <c r="J179" i="255"/>
  <c r="J165" i="255"/>
  <c r="J178" i="255"/>
  <c r="J170" i="255"/>
  <c r="J147" i="255"/>
  <c r="I138" i="255"/>
  <c r="I172" i="255"/>
  <c r="I153" i="255"/>
  <c r="I139" i="255"/>
  <c r="I131" i="255"/>
  <c r="I142" i="255"/>
  <c r="I175" i="255"/>
  <c r="I164" i="255"/>
  <c r="I145" i="255"/>
  <c r="I176" i="255"/>
  <c r="I166" i="255"/>
  <c r="I165" i="255"/>
  <c r="I167" i="255"/>
  <c r="I156" i="255"/>
  <c r="I137" i="255"/>
  <c r="I168" i="255"/>
  <c r="I150" i="255"/>
  <c r="I141" i="255"/>
  <c r="I178" i="255"/>
  <c r="I159" i="255"/>
  <c r="I148" i="255"/>
  <c r="I179" i="255"/>
  <c r="I160" i="255"/>
  <c r="I134" i="255"/>
  <c r="I158" i="255"/>
  <c r="I170" i="255"/>
  <c r="I151" i="255"/>
  <c r="I140" i="255"/>
  <c r="I171" i="255"/>
  <c r="I152" i="255"/>
  <c r="I157" i="255"/>
  <c r="I133" i="255"/>
  <c r="I162" i="255"/>
  <c r="I143" i="255"/>
  <c r="I177" i="255"/>
  <c r="I163" i="255"/>
  <c r="I144" i="255"/>
  <c r="I132" i="255"/>
  <c r="I154" i="255"/>
  <c r="I135" i="255"/>
  <c r="I169" i="255"/>
  <c r="I155" i="255"/>
  <c r="I136" i="255"/>
  <c r="I149" i="255"/>
  <c r="I146" i="255"/>
  <c r="I180" i="255"/>
  <c r="I161" i="255"/>
  <c r="I147" i="255"/>
  <c r="I173" i="255"/>
  <c r="I174" i="255"/>
  <c r="J165" i="251"/>
  <c r="J156" i="251"/>
  <c r="E198" i="251"/>
  <c r="F198" i="251" s="1"/>
  <c r="E203" i="251"/>
  <c r="F203" i="251" s="1"/>
  <c r="E187" i="251"/>
  <c r="F187" i="251" s="1"/>
  <c r="I145" i="251"/>
  <c r="J174" i="251"/>
  <c r="J167" i="251"/>
  <c r="J163" i="251"/>
  <c r="I154" i="254"/>
  <c r="I135" i="254"/>
  <c r="I177" i="254"/>
  <c r="I158" i="254"/>
  <c r="I147" i="254"/>
  <c r="I133" i="254"/>
  <c r="I146" i="254"/>
  <c r="I180" i="254"/>
  <c r="I169" i="254"/>
  <c r="I150" i="254"/>
  <c r="I139" i="254"/>
  <c r="I176" i="254"/>
  <c r="I138" i="254"/>
  <c r="I172" i="254"/>
  <c r="I161" i="254"/>
  <c r="I142" i="254"/>
  <c r="I131" i="254"/>
  <c r="I144" i="254"/>
  <c r="I175" i="254"/>
  <c r="I164" i="254"/>
  <c r="I153" i="254"/>
  <c r="I134" i="254"/>
  <c r="I173" i="254"/>
  <c r="I168" i="254"/>
  <c r="I167" i="254"/>
  <c r="I156" i="254"/>
  <c r="I145" i="254"/>
  <c r="I179" i="254"/>
  <c r="I165" i="254"/>
  <c r="I136" i="254"/>
  <c r="I178" i="254"/>
  <c r="I159" i="254"/>
  <c r="I148" i="254"/>
  <c r="I137" i="254"/>
  <c r="I171" i="254"/>
  <c r="I157" i="254"/>
  <c r="I160" i="254"/>
  <c r="I170" i="254"/>
  <c r="I151" i="254"/>
  <c r="I140" i="254"/>
  <c r="I174" i="254"/>
  <c r="I163" i="254"/>
  <c r="I149" i="254"/>
  <c r="I152" i="254"/>
  <c r="I162" i="254"/>
  <c r="I143" i="254"/>
  <c r="I132" i="254"/>
  <c r="I166" i="254"/>
  <c r="I155" i="254"/>
  <c r="I141" i="254"/>
  <c r="J143" i="254"/>
  <c r="J132" i="254"/>
  <c r="E201" i="254"/>
  <c r="F201" i="254" s="1"/>
  <c r="E185" i="254"/>
  <c r="J171" i="254"/>
  <c r="J160" i="254"/>
  <c r="E194" i="254"/>
  <c r="F194" i="254" s="1"/>
  <c r="J154" i="254"/>
  <c r="J133" i="254"/>
  <c r="J135" i="254"/>
  <c r="J177" i="254"/>
  <c r="E199" i="254"/>
  <c r="F199" i="254" s="1"/>
  <c r="J174" i="254"/>
  <c r="J163" i="254"/>
  <c r="J152" i="254"/>
  <c r="E192" i="254"/>
  <c r="F192" i="254" s="1"/>
  <c r="J146" i="254"/>
  <c r="J180" i="254"/>
  <c r="J169" i="254"/>
  <c r="E197" i="254"/>
  <c r="F197" i="254" s="1"/>
  <c r="J166" i="254"/>
  <c r="J155" i="254"/>
  <c r="J144" i="254"/>
  <c r="E190" i="254"/>
  <c r="F190" i="254" s="1"/>
  <c r="J138" i="254"/>
  <c r="J172" i="254"/>
  <c r="J161" i="254"/>
  <c r="E195" i="254"/>
  <c r="F195" i="254" s="1"/>
  <c r="J158" i="254"/>
  <c r="J147" i="254"/>
  <c r="J136" i="254"/>
  <c r="E188" i="254"/>
  <c r="F188" i="254" s="1"/>
  <c r="J157" i="254"/>
  <c r="J175" i="254"/>
  <c r="J164" i="254"/>
  <c r="J153" i="254"/>
  <c r="E193" i="254"/>
  <c r="F193" i="254" s="1"/>
  <c r="J150" i="254"/>
  <c r="J139" i="254"/>
  <c r="E202" i="254"/>
  <c r="F202" i="254" s="1"/>
  <c r="E186" i="254"/>
  <c r="F186" i="254" s="1"/>
  <c r="J149" i="254"/>
  <c r="J167" i="254"/>
  <c r="J156" i="254"/>
  <c r="J145" i="254"/>
  <c r="E191" i="254"/>
  <c r="F191" i="254" s="1"/>
  <c r="J142" i="254"/>
  <c r="J131" i="254"/>
  <c r="E200" i="254"/>
  <c r="F200" i="254" s="1"/>
  <c r="J178" i="254"/>
  <c r="J173" i="254"/>
  <c r="J159" i="254"/>
  <c r="J148" i="254"/>
  <c r="J137" i="254"/>
  <c r="E189" i="254"/>
  <c r="F189" i="254" s="1"/>
  <c r="J134" i="254"/>
  <c r="J176" i="254"/>
  <c r="E198" i="254"/>
  <c r="F198" i="254" s="1"/>
  <c r="J170" i="254"/>
  <c r="J141" i="254"/>
  <c r="J151" i="254"/>
  <c r="J140" i="254"/>
  <c r="E203" i="254"/>
  <c r="F203" i="254" s="1"/>
  <c r="E187" i="254"/>
  <c r="F187" i="254" s="1"/>
  <c r="J179" i="254"/>
  <c r="J168" i="254"/>
  <c r="E196" i="254"/>
  <c r="F196" i="254" s="1"/>
  <c r="J162" i="254"/>
  <c r="J165" i="254"/>
  <c r="I138" i="251"/>
  <c r="J155" i="251"/>
  <c r="I164" i="251"/>
  <c r="J144" i="251"/>
  <c r="I163" i="251"/>
  <c r="I167" i="253"/>
  <c r="I156" i="253"/>
  <c r="I137" i="253"/>
  <c r="I171" i="253"/>
  <c r="I160" i="253"/>
  <c r="I141" i="253"/>
  <c r="I178" i="253"/>
  <c r="I159" i="253"/>
  <c r="I148" i="253"/>
  <c r="I174" i="253"/>
  <c r="I163" i="253"/>
  <c r="I152" i="253"/>
  <c r="I165" i="253"/>
  <c r="I170" i="253"/>
  <c r="I151" i="253"/>
  <c r="I140" i="253"/>
  <c r="I166" i="253"/>
  <c r="I155" i="253"/>
  <c r="I144" i="253"/>
  <c r="I133" i="253"/>
  <c r="I162" i="253"/>
  <c r="I143" i="253"/>
  <c r="I177" i="253"/>
  <c r="I158" i="253"/>
  <c r="I147" i="253"/>
  <c r="I136" i="253"/>
  <c r="I154" i="253"/>
  <c r="I135" i="253"/>
  <c r="I169" i="253"/>
  <c r="I150" i="253"/>
  <c r="I139" i="253"/>
  <c r="I157" i="253"/>
  <c r="I146" i="253"/>
  <c r="I180" i="253"/>
  <c r="I161" i="253"/>
  <c r="I142" i="253"/>
  <c r="I131" i="253"/>
  <c r="I132" i="253"/>
  <c r="I138" i="253"/>
  <c r="I172" i="253"/>
  <c r="I153" i="253"/>
  <c r="I134" i="253"/>
  <c r="I176" i="253"/>
  <c r="I149" i="253"/>
  <c r="I175" i="253"/>
  <c r="I164" i="253"/>
  <c r="I145" i="253"/>
  <c r="I179" i="253"/>
  <c r="I168" i="253"/>
  <c r="I173" i="253"/>
  <c r="J143" i="253"/>
  <c r="J132" i="253"/>
  <c r="E201" i="253"/>
  <c r="F201" i="253" s="1"/>
  <c r="E185" i="253"/>
  <c r="J171" i="253"/>
  <c r="J160" i="253"/>
  <c r="J141" i="253"/>
  <c r="J162" i="253"/>
  <c r="J146" i="253"/>
  <c r="J135" i="253"/>
  <c r="J177" i="253"/>
  <c r="E199" i="253"/>
  <c r="F199" i="253" s="1"/>
  <c r="J174" i="253"/>
  <c r="J163" i="253"/>
  <c r="J152" i="253"/>
  <c r="J133" i="253"/>
  <c r="E190" i="253"/>
  <c r="F190" i="253" s="1"/>
  <c r="J180" i="253"/>
  <c r="J169" i="253"/>
  <c r="E197" i="253"/>
  <c r="F197" i="253" s="1"/>
  <c r="J166" i="253"/>
  <c r="J155" i="253"/>
  <c r="J144" i="253"/>
  <c r="E198" i="253"/>
  <c r="F198" i="253" s="1"/>
  <c r="E196" i="253"/>
  <c r="F196" i="253" s="1"/>
  <c r="J172" i="253"/>
  <c r="J161" i="253"/>
  <c r="E195" i="253"/>
  <c r="F195" i="253" s="1"/>
  <c r="J158" i="253"/>
  <c r="J147" i="253"/>
  <c r="J136" i="253"/>
  <c r="E188" i="253"/>
  <c r="F188" i="253" s="1"/>
  <c r="J154" i="253"/>
  <c r="J175" i="253"/>
  <c r="J164" i="253"/>
  <c r="J153" i="253"/>
  <c r="E193" i="253"/>
  <c r="F193" i="253" s="1"/>
  <c r="J150" i="253"/>
  <c r="J139" i="253"/>
  <c r="J173" i="253"/>
  <c r="J170" i="253"/>
  <c r="E202" i="253"/>
  <c r="F202" i="253" s="1"/>
  <c r="J167" i="253"/>
  <c r="J156" i="253"/>
  <c r="J145" i="253"/>
  <c r="E191" i="253"/>
  <c r="F191" i="253" s="1"/>
  <c r="J142" i="253"/>
  <c r="J131" i="253"/>
  <c r="J165" i="253"/>
  <c r="J138" i="253"/>
  <c r="E186" i="253"/>
  <c r="F186" i="253" s="1"/>
  <c r="J159" i="253"/>
  <c r="J148" i="253"/>
  <c r="J137" i="253"/>
  <c r="E189" i="253"/>
  <c r="F189" i="253" s="1"/>
  <c r="J134" i="253"/>
  <c r="J176" i="253"/>
  <c r="J157" i="253"/>
  <c r="E194" i="253"/>
  <c r="F194" i="253" s="1"/>
  <c r="E192" i="253"/>
  <c r="F192" i="253" s="1"/>
  <c r="J151" i="253"/>
  <c r="J140" i="253"/>
  <c r="E203" i="253"/>
  <c r="F203" i="253" s="1"/>
  <c r="E187" i="253"/>
  <c r="F187" i="253" s="1"/>
  <c r="J179" i="253"/>
  <c r="J168" i="253"/>
  <c r="J149" i="253"/>
  <c r="E200" i="253"/>
  <c r="F200" i="253" s="1"/>
  <c r="J178" i="253"/>
  <c r="J150" i="251"/>
  <c r="J148" i="251"/>
  <c r="E185" i="251"/>
  <c r="F185" i="251" s="1"/>
  <c r="I144" i="251"/>
  <c r="J173" i="251"/>
  <c r="J137" i="251"/>
  <c r="J171" i="251"/>
  <c r="J170" i="251"/>
  <c r="J138" i="251"/>
  <c r="E200" i="251"/>
  <c r="F200" i="251" s="1"/>
  <c r="I137" i="251"/>
  <c r="E202" i="251"/>
  <c r="F202" i="251" s="1"/>
  <c r="I175" i="251"/>
  <c r="J180" i="252"/>
  <c r="J169" i="252"/>
  <c r="E197" i="252"/>
  <c r="F197" i="252" s="1"/>
  <c r="J166" i="252"/>
  <c r="J155" i="252"/>
  <c r="J144" i="252"/>
  <c r="E188" i="252"/>
  <c r="F188" i="252" s="1"/>
  <c r="J154" i="252"/>
  <c r="J132" i="252"/>
  <c r="J172" i="252"/>
  <c r="J161" i="252"/>
  <c r="E195" i="252"/>
  <c r="F195" i="252" s="1"/>
  <c r="J158" i="252"/>
  <c r="J147" i="252"/>
  <c r="J136" i="252"/>
  <c r="J170" i="252"/>
  <c r="E202" i="252"/>
  <c r="F202" i="252" s="1"/>
  <c r="J160" i="252"/>
  <c r="E198" i="252"/>
  <c r="F198" i="252" s="1"/>
  <c r="J175" i="252"/>
  <c r="J164" i="252"/>
  <c r="J153" i="252"/>
  <c r="E193" i="252"/>
  <c r="F193" i="252" s="1"/>
  <c r="J150" i="252"/>
  <c r="J139" i="252"/>
  <c r="J173" i="252"/>
  <c r="J138" i="252"/>
  <c r="E186" i="252"/>
  <c r="F186" i="252" s="1"/>
  <c r="J143" i="252"/>
  <c r="J167" i="252"/>
  <c r="J156" i="252"/>
  <c r="J145" i="252"/>
  <c r="E191" i="252"/>
  <c r="F191" i="252" s="1"/>
  <c r="J142" i="252"/>
  <c r="J131" i="252"/>
  <c r="J165" i="252"/>
  <c r="E194" i="252"/>
  <c r="F194" i="252" s="1"/>
  <c r="E192" i="252"/>
  <c r="F192" i="252" s="1"/>
  <c r="J171" i="252"/>
  <c r="J159" i="252"/>
  <c r="J148" i="252"/>
  <c r="J137" i="252"/>
  <c r="E189" i="252"/>
  <c r="F189" i="252" s="1"/>
  <c r="J134" i="252"/>
  <c r="J176" i="252"/>
  <c r="J157" i="252"/>
  <c r="E200" i="252"/>
  <c r="F200" i="252" s="1"/>
  <c r="J178" i="252"/>
  <c r="E185" i="252"/>
  <c r="J151" i="252"/>
  <c r="J140" i="252"/>
  <c r="E203" i="252"/>
  <c r="F203" i="252" s="1"/>
  <c r="E187" i="252"/>
  <c r="F187" i="252" s="1"/>
  <c r="J179" i="252"/>
  <c r="J168" i="252"/>
  <c r="J149" i="252"/>
  <c r="J162" i="252"/>
  <c r="J146" i="252"/>
  <c r="E201" i="252"/>
  <c r="F201" i="252" s="1"/>
  <c r="E190" i="252"/>
  <c r="F190" i="252" s="1"/>
  <c r="J135" i="252"/>
  <c r="J177" i="252"/>
  <c r="E199" i="252"/>
  <c r="F199" i="252" s="1"/>
  <c r="J174" i="252"/>
  <c r="J163" i="252"/>
  <c r="J152" i="252"/>
  <c r="J133" i="252"/>
  <c r="E196" i="252"/>
  <c r="F196" i="252" s="1"/>
  <c r="J141" i="252"/>
  <c r="I162" i="252"/>
  <c r="I143" i="252"/>
  <c r="I132" i="252"/>
  <c r="I166" i="252"/>
  <c r="I155" i="252"/>
  <c r="I144" i="252"/>
  <c r="I171" i="252"/>
  <c r="I154" i="252"/>
  <c r="I135" i="252"/>
  <c r="I177" i="252"/>
  <c r="I158" i="252"/>
  <c r="I147" i="252"/>
  <c r="I136" i="252"/>
  <c r="I148" i="252"/>
  <c r="I146" i="252"/>
  <c r="I180" i="252"/>
  <c r="I169" i="252"/>
  <c r="I150" i="252"/>
  <c r="I139" i="252"/>
  <c r="I157" i="252"/>
  <c r="I160" i="252"/>
  <c r="I138" i="252"/>
  <c r="I172" i="252"/>
  <c r="I161" i="252"/>
  <c r="I142" i="252"/>
  <c r="I131" i="252"/>
  <c r="I149" i="252"/>
  <c r="I178" i="252"/>
  <c r="I175" i="252"/>
  <c r="I164" i="252"/>
  <c r="I153" i="252"/>
  <c r="I134" i="252"/>
  <c r="I176" i="252"/>
  <c r="I173" i="252"/>
  <c r="I165" i="252"/>
  <c r="I167" i="252"/>
  <c r="I156" i="252"/>
  <c r="I145" i="252"/>
  <c r="I179" i="252"/>
  <c r="I168" i="252"/>
  <c r="I141" i="252"/>
  <c r="I137" i="252"/>
  <c r="I170" i="252"/>
  <c r="I151" i="252"/>
  <c r="I140" i="252"/>
  <c r="I174" i="252"/>
  <c r="I163" i="252"/>
  <c r="I152" i="252"/>
  <c r="I133" i="252"/>
  <c r="I159" i="252"/>
  <c r="E186" i="251"/>
  <c r="F186" i="251" s="1"/>
  <c r="J145" i="251"/>
  <c r="I172" i="251"/>
  <c r="E189" i="251"/>
  <c r="F189" i="251" s="1"/>
  <c r="I153" i="251"/>
  <c r="J179" i="251"/>
  <c r="I179" i="251"/>
  <c r="J160" i="251"/>
  <c r="I171" i="251"/>
  <c r="J152" i="251"/>
  <c r="I152" i="251"/>
  <c r="E188" i="251"/>
  <c r="F188" i="251" s="1"/>
  <c r="J172" i="251"/>
  <c r="I154" i="251"/>
  <c r="J164" i="251"/>
  <c r="I180" i="251"/>
  <c r="E191" i="251"/>
  <c r="F191" i="251" s="1"/>
  <c r="I161" i="251"/>
  <c r="J134" i="251"/>
  <c r="I134" i="251"/>
  <c r="J168" i="251"/>
  <c r="I168" i="251"/>
  <c r="J141" i="251"/>
  <c r="I160" i="251"/>
  <c r="J133" i="251"/>
  <c r="I133" i="251"/>
  <c r="J154" i="251"/>
  <c r="J161" i="251"/>
  <c r="I135" i="251"/>
  <c r="J153" i="251"/>
  <c r="I169" i="251"/>
  <c r="J142" i="251"/>
  <c r="I142" i="251"/>
  <c r="J176" i="251"/>
  <c r="I176" i="251"/>
  <c r="J149" i="251"/>
  <c r="I141" i="251"/>
  <c r="E190" i="251"/>
  <c r="F190" i="251" s="1"/>
  <c r="I165" i="251"/>
  <c r="E196" i="251"/>
  <c r="F196" i="251" s="1"/>
  <c r="J180" i="251"/>
  <c r="I162" i="251"/>
  <c r="E195" i="251"/>
  <c r="F195" i="251" s="1"/>
  <c r="I177" i="251"/>
  <c r="E193" i="251"/>
  <c r="F193" i="251" s="1"/>
  <c r="I150" i="251"/>
  <c r="J131" i="251"/>
  <c r="I131" i="251"/>
  <c r="J157" i="251"/>
  <c r="I173" i="251"/>
  <c r="J162" i="251"/>
  <c r="J143" i="251"/>
  <c r="E192" i="251"/>
  <c r="F192" i="251" s="1"/>
  <c r="J135" i="251"/>
  <c r="I170" i="251"/>
  <c r="J169" i="251"/>
  <c r="I143" i="251"/>
  <c r="J158" i="251"/>
  <c r="I158" i="251"/>
  <c r="I139" i="251"/>
  <c r="I149" i="251"/>
  <c r="J151" i="251"/>
  <c r="J146" i="251"/>
  <c r="J132" i="251"/>
  <c r="I178" i="251"/>
  <c r="J177" i="251"/>
  <c r="I151" i="251"/>
  <c r="E197" i="251"/>
  <c r="F197" i="251" s="1"/>
  <c r="I132" i="251"/>
  <c r="J147" i="251"/>
  <c r="I147" i="251"/>
  <c r="J139" i="251"/>
  <c r="I157" i="251"/>
  <c r="E194" i="251"/>
  <c r="F194" i="251" s="1"/>
  <c r="J159" i="251"/>
  <c r="J178" i="251"/>
  <c r="J140" i="251"/>
  <c r="I167" i="251"/>
  <c r="E201" i="251"/>
  <c r="F201" i="251" s="1"/>
  <c r="I159" i="251"/>
  <c r="E199" i="251"/>
  <c r="F199" i="251" s="1"/>
  <c r="I140" i="251"/>
  <c r="J166" i="251"/>
  <c r="I166" i="251"/>
  <c r="J136" i="251"/>
  <c r="I136" i="251"/>
  <c r="I156" i="251"/>
  <c r="I148" i="251"/>
  <c r="I174" i="251"/>
  <c r="I155" i="251"/>
  <c r="I162" i="250"/>
  <c r="I143" i="250"/>
  <c r="I132" i="250"/>
  <c r="I166" i="250"/>
  <c r="I155" i="250"/>
  <c r="I141" i="250"/>
  <c r="I154" i="250"/>
  <c r="I135" i="250"/>
  <c r="I177" i="250"/>
  <c r="I158" i="250"/>
  <c r="I147" i="250"/>
  <c r="I133" i="250"/>
  <c r="I146" i="250"/>
  <c r="I180" i="250"/>
  <c r="I169" i="250"/>
  <c r="I150" i="250"/>
  <c r="I139" i="250"/>
  <c r="I176" i="250"/>
  <c r="I138" i="250"/>
  <c r="I172" i="250"/>
  <c r="I161" i="250"/>
  <c r="I142" i="250"/>
  <c r="I131" i="250"/>
  <c r="I144" i="250"/>
  <c r="I175" i="250"/>
  <c r="I164" i="250"/>
  <c r="I153" i="250"/>
  <c r="I134" i="250"/>
  <c r="I173" i="250"/>
  <c r="I168" i="250"/>
  <c r="I167" i="250"/>
  <c r="I156" i="250"/>
  <c r="I145" i="250"/>
  <c r="I179" i="250"/>
  <c r="I165" i="250"/>
  <c r="I136" i="250"/>
  <c r="I178" i="250"/>
  <c r="I159" i="250"/>
  <c r="I148" i="250"/>
  <c r="I137" i="250"/>
  <c r="I171" i="250"/>
  <c r="I157" i="250"/>
  <c r="I160" i="250"/>
  <c r="I170" i="250"/>
  <c r="I151" i="250"/>
  <c r="I140" i="250"/>
  <c r="I174" i="250"/>
  <c r="I163" i="250"/>
  <c r="I149" i="250"/>
  <c r="I152" i="250"/>
  <c r="J151" i="250"/>
  <c r="J140" i="250"/>
  <c r="E203" i="250"/>
  <c r="F203" i="250" s="1"/>
  <c r="E187" i="250"/>
  <c r="F187" i="250" s="1"/>
  <c r="J179" i="250"/>
  <c r="J168" i="250"/>
  <c r="E196" i="250"/>
  <c r="F196" i="250" s="1"/>
  <c r="J162" i="250"/>
  <c r="J165" i="250"/>
  <c r="J143" i="250"/>
  <c r="J132" i="250"/>
  <c r="E201" i="250"/>
  <c r="F201" i="250" s="1"/>
  <c r="E185" i="250"/>
  <c r="J171" i="250"/>
  <c r="J160" i="250"/>
  <c r="E194" i="250"/>
  <c r="F194" i="250" s="1"/>
  <c r="J154" i="250"/>
  <c r="J133" i="250"/>
  <c r="J135" i="250"/>
  <c r="J177" i="250"/>
  <c r="E199" i="250"/>
  <c r="F199" i="250" s="1"/>
  <c r="J174" i="250"/>
  <c r="J163" i="250"/>
  <c r="J152" i="250"/>
  <c r="E192" i="250"/>
  <c r="F192" i="250" s="1"/>
  <c r="J146" i="250"/>
  <c r="J180" i="250"/>
  <c r="J169" i="250"/>
  <c r="E197" i="250"/>
  <c r="F197" i="250" s="1"/>
  <c r="J166" i="250"/>
  <c r="J155" i="250"/>
  <c r="J144" i="250"/>
  <c r="E190" i="250"/>
  <c r="F190" i="250" s="1"/>
  <c r="J138" i="250"/>
  <c r="J172" i="250"/>
  <c r="J161" i="250"/>
  <c r="E195" i="250"/>
  <c r="F195" i="250" s="1"/>
  <c r="J158" i="250"/>
  <c r="J147" i="250"/>
  <c r="J136" i="250"/>
  <c r="E188" i="250"/>
  <c r="F188" i="250" s="1"/>
  <c r="J157" i="250"/>
  <c r="J175" i="250"/>
  <c r="J164" i="250"/>
  <c r="J153" i="250"/>
  <c r="E193" i="250"/>
  <c r="F193" i="250" s="1"/>
  <c r="J150" i="250"/>
  <c r="J139" i="250"/>
  <c r="E202" i="250"/>
  <c r="F202" i="250" s="1"/>
  <c r="E186" i="250"/>
  <c r="F186" i="250" s="1"/>
  <c r="J149" i="250"/>
  <c r="J167" i="250"/>
  <c r="J156" i="250"/>
  <c r="J145" i="250"/>
  <c r="E191" i="250"/>
  <c r="F191" i="250" s="1"/>
  <c r="J142" i="250"/>
  <c r="J131" i="250"/>
  <c r="E200" i="250"/>
  <c r="F200" i="250" s="1"/>
  <c r="J178" i="250"/>
  <c r="J173" i="250"/>
  <c r="J159" i="250"/>
  <c r="J148" i="250"/>
  <c r="J137" i="250"/>
  <c r="E189" i="250"/>
  <c r="F189" i="250" s="1"/>
  <c r="J134" i="250"/>
  <c r="J176" i="250"/>
  <c r="E198" i="250"/>
  <c r="F198" i="250" s="1"/>
  <c r="J170" i="250"/>
  <c r="J141" i="250"/>
  <c r="I154" i="249"/>
  <c r="I135" i="249"/>
  <c r="I177" i="249"/>
  <c r="I158" i="249"/>
  <c r="I147" i="249"/>
  <c r="I133" i="249"/>
  <c r="I146" i="249"/>
  <c r="I180" i="249"/>
  <c r="I169" i="249"/>
  <c r="I150" i="249"/>
  <c r="I139" i="249"/>
  <c r="I176" i="249"/>
  <c r="I138" i="249"/>
  <c r="I172" i="249"/>
  <c r="I161" i="249"/>
  <c r="I142" i="249"/>
  <c r="I131" i="249"/>
  <c r="I144" i="249"/>
  <c r="I175" i="249"/>
  <c r="I164" i="249"/>
  <c r="I153" i="249"/>
  <c r="I134" i="249"/>
  <c r="I173" i="249"/>
  <c r="I168" i="249"/>
  <c r="I167" i="249"/>
  <c r="I156" i="249"/>
  <c r="I145" i="249"/>
  <c r="I179" i="249"/>
  <c r="I165" i="249"/>
  <c r="I136" i="249"/>
  <c r="I178" i="249"/>
  <c r="I159" i="249"/>
  <c r="I148" i="249"/>
  <c r="I137" i="249"/>
  <c r="I171" i="249"/>
  <c r="I157" i="249"/>
  <c r="I160" i="249"/>
  <c r="I170" i="249"/>
  <c r="I151" i="249"/>
  <c r="I140" i="249"/>
  <c r="I174" i="249"/>
  <c r="I163" i="249"/>
  <c r="I149" i="249"/>
  <c r="I152" i="249"/>
  <c r="I162" i="249"/>
  <c r="I143" i="249"/>
  <c r="I132" i="249"/>
  <c r="I166" i="249"/>
  <c r="I155" i="249"/>
  <c r="I141" i="249"/>
  <c r="J145" i="249"/>
  <c r="E191" i="249"/>
  <c r="F191" i="249" s="1"/>
  <c r="J142" i="249"/>
  <c r="J131" i="249"/>
  <c r="E200" i="249"/>
  <c r="F200" i="249" s="1"/>
  <c r="J173" i="249"/>
  <c r="J159" i="249"/>
  <c r="J148" i="249"/>
  <c r="J137" i="249"/>
  <c r="E189" i="249"/>
  <c r="F189" i="249" s="1"/>
  <c r="J134" i="249"/>
  <c r="J176" i="249"/>
  <c r="E198" i="249"/>
  <c r="F198" i="249" s="1"/>
  <c r="J170" i="249"/>
  <c r="J141" i="249"/>
  <c r="J151" i="249"/>
  <c r="J140" i="249"/>
  <c r="E203" i="249"/>
  <c r="F203" i="249" s="1"/>
  <c r="E187" i="249"/>
  <c r="F187" i="249" s="1"/>
  <c r="J179" i="249"/>
  <c r="J168" i="249"/>
  <c r="E196" i="249"/>
  <c r="F196" i="249" s="1"/>
  <c r="J162" i="249"/>
  <c r="J165" i="249"/>
  <c r="J143" i="249"/>
  <c r="J132" i="249"/>
  <c r="E201" i="249"/>
  <c r="F201" i="249" s="1"/>
  <c r="E185" i="249"/>
  <c r="J171" i="249"/>
  <c r="J160" i="249"/>
  <c r="E194" i="249"/>
  <c r="F194" i="249" s="1"/>
  <c r="J154" i="249"/>
  <c r="J133" i="249"/>
  <c r="J135" i="249"/>
  <c r="J177" i="249"/>
  <c r="E199" i="249"/>
  <c r="F199" i="249" s="1"/>
  <c r="J174" i="249"/>
  <c r="J163" i="249"/>
  <c r="J152" i="249"/>
  <c r="E192" i="249"/>
  <c r="F192" i="249" s="1"/>
  <c r="J146" i="249"/>
  <c r="J180" i="249"/>
  <c r="J169" i="249"/>
  <c r="E197" i="249"/>
  <c r="F197" i="249" s="1"/>
  <c r="J166" i="249"/>
  <c r="J155" i="249"/>
  <c r="J144" i="249"/>
  <c r="E190" i="249"/>
  <c r="F190" i="249" s="1"/>
  <c r="J138" i="249"/>
  <c r="J172" i="249"/>
  <c r="J161" i="249"/>
  <c r="E195" i="249"/>
  <c r="F195" i="249" s="1"/>
  <c r="J158" i="249"/>
  <c r="J147" i="249"/>
  <c r="J136" i="249"/>
  <c r="E188" i="249"/>
  <c r="F188" i="249" s="1"/>
  <c r="J157" i="249"/>
  <c r="J156" i="249"/>
  <c r="J175" i="249"/>
  <c r="J164" i="249"/>
  <c r="J153" i="249"/>
  <c r="E193" i="249"/>
  <c r="F193" i="249" s="1"/>
  <c r="J150" i="249"/>
  <c r="J139" i="249"/>
  <c r="E202" i="249"/>
  <c r="F202" i="249" s="1"/>
  <c r="E186" i="249"/>
  <c r="F186" i="249" s="1"/>
  <c r="J149" i="249"/>
  <c r="J167" i="249"/>
  <c r="J178" i="249"/>
  <c r="I175" i="248"/>
  <c r="I164" i="248"/>
  <c r="I153" i="248"/>
  <c r="I134" i="248"/>
  <c r="I176" i="248"/>
  <c r="I157" i="248"/>
  <c r="I167" i="248"/>
  <c r="I156" i="248"/>
  <c r="I145" i="248"/>
  <c r="I179" i="248"/>
  <c r="I168" i="248"/>
  <c r="I149" i="248"/>
  <c r="I178" i="248"/>
  <c r="I159" i="248"/>
  <c r="I148" i="248"/>
  <c r="I137" i="248"/>
  <c r="I171" i="248"/>
  <c r="I160" i="248"/>
  <c r="I173" i="248"/>
  <c r="I170" i="248"/>
  <c r="I151" i="248"/>
  <c r="I140" i="248"/>
  <c r="I174" i="248"/>
  <c r="I163" i="248"/>
  <c r="I152" i="248"/>
  <c r="I141" i="248"/>
  <c r="I155" i="248"/>
  <c r="I162" i="248"/>
  <c r="I143" i="248"/>
  <c r="I132" i="248"/>
  <c r="I166" i="248"/>
  <c r="I144" i="248"/>
  <c r="I154" i="248"/>
  <c r="I135" i="248"/>
  <c r="I177" i="248"/>
  <c r="I158" i="248"/>
  <c r="I147" i="248"/>
  <c r="I136" i="248"/>
  <c r="I146" i="248"/>
  <c r="I180" i="248"/>
  <c r="I169" i="248"/>
  <c r="I150" i="248"/>
  <c r="I139" i="248"/>
  <c r="I165" i="248"/>
  <c r="I142" i="248"/>
  <c r="I138" i="248"/>
  <c r="I172" i="248"/>
  <c r="I161" i="248"/>
  <c r="I131" i="248"/>
  <c r="I133" i="248"/>
  <c r="J151" i="248"/>
  <c r="J140" i="248"/>
  <c r="E203" i="248"/>
  <c r="F203" i="248" s="1"/>
  <c r="E187" i="248"/>
  <c r="F187" i="248" s="1"/>
  <c r="J179" i="248"/>
  <c r="J168" i="248"/>
  <c r="J149" i="248"/>
  <c r="J170" i="248"/>
  <c r="E202" i="248"/>
  <c r="F202" i="248" s="1"/>
  <c r="J143" i="248"/>
  <c r="J132" i="248"/>
  <c r="E201" i="248"/>
  <c r="F201" i="248" s="1"/>
  <c r="E185" i="248"/>
  <c r="J171" i="248"/>
  <c r="J160" i="248"/>
  <c r="J141" i="248"/>
  <c r="J138" i="248"/>
  <c r="E186" i="248"/>
  <c r="F186" i="248" s="1"/>
  <c r="J135" i="248"/>
  <c r="J177" i="248"/>
  <c r="E199" i="248"/>
  <c r="F199" i="248" s="1"/>
  <c r="J174" i="248"/>
  <c r="J163" i="248"/>
  <c r="J152" i="248"/>
  <c r="J133" i="248"/>
  <c r="E194" i="248"/>
  <c r="F194" i="248" s="1"/>
  <c r="E195" i="248"/>
  <c r="F195" i="248" s="1"/>
  <c r="J180" i="248"/>
  <c r="J169" i="248"/>
  <c r="E197" i="248"/>
  <c r="F197" i="248" s="1"/>
  <c r="J166" i="248"/>
  <c r="J155" i="248"/>
  <c r="J144" i="248"/>
  <c r="E192" i="248"/>
  <c r="F192" i="248" s="1"/>
  <c r="E200" i="248"/>
  <c r="F200" i="248" s="1"/>
  <c r="J147" i="248"/>
  <c r="J172" i="248"/>
  <c r="J161" i="248"/>
  <c r="J158" i="248"/>
  <c r="J136" i="248"/>
  <c r="J178" i="248"/>
  <c r="J162" i="248"/>
  <c r="J175" i="248"/>
  <c r="J164" i="248"/>
  <c r="J153" i="248"/>
  <c r="E193" i="248"/>
  <c r="F193" i="248" s="1"/>
  <c r="J150" i="248"/>
  <c r="J139" i="248"/>
  <c r="J173" i="248"/>
  <c r="J146" i="248"/>
  <c r="E190" i="248"/>
  <c r="F190" i="248" s="1"/>
  <c r="J167" i="248"/>
  <c r="J156" i="248"/>
  <c r="J145" i="248"/>
  <c r="E191" i="248"/>
  <c r="F191" i="248" s="1"/>
  <c r="J142" i="248"/>
  <c r="J131" i="248"/>
  <c r="J165" i="248"/>
  <c r="E198" i="248"/>
  <c r="F198" i="248" s="1"/>
  <c r="E196" i="248"/>
  <c r="F196" i="248" s="1"/>
  <c r="J159" i="248"/>
  <c r="J148" i="248"/>
  <c r="J137" i="248"/>
  <c r="E189" i="248"/>
  <c r="F189" i="248" s="1"/>
  <c r="J134" i="248"/>
  <c r="J176" i="248"/>
  <c r="J157" i="248"/>
  <c r="E188" i="248"/>
  <c r="F188" i="248" s="1"/>
  <c r="J154" i="248"/>
  <c r="I146" i="247"/>
  <c r="I180" i="247"/>
  <c r="I169" i="247"/>
  <c r="I150" i="247"/>
  <c r="I139" i="247"/>
  <c r="I168" i="247"/>
  <c r="I138" i="247"/>
  <c r="I172" i="247"/>
  <c r="I161" i="247"/>
  <c r="I142" i="247"/>
  <c r="I131" i="247"/>
  <c r="I152" i="247"/>
  <c r="I175" i="247"/>
  <c r="I164" i="247"/>
  <c r="I153" i="247"/>
  <c r="I134" i="247"/>
  <c r="I173" i="247"/>
  <c r="I157" i="247"/>
  <c r="I167" i="247"/>
  <c r="I156" i="247"/>
  <c r="I145" i="247"/>
  <c r="I179" i="247"/>
  <c r="I176" i="247"/>
  <c r="I141" i="247"/>
  <c r="I163" i="247"/>
  <c r="I178" i="247"/>
  <c r="I159" i="247"/>
  <c r="I148" i="247"/>
  <c r="I137" i="247"/>
  <c r="I171" i="247"/>
  <c r="I160" i="247"/>
  <c r="I136" i="247"/>
  <c r="I133" i="247"/>
  <c r="I170" i="247"/>
  <c r="I151" i="247"/>
  <c r="I140" i="247"/>
  <c r="I174" i="247"/>
  <c r="I144" i="247"/>
  <c r="I162" i="247"/>
  <c r="I143" i="247"/>
  <c r="I132" i="247"/>
  <c r="I166" i="247"/>
  <c r="I155" i="247"/>
  <c r="I165" i="247"/>
  <c r="I154" i="247"/>
  <c r="I135" i="247"/>
  <c r="I177" i="247"/>
  <c r="I158" i="247"/>
  <c r="I147" i="247"/>
  <c r="I149" i="247"/>
  <c r="J175" i="247"/>
  <c r="J164" i="247"/>
  <c r="J153" i="247"/>
  <c r="E193" i="247"/>
  <c r="F193" i="247" s="1"/>
  <c r="J150" i="247"/>
  <c r="J139" i="247"/>
  <c r="E200" i="247"/>
  <c r="F200" i="247" s="1"/>
  <c r="E190" i="247"/>
  <c r="F190" i="247" s="1"/>
  <c r="J146" i="247"/>
  <c r="J167" i="247"/>
  <c r="J156" i="247"/>
  <c r="J145" i="247"/>
  <c r="E191" i="247"/>
  <c r="F191" i="247" s="1"/>
  <c r="J142" i="247"/>
  <c r="J131" i="247"/>
  <c r="E192" i="247"/>
  <c r="F192" i="247" s="1"/>
  <c r="J165" i="247"/>
  <c r="E198" i="247"/>
  <c r="F198" i="247" s="1"/>
  <c r="J159" i="247"/>
  <c r="J148" i="247"/>
  <c r="J137" i="247"/>
  <c r="E189" i="247"/>
  <c r="F189" i="247" s="1"/>
  <c r="J134" i="247"/>
  <c r="J176" i="247"/>
  <c r="E202" i="247"/>
  <c r="F202" i="247" s="1"/>
  <c r="J149" i="247"/>
  <c r="J141" i="247"/>
  <c r="J151" i="247"/>
  <c r="J140" i="247"/>
  <c r="E203" i="247"/>
  <c r="F203" i="247" s="1"/>
  <c r="E187" i="247"/>
  <c r="F187" i="247" s="1"/>
  <c r="J179" i="247"/>
  <c r="J168" i="247"/>
  <c r="E194" i="247"/>
  <c r="F194" i="247" s="1"/>
  <c r="J170" i="247"/>
  <c r="J133" i="247"/>
  <c r="J180" i="247"/>
  <c r="E197" i="247"/>
  <c r="F197" i="247" s="1"/>
  <c r="J155" i="247"/>
  <c r="E188" i="247"/>
  <c r="F188" i="247" s="1"/>
  <c r="J143" i="247"/>
  <c r="J132" i="247"/>
  <c r="E201" i="247"/>
  <c r="F201" i="247" s="1"/>
  <c r="E185" i="247"/>
  <c r="J171" i="247"/>
  <c r="J160" i="247"/>
  <c r="E186" i="247"/>
  <c r="F186" i="247" s="1"/>
  <c r="J154" i="247"/>
  <c r="J138" i="247"/>
  <c r="J135" i="247"/>
  <c r="J177" i="247"/>
  <c r="E199" i="247"/>
  <c r="F199" i="247" s="1"/>
  <c r="J174" i="247"/>
  <c r="J163" i="247"/>
  <c r="J152" i="247"/>
  <c r="E196" i="247"/>
  <c r="F196" i="247" s="1"/>
  <c r="J157" i="247"/>
  <c r="J169" i="247"/>
  <c r="J166" i="247"/>
  <c r="J144" i="247"/>
  <c r="J173" i="247"/>
  <c r="J172" i="247"/>
  <c r="J161" i="247"/>
  <c r="E195" i="247"/>
  <c r="F195" i="247" s="1"/>
  <c r="J158" i="247"/>
  <c r="J147" i="247"/>
  <c r="J136" i="247"/>
  <c r="J178" i="247"/>
  <c r="J162" i="247"/>
  <c r="I167" i="246"/>
  <c r="I156" i="246"/>
  <c r="I137" i="246"/>
  <c r="I171" i="246"/>
  <c r="I176" i="246"/>
  <c r="I160" i="246"/>
  <c r="I178" i="246"/>
  <c r="I174" i="246"/>
  <c r="I165" i="246"/>
  <c r="I159" i="246"/>
  <c r="I148" i="246"/>
  <c r="I163" i="246"/>
  <c r="I144" i="246"/>
  <c r="I170" i="246"/>
  <c r="I151" i="246"/>
  <c r="I140" i="246"/>
  <c r="I166" i="246"/>
  <c r="I155" i="246"/>
  <c r="I149" i="246"/>
  <c r="I133" i="246"/>
  <c r="I162" i="246"/>
  <c r="I143" i="246"/>
  <c r="I177" i="246"/>
  <c r="I158" i="246"/>
  <c r="I147" i="246"/>
  <c r="I136" i="246"/>
  <c r="I154" i="246"/>
  <c r="I135" i="246"/>
  <c r="I169" i="246"/>
  <c r="I150" i="246"/>
  <c r="I139" i="246"/>
  <c r="I168" i="246"/>
  <c r="I146" i="246"/>
  <c r="I161" i="246"/>
  <c r="I131" i="246"/>
  <c r="I164" i="246"/>
  <c r="I145" i="246"/>
  <c r="I179" i="246"/>
  <c r="I141" i="246"/>
  <c r="I180" i="246"/>
  <c r="I142" i="246"/>
  <c r="I152" i="246"/>
  <c r="I175" i="246"/>
  <c r="I138" i="246"/>
  <c r="I172" i="246"/>
  <c r="I153" i="246"/>
  <c r="I134" i="246"/>
  <c r="I132" i="246"/>
  <c r="I157" i="246"/>
  <c r="I173" i="246"/>
  <c r="J180" i="246"/>
  <c r="J169" i="246"/>
  <c r="E197" i="246"/>
  <c r="F197" i="246" s="1"/>
  <c r="J166" i="246"/>
  <c r="J155" i="246"/>
  <c r="J144" i="246"/>
  <c r="E198" i="246"/>
  <c r="F198" i="246" s="1"/>
  <c r="J173" i="246"/>
  <c r="J172" i="246"/>
  <c r="J161" i="246"/>
  <c r="E195" i="246"/>
  <c r="F195" i="246" s="1"/>
  <c r="J158" i="246"/>
  <c r="J147" i="246"/>
  <c r="J136" i="246"/>
  <c r="E190" i="246"/>
  <c r="F190" i="246" s="1"/>
  <c r="J162" i="246"/>
  <c r="J175" i="246"/>
  <c r="J164" i="246"/>
  <c r="J153" i="246"/>
  <c r="E193" i="246"/>
  <c r="F193" i="246" s="1"/>
  <c r="J150" i="246"/>
  <c r="J139" i="246"/>
  <c r="E202" i="246"/>
  <c r="F202" i="246" s="1"/>
  <c r="E200" i="246"/>
  <c r="F200" i="246" s="1"/>
  <c r="J146" i="246"/>
  <c r="J167" i="246"/>
  <c r="J156" i="246"/>
  <c r="J145" i="246"/>
  <c r="E191" i="246"/>
  <c r="F191" i="246" s="1"/>
  <c r="J142" i="246"/>
  <c r="J131" i="246"/>
  <c r="E194" i="246"/>
  <c r="F194" i="246" s="1"/>
  <c r="E192" i="246"/>
  <c r="F192" i="246" s="1"/>
  <c r="J165" i="246"/>
  <c r="J159" i="246"/>
  <c r="J148" i="246"/>
  <c r="J137" i="246"/>
  <c r="E189" i="246"/>
  <c r="F189" i="246" s="1"/>
  <c r="J134" i="246"/>
  <c r="J176" i="246"/>
  <c r="E186" i="246"/>
  <c r="F186" i="246" s="1"/>
  <c r="J170" i="246"/>
  <c r="J149" i="246"/>
  <c r="J151" i="246"/>
  <c r="E203" i="246"/>
  <c r="F203" i="246" s="1"/>
  <c r="J179" i="246"/>
  <c r="E196" i="246"/>
  <c r="F196" i="246" s="1"/>
  <c r="J154" i="246"/>
  <c r="J152" i="246"/>
  <c r="J140" i="246"/>
  <c r="E187" i="246"/>
  <c r="F187" i="246" s="1"/>
  <c r="J168" i="246"/>
  <c r="J133" i="246"/>
  <c r="J143" i="246"/>
  <c r="J132" i="246"/>
  <c r="E201" i="246"/>
  <c r="F201" i="246" s="1"/>
  <c r="E185" i="246"/>
  <c r="J171" i="246"/>
  <c r="J160" i="246"/>
  <c r="E188" i="246"/>
  <c r="F188" i="246" s="1"/>
  <c r="J141" i="246"/>
  <c r="J138" i="246"/>
  <c r="J135" i="246"/>
  <c r="J177" i="246"/>
  <c r="E199" i="246"/>
  <c r="F199" i="246" s="1"/>
  <c r="J174" i="246"/>
  <c r="J163" i="246"/>
  <c r="J178" i="246"/>
  <c r="J157" i="246"/>
  <c r="I164" i="245"/>
  <c r="I153" i="245"/>
  <c r="I134" i="245"/>
  <c r="I173" i="245"/>
  <c r="I144" i="245"/>
  <c r="I168" i="245"/>
  <c r="I178" i="245"/>
  <c r="I159" i="245"/>
  <c r="I148" i="245"/>
  <c r="I137" i="245"/>
  <c r="I171" i="245"/>
  <c r="I157" i="245"/>
  <c r="I136" i="245"/>
  <c r="I175" i="245"/>
  <c r="I165" i="245"/>
  <c r="I170" i="245"/>
  <c r="I151" i="245"/>
  <c r="I140" i="245"/>
  <c r="I174" i="245"/>
  <c r="I163" i="245"/>
  <c r="I149" i="245"/>
  <c r="I160" i="245"/>
  <c r="I145" i="245"/>
  <c r="I162" i="245"/>
  <c r="I143" i="245"/>
  <c r="I132" i="245"/>
  <c r="I166" i="245"/>
  <c r="I155" i="245"/>
  <c r="I141" i="245"/>
  <c r="I167" i="245"/>
  <c r="I154" i="245"/>
  <c r="I135" i="245"/>
  <c r="I177" i="245"/>
  <c r="I158" i="245"/>
  <c r="I147" i="245"/>
  <c r="I133" i="245"/>
  <c r="I179" i="245"/>
  <c r="I146" i="245"/>
  <c r="I180" i="245"/>
  <c r="I169" i="245"/>
  <c r="I150" i="245"/>
  <c r="I139" i="245"/>
  <c r="I152" i="245"/>
  <c r="I156" i="245"/>
  <c r="I138" i="245"/>
  <c r="I172" i="245"/>
  <c r="I161" i="245"/>
  <c r="I142" i="245"/>
  <c r="I131" i="245"/>
  <c r="I176" i="245"/>
  <c r="J180" i="245"/>
  <c r="J169" i="245"/>
  <c r="E197" i="245"/>
  <c r="F197" i="245" s="1"/>
  <c r="J166" i="245"/>
  <c r="J172" i="245"/>
  <c r="J161" i="245"/>
  <c r="E195" i="245"/>
  <c r="F195" i="245" s="1"/>
  <c r="J158" i="245"/>
  <c r="J147" i="245"/>
  <c r="J136" i="245"/>
  <c r="E188" i="245"/>
  <c r="F188" i="245" s="1"/>
  <c r="J165" i="245"/>
  <c r="J175" i="245"/>
  <c r="J164" i="245"/>
  <c r="J153" i="245"/>
  <c r="E193" i="245"/>
  <c r="F193" i="245" s="1"/>
  <c r="J150" i="245"/>
  <c r="J139" i="245"/>
  <c r="E202" i="245"/>
  <c r="F202" i="245" s="1"/>
  <c r="E186" i="245"/>
  <c r="F186" i="245" s="1"/>
  <c r="J133" i="245"/>
  <c r="J167" i="245"/>
  <c r="J156" i="245"/>
  <c r="J145" i="245"/>
  <c r="E191" i="245"/>
  <c r="F191" i="245" s="1"/>
  <c r="J142" i="245"/>
  <c r="J131" i="245"/>
  <c r="E200" i="245"/>
  <c r="F200" i="245" s="1"/>
  <c r="J178" i="245"/>
  <c r="J157" i="245"/>
  <c r="J138" i="245"/>
  <c r="J159" i="245"/>
  <c r="J148" i="245"/>
  <c r="J137" i="245"/>
  <c r="E189" i="245"/>
  <c r="F189" i="245" s="1"/>
  <c r="J134" i="245"/>
  <c r="J176" i="245"/>
  <c r="E198" i="245"/>
  <c r="F198" i="245" s="1"/>
  <c r="J170" i="245"/>
  <c r="J149" i="245"/>
  <c r="E190" i="245"/>
  <c r="F190" i="245" s="1"/>
  <c r="J151" i="245"/>
  <c r="J140" i="245"/>
  <c r="E203" i="245"/>
  <c r="F203" i="245" s="1"/>
  <c r="E187" i="245"/>
  <c r="F187" i="245" s="1"/>
  <c r="J179" i="245"/>
  <c r="J168" i="245"/>
  <c r="E196" i="245"/>
  <c r="F196" i="245" s="1"/>
  <c r="J162" i="245"/>
  <c r="J173" i="245"/>
  <c r="J155" i="245"/>
  <c r="J143" i="245"/>
  <c r="J132" i="245"/>
  <c r="E201" i="245"/>
  <c r="F201" i="245" s="1"/>
  <c r="E185" i="245"/>
  <c r="J171" i="245"/>
  <c r="J160" i="245"/>
  <c r="E194" i="245"/>
  <c r="F194" i="245" s="1"/>
  <c r="J154" i="245"/>
  <c r="J141" i="245"/>
  <c r="J144" i="245"/>
  <c r="J135" i="245"/>
  <c r="J177" i="245"/>
  <c r="E199" i="245"/>
  <c r="F199" i="245" s="1"/>
  <c r="J174" i="245"/>
  <c r="J163" i="245"/>
  <c r="J152" i="245"/>
  <c r="E192" i="245"/>
  <c r="F192" i="245" s="1"/>
  <c r="J146" i="245"/>
  <c r="I170" i="244"/>
  <c r="I151" i="244"/>
  <c r="I140" i="244"/>
  <c r="I166" i="244"/>
  <c r="I155" i="244"/>
  <c r="I144" i="244"/>
  <c r="I133" i="244"/>
  <c r="I174" i="244"/>
  <c r="I162" i="244"/>
  <c r="I143" i="244"/>
  <c r="I177" i="244"/>
  <c r="I158" i="244"/>
  <c r="I147" i="244"/>
  <c r="I136" i="244"/>
  <c r="I165" i="244"/>
  <c r="I154" i="244"/>
  <c r="I135" i="244"/>
  <c r="I169" i="244"/>
  <c r="I150" i="244"/>
  <c r="I139" i="244"/>
  <c r="I157" i="244"/>
  <c r="I148" i="244"/>
  <c r="I146" i="244"/>
  <c r="I180" i="244"/>
  <c r="I161" i="244"/>
  <c r="I142" i="244"/>
  <c r="I131" i="244"/>
  <c r="I132" i="244"/>
  <c r="I178" i="244"/>
  <c r="I138" i="244"/>
  <c r="I172" i="244"/>
  <c r="I153" i="244"/>
  <c r="I134" i="244"/>
  <c r="I176" i="244"/>
  <c r="I149" i="244"/>
  <c r="I159" i="244"/>
  <c r="I175" i="244"/>
  <c r="I164" i="244"/>
  <c r="I145" i="244"/>
  <c r="I179" i="244"/>
  <c r="I168" i="244"/>
  <c r="I173" i="244"/>
  <c r="I152" i="244"/>
  <c r="I167" i="244"/>
  <c r="I156" i="244"/>
  <c r="I137" i="244"/>
  <c r="I171" i="244"/>
  <c r="I160" i="244"/>
  <c r="I141" i="244"/>
  <c r="I163" i="244"/>
  <c r="J135" i="244"/>
  <c r="J177" i="244"/>
  <c r="E199" i="244"/>
  <c r="F199" i="244" s="1"/>
  <c r="J174" i="244"/>
  <c r="J163" i="244"/>
  <c r="J152" i="244"/>
  <c r="J133" i="244"/>
  <c r="E190" i="244"/>
  <c r="F190" i="244" s="1"/>
  <c r="J180" i="244"/>
  <c r="J169" i="244"/>
  <c r="E197" i="244"/>
  <c r="F197" i="244" s="1"/>
  <c r="J166" i="244"/>
  <c r="J155" i="244"/>
  <c r="J144" i="244"/>
  <c r="E198" i="244"/>
  <c r="F198" i="244" s="1"/>
  <c r="E196" i="244"/>
  <c r="F196" i="244" s="1"/>
  <c r="J172" i="244"/>
  <c r="J161" i="244"/>
  <c r="E195" i="244"/>
  <c r="F195" i="244" s="1"/>
  <c r="J158" i="244"/>
  <c r="J147" i="244"/>
  <c r="J136" i="244"/>
  <c r="E188" i="244"/>
  <c r="F188" i="244" s="1"/>
  <c r="J154" i="244"/>
  <c r="J175" i="244"/>
  <c r="J164" i="244"/>
  <c r="J153" i="244"/>
  <c r="E193" i="244"/>
  <c r="F193" i="244" s="1"/>
  <c r="J150" i="244"/>
  <c r="J139" i="244"/>
  <c r="J173" i="244"/>
  <c r="J170" i="244"/>
  <c r="E192" i="244"/>
  <c r="F192" i="244" s="1"/>
  <c r="J167" i="244"/>
  <c r="J156" i="244"/>
  <c r="J145" i="244"/>
  <c r="E191" i="244"/>
  <c r="F191" i="244" s="1"/>
  <c r="J142" i="244"/>
  <c r="J131" i="244"/>
  <c r="J165" i="244"/>
  <c r="J138" i="244"/>
  <c r="J178" i="244"/>
  <c r="J159" i="244"/>
  <c r="J148" i="244"/>
  <c r="J137" i="244"/>
  <c r="E189" i="244"/>
  <c r="F189" i="244" s="1"/>
  <c r="J134" i="244"/>
  <c r="J176" i="244"/>
  <c r="J157" i="244"/>
  <c r="E194" i="244"/>
  <c r="F194" i="244" s="1"/>
  <c r="J146" i="244"/>
  <c r="J151" i="244"/>
  <c r="J140" i="244"/>
  <c r="E203" i="244"/>
  <c r="F203" i="244" s="1"/>
  <c r="E187" i="244"/>
  <c r="F187" i="244" s="1"/>
  <c r="J179" i="244"/>
  <c r="J168" i="244"/>
  <c r="J149" i="244"/>
  <c r="E200" i="244"/>
  <c r="F200" i="244" s="1"/>
  <c r="E202" i="244"/>
  <c r="F202" i="244" s="1"/>
  <c r="J143" i="244"/>
  <c r="J132" i="244"/>
  <c r="E201" i="244"/>
  <c r="F201" i="244" s="1"/>
  <c r="E185" i="244"/>
  <c r="J171" i="244"/>
  <c r="J160" i="244"/>
  <c r="J141" i="244"/>
  <c r="J162" i="244"/>
  <c r="E186" i="244"/>
  <c r="F186" i="244" s="1"/>
  <c r="I136" i="243"/>
  <c r="I156" i="243"/>
  <c r="I138" i="243"/>
  <c r="I175" i="243"/>
  <c r="I169" i="243"/>
  <c r="I150" i="243"/>
  <c r="I176" i="243"/>
  <c r="I160" i="243"/>
  <c r="I167" i="243"/>
  <c r="I161" i="243"/>
  <c r="I179" i="243"/>
  <c r="I168" i="243"/>
  <c r="I154" i="243"/>
  <c r="I159" i="243"/>
  <c r="I153" i="243"/>
  <c r="I171" i="243"/>
  <c r="I173" i="243"/>
  <c r="I164" i="243"/>
  <c r="I178" i="243"/>
  <c r="I135" i="243"/>
  <c r="I147" i="243"/>
  <c r="I152" i="243"/>
  <c r="I149" i="243"/>
  <c r="I140" i="243"/>
  <c r="I151" i="243"/>
  <c r="I145" i="243"/>
  <c r="I163" i="243"/>
  <c r="I165" i="243"/>
  <c r="I148" i="243"/>
  <c r="I174" i="243"/>
  <c r="I144" i="243"/>
  <c r="I143" i="243"/>
  <c r="I137" i="243"/>
  <c r="I155" i="243"/>
  <c r="I157" i="243"/>
  <c r="I132" i="243"/>
  <c r="I134" i="243"/>
  <c r="I170" i="243"/>
  <c r="I180" i="243"/>
  <c r="I166" i="243"/>
  <c r="I139" i="243"/>
  <c r="I141" i="243"/>
  <c r="I146" i="243"/>
  <c r="I142" i="243"/>
  <c r="I133" i="243"/>
  <c r="I162" i="243"/>
  <c r="I177" i="243"/>
  <c r="I158" i="243"/>
  <c r="I131" i="243"/>
  <c r="I172" i="243"/>
  <c r="J180" i="243"/>
  <c r="E203" i="243"/>
  <c r="F203" i="243" s="1"/>
  <c r="E187" i="243"/>
  <c r="F187" i="243" s="1"/>
  <c r="J179" i="243"/>
  <c r="J152" i="243"/>
  <c r="E196" i="243"/>
  <c r="F196" i="243" s="1"/>
  <c r="J162" i="243"/>
  <c r="J169" i="243"/>
  <c r="J153" i="243"/>
  <c r="J172" i="243"/>
  <c r="E201" i="243"/>
  <c r="F201" i="243" s="1"/>
  <c r="E185" i="243"/>
  <c r="J171" i="243"/>
  <c r="J144" i="243"/>
  <c r="E194" i="243"/>
  <c r="F194" i="243" s="1"/>
  <c r="J154" i="243"/>
  <c r="J157" i="243"/>
  <c r="J164" i="243"/>
  <c r="E199" i="243"/>
  <c r="F199" i="243" s="1"/>
  <c r="J174" i="243"/>
  <c r="J163" i="243"/>
  <c r="J136" i="243"/>
  <c r="E192" i="243"/>
  <c r="F192" i="243" s="1"/>
  <c r="J146" i="243"/>
  <c r="J143" i="243"/>
  <c r="J156" i="243"/>
  <c r="E197" i="243"/>
  <c r="F197" i="243" s="1"/>
  <c r="J166" i="243"/>
  <c r="J155" i="243"/>
  <c r="J173" i="243"/>
  <c r="E190" i="243"/>
  <c r="F190" i="243" s="1"/>
  <c r="J138" i="243"/>
  <c r="J139" i="243"/>
  <c r="J131" i="243"/>
  <c r="J148" i="243"/>
  <c r="E195" i="243"/>
  <c r="F195" i="243" s="1"/>
  <c r="J158" i="243"/>
  <c r="J147" i="243"/>
  <c r="J165" i="243"/>
  <c r="E188" i="243"/>
  <c r="F188" i="243" s="1"/>
  <c r="J145" i="243"/>
  <c r="J135" i="243"/>
  <c r="J175" i="243"/>
  <c r="J140" i="243"/>
  <c r="E193" i="243"/>
  <c r="F193" i="243" s="1"/>
  <c r="J150" i="243"/>
  <c r="J176" i="243"/>
  <c r="E202" i="243"/>
  <c r="F202" i="243" s="1"/>
  <c r="E186" i="243"/>
  <c r="F186" i="243" s="1"/>
  <c r="J141" i="243"/>
  <c r="J151" i="243"/>
  <c r="J167" i="243"/>
  <c r="J132" i="243"/>
  <c r="E191" i="243"/>
  <c r="F191" i="243" s="1"/>
  <c r="J142" i="243"/>
  <c r="J168" i="243"/>
  <c r="E200" i="243"/>
  <c r="F200" i="243" s="1"/>
  <c r="J178" i="243"/>
  <c r="J137" i="243"/>
  <c r="J161" i="243"/>
  <c r="J159" i="243"/>
  <c r="J177" i="243"/>
  <c r="E189" i="243"/>
  <c r="F189" i="243" s="1"/>
  <c r="J134" i="243"/>
  <c r="J160" i="243"/>
  <c r="E198" i="243"/>
  <c r="F198" i="243" s="1"/>
  <c r="J170" i="243"/>
  <c r="J133" i="243"/>
  <c r="J149" i="243"/>
  <c r="I181" i="266" l="1"/>
  <c r="B207" i="266" s="1"/>
  <c r="E204" i="266"/>
  <c r="B215" i="266" s="1"/>
  <c r="F185" i="266"/>
  <c r="F204" i="266" s="1"/>
  <c r="B216" i="266" s="1"/>
  <c r="J181" i="266"/>
  <c r="B208" i="266" s="1"/>
  <c r="I181" i="265"/>
  <c r="B207" i="265" s="1"/>
  <c r="J181" i="261"/>
  <c r="B208" i="261" s="1"/>
  <c r="E204" i="264"/>
  <c r="B215" i="264" s="1"/>
  <c r="F185" i="264"/>
  <c r="F204" i="264" s="1"/>
  <c r="B216" i="264" s="1"/>
  <c r="I181" i="264"/>
  <c r="B207" i="264" s="1"/>
  <c r="J181" i="264"/>
  <c r="B208" i="264" s="1"/>
  <c r="E204" i="263"/>
  <c r="B215" i="263" s="1"/>
  <c r="F185" i="263"/>
  <c r="F204" i="263" s="1"/>
  <c r="B216" i="263" s="1"/>
  <c r="J181" i="263"/>
  <c r="B208" i="263" s="1"/>
  <c r="I181" i="263"/>
  <c r="B207" i="263" s="1"/>
  <c r="I181" i="257"/>
  <c r="B207" i="257" s="1"/>
  <c r="I181" i="262"/>
  <c r="B207" i="262" s="1"/>
  <c r="J181" i="262"/>
  <c r="B208" i="262" s="1"/>
  <c r="E204" i="262"/>
  <c r="B215" i="262" s="1"/>
  <c r="F185" i="262"/>
  <c r="F204" i="262" s="1"/>
  <c r="B216" i="262" s="1"/>
  <c r="E204" i="261"/>
  <c r="B215" i="261" s="1"/>
  <c r="F185" i="261"/>
  <c r="F204" i="261" s="1"/>
  <c r="B216" i="261" s="1"/>
  <c r="I181" i="261"/>
  <c r="B207" i="261" s="1"/>
  <c r="E204" i="260"/>
  <c r="B215" i="260" s="1"/>
  <c r="F185" i="260"/>
  <c r="F204" i="260" s="1"/>
  <c r="B216" i="260" s="1"/>
  <c r="I181" i="260"/>
  <c r="B207" i="260" s="1"/>
  <c r="J181" i="260"/>
  <c r="B208" i="260" s="1"/>
  <c r="J181" i="257"/>
  <c r="B208" i="257" s="1"/>
  <c r="I181" i="258"/>
  <c r="B207" i="258" s="1"/>
  <c r="J181" i="259"/>
  <c r="B208" i="259" s="1"/>
  <c r="E204" i="259"/>
  <c r="B215" i="259" s="1"/>
  <c r="F185" i="259"/>
  <c r="F204" i="259" s="1"/>
  <c r="B216" i="259" s="1"/>
  <c r="I181" i="259"/>
  <c r="B207" i="259" s="1"/>
  <c r="F204" i="257"/>
  <c r="B216" i="257" s="1"/>
  <c r="E204" i="257"/>
  <c r="B215" i="257" s="1"/>
  <c r="E204" i="258"/>
  <c r="B215" i="258" s="1"/>
  <c r="F185" i="258"/>
  <c r="F204" i="258" s="1"/>
  <c r="B216" i="258" s="1"/>
  <c r="J181" i="258"/>
  <c r="B208" i="258" s="1"/>
  <c r="E204" i="256"/>
  <c r="B215" i="256" s="1"/>
  <c r="F185" i="256"/>
  <c r="F204" i="256" s="1"/>
  <c r="B216" i="256" s="1"/>
  <c r="J181" i="256"/>
  <c r="B208" i="256" s="1"/>
  <c r="I181" i="256"/>
  <c r="B207" i="256" s="1"/>
  <c r="J181" i="255"/>
  <c r="B208" i="255" s="1"/>
  <c r="E204" i="255"/>
  <c r="B215" i="255" s="1"/>
  <c r="F185" i="255"/>
  <c r="F204" i="255" s="1"/>
  <c r="B216" i="255" s="1"/>
  <c r="I181" i="255"/>
  <c r="B207" i="255" s="1"/>
  <c r="E204" i="254"/>
  <c r="B215" i="254" s="1"/>
  <c r="F185" i="254"/>
  <c r="F204" i="254" s="1"/>
  <c r="B216" i="254" s="1"/>
  <c r="J181" i="254"/>
  <c r="B208" i="254" s="1"/>
  <c r="I181" i="254"/>
  <c r="B207" i="254" s="1"/>
  <c r="I181" i="251"/>
  <c r="B207" i="251" s="1"/>
  <c r="E204" i="253"/>
  <c r="B215" i="253" s="1"/>
  <c r="F185" i="253"/>
  <c r="F204" i="253" s="1"/>
  <c r="B216" i="253" s="1"/>
  <c r="I181" i="253"/>
  <c r="B207" i="253" s="1"/>
  <c r="J181" i="253"/>
  <c r="B208" i="253" s="1"/>
  <c r="I181" i="252"/>
  <c r="B207" i="252" s="1"/>
  <c r="J181" i="252"/>
  <c r="B208" i="252" s="1"/>
  <c r="E204" i="252"/>
  <c r="B215" i="252" s="1"/>
  <c r="F185" i="252"/>
  <c r="F204" i="252" s="1"/>
  <c r="B216" i="252" s="1"/>
  <c r="J181" i="251"/>
  <c r="B208" i="251" s="1"/>
  <c r="F204" i="251"/>
  <c r="B216" i="251" s="1"/>
  <c r="E204" i="251"/>
  <c r="B215" i="251" s="1"/>
  <c r="E204" i="250"/>
  <c r="B215" i="250" s="1"/>
  <c r="F185" i="250"/>
  <c r="F204" i="250" s="1"/>
  <c r="B216" i="250" s="1"/>
  <c r="I181" i="250"/>
  <c r="B207" i="250" s="1"/>
  <c r="J181" i="250"/>
  <c r="B208" i="250" s="1"/>
  <c r="I181" i="249"/>
  <c r="B207" i="249" s="1"/>
  <c r="E204" i="249"/>
  <c r="B215" i="249" s="1"/>
  <c r="F185" i="249"/>
  <c r="F204" i="249" s="1"/>
  <c r="B216" i="249" s="1"/>
  <c r="J181" i="249"/>
  <c r="B208" i="249" s="1"/>
  <c r="I181" i="248"/>
  <c r="B207" i="248" s="1"/>
  <c r="E204" i="248"/>
  <c r="B215" i="248" s="1"/>
  <c r="F185" i="248"/>
  <c r="F204" i="248" s="1"/>
  <c r="B216" i="248" s="1"/>
  <c r="J181" i="248"/>
  <c r="B208" i="248" s="1"/>
  <c r="J181" i="247"/>
  <c r="B208" i="247" s="1"/>
  <c r="E204" i="247"/>
  <c r="B215" i="247" s="1"/>
  <c r="F185" i="247"/>
  <c r="F204" i="247" s="1"/>
  <c r="B216" i="247" s="1"/>
  <c r="I181" i="247"/>
  <c r="B207" i="247" s="1"/>
  <c r="E204" i="246"/>
  <c r="B215" i="246" s="1"/>
  <c r="F185" i="246"/>
  <c r="F204" i="246" s="1"/>
  <c r="B216" i="246" s="1"/>
  <c r="I181" i="246"/>
  <c r="B207" i="246" s="1"/>
  <c r="J181" i="246"/>
  <c r="B208" i="246" s="1"/>
  <c r="I181" i="245"/>
  <c r="B207" i="245" s="1"/>
  <c r="E204" i="245"/>
  <c r="B215" i="245" s="1"/>
  <c r="F185" i="245"/>
  <c r="F204" i="245" s="1"/>
  <c r="B216" i="245" s="1"/>
  <c r="J181" i="245"/>
  <c r="B208" i="245" s="1"/>
  <c r="I181" i="244"/>
  <c r="B207" i="244" s="1"/>
  <c r="E204" i="244"/>
  <c r="B215" i="244" s="1"/>
  <c r="F185" i="244"/>
  <c r="F204" i="244" s="1"/>
  <c r="B216" i="244" s="1"/>
  <c r="J181" i="244"/>
  <c r="B208" i="244" s="1"/>
  <c r="E204" i="243"/>
  <c r="B215" i="243" s="1"/>
  <c r="F185" i="243"/>
  <c r="F204" i="243" s="1"/>
  <c r="B216" i="243" s="1"/>
  <c r="J181" i="243"/>
  <c r="B208" i="243" s="1"/>
  <c r="I181" i="243"/>
  <c r="B207" i="243" s="1"/>
  <c r="C232" i="74" l="1" a="1"/>
  <c r="C232" i="74" s="1"/>
  <c r="B232" i="74" a="1"/>
  <c r="B232" i="74" s="1"/>
  <c r="A232" i="74" a="1"/>
  <c r="A232" i="74" s="1"/>
  <c r="I18" i="20"/>
  <c r="I17" i="20"/>
  <c r="H18" i="20"/>
  <c r="H17" i="20"/>
  <c r="F18" i="20"/>
  <c r="F17" i="20"/>
  <c r="D18" i="20"/>
  <c r="I13" i="20"/>
  <c r="I12" i="20"/>
  <c r="H13" i="20"/>
  <c r="H12" i="20"/>
  <c r="G13" i="20"/>
  <c r="G12" i="20"/>
  <c r="F13" i="20"/>
  <c r="F12" i="20"/>
  <c r="B25" i="74" l="1" a="1"/>
  <c r="B25" i="74" s="1"/>
  <c r="B26" i="74" a="1"/>
  <c r="B26" i="74" s="1"/>
  <c r="B27" i="74" a="1"/>
  <c r="B27" i="74" s="1"/>
  <c r="B28" i="74" a="1"/>
  <c r="B28" i="74" s="1"/>
  <c r="B29" i="74" a="1"/>
  <c r="B29" i="74" s="1"/>
  <c r="B30" i="74" a="1"/>
  <c r="B30" i="74" s="1"/>
  <c r="B31" i="74" a="1"/>
  <c r="B31" i="74" s="1"/>
  <c r="B32" i="74" a="1"/>
  <c r="B32" i="74" s="1"/>
  <c r="B33" i="74" a="1"/>
  <c r="B33" i="74" s="1"/>
  <c r="B34" i="74" a="1"/>
  <c r="B34" i="74" s="1"/>
  <c r="B35" i="74" a="1"/>
  <c r="B35" i="74" s="1"/>
  <c r="B36" i="74" a="1"/>
  <c r="B36" i="74" s="1"/>
  <c r="B37" i="74" a="1"/>
  <c r="B37" i="74" s="1"/>
  <c r="B38" i="74" a="1"/>
  <c r="B38" i="74" s="1"/>
  <c r="B39" i="74" a="1"/>
  <c r="B39" i="74" s="1"/>
  <c r="B40" i="74" a="1"/>
  <c r="B40" i="74" s="1"/>
  <c r="B41" i="74" a="1"/>
  <c r="B41" i="74" s="1"/>
  <c r="B42" i="74" a="1"/>
  <c r="B42" i="74" s="1"/>
  <c r="B43" i="74" a="1"/>
  <c r="B43" i="74" s="1"/>
  <c r="B44" i="74" a="1"/>
  <c r="B44" i="74" s="1"/>
  <c r="B45" i="74" a="1"/>
  <c r="B45" i="74" s="1"/>
  <c r="B46" i="74" a="1"/>
  <c r="B46" i="74" s="1"/>
  <c r="B47" i="74" a="1"/>
  <c r="B47" i="74" s="1"/>
  <c r="B48" i="74" a="1"/>
  <c r="B48" i="74" s="1"/>
  <c r="B49" i="74" a="1"/>
  <c r="B49" i="74" s="1"/>
  <c r="B50" i="74" a="1"/>
  <c r="B50" i="74" s="1"/>
  <c r="B51" i="74" a="1"/>
  <c r="B51" i="74" s="1"/>
  <c r="B52" i="74" a="1"/>
  <c r="B52" i="74" s="1"/>
  <c r="B53" i="74" a="1"/>
  <c r="B53" i="74" s="1"/>
  <c r="B54" i="74" a="1"/>
  <c r="B54" i="74" s="1"/>
  <c r="B55" i="74" a="1"/>
  <c r="B55" i="74" s="1"/>
  <c r="B56" i="74" a="1"/>
  <c r="B56" i="74" s="1"/>
  <c r="B57" i="74" a="1"/>
  <c r="B57" i="74" s="1"/>
  <c r="B58" i="74" a="1"/>
  <c r="B58" i="74" s="1"/>
  <c r="B59" i="74" a="1"/>
  <c r="B59" i="74" s="1"/>
  <c r="B60" i="74" a="1"/>
  <c r="B60" i="74" s="1"/>
  <c r="B61" i="74" a="1"/>
  <c r="B61" i="74" s="1"/>
  <c r="B62" i="74" a="1"/>
  <c r="B62" i="74" s="1"/>
  <c r="B63" i="74" a="1"/>
  <c r="B63" i="74" s="1"/>
  <c r="B64" i="74" a="1"/>
  <c r="B64" i="74" s="1"/>
  <c r="B65" i="74" a="1"/>
  <c r="B65" i="74" s="1"/>
  <c r="B66" i="74" a="1"/>
  <c r="B66" i="74" s="1"/>
  <c r="B67" i="74" a="1"/>
  <c r="B67" i="74" s="1"/>
  <c r="B68" i="74" a="1"/>
  <c r="B68" i="74" s="1"/>
  <c r="B69" i="74" a="1"/>
  <c r="B69" i="74" s="1"/>
  <c r="B70" i="74" a="1"/>
  <c r="B70" i="74" s="1"/>
  <c r="B71" i="74" a="1"/>
  <c r="B71" i="74" s="1"/>
  <c r="B72" i="74" a="1"/>
  <c r="B72" i="74" s="1"/>
  <c r="B73" i="74" a="1"/>
  <c r="B73" i="74" s="1"/>
  <c r="B74" i="74" a="1"/>
  <c r="B74" i="74" s="1"/>
  <c r="B75" i="74" a="1"/>
  <c r="B75" i="74" s="1"/>
  <c r="B76" i="74" a="1"/>
  <c r="B76" i="74" s="1"/>
  <c r="B77" i="74" a="1"/>
  <c r="B77" i="74" s="1"/>
  <c r="B78" i="74" a="1"/>
  <c r="B78" i="74" s="1"/>
  <c r="B79" i="74" a="1"/>
  <c r="B79" i="74" s="1"/>
  <c r="B80" i="74" a="1"/>
  <c r="B80" i="74" s="1"/>
  <c r="B81" i="74" a="1"/>
  <c r="B81" i="74" s="1"/>
  <c r="B82" i="74" a="1"/>
  <c r="B82" i="74" s="1"/>
  <c r="B83" i="74" a="1"/>
  <c r="B83" i="74" s="1"/>
  <c r="B84" i="74" a="1"/>
  <c r="B84" i="74" s="1"/>
  <c r="B85" i="74" a="1"/>
  <c r="B85" i="74" s="1"/>
  <c r="B86" i="74" a="1"/>
  <c r="B86" i="74" s="1"/>
  <c r="B87" i="74" a="1"/>
  <c r="B87" i="74" s="1"/>
  <c r="B88" i="74" a="1"/>
  <c r="B88" i="74" s="1"/>
  <c r="B89" i="74" a="1"/>
  <c r="B89" i="74" s="1"/>
  <c r="B90" i="74" a="1"/>
  <c r="B90" i="74" s="1"/>
  <c r="B91" i="74" a="1"/>
  <c r="B91" i="74" s="1"/>
  <c r="B92" i="74" a="1"/>
  <c r="B92" i="74" s="1"/>
  <c r="B93" i="74" a="1"/>
  <c r="B93" i="74" s="1"/>
  <c r="B94" i="74" a="1"/>
  <c r="B94" i="74" s="1"/>
  <c r="B95" i="74" a="1"/>
  <c r="B95" i="74" s="1"/>
  <c r="B96" i="74" a="1"/>
  <c r="B96" i="74" s="1"/>
  <c r="B97" i="74" a="1"/>
  <c r="B97" i="74" s="1"/>
  <c r="B98" i="74" a="1"/>
  <c r="B98" i="74" s="1"/>
  <c r="B99" i="74" a="1"/>
  <c r="B99" i="74" s="1"/>
  <c r="B100" i="74" a="1"/>
  <c r="B100" i="74" s="1"/>
  <c r="A25" i="74" a="1"/>
  <c r="A25" i="74" s="1"/>
  <c r="A26" i="74" a="1"/>
  <c r="A26" i="74" s="1"/>
  <c r="A27" i="74" a="1"/>
  <c r="A27" i="74" s="1"/>
  <c r="A28" i="74" a="1"/>
  <c r="A28" i="74" s="1"/>
  <c r="A29" i="74" a="1"/>
  <c r="A29" i="74" s="1"/>
  <c r="A30" i="74" a="1"/>
  <c r="A30" i="74" s="1"/>
  <c r="A31" i="74" a="1"/>
  <c r="A31" i="74" s="1"/>
  <c r="A32" i="74" a="1"/>
  <c r="A32" i="74" s="1"/>
  <c r="A33" i="74" a="1"/>
  <c r="A33" i="74" s="1"/>
  <c r="A34" i="74" a="1"/>
  <c r="A34" i="74" s="1"/>
  <c r="A35" i="74" a="1"/>
  <c r="A35" i="74" s="1"/>
  <c r="A36" i="74" a="1"/>
  <c r="A36" i="74" s="1"/>
  <c r="A37" i="74" a="1"/>
  <c r="A37" i="74" s="1"/>
  <c r="A38" i="74" a="1"/>
  <c r="A38" i="74" s="1"/>
  <c r="A39" i="74" a="1"/>
  <c r="A39" i="74" s="1"/>
  <c r="A40" i="74" a="1"/>
  <c r="A40" i="74" s="1"/>
  <c r="A41" i="74" a="1"/>
  <c r="A41" i="74" s="1"/>
  <c r="A42" i="74" a="1"/>
  <c r="A42" i="74" s="1"/>
  <c r="A43" i="74" a="1"/>
  <c r="A43" i="74" s="1"/>
  <c r="A44" i="74" a="1"/>
  <c r="A44" i="74" s="1"/>
  <c r="A45" i="74" a="1"/>
  <c r="A45" i="74" s="1"/>
  <c r="A46" i="74" a="1"/>
  <c r="A46" i="74" s="1"/>
  <c r="A47" i="74" a="1"/>
  <c r="A47" i="74" s="1"/>
  <c r="A48" i="74" a="1"/>
  <c r="A48" i="74" s="1"/>
  <c r="A49" i="74" a="1"/>
  <c r="A49" i="74" s="1"/>
  <c r="A50" i="74" a="1"/>
  <c r="A50" i="74" s="1"/>
  <c r="A51" i="74" a="1"/>
  <c r="A51" i="74" s="1"/>
  <c r="A52" i="74" a="1"/>
  <c r="A52" i="74" s="1"/>
  <c r="A53" i="74" a="1"/>
  <c r="A53" i="74" s="1"/>
  <c r="A54" i="74" a="1"/>
  <c r="A54" i="74" s="1"/>
  <c r="A55" i="74" a="1"/>
  <c r="A55" i="74" s="1"/>
  <c r="A56" i="74" a="1"/>
  <c r="A56" i="74" s="1"/>
  <c r="A57" i="74" a="1"/>
  <c r="A57" i="74" s="1"/>
  <c r="A58" i="74" a="1"/>
  <c r="A58" i="74" s="1"/>
  <c r="A59" i="74" a="1"/>
  <c r="A59" i="74" s="1"/>
  <c r="A60" i="74" a="1"/>
  <c r="A60" i="74" s="1"/>
  <c r="A61" i="74" a="1"/>
  <c r="A61" i="74" s="1"/>
  <c r="A62" i="74" a="1"/>
  <c r="A62" i="74" s="1"/>
  <c r="A63" i="74" a="1"/>
  <c r="A63" i="74" s="1"/>
  <c r="A64" i="74" a="1"/>
  <c r="A64" i="74" s="1"/>
  <c r="A65" i="74" a="1"/>
  <c r="A65" i="74" s="1"/>
  <c r="A66" i="74" a="1"/>
  <c r="A66" i="74" s="1"/>
  <c r="A67" i="74" a="1"/>
  <c r="A67" i="74" s="1"/>
  <c r="A68" i="74" a="1"/>
  <c r="A68" i="74" s="1"/>
  <c r="A69" i="74" a="1"/>
  <c r="A69" i="74" s="1"/>
  <c r="A70" i="74" a="1"/>
  <c r="A70" i="74" s="1"/>
  <c r="A71" i="74" a="1"/>
  <c r="A71" i="74" s="1"/>
  <c r="A72" i="74" a="1"/>
  <c r="A72" i="74" s="1"/>
  <c r="A73" i="74" a="1"/>
  <c r="A73" i="74" s="1"/>
  <c r="A74" i="74" a="1"/>
  <c r="A74" i="74" s="1"/>
  <c r="A75" i="74" a="1"/>
  <c r="A75" i="74" s="1"/>
  <c r="A76" i="74" a="1"/>
  <c r="A76" i="74" s="1"/>
  <c r="A77" i="74" a="1"/>
  <c r="A77" i="74" s="1"/>
  <c r="A78" i="74" a="1"/>
  <c r="A78" i="74" s="1"/>
  <c r="A79" i="74" a="1"/>
  <c r="A79" i="74" s="1"/>
  <c r="A80" i="74" a="1"/>
  <c r="A80" i="74" s="1"/>
  <c r="A81" i="74" a="1"/>
  <c r="A81" i="74" s="1"/>
  <c r="A82" i="74" a="1"/>
  <c r="A82" i="74" s="1"/>
  <c r="A83" i="74" a="1"/>
  <c r="A83" i="74" s="1"/>
  <c r="A84" i="74" a="1"/>
  <c r="A84" i="74" s="1"/>
  <c r="A85" i="74" a="1"/>
  <c r="A85" i="74" s="1"/>
  <c r="A86" i="74" a="1"/>
  <c r="A86" i="74" s="1"/>
  <c r="A87" i="74" a="1"/>
  <c r="A87" i="74" s="1"/>
  <c r="A88" i="74" a="1"/>
  <c r="A88" i="74" s="1"/>
  <c r="A89" i="74" a="1"/>
  <c r="A89" i="74" s="1"/>
  <c r="A90" i="74" a="1"/>
  <c r="A90" i="74" s="1"/>
  <c r="A91" i="74" a="1"/>
  <c r="A91" i="74" s="1"/>
  <c r="A92" i="74" a="1"/>
  <c r="A92" i="74" s="1"/>
  <c r="A93" i="74" a="1"/>
  <c r="A93" i="74" s="1"/>
  <c r="A94" i="74" a="1"/>
  <c r="A94" i="74" s="1"/>
  <c r="A95" i="74" a="1"/>
  <c r="A95" i="74" s="1"/>
  <c r="A96" i="74" a="1"/>
  <c r="A96" i="74" s="1"/>
  <c r="A97" i="74" a="1"/>
  <c r="A97" i="74" s="1"/>
  <c r="A98" i="74" a="1"/>
  <c r="A98" i="74" s="1"/>
  <c r="A99" i="74" a="1"/>
  <c r="A99" i="74" s="1"/>
  <c r="A100" i="74" a="1"/>
  <c r="A100" i="74" s="1"/>
  <c r="C203" i="74"/>
  <c r="B203" i="74"/>
  <c r="C202" i="74"/>
  <c r="B202" i="74"/>
  <c r="C201" i="74"/>
  <c r="B201" i="74"/>
  <c r="C200" i="74"/>
  <c r="B200" i="74"/>
  <c r="C199" i="74"/>
  <c r="B199" i="74"/>
  <c r="C198" i="74"/>
  <c r="B198" i="74"/>
  <c r="C197" i="74"/>
  <c r="B197" i="74"/>
  <c r="C196" i="74"/>
  <c r="B196" i="74"/>
  <c r="C195" i="74"/>
  <c r="B195" i="74"/>
  <c r="C194" i="74"/>
  <c r="B194" i="74"/>
  <c r="C193" i="74"/>
  <c r="B193" i="74"/>
  <c r="C192" i="74"/>
  <c r="B192" i="74"/>
  <c r="C191" i="74"/>
  <c r="B191" i="74"/>
  <c r="C190" i="74"/>
  <c r="B190" i="74"/>
  <c r="C189" i="74"/>
  <c r="B189" i="74"/>
  <c r="C188" i="74"/>
  <c r="B188" i="74"/>
  <c r="C187" i="74"/>
  <c r="B187" i="74"/>
  <c r="C186" i="74"/>
  <c r="B186" i="74"/>
  <c r="C185" i="74"/>
  <c r="B185" i="74"/>
  <c r="H181" i="74"/>
  <c r="B180" i="74"/>
  <c r="B179" i="74"/>
  <c r="B178" i="74"/>
  <c r="B177" i="74"/>
  <c r="B176" i="74"/>
  <c r="B175" i="74"/>
  <c r="B174" i="74"/>
  <c r="B173" i="74"/>
  <c r="B172" i="74"/>
  <c r="B171" i="74"/>
  <c r="B170" i="74"/>
  <c r="B169" i="74"/>
  <c r="B168" i="74"/>
  <c r="B167" i="74"/>
  <c r="B166" i="74"/>
  <c r="B165" i="74"/>
  <c r="B164" i="74"/>
  <c r="B163" i="74"/>
  <c r="B162" i="74"/>
  <c r="B161" i="74"/>
  <c r="B160" i="74"/>
  <c r="B159" i="74"/>
  <c r="B158" i="74"/>
  <c r="B157" i="74"/>
  <c r="B156" i="74"/>
  <c r="B155" i="74"/>
  <c r="B154" i="74"/>
  <c r="B153" i="74"/>
  <c r="B152" i="74"/>
  <c r="B151" i="74"/>
  <c r="B150" i="74"/>
  <c r="B149" i="74"/>
  <c r="B148" i="74"/>
  <c r="B147" i="74"/>
  <c r="B146" i="74"/>
  <c r="B145" i="74"/>
  <c r="B144" i="74"/>
  <c r="B143" i="74"/>
  <c r="B142" i="74"/>
  <c r="B141" i="74"/>
  <c r="B140" i="74"/>
  <c r="B139" i="74"/>
  <c r="B138" i="74"/>
  <c r="B137" i="74"/>
  <c r="B136" i="74"/>
  <c r="B135" i="74"/>
  <c r="B134" i="74"/>
  <c r="B133" i="74"/>
  <c r="B132" i="74"/>
  <c r="B131" i="74"/>
  <c r="C127" i="74"/>
  <c r="F126" i="74"/>
  <c r="G126" i="74" s="1"/>
  <c r="F125" i="74"/>
  <c r="G125" i="74" s="1"/>
  <c r="F124" i="74"/>
  <c r="G124" i="74" s="1"/>
  <c r="G123" i="74"/>
  <c r="F123" i="74"/>
  <c r="F122" i="74"/>
  <c r="G122" i="74" s="1"/>
  <c r="F121" i="74"/>
  <c r="G121" i="74" s="1"/>
  <c r="G120" i="74"/>
  <c r="F120" i="74"/>
  <c r="F119" i="74"/>
  <c r="G119" i="74" s="1"/>
  <c r="F118" i="74"/>
  <c r="G118" i="74" s="1"/>
  <c r="F117" i="74"/>
  <c r="G117" i="74" s="1"/>
  <c r="F116" i="74"/>
  <c r="G116" i="74" s="1"/>
  <c r="G115" i="74"/>
  <c r="F115" i="74"/>
  <c r="G114" i="74"/>
  <c r="F114" i="74"/>
  <c r="F113" i="74"/>
  <c r="G113" i="74" s="1"/>
  <c r="G112" i="74"/>
  <c r="F112" i="74"/>
  <c r="G111" i="74"/>
  <c r="F111" i="74"/>
  <c r="F110" i="74"/>
  <c r="G110" i="74" s="1"/>
  <c r="F109" i="74"/>
  <c r="G109" i="74" s="1"/>
  <c r="F108" i="74"/>
  <c r="G108" i="74" s="1"/>
  <c r="F107" i="74"/>
  <c r="F127" i="74" s="1"/>
  <c r="C101" i="74"/>
  <c r="D6" i="20"/>
  <c r="D7" i="20"/>
  <c r="D8" i="20"/>
  <c r="D5" i="20"/>
  <c r="D4" i="20"/>
  <c r="D13" i="20"/>
  <c r="D12" i="20"/>
  <c r="D17" i="20"/>
  <c r="F5" i="20"/>
  <c r="F6" i="20"/>
  <c r="F7" i="20"/>
  <c r="F8" i="20"/>
  <c r="F4" i="20"/>
  <c r="G107" i="74" l="1"/>
  <c r="G127" i="74" s="1"/>
  <c r="D93" i="74" a="1"/>
  <c r="D93" i="74" s="1"/>
  <c r="G61" i="74" a="1"/>
  <c r="G61" i="74" s="1"/>
  <c r="F97" i="74" a="1"/>
  <c r="F97" i="74" s="1"/>
  <c r="G94" i="74" a="1"/>
  <c r="G94" i="74" s="1"/>
  <c r="G73" i="74" a="1"/>
  <c r="G73" i="74" s="1"/>
  <c r="E48" i="74" a="1"/>
  <c r="E48" i="74" s="1"/>
  <c r="E60" i="74" a="1"/>
  <c r="E60" i="74" s="1"/>
  <c r="D91" i="74" a="1"/>
  <c r="D91" i="74" s="1"/>
  <c r="E33" i="74" a="1"/>
  <c r="E33" i="74" s="1"/>
  <c r="E26" i="74" a="1"/>
  <c r="E26" i="74" s="1"/>
  <c r="G49" i="74" a="1"/>
  <c r="G49" i="74" s="1"/>
  <c r="D55" i="74" a="1"/>
  <c r="D55" i="74" s="1"/>
  <c r="E78" i="74" a="1"/>
  <c r="E78" i="74" s="1"/>
  <c r="E29" i="74" a="1"/>
  <c r="E29" i="74" s="1"/>
  <c r="G36" i="74" a="1"/>
  <c r="G36" i="74" s="1"/>
  <c r="G59" i="74" a="1"/>
  <c r="G59" i="74" s="1"/>
  <c r="F64" i="74" a="1"/>
  <c r="F64" i="74" s="1"/>
  <c r="D75" i="74" a="1"/>
  <c r="D75" i="74" s="1"/>
  <c r="G86" i="74" a="1"/>
  <c r="G86" i="74" s="1"/>
  <c r="D65" i="74" a="1"/>
  <c r="D65" i="74" s="1"/>
  <c r="F31" i="74" a="1"/>
  <c r="F31" i="74" s="1"/>
  <c r="F60" i="74" a="1"/>
  <c r="F60" i="74" s="1"/>
  <c r="G85" i="74" a="1"/>
  <c r="G85" i="74" s="1"/>
  <c r="G60" i="74" a="1"/>
  <c r="G60" i="74" s="1"/>
  <c r="F100" i="74" a="1"/>
  <c r="F100" i="74" s="1"/>
  <c r="D59" i="74" a="1"/>
  <c r="D59" i="74" s="1"/>
  <c r="E70" i="74" a="1"/>
  <c r="E70" i="74" s="1"/>
  <c r="F59" i="74" a="1"/>
  <c r="F59" i="74" s="1"/>
  <c r="E67" i="74" a="1"/>
  <c r="E67" i="74" s="1"/>
  <c r="D97" i="74" a="1"/>
  <c r="D97" i="74" s="1"/>
  <c r="G47" i="74" a="1"/>
  <c r="G47" i="74" s="1"/>
  <c r="E50" i="74" a="1"/>
  <c r="E50" i="74" s="1"/>
  <c r="G54" i="74" a="1"/>
  <c r="G54" i="74" s="1"/>
  <c r="E57" i="74" a="1"/>
  <c r="E57" i="74" s="1"/>
  <c r="G78" i="74" a="1"/>
  <c r="G78" i="74" s="1"/>
  <c r="G62" i="74" a="1"/>
  <c r="G62" i="74" s="1"/>
  <c r="G96" i="74" a="1"/>
  <c r="G96" i="74" s="1"/>
  <c r="D44" i="74" a="1"/>
  <c r="D44" i="74" s="1"/>
  <c r="D51" i="74" a="1"/>
  <c r="D51" i="74" s="1"/>
  <c r="E83" i="74" a="1"/>
  <c r="E83" i="74" s="1"/>
  <c r="D80" i="74" a="1"/>
  <c r="D80" i="74" s="1"/>
  <c r="G79" i="74" a="1"/>
  <c r="G79" i="74" s="1"/>
  <c r="E25" i="74" a="1"/>
  <c r="E25" i="74" s="1"/>
  <c r="D25" i="74" a="1"/>
  <c r="D25" i="74" s="1"/>
  <c r="E84" i="74" a="1"/>
  <c r="E84" i="74" s="1"/>
  <c r="F84" i="74" a="1"/>
  <c r="F84" i="74" s="1"/>
  <c r="D100" i="74" a="1"/>
  <c r="D100" i="74" s="1"/>
  <c r="E100" i="74" a="1"/>
  <c r="E100" i="74" s="1"/>
  <c r="E41" i="74" a="1"/>
  <c r="E41" i="74" s="1"/>
  <c r="F58" i="74" a="1"/>
  <c r="F58" i="74" s="1"/>
  <c r="D58" i="74" a="1"/>
  <c r="D58" i="74" s="1"/>
  <c r="F69" i="74" a="1"/>
  <c r="F69" i="74" s="1"/>
  <c r="E69" i="74" a="1"/>
  <c r="E69" i="74" s="1"/>
  <c r="D69" i="74" a="1"/>
  <c r="D69" i="74" s="1"/>
  <c r="E38" i="74" a="1"/>
  <c r="E38" i="74" s="1"/>
  <c r="F38" i="74" a="1"/>
  <c r="F38" i="74" s="1"/>
  <c r="E89" i="74" a="1"/>
  <c r="E89" i="74" s="1"/>
  <c r="G89" i="74" a="1"/>
  <c r="G89" i="74" s="1"/>
  <c r="F87" i="74" a="1"/>
  <c r="F87" i="74" s="1"/>
  <c r="E87" i="74" a="1"/>
  <c r="E87" i="74" s="1"/>
  <c r="G46" i="74" a="1"/>
  <c r="G46" i="74" s="1"/>
  <c r="F46" i="74" a="1"/>
  <c r="F46" i="74" s="1"/>
  <c r="E51" i="74" a="1"/>
  <c r="E51" i="74" s="1"/>
  <c r="F57" i="74" a="1"/>
  <c r="F57" i="74" s="1"/>
  <c r="D85" i="74" a="1"/>
  <c r="D85" i="74" s="1"/>
  <c r="G51" i="74" a="1"/>
  <c r="G51" i="74" s="1"/>
  <c r="D54" i="74" a="1"/>
  <c r="D54" i="74" s="1"/>
  <c r="D61" i="74" a="1"/>
  <c r="D61" i="74" s="1"/>
  <c r="G68" i="74" a="1"/>
  <c r="G68" i="74" s="1"/>
  <c r="E85" i="74" a="1"/>
  <c r="E85" i="74" s="1"/>
  <c r="D94" i="74" a="1"/>
  <c r="D94" i="74" s="1"/>
  <c r="D33" i="74" a="1"/>
  <c r="D33" i="74" s="1"/>
  <c r="F54" i="74" a="1"/>
  <c r="F54" i="74" s="1"/>
  <c r="F94" i="74" a="1"/>
  <c r="F94" i="74" s="1"/>
  <c r="F96" i="74" a="1"/>
  <c r="F96" i="74" s="1"/>
  <c r="F47" i="74" a="1"/>
  <c r="F47" i="74" s="1"/>
  <c r="D57" i="74" a="1"/>
  <c r="D57" i="74" s="1"/>
  <c r="E61" i="74" a="1"/>
  <c r="E61" i="74" s="1"/>
  <c r="G44" i="74" a="1"/>
  <c r="G44" i="74" s="1"/>
  <c r="D46" i="74" a="1"/>
  <c r="D46" i="74" s="1"/>
  <c r="F51" i="74" a="1"/>
  <c r="F51" i="74" s="1"/>
  <c r="G53" i="74" a="1"/>
  <c r="G53" i="74" s="1"/>
  <c r="G28" i="74" a="1"/>
  <c r="G28" i="74" s="1"/>
  <c r="D48" i="74" a="1"/>
  <c r="D48" i="74" s="1"/>
  <c r="G75" i="74" a="1"/>
  <c r="G75" i="74" s="1"/>
  <c r="E43" i="74" a="1"/>
  <c r="E43" i="74" s="1"/>
  <c r="D43" i="74" a="1"/>
  <c r="D43" i="74" s="1"/>
  <c r="G43" i="74" a="1"/>
  <c r="G43" i="74" s="1"/>
  <c r="F43" i="74" a="1"/>
  <c r="F43" i="74" s="1"/>
  <c r="E63" i="74" a="1"/>
  <c r="E63" i="74" s="1"/>
  <c r="D63" i="74" a="1"/>
  <c r="D63" i="74" s="1"/>
  <c r="G63" i="74" a="1"/>
  <c r="G63" i="74" s="1"/>
  <c r="F63" i="74" a="1"/>
  <c r="F63" i="74" s="1"/>
  <c r="D34" i="74" a="1"/>
  <c r="D34" i="74" s="1"/>
  <c r="G34" i="74" a="1"/>
  <c r="G34" i="74" s="1"/>
  <c r="E34" i="74" a="1"/>
  <c r="E34" i="74" s="1"/>
  <c r="F34" i="74" a="1"/>
  <c r="F34" i="74" s="1"/>
  <c r="E39" i="74" a="1"/>
  <c r="E39" i="74" s="1"/>
  <c r="D39" i="74" a="1"/>
  <c r="D39" i="74" s="1"/>
  <c r="F39" i="74" a="1"/>
  <c r="F39" i="74" s="1"/>
  <c r="G39" i="74" a="1"/>
  <c r="G39" i="74" s="1"/>
  <c r="E35" i="74" a="1"/>
  <c r="E35" i="74" s="1"/>
  <c r="D35" i="74" a="1"/>
  <c r="D35" i="74" s="1"/>
  <c r="G35" i="74" a="1"/>
  <c r="G35" i="74" s="1"/>
  <c r="F35" i="74" a="1"/>
  <c r="F35" i="74" s="1"/>
  <c r="F52" i="74" a="1"/>
  <c r="F52" i="74" s="1"/>
  <c r="G52" i="74" a="1"/>
  <c r="G52" i="74" s="1"/>
  <c r="E52" i="74" a="1"/>
  <c r="E52" i="74" s="1"/>
  <c r="D52" i="74" a="1"/>
  <c r="D52" i="74" s="1"/>
  <c r="E27" i="74" a="1"/>
  <c r="E27" i="74" s="1"/>
  <c r="D27" i="74" a="1"/>
  <c r="D27" i="74" s="1"/>
  <c r="G27" i="74" a="1"/>
  <c r="G27" i="74" s="1"/>
  <c r="F27" i="74" a="1"/>
  <c r="F27" i="74" s="1"/>
  <c r="D30" i="74" a="1"/>
  <c r="D30" i="74" s="1"/>
  <c r="G30" i="74" a="1"/>
  <c r="G30" i="74" s="1"/>
  <c r="E30" i="74" a="1"/>
  <c r="E30" i="74" s="1"/>
  <c r="F30" i="74" a="1"/>
  <c r="F30" i="74" s="1"/>
  <c r="D42" i="74" a="1"/>
  <c r="D42" i="74" s="1"/>
  <c r="G42" i="74" a="1"/>
  <c r="G42" i="74" s="1"/>
  <c r="E42" i="74" a="1"/>
  <c r="E42" i="74" s="1"/>
  <c r="F42" i="74" a="1"/>
  <c r="F42" i="74" s="1"/>
  <c r="G40" i="74" a="1"/>
  <c r="G40" i="74" s="1"/>
  <c r="D40" i="74" a="1"/>
  <c r="D40" i="74" s="1"/>
  <c r="E45" i="74" a="1"/>
  <c r="E45" i="74" s="1"/>
  <c r="D45" i="74" a="1"/>
  <c r="D45" i="74" s="1"/>
  <c r="G45" i="74" a="1"/>
  <c r="G45" i="74" s="1"/>
  <c r="F45" i="74" a="1"/>
  <c r="F45" i="74" s="1"/>
  <c r="E56" i="74" a="1"/>
  <c r="E56" i="74" s="1"/>
  <c r="F56" i="74" a="1"/>
  <c r="F56" i="74" s="1"/>
  <c r="D56" i="74" a="1"/>
  <c r="D56" i="74" s="1"/>
  <c r="G56" i="74" a="1"/>
  <c r="G56" i="74" s="1"/>
  <c r="D36" i="74" a="1"/>
  <c r="D36" i="74" s="1"/>
  <c r="G37" i="74" a="1"/>
  <c r="G37" i="74" s="1"/>
  <c r="F37" i="74" a="1"/>
  <c r="F37" i="74" s="1"/>
  <c r="G41" i="74" a="1"/>
  <c r="G41" i="74" s="1"/>
  <c r="F41" i="74" a="1"/>
  <c r="F41" i="74" s="1"/>
  <c r="E64" i="74" a="1"/>
  <c r="E64" i="74" s="1"/>
  <c r="G64" i="74" a="1"/>
  <c r="G64" i="74" s="1"/>
  <c r="E73" i="74" a="1"/>
  <c r="E73" i="74" s="1"/>
  <c r="D32" i="74" a="1"/>
  <c r="D32" i="74" s="1"/>
  <c r="G33" i="74" a="1"/>
  <c r="G33" i="74" s="1"/>
  <c r="F33" i="74" a="1"/>
  <c r="F33" i="74" s="1"/>
  <c r="D47" i="74" a="1"/>
  <c r="D47" i="74" s="1"/>
  <c r="F49" i="74" a="1"/>
  <c r="F49" i="74" s="1"/>
  <c r="D49" i="74" a="1"/>
  <c r="D49" i="74" s="1"/>
  <c r="E54" i="74" a="1"/>
  <c r="E54" i="74" s="1"/>
  <c r="D66" i="74" a="1"/>
  <c r="D66" i="74" s="1"/>
  <c r="D76" i="74" a="1"/>
  <c r="D76" i="74" s="1"/>
  <c r="E79" i="74" a="1"/>
  <c r="E79" i="74" s="1"/>
  <c r="D79" i="74" a="1"/>
  <c r="D79" i="74" s="1"/>
  <c r="D83" i="74" a="1"/>
  <c r="D83" i="74" s="1"/>
  <c r="F83" i="74" a="1"/>
  <c r="F83" i="74" s="1"/>
  <c r="E31" i="74" a="1"/>
  <c r="E31" i="74" s="1"/>
  <c r="D31" i="74" a="1"/>
  <c r="D31" i="74" s="1"/>
  <c r="F28" i="74" a="1"/>
  <c r="F28" i="74" s="1"/>
  <c r="E28" i="74" a="1"/>
  <c r="E28" i="74" s="1"/>
  <c r="D28" i="74" a="1"/>
  <c r="D28" i="74" s="1"/>
  <c r="G29" i="74" a="1"/>
  <c r="G29" i="74" s="1"/>
  <c r="F29" i="74" a="1"/>
  <c r="F29" i="74" s="1"/>
  <c r="D37" i="74" a="1"/>
  <c r="D37" i="74" s="1"/>
  <c r="E44" i="74" a="1"/>
  <c r="E44" i="74" s="1"/>
  <c r="F66" i="74" a="1"/>
  <c r="F66" i="74" s="1"/>
  <c r="D71" i="74" a="1"/>
  <c r="D71" i="74" s="1"/>
  <c r="F71" i="74" a="1"/>
  <c r="F71" i="74" s="1"/>
  <c r="E71" i="74" a="1"/>
  <c r="E71" i="74" s="1"/>
  <c r="G82" i="74" a="1"/>
  <c r="G82" i="74" s="1"/>
  <c r="E82" i="74" a="1"/>
  <c r="E82" i="74" s="1"/>
  <c r="D82" i="74" a="1"/>
  <c r="D82" i="74" s="1"/>
  <c r="E92" i="74" a="1"/>
  <c r="E92" i="74" s="1"/>
  <c r="D92" i="74" a="1"/>
  <c r="D92" i="74" s="1"/>
  <c r="G92" i="74" a="1"/>
  <c r="G92" i="74" s="1"/>
  <c r="F92" i="74" a="1"/>
  <c r="F92" i="74" s="1"/>
  <c r="F32" i="74" a="1"/>
  <c r="F32" i="74" s="1"/>
  <c r="E32" i="74" a="1"/>
  <c r="E32" i="74" s="1"/>
  <c r="D50" i="74" a="1"/>
  <c r="D50" i="74" s="1"/>
  <c r="F26" i="74" a="1"/>
  <c r="F26" i="74" s="1"/>
  <c r="D38" i="74" a="1"/>
  <c r="D38" i="74" s="1"/>
  <c r="G38" i="74" a="1"/>
  <c r="G38" i="74" s="1"/>
  <c r="F62" i="74" a="1"/>
  <c r="F62" i="74" s="1"/>
  <c r="D62" i="74" a="1"/>
  <c r="D62" i="74" s="1"/>
  <c r="G25" i="74" a="1"/>
  <c r="G25" i="74" s="1"/>
  <c r="F25" i="74" a="1"/>
  <c r="F25" i="74" s="1"/>
  <c r="G31" i="74" a="1"/>
  <c r="G31" i="74" s="1"/>
  <c r="D41" i="74" a="1"/>
  <c r="D41" i="74" s="1"/>
  <c r="F44" i="74" a="1"/>
  <c r="F44" i="74" s="1"/>
  <c r="F50" i="74" a="1"/>
  <c r="F50" i="74" s="1"/>
  <c r="D64" i="74" a="1"/>
  <c r="D64" i="74" s="1"/>
  <c r="F76" i="74" a="1"/>
  <c r="F76" i="74" s="1"/>
  <c r="D78" i="74" a="1"/>
  <c r="D78" i="74" s="1"/>
  <c r="F78" i="74" a="1"/>
  <c r="F78" i="74" s="1"/>
  <c r="F53" i="74" a="1"/>
  <c r="F53" i="74" s="1"/>
  <c r="G57" i="74" a="1"/>
  <c r="G57" i="74" s="1"/>
  <c r="E59" i="74" a="1"/>
  <c r="E59" i="74" s="1"/>
  <c r="D60" i="74" a="1"/>
  <c r="D60" i="74" s="1"/>
  <c r="D70" i="74" a="1"/>
  <c r="D70" i="74" s="1"/>
  <c r="G70" i="74" a="1"/>
  <c r="G70" i="74" s="1"/>
  <c r="F74" i="74" a="1"/>
  <c r="F74" i="74" s="1"/>
  <c r="G74" i="74" a="1"/>
  <c r="G74" i="74" s="1"/>
  <c r="E74" i="74" a="1"/>
  <c r="E74" i="74" s="1"/>
  <c r="D29" i="74" a="1"/>
  <c r="D29" i="74" s="1"/>
  <c r="G32" i="74" a="1"/>
  <c r="G32" i="74" s="1"/>
  <c r="E37" i="74" a="1"/>
  <c r="E37" i="74" s="1"/>
  <c r="E47" i="74" a="1"/>
  <c r="E47" i="74" s="1"/>
  <c r="E49" i="74" a="1"/>
  <c r="E49" i="74" s="1"/>
  <c r="G55" i="74" a="1"/>
  <c r="G55" i="74" s="1"/>
  <c r="F55" i="74" a="1"/>
  <c r="F55" i="74" s="1"/>
  <c r="E55" i="74" a="1"/>
  <c r="E55" i="74" s="1"/>
  <c r="G58" i="74" a="1"/>
  <c r="G58" i="74" s="1"/>
  <c r="E58" i="74" a="1"/>
  <c r="E58" i="74" s="1"/>
  <c r="G67" i="74" a="1"/>
  <c r="G67" i="74" s="1"/>
  <c r="F67" i="74" a="1"/>
  <c r="F67" i="74" s="1"/>
  <c r="D67" i="74" a="1"/>
  <c r="D67" i="74" s="1"/>
  <c r="F90" i="74" a="1"/>
  <c r="F90" i="74" s="1"/>
  <c r="D90" i="74" a="1"/>
  <c r="D90" i="74" s="1"/>
  <c r="E90" i="74" a="1"/>
  <c r="E90" i="74" s="1"/>
  <c r="G90" i="74" a="1"/>
  <c r="G90" i="74" s="1"/>
  <c r="D99" i="74" a="1"/>
  <c r="D99" i="74" s="1"/>
  <c r="F99" i="74" a="1"/>
  <c r="F99" i="74" s="1"/>
  <c r="F36" i="74" a="1"/>
  <c r="F36" i="74" s="1"/>
  <c r="E36" i="74" a="1"/>
  <c r="E36" i="74" s="1"/>
  <c r="F40" i="74" a="1"/>
  <c r="F40" i="74" s="1"/>
  <c r="G50" i="74" a="1"/>
  <c r="G50" i="74" s="1"/>
  <c r="E62" i="74" a="1"/>
  <c r="E62" i="74" s="1"/>
  <c r="E68" i="74" a="1"/>
  <c r="E68" i="74" s="1"/>
  <c r="D68" i="74" a="1"/>
  <c r="D68" i="74" s="1"/>
  <c r="G71" i="74" a="1"/>
  <c r="G71" i="74" s="1"/>
  <c r="D74" i="74" a="1"/>
  <c r="D74" i="74" s="1"/>
  <c r="E75" i="74" a="1"/>
  <c r="E75" i="74" s="1"/>
  <c r="F79" i="74" a="1"/>
  <c r="F79" i="74" s="1"/>
  <c r="E81" i="74" a="1"/>
  <c r="E81" i="74" s="1"/>
  <c r="G81" i="74" a="1"/>
  <c r="G81" i="74" s="1"/>
  <c r="F81" i="74" a="1"/>
  <c r="F81" i="74" s="1"/>
  <c r="D81" i="74" a="1"/>
  <c r="D81" i="74" s="1"/>
  <c r="F82" i="74" a="1"/>
  <c r="F82" i="74" s="1"/>
  <c r="E53" i="74" a="1"/>
  <c r="E53" i="74" s="1"/>
  <c r="D53" i="74" a="1"/>
  <c r="D53" i="74" s="1"/>
  <c r="E66" i="74" a="1"/>
  <c r="E66" i="74" s="1"/>
  <c r="G66" i="74" a="1"/>
  <c r="G66" i="74" s="1"/>
  <c r="F73" i="74" a="1"/>
  <c r="F73" i="74" s="1"/>
  <c r="D73" i="74" a="1"/>
  <c r="D73" i="74" s="1"/>
  <c r="F77" i="74" a="1"/>
  <c r="F77" i="74" s="1"/>
  <c r="E77" i="74" a="1"/>
  <c r="E77" i="74" s="1"/>
  <c r="D77" i="74" a="1"/>
  <c r="D77" i="74" s="1"/>
  <c r="G77" i="74" a="1"/>
  <c r="G77" i="74" s="1"/>
  <c r="D26" i="74" a="1"/>
  <c r="D26" i="74" s="1"/>
  <c r="G26" i="74" a="1"/>
  <c r="G26" i="74" s="1"/>
  <c r="F68" i="74" a="1"/>
  <c r="F68" i="74" s="1"/>
  <c r="F70" i="74" a="1"/>
  <c r="F70" i="74" s="1"/>
  <c r="D72" i="74" a="1"/>
  <c r="D72" i="74" s="1"/>
  <c r="F72" i="74" a="1"/>
  <c r="F72" i="74" s="1"/>
  <c r="E72" i="74" a="1"/>
  <c r="E72" i="74" s="1"/>
  <c r="G72" i="74" a="1"/>
  <c r="G72" i="74" s="1"/>
  <c r="G76" i="74" a="1"/>
  <c r="G76" i="74" s="1"/>
  <c r="E76" i="74" a="1"/>
  <c r="E76" i="74" s="1"/>
  <c r="E80" i="74" a="1"/>
  <c r="E80" i="74" s="1"/>
  <c r="G80" i="74" a="1"/>
  <c r="G80" i="74" s="1"/>
  <c r="F80" i="74" a="1"/>
  <c r="F80" i="74" s="1"/>
  <c r="E88" i="74" a="1"/>
  <c r="E88" i="74" s="1"/>
  <c r="G91" i="74" a="1"/>
  <c r="G91" i="74" s="1"/>
  <c r="G93" i="74" a="1"/>
  <c r="G93" i="74" s="1"/>
  <c r="F93" i="74" a="1"/>
  <c r="F93" i="74" s="1"/>
  <c r="E94" i="74" a="1"/>
  <c r="E94" i="74" s="1"/>
  <c r="D84" i="74" a="1"/>
  <c r="D84" i="74" s="1"/>
  <c r="G88" i="74" a="1"/>
  <c r="G88" i="74" s="1"/>
  <c r="D95" i="74" a="1"/>
  <c r="D95" i="74" s="1"/>
  <c r="D96" i="74" a="1"/>
  <c r="D96" i="74" s="1"/>
  <c r="F98" i="74" a="1"/>
  <c r="F98" i="74" s="1"/>
  <c r="F91" i="74" a="1"/>
  <c r="F91" i="74" s="1"/>
  <c r="E40" i="74" a="1"/>
  <c r="E40" i="74" s="1"/>
  <c r="E46" i="74" a="1"/>
  <c r="E46" i="74" s="1"/>
  <c r="F48" i="74" a="1"/>
  <c r="F48" i="74" s="1"/>
  <c r="F61" i="74" a="1"/>
  <c r="F61" i="74" s="1"/>
  <c r="F65" i="74" a="1"/>
  <c r="F65" i="74" s="1"/>
  <c r="G69" i="74" a="1"/>
  <c r="G69" i="74" s="1"/>
  <c r="G83" i="74" a="1"/>
  <c r="G83" i="74" s="1"/>
  <c r="F85" i="74" a="1"/>
  <c r="F85" i="74" s="1"/>
  <c r="E93" i="74" a="1"/>
  <c r="E93" i="74" s="1"/>
  <c r="G99" i="74" a="1"/>
  <c r="G99" i="74" s="1"/>
  <c r="E99" i="74" a="1"/>
  <c r="E99" i="74" s="1"/>
  <c r="E98" i="74" a="1"/>
  <c r="E98" i="74" s="1"/>
  <c r="D98" i="74" a="1"/>
  <c r="D98" i="74" s="1"/>
  <c r="G98" i="74" a="1"/>
  <c r="G98" i="74" s="1"/>
  <c r="G48" i="74" a="1"/>
  <c r="G48" i="74" s="1"/>
  <c r="G84" i="74" a="1"/>
  <c r="G84" i="74" s="1"/>
  <c r="G95" i="74" a="1"/>
  <c r="G95" i="74" s="1"/>
  <c r="F95" i="74" a="1"/>
  <c r="F95" i="74" s="1"/>
  <c r="E95" i="74" a="1"/>
  <c r="E95" i="74" s="1"/>
  <c r="E96" i="74" a="1"/>
  <c r="E96" i="74" s="1"/>
  <c r="G97" i="74" a="1"/>
  <c r="G97" i="74" s="1"/>
  <c r="E97" i="74" a="1"/>
  <c r="E97" i="74" s="1"/>
  <c r="F88" i="74" a="1"/>
  <c r="F88" i="74" s="1"/>
  <c r="D88" i="74" a="1"/>
  <c r="D88" i="74" s="1"/>
  <c r="D89" i="74" a="1"/>
  <c r="D89" i="74" s="1"/>
  <c r="F89" i="74" a="1"/>
  <c r="F89" i="74" s="1"/>
  <c r="G65" i="74" a="1"/>
  <c r="G65" i="74" s="1"/>
  <c r="E65" i="74" a="1"/>
  <c r="E65" i="74" s="1"/>
  <c r="F75" i="74" a="1"/>
  <c r="F75" i="74" s="1"/>
  <c r="F86" i="74" a="1"/>
  <c r="F86" i="74" s="1"/>
  <c r="E86" i="74" a="1"/>
  <c r="E86" i="74" s="1"/>
  <c r="D86" i="74" a="1"/>
  <c r="D86" i="74" s="1"/>
  <c r="E91" i="74" a="1"/>
  <c r="E91" i="74" s="1"/>
  <c r="G100" i="74" a="1"/>
  <c r="G100" i="74" s="1"/>
  <c r="G87" i="74" a="1"/>
  <c r="G87" i="74" s="1"/>
  <c r="D87" i="74" a="1"/>
  <c r="D87" i="74" s="1"/>
  <c r="H26" i="74" l="1"/>
  <c r="H55" i="74"/>
  <c r="H54" i="74"/>
  <c r="H89" i="74"/>
  <c r="I89" i="74" s="1"/>
  <c r="H97" i="74"/>
  <c r="I97" i="74" s="1"/>
  <c r="H82" i="74"/>
  <c r="I82" i="74" s="1"/>
  <c r="H33" i="74"/>
  <c r="I33" i="74" s="1"/>
  <c r="H28" i="74"/>
  <c r="I28" i="74" s="1"/>
  <c r="H84" i="74"/>
  <c r="I84" i="74" s="1"/>
  <c r="H50" i="74"/>
  <c r="I50" i="74" s="1"/>
  <c r="H78" i="74"/>
  <c r="I78" i="74" s="1"/>
  <c r="H83" i="74"/>
  <c r="I83" i="74" s="1"/>
  <c r="H27" i="74"/>
  <c r="I27" i="74" s="1"/>
  <c r="H35" i="74"/>
  <c r="I35" i="74" s="1"/>
  <c r="H43" i="74"/>
  <c r="I43" i="74" s="1"/>
  <c r="H94" i="74"/>
  <c r="I94" i="74" s="1"/>
  <c r="H100" i="74"/>
  <c r="I100" i="74" s="1"/>
  <c r="H86" i="74"/>
  <c r="I86" i="74" s="1"/>
  <c r="H88" i="74"/>
  <c r="I88" i="74" s="1"/>
  <c r="H77" i="74"/>
  <c r="I77" i="74" s="1"/>
  <c r="H64" i="74"/>
  <c r="I64" i="74" s="1"/>
  <c r="H56" i="74"/>
  <c r="H45" i="74"/>
  <c r="I45" i="74" s="1"/>
  <c r="H57" i="74"/>
  <c r="I57" i="74" s="1"/>
  <c r="H53" i="74"/>
  <c r="I53" i="74" s="1"/>
  <c r="H67" i="74"/>
  <c r="I67" i="74" s="1"/>
  <c r="H62" i="74"/>
  <c r="I62" i="74" s="1"/>
  <c r="H76" i="74"/>
  <c r="I76" i="74" s="1"/>
  <c r="H32" i="74"/>
  <c r="I32" i="74" s="1"/>
  <c r="H36" i="74"/>
  <c r="I36" i="74" s="1"/>
  <c r="H52" i="74"/>
  <c r="I52" i="74" s="1"/>
  <c r="H48" i="74"/>
  <c r="I48" i="74" s="1"/>
  <c r="H47" i="74"/>
  <c r="I47" i="74" s="1"/>
  <c r="H61" i="74"/>
  <c r="I61" i="74" s="1"/>
  <c r="H25" i="74"/>
  <c r="I25" i="74" s="1"/>
  <c r="H65" i="74"/>
  <c r="I65" i="74" s="1"/>
  <c r="H74" i="74"/>
  <c r="I74" i="74" s="1"/>
  <c r="H70" i="74"/>
  <c r="I70" i="74" s="1"/>
  <c r="H71" i="74"/>
  <c r="I71" i="74" s="1"/>
  <c r="H66" i="74"/>
  <c r="I66" i="74" s="1"/>
  <c r="H40" i="74"/>
  <c r="I40" i="74" s="1"/>
  <c r="H39" i="74"/>
  <c r="I39" i="74" s="1"/>
  <c r="H63" i="74"/>
  <c r="I63" i="74" s="1"/>
  <c r="H58" i="74"/>
  <c r="I58" i="74" s="1"/>
  <c r="H96" i="74"/>
  <c r="I96" i="74" s="1"/>
  <c r="H60" i="74"/>
  <c r="I60" i="74" s="1"/>
  <c r="H92" i="74"/>
  <c r="I92" i="74" s="1"/>
  <c r="H31" i="74"/>
  <c r="I31" i="74" s="1"/>
  <c r="H30" i="74"/>
  <c r="I30" i="74" s="1"/>
  <c r="H59" i="74"/>
  <c r="I59" i="74" s="1"/>
  <c r="H75" i="74"/>
  <c r="I75" i="74" s="1"/>
  <c r="H51" i="74"/>
  <c r="I51" i="74" s="1"/>
  <c r="H98" i="74"/>
  <c r="I98" i="74" s="1"/>
  <c r="H95" i="74"/>
  <c r="I95" i="74" s="1"/>
  <c r="H72" i="74"/>
  <c r="I72" i="74" s="1"/>
  <c r="H81" i="74"/>
  <c r="I81" i="74" s="1"/>
  <c r="H68" i="74"/>
  <c r="I68" i="74" s="1"/>
  <c r="H99" i="74"/>
  <c r="I99" i="74" s="1"/>
  <c r="H38" i="74"/>
  <c r="I38" i="74" s="1"/>
  <c r="H49" i="74"/>
  <c r="I49" i="74" s="1"/>
  <c r="H85" i="74"/>
  <c r="I85" i="74" s="1"/>
  <c r="H80" i="74"/>
  <c r="I80" i="74" s="1"/>
  <c r="H93" i="74"/>
  <c r="I93" i="74" s="1"/>
  <c r="H87" i="74"/>
  <c r="I87" i="74" s="1"/>
  <c r="H73" i="74"/>
  <c r="I73" i="74" s="1"/>
  <c r="H29" i="74"/>
  <c r="I29" i="74" s="1"/>
  <c r="H41" i="74"/>
  <c r="I41" i="74" s="1"/>
  <c r="H37" i="74"/>
  <c r="I37" i="74" s="1"/>
  <c r="H46" i="74"/>
  <c r="I46" i="74" s="1"/>
  <c r="H91" i="74"/>
  <c r="I91" i="74" s="1"/>
  <c r="H90" i="74"/>
  <c r="I90" i="74" s="1"/>
  <c r="H79" i="74"/>
  <c r="I79" i="74" s="1"/>
  <c r="H42" i="74"/>
  <c r="I42" i="74" s="1"/>
  <c r="H34" i="74"/>
  <c r="I34" i="74" s="1"/>
  <c r="H69" i="74"/>
  <c r="I69" i="74" s="1"/>
  <c r="H44" i="74"/>
  <c r="I44" i="74" s="1"/>
  <c r="I54" i="74"/>
  <c r="I26" i="74"/>
  <c r="I55" i="74"/>
  <c r="I56" i="74"/>
  <c r="H101" i="74" l="1"/>
  <c r="I101" i="74"/>
  <c r="E185" i="74" l="1"/>
  <c r="E193" i="74"/>
  <c r="F193" i="74" s="1"/>
  <c r="E201" i="74"/>
  <c r="F201" i="74" s="1"/>
  <c r="E186" i="74"/>
  <c r="F186" i="74" s="1"/>
  <c r="E194" i="74"/>
  <c r="F194" i="74" s="1"/>
  <c r="E202" i="74"/>
  <c r="F202" i="74" s="1"/>
  <c r="E187" i="74"/>
  <c r="F187" i="74" s="1"/>
  <c r="E195" i="74"/>
  <c r="F195" i="74" s="1"/>
  <c r="E203" i="74"/>
  <c r="F203" i="74" s="1"/>
  <c r="E188" i="74"/>
  <c r="F188" i="74" s="1"/>
  <c r="E196" i="74"/>
  <c r="F196" i="74" s="1"/>
  <c r="E189" i="74"/>
  <c r="F189" i="74" s="1"/>
  <c r="E197" i="74"/>
  <c r="F197" i="74" s="1"/>
  <c r="E190" i="74"/>
  <c r="F190" i="74" s="1"/>
  <c r="E198" i="74"/>
  <c r="F198" i="74" s="1"/>
  <c r="E200" i="74"/>
  <c r="F200" i="74" s="1"/>
  <c r="E191" i="74"/>
  <c r="F191" i="74" s="1"/>
  <c r="E199" i="74"/>
  <c r="F199" i="74" s="1"/>
  <c r="E192" i="74"/>
  <c r="F192" i="74" s="1"/>
  <c r="J175" i="74"/>
  <c r="J167" i="74"/>
  <c r="J159" i="74"/>
  <c r="J151" i="74"/>
  <c r="J143" i="74"/>
  <c r="J180" i="74"/>
  <c r="J172" i="74"/>
  <c r="J164" i="74"/>
  <c r="J156" i="74"/>
  <c r="J148" i="74"/>
  <c r="J140" i="74"/>
  <c r="J132" i="74"/>
  <c r="B212" i="74" s="1"/>
  <c r="J177" i="74"/>
  <c r="J169" i="74"/>
  <c r="J161" i="74"/>
  <c r="J153" i="74"/>
  <c r="J145" i="74"/>
  <c r="J174" i="74"/>
  <c r="J166" i="74"/>
  <c r="J158" i="74"/>
  <c r="J150" i="74"/>
  <c r="J142" i="74"/>
  <c r="J179" i="74"/>
  <c r="J171" i="74"/>
  <c r="J163" i="74"/>
  <c r="J155" i="74"/>
  <c r="J147" i="74"/>
  <c r="J139" i="74"/>
  <c r="J176" i="74"/>
  <c r="J168" i="74"/>
  <c r="J160" i="74"/>
  <c r="J152" i="74"/>
  <c r="J144" i="74"/>
  <c r="J173" i="74"/>
  <c r="J165" i="74"/>
  <c r="J157" i="74"/>
  <c r="J149" i="74"/>
  <c r="J178" i="74"/>
  <c r="J170" i="74"/>
  <c r="J162" i="74"/>
  <c r="J154" i="74"/>
  <c r="J146" i="74"/>
  <c r="J138" i="74"/>
  <c r="J141" i="74"/>
  <c r="J137" i="74"/>
  <c r="J134" i="74"/>
  <c r="J131" i="74"/>
  <c r="B210" i="74" s="1"/>
  <c r="J136" i="74"/>
  <c r="J133" i="74"/>
  <c r="B214" i="74" s="1"/>
  <c r="J135" i="74"/>
  <c r="I178" i="74"/>
  <c r="I170" i="74"/>
  <c r="I162" i="74"/>
  <c r="I154" i="74"/>
  <c r="I146" i="74"/>
  <c r="I175" i="74"/>
  <c r="I167" i="74"/>
  <c r="I159" i="74"/>
  <c r="I151" i="74"/>
  <c r="I143" i="74"/>
  <c r="I135" i="74"/>
  <c r="I180" i="74"/>
  <c r="I172" i="74"/>
  <c r="I164" i="74"/>
  <c r="I156" i="74"/>
  <c r="I148" i="74"/>
  <c r="I177" i="74"/>
  <c r="I169" i="74"/>
  <c r="I161" i="74"/>
  <c r="I153" i="74"/>
  <c r="I145" i="74"/>
  <c r="I174" i="74"/>
  <c r="I166" i="74"/>
  <c r="I158" i="74"/>
  <c r="I150" i="74"/>
  <c r="I142" i="74"/>
  <c r="I179" i="74"/>
  <c r="I171" i="74"/>
  <c r="I163" i="74"/>
  <c r="I155" i="74"/>
  <c r="I147" i="74"/>
  <c r="I176" i="74"/>
  <c r="I168" i="74"/>
  <c r="I160" i="74"/>
  <c r="I152" i="74"/>
  <c r="I173" i="74"/>
  <c r="I165" i="74"/>
  <c r="I157" i="74"/>
  <c r="I149" i="74"/>
  <c r="I141" i="74"/>
  <c r="I137" i="74"/>
  <c r="I134" i="74"/>
  <c r="I131" i="74"/>
  <c r="B209" i="74" s="1"/>
  <c r="I140" i="74"/>
  <c r="I144" i="74"/>
  <c r="I139" i="74"/>
  <c r="I136" i="74"/>
  <c r="I133" i="74"/>
  <c r="B213" i="74" s="1"/>
  <c r="I138" i="74"/>
  <c r="I132" i="74"/>
  <c r="B211" i="74" s="1"/>
  <c r="A27" i="45"/>
  <c r="A28" i="45"/>
  <c r="A20" i="45"/>
  <c r="A21" i="45"/>
  <c r="A22" i="45"/>
  <c r="A23" i="45"/>
  <c r="A24" i="45"/>
  <c r="A25" i="45"/>
  <c r="A26" i="45"/>
  <c r="A15" i="45"/>
  <c r="A16" i="45"/>
  <c r="A17" i="45"/>
  <c r="A18" i="45"/>
  <c r="A19" i="45"/>
  <c r="A5" i="45"/>
  <c r="A6" i="45"/>
  <c r="A7" i="45"/>
  <c r="A8" i="45"/>
  <c r="A9" i="45"/>
  <c r="A10" i="45"/>
  <c r="A11" i="45"/>
  <c r="A12" i="45"/>
  <c r="A13" i="45"/>
  <c r="A14" i="45"/>
  <c r="A4" i="45"/>
  <c r="J181" i="74" l="1"/>
  <c r="B208" i="74" s="1"/>
  <c r="I181" i="74"/>
  <c r="B207" i="74" s="1"/>
  <c r="E204" i="74"/>
  <c r="B215" i="74" s="1"/>
  <c r="F185" i="74"/>
  <c r="F204" i="74" s="1"/>
  <c r="B216" i="74" s="1"/>
  <c r="P34" i="3"/>
  <c r="O34" i="3"/>
  <c r="N34" i="3"/>
  <c r="G29" i="45" l="1"/>
  <c r="H29" i="45"/>
  <c r="L29" i="45" l="1"/>
  <c r="K29" i="45"/>
  <c r="I29" i="45"/>
  <c r="C29" i="45" l="1"/>
  <c r="F29" i="45"/>
  <c r="J29" i="45"/>
  <c r="E29" i="45" l="1"/>
  <c r="D29" i="4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<sst xmlns="http://schemas.openxmlformats.org/spreadsheetml/2006/main" count="45912" uniqueCount="13334">
  <si>
    <t>Component</t>
  </si>
  <si>
    <t>SOCMI Average</t>
  </si>
  <si>
    <t>SOCMI Non-leaker</t>
  </si>
  <si>
    <t>Refinery</t>
  </si>
  <si>
    <t>Valves</t>
  </si>
  <si>
    <t>Gas/Vapor</t>
  </si>
  <si>
    <t>Light Liquid</t>
  </si>
  <si>
    <t>Heavy Liquid</t>
  </si>
  <si>
    <t>Pumps</t>
  </si>
  <si>
    <t>Compressors</t>
  </si>
  <si>
    <t>Relief Valves</t>
  </si>
  <si>
    <t>Open-Ended Lines</t>
  </si>
  <si>
    <t>All</t>
  </si>
  <si>
    <t>Agitators</t>
  </si>
  <si>
    <t>Flanges/Connectors</t>
  </si>
  <si>
    <t>None</t>
  </si>
  <si>
    <t>28M</t>
  </si>
  <si>
    <t>28RCT</t>
  </si>
  <si>
    <t>28VHP</t>
  </si>
  <si>
    <t>28MID</t>
  </si>
  <si>
    <t>28LAER</t>
  </si>
  <si>
    <t>28AVO</t>
  </si>
  <si>
    <t>28CNTQ</t>
  </si>
  <si>
    <t>28CNTA</t>
  </si>
  <si>
    <t>28PI</t>
  </si>
  <si>
    <t>Count</t>
  </si>
  <si>
    <t>lb/hr</t>
  </si>
  <si>
    <t>tpy</t>
  </si>
  <si>
    <t>Calculation Tab</t>
  </si>
  <si>
    <t xml:space="preserve">       Company</t>
  </si>
  <si>
    <t xml:space="preserve">       Permit No.</t>
  </si>
  <si>
    <t xml:space="preserve">       Application Type</t>
  </si>
  <si>
    <t>Information Tab</t>
  </si>
  <si>
    <t xml:space="preserve">       Site Name</t>
  </si>
  <si>
    <t xml:space="preserve">       Preparation Date</t>
  </si>
  <si>
    <t>Service</t>
  </si>
  <si>
    <t>Relief Valves (controlled)</t>
  </si>
  <si>
    <t>Pumps (controlled)</t>
  </si>
  <si>
    <t>Valves (controlled)</t>
  </si>
  <si>
    <t>Open-Ended Lines (controlled)</t>
  </si>
  <si>
    <t>Compressors (controlled)</t>
  </si>
  <si>
    <t>Flanges/Connectors (controlled)</t>
  </si>
  <si>
    <t>Chemical Constituent</t>
  </si>
  <si>
    <t>Instructions</t>
  </si>
  <si>
    <t>I. Overview</t>
  </si>
  <si>
    <t>II. Table of Contents</t>
  </si>
  <si>
    <t>Preparation date</t>
  </si>
  <si>
    <t>Company name</t>
  </si>
  <si>
    <t>III. Control Efficiencies</t>
  </si>
  <si>
    <t>Controlled
lb/hr</t>
  </si>
  <si>
    <t>Controlled
tpy</t>
  </si>
  <si>
    <t>Proposed Emission Factor</t>
  </si>
  <si>
    <t>IV. Emission Rates</t>
  </si>
  <si>
    <t>Substance</t>
  </si>
  <si>
    <t>CAS #</t>
  </si>
  <si>
    <t>Short Term ESL (ug/m3)</t>
  </si>
  <si>
    <t>Long Term ESL (ug/m3)</t>
  </si>
  <si>
    <t>(((2-((2-hydroxyethyl)(phosphonomethyl)amino)ethyl)imino]bis(methylene))bisphosphonic acid, compd. with 2-aminoethanol</t>
  </si>
  <si>
    <t>129828-36-0</t>
  </si>
  <si>
    <t>Must Meet NAAQS</t>
  </si>
  <si>
    <t>(((phosphonomethyl)imino)bis((2,1-ethanediylnitrilobis(methylene)))tetrakisphosphonic acid, ethoxylated tallowalkylamine salt</t>
  </si>
  <si>
    <t>71329-40-3</t>
  </si>
  <si>
    <t>((tetrahydro-2-hydroxy-2-oxido-4H-1,4,2-oxazaphosphorin-4-yl)methyl)-phosphonic acid</t>
  </si>
  <si>
    <t>32422-02-9</t>
  </si>
  <si>
    <t>([[(2-ethylhexyl)oxy]methyl]oxirane reaction products with polyethylene glycol ether with 2,4,7,9-tetramethyl-5-decyne-4,7-diol (2:1)</t>
  </si>
  <si>
    <t>857892-58-1 (PM)</t>
  </si>
  <si>
    <t>857892-58-1 (Vapor)</t>
  </si>
  <si>
    <t>(+/-) bis(2-ethylhexyl) sebacate</t>
  </si>
  <si>
    <t>122-62-3</t>
  </si>
  <si>
    <t>(1,2-ethanediylbis(oxy))bismethanol</t>
  </si>
  <si>
    <t>3586-55-8</t>
  </si>
  <si>
    <t>(1,3-dimethylbutyl)benzene</t>
  </si>
  <si>
    <t>19219-84-2</t>
  </si>
  <si>
    <t>(1,6-hexanediylbis(nitrilobis(methylene)))tetrakis-phosphonic acid, hexaammonium salt compd. with 2,2,2-nitrilotris(ethanol) (1:2)</t>
  </si>
  <si>
    <t>67924-19-0</t>
  </si>
  <si>
    <t>(11Z)-11-hexadecen-1-ol</t>
  </si>
  <si>
    <t>56683-54-6</t>
  </si>
  <si>
    <t>(1alpha,2alpha,3beta)-1,2,3-trimethylcyclopentane</t>
  </si>
  <si>
    <t>15890-40-1</t>
  </si>
  <si>
    <t>(1alpha,2beta,4alpha)-1,2,4-trimethylcyclopentane</t>
  </si>
  <si>
    <t>16883-48-0</t>
  </si>
  <si>
    <t>(1E)-1,2-dichloro-3,3,3-trifluoro-1-propene</t>
  </si>
  <si>
    <t>431-27-6</t>
  </si>
  <si>
    <t>(1E,4E)-1,5-di(2-furyl)-1,4-pentadien-3-one</t>
  </si>
  <si>
    <t>886-77-1</t>
  </si>
  <si>
    <t>(1-hydroxyethylidene) bis-phosphonic acid, compd with 2,2',2"-nitrilotris [ethanol]</t>
  </si>
  <si>
    <t>88394-54-1</t>
  </si>
  <si>
    <t>(1-hydroxyethylidene) bis-phosphonic acid, compound with 2-aminoethanol</t>
  </si>
  <si>
    <t>42220-47-3</t>
  </si>
  <si>
    <t>(1-hydroxyethylidene)bis-phosphonic acid, compd. with 2,2-iminobis(ethanol)</t>
  </si>
  <si>
    <t>88394-55-2</t>
  </si>
  <si>
    <t>(1-methylene-2-propenyl)benzene</t>
  </si>
  <si>
    <t>2288-18-8</t>
  </si>
  <si>
    <t>(1-methylethyl)-1,1'-biphenyl</t>
  </si>
  <si>
    <t>25640-78-2</t>
  </si>
  <si>
    <t>(1-methylethyl)-benzene, oxidized, polyphenyl residues</t>
  </si>
  <si>
    <t>68333-89-1</t>
  </si>
  <si>
    <t>(1R,2R,5R)-2-(2-hydroxy-2-propanyl)-5-methylcyclohexanol</t>
  </si>
  <si>
    <t>3564-98-5</t>
  </si>
  <si>
    <t>(1r,2s)-1,2,4-trimethylcyclopentane</t>
  </si>
  <si>
    <t>4516-67-0</t>
  </si>
  <si>
    <t>(1R,2S,4S)-1,2,4-trimethylcyclohexane</t>
  </si>
  <si>
    <t>1678-80-4</t>
  </si>
  <si>
    <t>(1Z,5E,9E)-1,5,9-cyclododecatriene</t>
  </si>
  <si>
    <t>4904-61-4</t>
  </si>
  <si>
    <t>(2,2,6,6-tetramethyl-4-oxo-1-piperidinyl)oxidanyl</t>
  </si>
  <si>
    <t>2896-70-0</t>
  </si>
  <si>
    <t>(2,2-dimethyl-1,3-dioxolan-4-yl)methanol</t>
  </si>
  <si>
    <t>100-79-8</t>
  </si>
  <si>
    <t>(2,4-dichlorophenoxy)acetic acid, isooctyl ester</t>
  </si>
  <si>
    <t>1928-43-4</t>
  </si>
  <si>
    <t>(2-dodecyloxy)ethanol</t>
  </si>
  <si>
    <t>4536-30-5</t>
  </si>
  <si>
    <t>(2E)-3,4-dimethyl-2-pentene</t>
  </si>
  <si>
    <t>4914-92-5</t>
  </si>
  <si>
    <t>(2E)-3,7-dimethyl-2,6-octadien-1-yl acetate</t>
  </si>
  <si>
    <t>105-87-3</t>
  </si>
  <si>
    <t>(2-ethylhexanoate-O)oxo-aluminum, homopolymer</t>
  </si>
  <si>
    <t>56237-74-2</t>
  </si>
  <si>
    <t>(2-hydroxy-4-(2-propen-1-yloxy)phenyl)phenyl-methanone, reaction products with silica-trimethoxymethylsilane hydrolysis products and triethoxysilane</t>
  </si>
  <si>
    <t>96195-80-1</t>
  </si>
  <si>
    <t>(2S)-2-chloro-1-butanol</t>
  </si>
  <si>
    <t>56536-49-3</t>
  </si>
  <si>
    <t>(2Z)-2-heptenal</t>
  </si>
  <si>
    <t>57266-86-1</t>
  </si>
  <si>
    <t>(2Z)-2-nonen-4-yne</t>
  </si>
  <si>
    <t>56392-46-2</t>
  </si>
  <si>
    <t>(3-aminopropyl)trimethoxysilane</t>
  </si>
  <si>
    <t>13822-56-5</t>
  </si>
  <si>
    <t>(3E)-2,2-dimethyl-3-decene</t>
  </si>
  <si>
    <t>55499-02-0</t>
  </si>
  <si>
    <t>(3E)-3-dodecene</t>
  </si>
  <si>
    <t>7206-14-6</t>
  </si>
  <si>
    <t>(3E)-3-methyl-3-penten-2-one</t>
  </si>
  <si>
    <t>565-62-8</t>
  </si>
  <si>
    <t>(3E)-3-methyl-4-(2,6,6-trimethyl-2-cyclohexen-1-yl)-3-buten-2-one</t>
  </si>
  <si>
    <t>127-51-5</t>
  </si>
  <si>
    <t>(3R,3aS,6R,7R,8aS)-octahydro-3,6,8,8-tetramethyl-1H-3a,7-methanoazulen-6-ol, acetate</t>
  </si>
  <si>
    <t>77-54-3</t>
  </si>
  <si>
    <t>(3R,5S)-3,5-dimethyltetrahydropyran-2-ol</t>
  </si>
  <si>
    <t>314021-41-5</t>
  </si>
  <si>
    <t>(3Z)-1-chloro-3-hexene</t>
  </si>
  <si>
    <t>21676-01-7</t>
  </si>
  <si>
    <t>(3Z)-3-dodecene</t>
  </si>
  <si>
    <t>7239-23-8</t>
  </si>
  <si>
    <t>(3Z,6E)-1,3,6-octatriene</t>
  </si>
  <si>
    <t>22038-68-2</t>
  </si>
  <si>
    <t>(4E)-7-methyl-4-undecene</t>
  </si>
  <si>
    <t>312298-60-5</t>
  </si>
  <si>
    <t>(4R)-4-hydroxy-2-hexanone</t>
  </si>
  <si>
    <t>106353-47-3</t>
  </si>
  <si>
    <t>(5E,9E)-hexadeca-5,9-diene</t>
  </si>
  <si>
    <t>93762-80-2</t>
  </si>
  <si>
    <t>(5S)-5-(2-hydroxypropan-2-yl)-2-methylcyclohex-2-en-1-one</t>
  </si>
  <si>
    <t>60593-11-5</t>
  </si>
  <si>
    <t>(9Z,12R)-12-hydroxy-9-octadecenoic acid, homopolymer</t>
  </si>
  <si>
    <t>27925-02-6</t>
  </si>
  <si>
    <t>(benzyloxy)methanol</t>
  </si>
  <si>
    <t>14548-60-8</t>
  </si>
  <si>
    <t>(dichloromethyl)benzene</t>
  </si>
  <si>
    <t>98-87-3</t>
  </si>
  <si>
    <t>(E)-1,2,3,3,4-pentachloro-1-butene</t>
  </si>
  <si>
    <t>94796-72-2</t>
  </si>
  <si>
    <t>(E)-1-chlorohex-3-ene</t>
  </si>
  <si>
    <t>63281-97-0</t>
  </si>
  <si>
    <t>(E)-2-octene</t>
  </si>
  <si>
    <t>13389-42-9</t>
  </si>
  <si>
    <t>(E)-3-methyl-5-cyclopentadecen-1-one</t>
  </si>
  <si>
    <t>82356-51-2</t>
  </si>
  <si>
    <t>(E)-3-octene</t>
  </si>
  <si>
    <t>14919-01-8</t>
  </si>
  <si>
    <t>(E)-5-methyl-2-hexene</t>
  </si>
  <si>
    <t>7385-82-2</t>
  </si>
  <si>
    <t>(E,E)-alpha-farnesene</t>
  </si>
  <si>
    <t>502-61-4</t>
  </si>
  <si>
    <t>(ethyl 3-oxobutyrato-O1',O3)bis(propan-2-olato)aluminium</t>
  </si>
  <si>
    <t>14782-75-3</t>
  </si>
  <si>
    <t>(ethylenedinitrilo)tetraacetonitrile</t>
  </si>
  <si>
    <t>5766-67-6</t>
  </si>
  <si>
    <t>(imidazole, 1H-)-1-ethanamine, 4,5-dihydro-, 2-nornaphthenyl derives</t>
  </si>
  <si>
    <t>68478-61-5</t>
  </si>
  <si>
    <t>(N,N,N',N',N'',N''-hexaethyl-29H,31H-phthalocyaninetrimethylaminato(2-)-N29,N30,N31,N32)copper</t>
  </si>
  <si>
    <t>28654-73-1</t>
  </si>
  <si>
    <t>(S)-(-)-alpha-terpineol</t>
  </si>
  <si>
    <t>10482-56-1</t>
  </si>
  <si>
    <t>(S)-3-chloro-1,2-propanediol</t>
  </si>
  <si>
    <t>60827-45-4</t>
  </si>
  <si>
    <t>(tetrapropenyl)-butanedioic acid</t>
  </si>
  <si>
    <t>27859-58-1</t>
  </si>
  <si>
    <t>(Z)-2-methyl-3-undecene</t>
  </si>
  <si>
    <t>74630-48-1</t>
  </si>
  <si>
    <t>(Z)-5-methyl-hexene</t>
  </si>
  <si>
    <t>13151-17-2</t>
  </si>
  <si>
    <t>(Z)-alpha-9-octadecenyl-omega-hydroxy-poly[oxy(methyl-1,2-ethanediyl)]</t>
  </si>
  <si>
    <t>52581-71-2 (PM)</t>
  </si>
  <si>
    <t>52581-71-2 (Vapor)</t>
  </si>
  <si>
    <t>[(2,4-dibromo-6-methylphenoxy)methyl]-oxirane</t>
  </si>
  <si>
    <t>75150-13-9 (PM)</t>
  </si>
  <si>
    <t>75150-13-9 (Vapor)</t>
  </si>
  <si>
    <t>[(phosphonomethyl)imino] bis[2,1-ethanediylnitrilobis(methylene)] tetrakis-phosphonic acid</t>
  </si>
  <si>
    <t>15827-60-8</t>
  </si>
  <si>
    <t>[(phosphonomethyl)imino] bis[6,1-hexanediylnitrilobis(methylene)]tetrakis-phosphonic acid</t>
  </si>
  <si>
    <t>34690-00-1</t>
  </si>
  <si>
    <t>[[(2-hydroxyethyl)imino]bis(methylene)]bisphosphonic acid</t>
  </si>
  <si>
    <t>5995-42-6</t>
  </si>
  <si>
    <t>[[(2-hydroxyethyl)imino]bis(methylene)]bisphosphonic acid, ammonium salt</t>
  </si>
  <si>
    <t>94113-38-9</t>
  </si>
  <si>
    <t>[[[2-(2-hydroxyethoxy)ethyl]imino]bis(methylene)]bisphosphonic acid</t>
  </si>
  <si>
    <t>133669-95-1</t>
  </si>
  <si>
    <t>[[[2-(2-hydroxyethoxy)ethyl]imino]bis(methylene)]bisphosphonic acid, sodium salt</t>
  </si>
  <si>
    <t>138659-75-3</t>
  </si>
  <si>
    <t>[1,2-ethanediylbis[nitrilobis(methylene)]]tetrakis-phosphonic acid, ammonium salt</t>
  </si>
  <si>
    <t>57011-27-5</t>
  </si>
  <si>
    <t>[1,6-hexanediylbis (nitrilotris methylene)] tetrakis-phosphonic acid, tetrasodium salt</t>
  </si>
  <si>
    <t>38750-81-1</t>
  </si>
  <si>
    <t>[2-(3,4-epoxycyclohexyl)ethyl]trimethoxysilane</t>
  </si>
  <si>
    <t>3388-04-3</t>
  </si>
  <si>
    <t>[29H,31H-phthalocyaninato(2-)-N29,N30,N31,N32]-copper, chlorinated</t>
  </si>
  <si>
    <t>68987-63-3</t>
  </si>
  <si>
    <t>[3-[3-(2H-benzotriazol-2-yl)-5-(1,1-dimethylethyl)-4-hydroxyphenyl]-1-oxopropyl]-hydroxypoly(oxo-1,2-ethanediyl)</t>
  </si>
  <si>
    <t>104810-48-2</t>
  </si>
  <si>
    <t>[diethyl(methyl)silyl]oxy-diethyl-methylsilane</t>
  </si>
  <si>
    <t>1000-00-6</t>
  </si>
  <si>
    <t>[nitrilotris (methylene)] tri-phosphonic acid</t>
  </si>
  <si>
    <t>6419-19-8</t>
  </si>
  <si>
    <t>[nitrilotris (methylene)] tris-phosphonic acid, ammonium salt</t>
  </si>
  <si>
    <t>34274-28-7</t>
  </si>
  <si>
    <t>[nitrilotris (methylene)] tris-phosphonic acid, pentasodium salt</t>
  </si>
  <si>
    <t>2235-43-0</t>
  </si>
  <si>
    <t>[nitrilotris (methylene)] tris-phosphonic acid, sodium salt</t>
  </si>
  <si>
    <t>20592-85-2</t>
  </si>
  <si>
    <t>[nitrilotris(methylene)]tris(phosphonic acid)</t>
  </si>
  <si>
    <t>40588-62-3</t>
  </si>
  <si>
    <t>1-(1-chlorocyclopropyl) ethanone</t>
  </si>
  <si>
    <t>63141-09-3</t>
  </si>
  <si>
    <t>1-(1-naphthyl)-2-thiourea</t>
  </si>
  <si>
    <t>86-88-4</t>
  </si>
  <si>
    <t>1-(1-naphthylmethyl)quinolinium chloride</t>
  </si>
  <si>
    <t>65322-65-8</t>
  </si>
  <si>
    <t>1-(2-((2-((2-((2-aminoethyl)amino)ethyl)amino)ethyl)amino)ethyl)-2,5-pyrrolidinedione, monopolyisobutenyl derivs.</t>
  </si>
  <si>
    <t>67762-72-5 (PM)</t>
  </si>
  <si>
    <t>67762-72-5 (Vapor)</t>
  </si>
  <si>
    <t>1-(2,3,8,8-tetramethyl-1,2,3,4,5,6,7,8-octahydro-2-naphthalenyl)ethanone</t>
  </si>
  <si>
    <t>54464-57-2</t>
  </si>
  <si>
    <t>1-(2,6,6-trimethyl-3-cyclohexen-1-yl)-2-buten-1-one</t>
  </si>
  <si>
    <t>57378-68-4</t>
  </si>
  <si>
    <t>1-(2-aminoethyl)-2-(8-heptadecenyl)-2-imidazoline</t>
  </si>
  <si>
    <t>3528-63-0</t>
  </si>
  <si>
    <t>1-(2-aminoethyl)-2-tall oil alkyl-2-imidazoline</t>
  </si>
  <si>
    <t>68389-77-5</t>
  </si>
  <si>
    <t>1-(2-hydroxyethyl)-2-(tall oil-alkyl)-2-imidazoline</t>
  </si>
  <si>
    <t>61791-39-7</t>
  </si>
  <si>
    <t>1-(2-hydroxyethyl)-2-pyrrolidinone</t>
  </si>
  <si>
    <t>3445-11-2</t>
  </si>
  <si>
    <t>1-(3-chloroallyl)-3,5,7-aza-1-azoniad adamantane chloride</t>
  </si>
  <si>
    <t>4080-31-3</t>
  </si>
  <si>
    <t>1-(4-isobutylphenyl)ethanol</t>
  </si>
  <si>
    <t>40150-92-3</t>
  </si>
  <si>
    <t>1-(4-pentenyl) piperidine</t>
  </si>
  <si>
    <t>81547-95-7</t>
  </si>
  <si>
    <t>1-(benzyl)quinolinium chloride</t>
  </si>
  <si>
    <t>15619-48-4</t>
  </si>
  <si>
    <t>1-(bis(2-(1,3-dimethylbutylideneamino)ethyl)amino)-3-phenoxypropan-2-ol</t>
  </si>
  <si>
    <t>68541-07-1</t>
  </si>
  <si>
    <t>1-(dimethylamino)-2-propanol</t>
  </si>
  <si>
    <t>108-16-7</t>
  </si>
  <si>
    <t>1-(phenylmethyl)-pyridinium, Et Me derivs., chlorides</t>
  </si>
  <si>
    <t>68909-18-2</t>
  </si>
  <si>
    <t>1,1'-(1,5-naphthalenediyl)bis(3-{3-[(2-ethylhexyl)oxy]propyl}urea)</t>
  </si>
  <si>
    <t>71216-01-8</t>
  </si>
  <si>
    <t>1,1'-(1-methylethylidene)bis[4-(4-azidophenoxy)-benzene</t>
  </si>
  <si>
    <t>71550-57-7</t>
  </si>
  <si>
    <t>1,1-(p-tolylimino)dipropan-2-ol</t>
  </si>
  <si>
    <t>38668-48-3</t>
  </si>
  <si>
    <t>1,1,1,2,2-pentachloro-2-fluoroethane</t>
  </si>
  <si>
    <t>354-56-3 (Not Defined)</t>
  </si>
  <si>
    <t>354-56-3 (PM)</t>
  </si>
  <si>
    <t>1,1,1,2,2-pentafluoroethane</t>
  </si>
  <si>
    <t>354-33-6</t>
  </si>
  <si>
    <t>1,1,1,2,2-pentafluoropropane</t>
  </si>
  <si>
    <t>1814-88-6</t>
  </si>
  <si>
    <t>1,1,1,2,3,3,3-heptafluoropropane</t>
  </si>
  <si>
    <t>431-89-0</t>
  </si>
  <si>
    <t>1,1,1,2,3,4,4,5,5,5,-decafluoropentane</t>
  </si>
  <si>
    <t>138495-42-8</t>
  </si>
  <si>
    <t>1,1,1,2-tetrachloro-2,2-difluoroethane</t>
  </si>
  <si>
    <t>76-11-9</t>
  </si>
  <si>
    <t>1,1,1,2-tetrachloroethane</t>
  </si>
  <si>
    <t>630-20-6</t>
  </si>
  <si>
    <t>1,1,1,2-tetrafluoropropane</t>
  </si>
  <si>
    <t>421-48-7</t>
  </si>
  <si>
    <t>1,1,1,2-tetrafluroethane</t>
  </si>
  <si>
    <t>811-97-2</t>
  </si>
  <si>
    <t>1,1,1,3,3,3-hexafluropropane</t>
  </si>
  <si>
    <t>690-39-1</t>
  </si>
  <si>
    <t>1,1,1,3,3-pentafluorobutane</t>
  </si>
  <si>
    <t>406-58-6</t>
  </si>
  <si>
    <t>1,1,1,3,3-pentafluoropropane</t>
  </si>
  <si>
    <t>460-73-1</t>
  </si>
  <si>
    <t>1,1,1,3,5,5,5-heptamethyl-3-(trimethylsiloxy)trisiloxane</t>
  </si>
  <si>
    <t>17928-28-8 (PM)</t>
  </si>
  <si>
    <t>17928-28-8 (Vapor)</t>
  </si>
  <si>
    <t>1,1,1,3-tetrachloropropane</t>
  </si>
  <si>
    <t>1070-78-6</t>
  </si>
  <si>
    <t>1,1,1,3-tetrafluoropropane</t>
  </si>
  <si>
    <t>460-36-6</t>
  </si>
  <si>
    <t>1,1,1,5,5,5-hexamethyl-3,3-bis(trimethylsiloxy)-trisiloxane</t>
  </si>
  <si>
    <t>3555-47-3 (PM)</t>
  </si>
  <si>
    <t>3555-47-3 (Vapor)</t>
  </si>
  <si>
    <t>1,1,1-chlorodifluoroethane</t>
  </si>
  <si>
    <t>75-68-3</t>
  </si>
  <si>
    <t>1,1,1-trichloro-2,2,2-trifluoroethane</t>
  </si>
  <si>
    <t>354-58-5</t>
  </si>
  <si>
    <t>1,1,1-trichloro-2-methyl-2-propanol</t>
  </si>
  <si>
    <t>57-15-8</t>
  </si>
  <si>
    <t>1,1,1-trichloroethane</t>
  </si>
  <si>
    <t>71-55-6</t>
  </si>
  <si>
    <t>1,1,1-trifluoroethane</t>
  </si>
  <si>
    <t>420-46-2</t>
  </si>
  <si>
    <t>1,1,2,2-tetrabromoethane</t>
  </si>
  <si>
    <t>79-27-6</t>
  </si>
  <si>
    <t>1,1,2,2-tetrachloro-1,2-difluoroethane</t>
  </si>
  <si>
    <t>76-12-0</t>
  </si>
  <si>
    <t>1,1,2,2-tetrachloroethane</t>
  </si>
  <si>
    <t>79-34-5</t>
  </si>
  <si>
    <t>1,1,2,3,3,4,4-heptachloro-1-butene</t>
  </si>
  <si>
    <t>116188-72-8</t>
  </si>
  <si>
    <t>1,1,2,3,3,4-hexachloro-1-butene</t>
  </si>
  <si>
    <t>56631-01-7</t>
  </si>
  <si>
    <t>1,1,2,4,4-pentachlorobuta-1,3-diene</t>
  </si>
  <si>
    <t>21400-41-9</t>
  </si>
  <si>
    <t>1,1,2-trichloro-1,2,2-trifluoroethane</t>
  </si>
  <si>
    <t>76-13-1</t>
  </si>
  <si>
    <t>1,1,2-trichloroethane</t>
  </si>
  <si>
    <t>79-00-5</t>
  </si>
  <si>
    <t>1,1,2-trimethylcyclohexane</t>
  </si>
  <si>
    <t>7094-26-0</t>
  </si>
  <si>
    <t>1,1,2-trimethylcyclopentane</t>
  </si>
  <si>
    <t>4259-00-1</t>
  </si>
  <si>
    <t>1,1,3,3,4,4-hexachloro-1-butene</t>
  </si>
  <si>
    <t>34973-39-2</t>
  </si>
  <si>
    <t>1,1,3,3-tetrabutylurea</t>
  </si>
  <si>
    <t>4559-86-8</t>
  </si>
  <si>
    <t>1,1,3,3-tetramethylbutyl hydroperoxide</t>
  </si>
  <si>
    <t>5809-08-5</t>
  </si>
  <si>
    <t>1,1,3,5-tetramethyl piperidinium chloride</t>
  </si>
  <si>
    <t>113277-69-3</t>
  </si>
  <si>
    <t>1,1,3,trimethyl-3-phenyl indane</t>
  </si>
  <si>
    <t>3910-35-8</t>
  </si>
  <si>
    <t>1,1,3-trichloro-1-propene</t>
  </si>
  <si>
    <t>2567-14-8</t>
  </si>
  <si>
    <t>1,1,3-trimethycyclohexane</t>
  </si>
  <si>
    <t>3073-66-3</t>
  </si>
  <si>
    <t>1,1,3-trimethyl-5-(1 -methylethyl)-1H-indene</t>
  </si>
  <si>
    <t>30839-52-2</t>
  </si>
  <si>
    <t>1,1,3-trimethylcyclopentane</t>
  </si>
  <si>
    <t>4516-69-2</t>
  </si>
  <si>
    <t>1,1,4,4-tetrachlorobuta-1,3-diene</t>
  </si>
  <si>
    <t>36038-53-6</t>
  </si>
  <si>
    <t>1,1,4,4-tetramethyltetramethylene ester peroxybenzoic acid</t>
  </si>
  <si>
    <t>2618-77-1</t>
  </si>
  <si>
    <t>1,1,4,4-tetraphenyl-1,3-butadiene</t>
  </si>
  <si>
    <t>1450-63-1</t>
  </si>
  <si>
    <t>1,1,4,7,7-pentamethyl-diethylenetriamine</t>
  </si>
  <si>
    <t>3030-47-5</t>
  </si>
  <si>
    <t>1,1,4-trimethylcyclohexane</t>
  </si>
  <si>
    <t>7094-27-1</t>
  </si>
  <si>
    <t>1,10-decanediamine</t>
  </si>
  <si>
    <t>646-25-3</t>
  </si>
  <si>
    <t>1,10-phenanthroline</t>
  </si>
  <si>
    <t>66-71-7</t>
  </si>
  <si>
    <t>1,13-tetradecadiene</t>
  </si>
  <si>
    <t>21964-49-8</t>
  </si>
  <si>
    <t>1,1'-bi(cyclohexyl)</t>
  </si>
  <si>
    <t>92-51-3</t>
  </si>
  <si>
    <t>1,1-bis[4-ethylphenyl]ethane</t>
  </si>
  <si>
    <t>10224-91-6</t>
  </si>
  <si>
    <t>1,1-di-(t-butylperoxy)-3,3,5-trimethylcyclohexane</t>
  </si>
  <si>
    <t>6731-36-8</t>
  </si>
  <si>
    <t>1,1-dibutyl-2-hydroxyguanidine</t>
  </si>
  <si>
    <t>29044-29-9</t>
  </si>
  <si>
    <t>1,1-dichloro-1,2,2,2-tetrafluoroethane</t>
  </si>
  <si>
    <t>374-07-2</t>
  </si>
  <si>
    <t>1,1-dichloro-1-fluoroethane</t>
  </si>
  <si>
    <t>1717-00-6</t>
  </si>
  <si>
    <t>1,1-dichloro-1-nitroethane</t>
  </si>
  <si>
    <t>594-72-9</t>
  </si>
  <si>
    <t>1,1-dichlorobut-1-ene</t>
  </si>
  <si>
    <t>11069-19-5</t>
  </si>
  <si>
    <t>1,1-dichloroethane</t>
  </si>
  <si>
    <t>75-34-3</t>
  </si>
  <si>
    <t>1,1-dichloroethylene</t>
  </si>
  <si>
    <t>75-35-4</t>
  </si>
  <si>
    <t>1,1-dichloropropan-1-ol</t>
  </si>
  <si>
    <t>26545-73-3</t>
  </si>
  <si>
    <t>1,1-dichloropropane</t>
  </si>
  <si>
    <t>78-99-9</t>
  </si>
  <si>
    <t>1,1-dichloropropene</t>
  </si>
  <si>
    <t>563-58-6</t>
  </si>
  <si>
    <t>1,1-diethoxy-but-2-ene</t>
  </si>
  <si>
    <t>10602-34-3</t>
  </si>
  <si>
    <t>1,1-difluoroethane</t>
  </si>
  <si>
    <t>75-37-6</t>
  </si>
  <si>
    <t>1,1-dimethyl hydrazine</t>
  </si>
  <si>
    <t>57-14-7</t>
  </si>
  <si>
    <t>1,1-dimethyl-3-phenyl urea</t>
  </si>
  <si>
    <t>101-42-8</t>
  </si>
  <si>
    <t>1,1-dimethylcyclohexane</t>
  </si>
  <si>
    <t>590-66-9</t>
  </si>
  <si>
    <t>1,1-dimethylethyl 2-propenylperoxide</t>
  </si>
  <si>
    <t>39972-78-6</t>
  </si>
  <si>
    <t>1,1-di-t-amylperoxycyclohexane</t>
  </si>
  <si>
    <t>15667-10-4</t>
  </si>
  <si>
    <t>1,1-di-tert-butylperoxycyclohexane</t>
  </si>
  <si>
    <t>3006-86-8</t>
  </si>
  <si>
    <t>1,1-methylethylcyclopentane</t>
  </si>
  <si>
    <t>3875-51-2</t>
  </si>
  <si>
    <t>1,1'-oxybis(4-chlorobutane)</t>
  </si>
  <si>
    <t>6334-96-9</t>
  </si>
  <si>
    <t>1,1-oxybis-benzene tetrapropylene derivs., sulfonated</t>
  </si>
  <si>
    <t>119345-03-8</t>
  </si>
  <si>
    <t>1,1'-oxybisbenzene, pentabromo deriv</t>
  </si>
  <si>
    <t>32534-81-9</t>
  </si>
  <si>
    <t>1,1'-oxybisbenzene, tetrapropylene derivs, sulfonated, sodium salts</t>
  </si>
  <si>
    <t>119345-04-9 (PM)</t>
  </si>
  <si>
    <t>119345-04-9 (Vapor)</t>
  </si>
  <si>
    <t>1,1'-oxybiscyclohexane</t>
  </si>
  <si>
    <t>4645-15-2</t>
  </si>
  <si>
    <t>1,1'-oxydi-2-propanol</t>
  </si>
  <si>
    <t>110-98-5</t>
  </si>
  <si>
    <t>1,1'-sulfonylbis(2,4-dimethylbenzene)</t>
  </si>
  <si>
    <t>5184-75-8</t>
  </si>
  <si>
    <t>1,2,2,6,6-pentamethyl-4-piperidinol</t>
  </si>
  <si>
    <t>2403-89-6</t>
  </si>
  <si>
    <t>1,2,3,3,4,4,5,5-octafluorocyclopentene</t>
  </si>
  <si>
    <t>559-40-0</t>
  </si>
  <si>
    <t>1,2,3,4,5-pentamethylcyclopentane</t>
  </si>
  <si>
    <t>33067-32-2</t>
  </si>
  <si>
    <t>1,2,3,4-tetrachlorobenzene</t>
  </si>
  <si>
    <t>634-66-2 (PM)</t>
  </si>
  <si>
    <t>634-66-2 (Vapor)</t>
  </si>
  <si>
    <t>1,2,3,4-tetrahydro(1-phenylethyl)naphthalene</t>
  </si>
  <si>
    <t>63674-30-6</t>
  </si>
  <si>
    <t>1,2,3,4-tetrahydro-5(1-phenyl)naphthalene</t>
  </si>
  <si>
    <t>60466-61-7</t>
  </si>
  <si>
    <t>1,2,3,4-tetrahydro-6(1-phenyl)naphthalene</t>
  </si>
  <si>
    <t>6196-98-1</t>
  </si>
  <si>
    <t>1,2,3,4-tetrahydronaphthalene</t>
  </si>
  <si>
    <t>119-64-2</t>
  </si>
  <si>
    <t>1,2,3,4-tetrahydroquinoline</t>
  </si>
  <si>
    <t>635-46-1</t>
  </si>
  <si>
    <t>1,2,3,4-tetramethylbenzene</t>
  </si>
  <si>
    <t>488-23-3</t>
  </si>
  <si>
    <t>1,2,3,4-tetramethylnaphthalene</t>
  </si>
  <si>
    <t>3031-15-0</t>
  </si>
  <si>
    <t>1,2,3,5-tetrachlorobenzene</t>
  </si>
  <si>
    <t>634-90-2 (PM)</t>
  </si>
  <si>
    <t>634-90-2 (Vapor)</t>
  </si>
  <si>
    <t>1,2,3,5-tetramethylbenzene</t>
  </si>
  <si>
    <t>527-53-7</t>
  </si>
  <si>
    <t>1,2,3,6-tetrahydrobenzaldehyde</t>
  </si>
  <si>
    <t>100-50-5</t>
  </si>
  <si>
    <t>1,2,3-benzotriazole</t>
  </si>
  <si>
    <t>95-14-7</t>
  </si>
  <si>
    <t>1,2,3-propanetriol, polymer with (chloromethyl)oxirane</t>
  </si>
  <si>
    <t>25038-04-4</t>
  </si>
  <si>
    <t>1,2,3-propanetriyl trioctadecanoate</t>
  </si>
  <si>
    <t>555-43-1</t>
  </si>
  <si>
    <t>1,2,3-trichlorobenzene</t>
  </si>
  <si>
    <t>87-61-6 (PM)</t>
  </si>
  <si>
    <t>87-61-6 (Vapor)</t>
  </si>
  <si>
    <t>1,2,3-trichloropropane</t>
  </si>
  <si>
    <t>96-18-4</t>
  </si>
  <si>
    <t>1,2,3-trichloropropane, polymer with 1,1'-(methylenebis(oxy))bis(2-chloroethane) and sodium sulfide (Na2(Sx)), reduced</t>
  </si>
  <si>
    <t>68611-50-7</t>
  </si>
  <si>
    <t>1,2,3-trichloropropene</t>
  </si>
  <si>
    <t>96-19-5</t>
  </si>
  <si>
    <t>1,2,3-trimethylbenzene</t>
  </si>
  <si>
    <t>526-73-8</t>
  </si>
  <si>
    <t>1,2,4,5-benzenetetracarboxylic acid, compd. with 4,5-dihydro-2-phenyl-1H-imidazole (1:1)</t>
  </si>
  <si>
    <t>54553-90-1</t>
  </si>
  <si>
    <t>1,2,4,5-tetra-(1E)-prop-1-en-1-ylbenzene</t>
  </si>
  <si>
    <t>68512-02-7</t>
  </si>
  <si>
    <t>1,2,4,5-tetrachlorobenzene</t>
  </si>
  <si>
    <t>95-94-3 (PM)</t>
  </si>
  <si>
    <t>95-94-3 (Vapor)</t>
  </si>
  <si>
    <t>1,2,4,5-tetraethylbenzene</t>
  </si>
  <si>
    <t>635-81-4</t>
  </si>
  <si>
    <t>1,2,4,5-tetramethylbenzene</t>
  </si>
  <si>
    <t>95-93-2</t>
  </si>
  <si>
    <t>1,2,4-cyclohexanetriethanethiol</t>
  </si>
  <si>
    <t>25664-92-0</t>
  </si>
  <si>
    <t>1,2,4-triazole</t>
  </si>
  <si>
    <t>288-88-0</t>
  </si>
  <si>
    <t>1,2,4-tributyl phosphorotrithioate</t>
  </si>
  <si>
    <t>78-48-8</t>
  </si>
  <si>
    <t>1,2,4-trichlorobenzene</t>
  </si>
  <si>
    <t>120-82-1</t>
  </si>
  <si>
    <t>1,2,4-triethenyl cyclohexane</t>
  </si>
  <si>
    <t>2855-27-8</t>
  </si>
  <si>
    <t>1,2,4-triethylbenzene</t>
  </si>
  <si>
    <t>877-44-1</t>
  </si>
  <si>
    <t>1,2,4-triisopropylbenzene</t>
  </si>
  <si>
    <t>948-32-3</t>
  </si>
  <si>
    <t>1,2,4-trimethylbenzene</t>
  </si>
  <si>
    <t>95-63-6</t>
  </si>
  <si>
    <t>1,2,6-hexanetriol</t>
  </si>
  <si>
    <t>106-69-4</t>
  </si>
  <si>
    <t>1,2-benzenedicarboxylic acid, 1,2-dihexyl ester, branched and linear</t>
  </si>
  <si>
    <t>68515-50-4</t>
  </si>
  <si>
    <t>1,2-benzenedicarboxylic acid, di-C6-12-branched and linear alkyl esters</t>
  </si>
  <si>
    <t>392662-40-7</t>
  </si>
  <si>
    <t>1,2-benzenedicarboxylic acid, di-C6-C8, br alkyl esters</t>
  </si>
  <si>
    <t>71888-89-6</t>
  </si>
  <si>
    <t>1,2-benzenedicarboxylic acid, di-C7-11-branched and linear alkyl esters</t>
  </si>
  <si>
    <t>68515-42-4</t>
  </si>
  <si>
    <t>1,2-benzenedicarboxylic acid, di-C7-C9-alkyl esters</t>
  </si>
  <si>
    <t>68515-41-3</t>
  </si>
  <si>
    <t>1,2-benzenedicarboxylic acid, di-C8-10-branched alkyl esters, C9-rich</t>
  </si>
  <si>
    <t>68515-48-0</t>
  </si>
  <si>
    <t>1,2-benzenedicarboxylic acid, di-C9-11-branched alkyl esters, C10-rich</t>
  </si>
  <si>
    <t>68515-49-1</t>
  </si>
  <si>
    <t>1,2-benzenedicarboxylic acid, diheptyl nonyl undecyl ester, branched and linear</t>
  </si>
  <si>
    <t>111381-91-0</t>
  </si>
  <si>
    <t>1,2-benzenedicarboxylic acid, diheptyl undecyl ester, branched and linear</t>
  </si>
  <si>
    <t>111381-90-9</t>
  </si>
  <si>
    <t>1,2-benzenedicarboxylic acid, dihexyl ester</t>
  </si>
  <si>
    <t>84-75-3</t>
  </si>
  <si>
    <t>1,2-benzenedicarboxylic acid, dipropyl ester</t>
  </si>
  <si>
    <t>131-16-8</t>
  </si>
  <si>
    <t>1,2-benzenedicarboxylic aicd, diheptyl ester, branched and linear</t>
  </si>
  <si>
    <t>68515-44-6</t>
  </si>
  <si>
    <t>1,2-benzenedicarboxylic aicd, diheptyl nonyl ester, branched and linear</t>
  </si>
  <si>
    <t>111381-89-6</t>
  </si>
  <si>
    <t>1,2-benzenedicarboxylic aicd, dinonyl ester, branched and linear (also 9P Ester)</t>
  </si>
  <si>
    <t>68515-45-7</t>
  </si>
  <si>
    <t>1,2-benzisothiazolin-3-one</t>
  </si>
  <si>
    <t>2634-33-5</t>
  </si>
  <si>
    <t>1,2-bis(2-chloroethoxy)ethane</t>
  </si>
  <si>
    <t>112-26-5</t>
  </si>
  <si>
    <t>1,2-bis(tribromophenoxy)-ethane</t>
  </si>
  <si>
    <t>37853-59-1</t>
  </si>
  <si>
    <t>1,2-butadiene</t>
  </si>
  <si>
    <t>590-19-2</t>
  </si>
  <si>
    <t>1,2-butylene glycol</t>
  </si>
  <si>
    <t>584-03-2</t>
  </si>
  <si>
    <t>1,2-cyclohexanediamine, reaction products with 1,6-hexanediamine and 2,2-(1-methylethylidene)bis(4,1-phenyleneoxymethylene)bisoxirane homopolymer</t>
  </si>
  <si>
    <t>68609-07-4</t>
  </si>
  <si>
    <t>1,2-cyclohexanediol</t>
  </si>
  <si>
    <t>931-17-9</t>
  </si>
  <si>
    <t>1,2-cyclohexyl-2-ethyl-1,3-propanediol</t>
  </si>
  <si>
    <t>25450-99-1</t>
  </si>
  <si>
    <t>1,2-di-2-ethoxy-4-fluoro-6-pyrimidinyl)hydrazine</t>
  </si>
  <si>
    <t>1,2-diaminotoluene, ethoxylated and propoxylated</t>
  </si>
  <si>
    <t>67800-94-6</t>
  </si>
  <si>
    <t>1,2-dibromo-2,2-dichloroethyl dimethyl phosphate</t>
  </si>
  <si>
    <t>300-76-5</t>
  </si>
  <si>
    <t>1,2-dibromo-2,4-dicyanobutane</t>
  </si>
  <si>
    <t>35691-65-7</t>
  </si>
  <si>
    <t>1,2-dibromo-3-chloropropane</t>
  </si>
  <si>
    <t>96-12-8</t>
  </si>
  <si>
    <t>1,2-dichloro-1,1,2,2-tetrafluoroethane</t>
  </si>
  <si>
    <t>76-14-2</t>
  </si>
  <si>
    <t>1,2-dichloro-1,1,2-trifluoroethane</t>
  </si>
  <si>
    <t>354-23-4</t>
  </si>
  <si>
    <t>1,2-dichloro-2-methylpropane</t>
  </si>
  <si>
    <t>594-37-6</t>
  </si>
  <si>
    <t>1,2-dichloro-3-nitrobenzene</t>
  </si>
  <si>
    <t>3209-22-1</t>
  </si>
  <si>
    <t>1,2-dichloro-4-trifluoromethylbenzene</t>
  </si>
  <si>
    <t>328-84-7</t>
  </si>
  <si>
    <t>1,2-dichlorobenzene</t>
  </si>
  <si>
    <t>95-50-1</t>
  </si>
  <si>
    <t>1,2-dichlorobutane</t>
  </si>
  <si>
    <t>616-21-7</t>
  </si>
  <si>
    <t>1,2-dichloroethane, polymer with ammonia</t>
  </si>
  <si>
    <t>29320-38-5</t>
  </si>
  <si>
    <t>1,2-dichloroethylene</t>
  </si>
  <si>
    <t>540-59-0</t>
  </si>
  <si>
    <t>1,2-dichloropropane</t>
  </si>
  <si>
    <t>78-87-5</t>
  </si>
  <si>
    <t>1,2-dichloropropene</t>
  </si>
  <si>
    <t>26952-23-8</t>
  </si>
  <si>
    <t>1,2-dihydronaphthalene</t>
  </si>
  <si>
    <t>447-53-0</t>
  </si>
  <si>
    <t>1,2-diisopropylbenzene</t>
  </si>
  <si>
    <t>577-55-9</t>
  </si>
  <si>
    <t>1,2-dimethoxyethane</t>
  </si>
  <si>
    <t>110-71-4</t>
  </si>
  <si>
    <t>1,2-dimethxoybenzene</t>
  </si>
  <si>
    <t>91-16-7</t>
  </si>
  <si>
    <t>1,2-dimethyl-1,4-cyclohexadiene</t>
  </si>
  <si>
    <t>17351-28-9</t>
  </si>
  <si>
    <t>1,2-dimethyl-3-ethylbenzene</t>
  </si>
  <si>
    <t>933-98-2</t>
  </si>
  <si>
    <t>1,2-dimethylcyclohexane, mixture of cis and trans</t>
  </si>
  <si>
    <t>583-57-3</t>
  </si>
  <si>
    <t>1,2-dimethyl-cyclohexene</t>
  </si>
  <si>
    <t>1674-10-8</t>
  </si>
  <si>
    <t>1,2-dimethylcyclooctene</t>
  </si>
  <si>
    <t>54299-96-6</t>
  </si>
  <si>
    <t>1,2-dimethylnaphthalene</t>
  </si>
  <si>
    <t>573-98-8</t>
  </si>
  <si>
    <t>1,2-dinitrobenzene</t>
  </si>
  <si>
    <t>528-29-0</t>
  </si>
  <si>
    <t>1,2-diphenyl guanidine</t>
  </si>
  <si>
    <t>102-06-7</t>
  </si>
  <si>
    <t>1,2-diphenylhydrazine</t>
  </si>
  <si>
    <t>122-66-7</t>
  </si>
  <si>
    <t>1,2-epoxybutane</t>
  </si>
  <si>
    <t>106-88-7</t>
  </si>
  <si>
    <t>1,2-epoxyhexadecane</t>
  </si>
  <si>
    <t>7320-37-8 (PM)</t>
  </si>
  <si>
    <t>7320-37-8 (Vapor)</t>
  </si>
  <si>
    <t>1,2-epoxyhexane</t>
  </si>
  <si>
    <t>1436-34-6</t>
  </si>
  <si>
    <t>1,2-ethanediamine polymer with (chloromethyl)oxirane and N-methylmethanamine</t>
  </si>
  <si>
    <t>61163-15-3</t>
  </si>
  <si>
    <t>1,2-ethanediamine polymer with methyloxirane</t>
  </si>
  <si>
    <t>25214-63-5</t>
  </si>
  <si>
    <t>1,2-ethanediamine, homopolymer</t>
  </si>
  <si>
    <t>27308-78-7</t>
  </si>
  <si>
    <t>1,2-ethanediamine, polymer with aziridine</t>
  </si>
  <si>
    <t>25987-06-8</t>
  </si>
  <si>
    <t>1,2-ethanedithiol</t>
  </si>
  <si>
    <t>540-63-6</t>
  </si>
  <si>
    <t>1,2-propadiene</t>
  </si>
  <si>
    <t>463-49-0</t>
  </si>
  <si>
    <t>1,2-propadienyl cyclohexane</t>
  </si>
  <si>
    <t>5664-17-5</t>
  </si>
  <si>
    <t>1,2-propanediol, polymer with 2-methyloxirane and oxirane</t>
  </si>
  <si>
    <t>65395-10-0</t>
  </si>
  <si>
    <t>1,2-trans,4-cis-trimethyl-cyclopentane</t>
  </si>
  <si>
    <t>2613-70-9</t>
  </si>
  <si>
    <t>1,3,3-trichloropropene</t>
  </si>
  <si>
    <t>26556-03-6</t>
  </si>
  <si>
    <t>1,3,5,7-tetrakis(3,3,3-trifluoroprop-1-yl)-1,3,5,7-tetramethylcyclotetrasiloxane</t>
  </si>
  <si>
    <t>429-67-4</t>
  </si>
  <si>
    <t>1,3,5-trichlorobenzene</t>
  </si>
  <si>
    <t>108-70-3 (PM)</t>
  </si>
  <si>
    <t>108-70-3 (Vapor)</t>
  </si>
  <si>
    <t>1,3,5-triethylbenzene</t>
  </si>
  <si>
    <t>102-25-0</t>
  </si>
  <si>
    <t>1,3,5-triisopropylbenzene</t>
  </si>
  <si>
    <t>717-74-8</t>
  </si>
  <si>
    <t>1,3,5-trimethyl-2,4,6-tris(3,5-di-tert-butyl-4-hydroxybenzyl)benzene</t>
  </si>
  <si>
    <t>1709-70-2</t>
  </si>
  <si>
    <t>1,3,5-trimethylbenzene</t>
  </si>
  <si>
    <t>108-67-8</t>
  </si>
  <si>
    <t>1,3,5-trimethylcyclohexane</t>
  </si>
  <si>
    <t>1839-63-0</t>
  </si>
  <si>
    <t>1,3,5-trimethylhexahydro-1,3,5-triazine</t>
  </si>
  <si>
    <t>108-74-7</t>
  </si>
  <si>
    <t>1,3,5-trimethylpiperidine</t>
  </si>
  <si>
    <t>27644-32-2</t>
  </si>
  <si>
    <t>1,3,5-trinitrobenzene</t>
  </si>
  <si>
    <t>99-35-4</t>
  </si>
  <si>
    <t>1,3,5-trioxane</t>
  </si>
  <si>
    <t>110-88-3 (PM)</t>
  </si>
  <si>
    <t>110-88-3 (Vapor)</t>
  </si>
  <si>
    <t>1,3,5-tris(3,3,3-trifluoropropyl)-methylcyclotrisiloxane</t>
  </si>
  <si>
    <t>2374-14-3</t>
  </si>
  <si>
    <t>1,3,5-tris(3-dimethylamino) propylhexahydro-s-triazine</t>
  </si>
  <si>
    <t>15875-13-5</t>
  </si>
  <si>
    <t>1,3,5-tris(6-isocyanatohexyl)-1,3,5-triazinane-2,4,6-trione</t>
  </si>
  <si>
    <t>3779-63-3</t>
  </si>
  <si>
    <t>1,3,5-tris[3-(trimethoxysilyl)propyl]-1,3,5-triazinane-2,4,6-trione</t>
  </si>
  <si>
    <t>26115-70-8 (PM)</t>
  </si>
  <si>
    <t>26115-70-8 (Vapor)</t>
  </si>
  <si>
    <t>1,3,6,8-pyrenetetrasulfonic acid tetrasodium salt hydrate</t>
  </si>
  <si>
    <t>59572-10-0</t>
  </si>
  <si>
    <t>1,3,6-hexanetricarbonitrile</t>
  </si>
  <si>
    <t>1772-25-4</t>
  </si>
  <si>
    <t>1,3-benzenedimethanamine, polymer with diglycidyl ether of bisphenol A and 2,2,4-trimethyl 1,6-hexane diamine</t>
  </si>
  <si>
    <t>68738-77-2</t>
  </si>
  <si>
    <t>1,3-benzoxazole-2(3H)-thione</t>
  </si>
  <si>
    <t>2382-96-9</t>
  </si>
  <si>
    <t>1,3-bis(hydroxymethyl)-5,5-dimethyl-2,4-imidazolidinedione</t>
  </si>
  <si>
    <t>6440-58-0</t>
  </si>
  <si>
    <t>1,3-butadiene</t>
  </si>
  <si>
    <t>106-99-0</t>
  </si>
  <si>
    <t>1,3-butadiene homopolymer</t>
  </si>
  <si>
    <t>9003-17-2</t>
  </si>
  <si>
    <t>1,3-butanediol</t>
  </si>
  <si>
    <t>107-88-0</t>
  </si>
  <si>
    <t>1,3-butanediol dimethacrylate</t>
  </si>
  <si>
    <t>1189-08-8</t>
  </si>
  <si>
    <t>1,3-butanediol, polymer with 2-ethyl-2-(hydroxymethyl)-1,3-propanediol and 5-isocyanato-1-(isocyanatomethyl)-1,3,3-trimethylcyclohexane</t>
  </si>
  <si>
    <t>30228-07-0</t>
  </si>
  <si>
    <t>1,3-cyclohexane dicarboxaldehyde</t>
  </si>
  <si>
    <t>55309-54-1</t>
  </si>
  <si>
    <t>1,3-cyclohexanediol</t>
  </si>
  <si>
    <t>504-01-8</t>
  </si>
  <si>
    <t>1,3-cyclohexanedione</t>
  </si>
  <si>
    <t>504-02-9</t>
  </si>
  <si>
    <t>1,3-dichloro-1,1,2,2,3-pentafluoropropane</t>
  </si>
  <si>
    <t>507-55-1</t>
  </si>
  <si>
    <t>1,3-dichloro-2-butene</t>
  </si>
  <si>
    <t>7415-31-8</t>
  </si>
  <si>
    <t>1,3-dichloro-2-butene, mixture of cis and trans</t>
  </si>
  <si>
    <t>926-57-8</t>
  </si>
  <si>
    <t>1,3-dichloro-2-propanol</t>
  </si>
  <si>
    <t>96-23-1</t>
  </si>
  <si>
    <t>1,3-dichloro-2-propanol phosphate</t>
  </si>
  <si>
    <t>13674-87-8</t>
  </si>
  <si>
    <t>1,3-dichloro-2-propyloxymethyl propionate</t>
  </si>
  <si>
    <t>89910-07-6 (PM)</t>
  </si>
  <si>
    <t>89910-07-6 (Vapor)</t>
  </si>
  <si>
    <t>1,3-dichloro-5,5-dimethyl-2,4-imidazolidinedione</t>
  </si>
  <si>
    <t>118-52-5</t>
  </si>
  <si>
    <t>1,3-dichlorobenzene</t>
  </si>
  <si>
    <t>541-73-1</t>
  </si>
  <si>
    <t>1,3-dichloropropane</t>
  </si>
  <si>
    <t>142-28-9</t>
  </si>
  <si>
    <t>1,3-dichloropropene</t>
  </si>
  <si>
    <t>542-75-6</t>
  </si>
  <si>
    <t>1,3-dihydroxybenzene</t>
  </si>
  <si>
    <t>120-80-9</t>
  </si>
  <si>
    <t>1,3-diisopropenylbenzene</t>
  </si>
  <si>
    <t>3748-13-8</t>
  </si>
  <si>
    <t>1,3-diisopropyl -5-ethylbenzene</t>
  </si>
  <si>
    <t>15181-13-2</t>
  </si>
  <si>
    <t>1,3-diisopropylbenzene</t>
  </si>
  <si>
    <t>99-62-7</t>
  </si>
  <si>
    <t>1,3-dimethyl-2-imidazolidinone</t>
  </si>
  <si>
    <t>80-73-9</t>
  </si>
  <si>
    <t>1,3-dimethyl-4-ethylbenzene</t>
  </si>
  <si>
    <t>874-41-9</t>
  </si>
  <si>
    <t>1,3-dimethyl-5-ethylbenzene</t>
  </si>
  <si>
    <t>934-74-7</t>
  </si>
  <si>
    <t>1,3-dimethylbutylamine</t>
  </si>
  <si>
    <t>108-09-8</t>
  </si>
  <si>
    <t>1,3-dimethylcyclohexane, mixture of cis and trans</t>
  </si>
  <si>
    <t>591-21-9</t>
  </si>
  <si>
    <t>1,3-dimethylindane</t>
  </si>
  <si>
    <t>4175-53-5</t>
  </si>
  <si>
    <t>1,3-dimethylnaphthalene</t>
  </si>
  <si>
    <t>575-41-7</t>
  </si>
  <si>
    <t>1,3-dioxepane</t>
  </si>
  <si>
    <t>505-65-7</t>
  </si>
  <si>
    <t>1,3-dioxolane</t>
  </si>
  <si>
    <t>646-06-0</t>
  </si>
  <si>
    <t>1,3-diphenyl-2-propene-1-one</t>
  </si>
  <si>
    <t>94-41-7</t>
  </si>
  <si>
    <t>1,3-isobenzofurandione, hexahydromethyl-, polymer with 2,2-bis(hydroxymethyl)-1,3-propanediol, ethyloxirane, hexahydro-1,3-isobenzofurandione and oxirane</t>
  </si>
  <si>
    <t>169276-18-0</t>
  </si>
  <si>
    <t>1,3-isobenzofurandione, polymer with 2,5-furandione and 2,2'-oxybis(ethanol)</t>
  </si>
  <si>
    <t>26123-45-5</t>
  </si>
  <si>
    <t>1,3-isobenzofurandione, polymer with ethenylbenzene, 2,5-furandione and 1,2-propanediol</t>
  </si>
  <si>
    <t>26182-24-1</t>
  </si>
  <si>
    <t>1,3-pentadiene</t>
  </si>
  <si>
    <t>504-60-9</t>
  </si>
  <si>
    <t>1,3-pentadiene polymer with 2-methyl-2-butene</t>
  </si>
  <si>
    <t>26813-14-9</t>
  </si>
  <si>
    <t>1,3-pentanediol</t>
  </si>
  <si>
    <t>504-63-2</t>
  </si>
  <si>
    <t>1,3-phenylene diamine</t>
  </si>
  <si>
    <t>108-45-2</t>
  </si>
  <si>
    <t>1,3-propandiamine-N-9-octadecenyl</t>
  </si>
  <si>
    <t>7173-62-8</t>
  </si>
  <si>
    <t>1,3-trimethylenediamine</t>
  </si>
  <si>
    <t>109-76-2</t>
  </si>
  <si>
    <t>1,4-(1-methyl-4-(1-methylethyl)-7-oxabicyclo[2.2.1]heptane)cineole</t>
  </si>
  <si>
    <t>470-67-7</t>
  </si>
  <si>
    <t>1,4-anhydro-5,6-di-O-(9Z)-9-octadecenoyl-D-glucitol</t>
  </si>
  <si>
    <t>8007-43-0</t>
  </si>
  <si>
    <t>1,4-anhydro-6-O-dodecanoyl-2,3-bis-O-(2-hydroxyethyl)-D-glucitol</t>
  </si>
  <si>
    <t>9005-67-8</t>
  </si>
  <si>
    <t>1,4-bis((2,3-epoxypropoxy)methyl)cyclohexane</t>
  </si>
  <si>
    <t>14228-73-0</t>
  </si>
  <si>
    <t>1,4-bis(3-aminopropyl)piperazine</t>
  </si>
  <si>
    <t>7209-38-3</t>
  </si>
  <si>
    <t>1,4-bis(methylene)-cyclohexane</t>
  </si>
  <si>
    <t>4982-20-1</t>
  </si>
  <si>
    <t>1,4-butanediol</t>
  </si>
  <si>
    <t>110-63-4</t>
  </si>
  <si>
    <t>1,4-butanediol vinyl ether</t>
  </si>
  <si>
    <t>17832-28-9</t>
  </si>
  <si>
    <t>1,4-butynediol</t>
  </si>
  <si>
    <t>110-65-6</t>
  </si>
  <si>
    <t>1,4-cyclohexanedicarboxaldehyde</t>
  </si>
  <si>
    <t>33424-83-8</t>
  </si>
  <si>
    <t>1,4-cyclohexanedicarboxylic acid, dimethyl ester</t>
  </si>
  <si>
    <t>94-60-0</t>
  </si>
  <si>
    <t>1,4-cyclohexanedimethanol</t>
  </si>
  <si>
    <t>105-08-8</t>
  </si>
  <si>
    <t>1,4-cyclohexanediol</t>
  </si>
  <si>
    <t>556-48-9</t>
  </si>
  <si>
    <t>1,4-cyclohexanedione</t>
  </si>
  <si>
    <t>637-88-7 (Not Defined)</t>
  </si>
  <si>
    <t>637-88-7 (PM)</t>
  </si>
  <si>
    <t>1,4-cyclohexanediylbis(methylene) dibenzoate</t>
  </si>
  <si>
    <t>35541-81-2</t>
  </si>
  <si>
    <t>1,4-diamino-9,10-anthracenedione, N,N'-mixed 2-ethylhexyl and Me and pentyl derivs.</t>
  </si>
  <si>
    <t>74499-36-8</t>
  </si>
  <si>
    <t>1,4-dichloro-2-butene</t>
  </si>
  <si>
    <t>764-41-0</t>
  </si>
  <si>
    <t>1,4-dichlorobenzene</t>
  </si>
  <si>
    <t>106-46-7</t>
  </si>
  <si>
    <t>1,4-dichlorobenzene, polymer with sodium sulfide</t>
  </si>
  <si>
    <t>26125-40-6</t>
  </si>
  <si>
    <t>1,4-dichlorobutane</t>
  </si>
  <si>
    <t>110-56-5</t>
  </si>
  <si>
    <t>1,4-diglycidyloxybutane</t>
  </si>
  <si>
    <t>2425-79-8</t>
  </si>
  <si>
    <t>1,4-diisopropylbenzene</t>
  </si>
  <si>
    <t>100-18-5</t>
  </si>
  <si>
    <t>1,4-dimethyl-1-cyclohexene</t>
  </si>
  <si>
    <t>70688-47-0</t>
  </si>
  <si>
    <t>1,4-dimethyl-2-ethylbenzene</t>
  </si>
  <si>
    <t>1758-88-9</t>
  </si>
  <si>
    <t>1,4-dimethylnaphthalene</t>
  </si>
  <si>
    <t>571-58-4</t>
  </si>
  <si>
    <t>1,4-dimethylpiperazine</t>
  </si>
  <si>
    <t>106-58-1</t>
  </si>
  <si>
    <t>1,4-dinitrobenzene</t>
  </si>
  <si>
    <t>100-25-4</t>
  </si>
  <si>
    <t>1,4-dinitrosobenzene</t>
  </si>
  <si>
    <t>105-12-4</t>
  </si>
  <si>
    <t>1,4-dioxacycloheptadecane-5,17-dione</t>
  </si>
  <si>
    <t>105-95-3</t>
  </si>
  <si>
    <t>1,4-dioxane</t>
  </si>
  <si>
    <t>123-91-1</t>
  </si>
  <si>
    <t>1,4-hexadiene</t>
  </si>
  <si>
    <t>592-45-0</t>
  </si>
  <si>
    <t>1,4-naphthoquinone</t>
  </si>
  <si>
    <t>130-15-4</t>
  </si>
  <si>
    <t>1,4-pentadiene</t>
  </si>
  <si>
    <t>591-93-5</t>
  </si>
  <si>
    <t>1,4-piperazinediethanamine</t>
  </si>
  <si>
    <t>6531-38-0</t>
  </si>
  <si>
    <t>1,5,9-cyclododecatriene</t>
  </si>
  <si>
    <t>27070-59-3</t>
  </si>
  <si>
    <t>1,5-cyclooctadiene</t>
  </si>
  <si>
    <t>111-78-4</t>
  </si>
  <si>
    <t>1,5-di(2-furyl)pentan-3-one</t>
  </si>
  <si>
    <t>6075-11-2</t>
  </si>
  <si>
    <t>1,5-diamino-2-methylpentane</t>
  </si>
  <si>
    <t>15520-10-2</t>
  </si>
  <si>
    <t>1,5-dibromopentane</t>
  </si>
  <si>
    <t>111-24-0</t>
  </si>
  <si>
    <t>1,5-dimethyl-1,5-cyclooctadiene</t>
  </si>
  <si>
    <t>3760-14-3</t>
  </si>
  <si>
    <t>1,5-dimethyl-2-piperidone</t>
  </si>
  <si>
    <t>86917-58-0</t>
  </si>
  <si>
    <t>1,5-dimethylnaphthalene</t>
  </si>
  <si>
    <t>571-61-9</t>
  </si>
  <si>
    <t>1,5-dimethyltetralin</t>
  </si>
  <si>
    <t>21564-91-0</t>
  </si>
  <si>
    <t>1,5-hexadiene</t>
  </si>
  <si>
    <t>592-42-7</t>
  </si>
  <si>
    <t>1,5-hexanediol</t>
  </si>
  <si>
    <t>928-40-5</t>
  </si>
  <si>
    <t>1,5-naphthalene diisocyanate</t>
  </si>
  <si>
    <t>3173-72-6</t>
  </si>
  <si>
    <t>1,5-pentamethylene-1h-tetrazol</t>
  </si>
  <si>
    <t>54-95-5</t>
  </si>
  <si>
    <t>1,5-pentanediol</t>
  </si>
  <si>
    <t>111-29-5</t>
  </si>
  <si>
    <t>1,6-dibromohexane</t>
  </si>
  <si>
    <t>629-03-8</t>
  </si>
  <si>
    <t>1,6-dichlorohexane</t>
  </si>
  <si>
    <t>2163-00-0</t>
  </si>
  <si>
    <t>1,6-dimethylnaphthalene</t>
  </si>
  <si>
    <t>575-43-9</t>
  </si>
  <si>
    <t>1,6-hexanediamine, polymer with 2-(chloromethyl)oxirane, 2-methyloxirane and oxirane, hydrochloride</t>
  </si>
  <si>
    <t>68201-88-7</t>
  </si>
  <si>
    <t>1,6-hexanediol diacrylate</t>
  </si>
  <si>
    <t>13048-33-4</t>
  </si>
  <si>
    <t>1,6-hexanediol diglycidyl ether</t>
  </si>
  <si>
    <t>16096-31-4</t>
  </si>
  <si>
    <t>1,6-hexanediyl-bis(2-(2-(1-ethylpentyl)-3-oxazolidinyl)ethyl)carbamate</t>
  </si>
  <si>
    <t>140921-24-0</t>
  </si>
  <si>
    <t>1,6-hexasulfanediylbis(1-piperidinylmethanethione)</t>
  </si>
  <si>
    <t>971-15-3</t>
  </si>
  <si>
    <t>1,7-dimethylnaphthalene</t>
  </si>
  <si>
    <t>575-37-1</t>
  </si>
  <si>
    <t>1,7-octadiene</t>
  </si>
  <si>
    <t>3710-30-3</t>
  </si>
  <si>
    <t>1,8-dimethylnaphthalene</t>
  </si>
  <si>
    <t>569-41-5</t>
  </si>
  <si>
    <t>1-[[4-[phenylazo]-phenyl]azo]-2-naphthol</t>
  </si>
  <si>
    <t>92257-31-3</t>
  </si>
  <si>
    <t>1-[bis{3-{dimethylamino}propyl} amino]-2-propanol</t>
  </si>
  <si>
    <t>67151-63-7</t>
  </si>
  <si>
    <t>10,10'-oxydi-phenoxarsine</t>
  </si>
  <si>
    <t>58-36-6</t>
  </si>
  <si>
    <t>10-methylnonadecane</t>
  </si>
  <si>
    <t>56862-62-5</t>
  </si>
  <si>
    <t>11-methyl-1-ethylcyclopentane</t>
  </si>
  <si>
    <t>16747-50-5</t>
  </si>
  <si>
    <t>12,14-bis(methylene)-1,5,9-cyclohexadecatriene</t>
  </si>
  <si>
    <t>37013-22-2</t>
  </si>
  <si>
    <t xml:space="preserve">12-Crown-4 </t>
  </si>
  <si>
    <t>294-93-9</t>
  </si>
  <si>
    <t>12-hydroxy stearic acid</t>
  </si>
  <si>
    <t>106-14-9</t>
  </si>
  <si>
    <t>12-hydroxydodecanoic acid</t>
  </si>
  <si>
    <t>505-95-3</t>
  </si>
  <si>
    <t>12-hydroxyoctadecanoic acid, homopolymer, reaction products with N1,N1-dimethyl-1,3-propanediamine, di-Me sulfate-quaternized</t>
  </si>
  <si>
    <t>70879-66-2</t>
  </si>
  <si>
    <t>13-docosenamide</t>
  </si>
  <si>
    <t>112-84-5</t>
  </si>
  <si>
    <t>15-pentadecanolide</t>
  </si>
  <si>
    <t>106-02-5</t>
  </si>
  <si>
    <t>1-acetoxy-1,3-butadiene</t>
  </si>
  <si>
    <t>1515-76-0</t>
  </si>
  <si>
    <t>1-acetyl-2-phenyl hydrazine</t>
  </si>
  <si>
    <t>114-83-0</t>
  </si>
  <si>
    <t>1-acetylcyclohexanone</t>
  </si>
  <si>
    <t>932-66-1</t>
  </si>
  <si>
    <t>1-adamantyldimethylamine</t>
  </si>
  <si>
    <t>3717-40-6</t>
  </si>
  <si>
    <t>1-allyl-2,5-dimethoxy-3,4-(methylenedioxy)-benzene</t>
  </si>
  <si>
    <t>523-80-8</t>
  </si>
  <si>
    <t>1-allylnaphthalene</t>
  </si>
  <si>
    <t>2489-86-3</t>
  </si>
  <si>
    <t>1-aminoheptane</t>
  </si>
  <si>
    <t>111-68-2</t>
  </si>
  <si>
    <t>1-aminomethanamide dihydrogen tetraoxosulfate</t>
  </si>
  <si>
    <t>21351-39-3</t>
  </si>
  <si>
    <t>1-benzocyclobutyl pentanone</t>
  </si>
  <si>
    <t>6809-93-4</t>
  </si>
  <si>
    <t>1-benzothiophene</t>
  </si>
  <si>
    <t>95-15-8</t>
  </si>
  <si>
    <t>1-benzyl-3-methylbenzene</t>
  </si>
  <si>
    <t>620-47-3 (PM)</t>
  </si>
  <si>
    <t>620-47-3 (Vapor)</t>
  </si>
  <si>
    <t>1-bromo-2-chloroethane</t>
  </si>
  <si>
    <t>107-04-0</t>
  </si>
  <si>
    <t>1-bromo-2-chloropropane</t>
  </si>
  <si>
    <t>3017-96-7</t>
  </si>
  <si>
    <t>1-bromo-3-chloropropane</t>
  </si>
  <si>
    <t>109-70-6</t>
  </si>
  <si>
    <t>1-bromobutane</t>
  </si>
  <si>
    <t>109-65-9</t>
  </si>
  <si>
    <t>1-bromopropane</t>
  </si>
  <si>
    <t>106-94-5</t>
  </si>
  <si>
    <t>1-butanethiol</t>
  </si>
  <si>
    <t>109-79-5</t>
  </si>
  <si>
    <t>1-butanol</t>
  </si>
  <si>
    <t>71-36-3</t>
  </si>
  <si>
    <t>1-buten-3-yne</t>
  </si>
  <si>
    <t>689-97-4</t>
  </si>
  <si>
    <t>1-butene</t>
  </si>
  <si>
    <t>106-98-9</t>
  </si>
  <si>
    <t>1-butoxyethoxy-2-propanol</t>
  </si>
  <si>
    <t>124-16-3</t>
  </si>
  <si>
    <t>1-butyl isovalerate</t>
  </si>
  <si>
    <t>109-19-3</t>
  </si>
  <si>
    <t>1-chloro-1-hexene</t>
  </si>
  <si>
    <t>37368-20-0</t>
  </si>
  <si>
    <t>1-chloro-1-methylcyclopentane</t>
  </si>
  <si>
    <t>6196-85-6</t>
  </si>
  <si>
    <t>1-chloro-1-pentene</t>
  </si>
  <si>
    <t>21450-13-5</t>
  </si>
  <si>
    <t>1-chloro-2-(trifluoromethyl)benzene</t>
  </si>
  <si>
    <t>88-16-4</t>
  </si>
  <si>
    <t>1-chloro-2-methyl-propane</t>
  </si>
  <si>
    <t>513-36-0</t>
  </si>
  <si>
    <t>1-chloro-2-propanol</t>
  </si>
  <si>
    <t>127-00-4</t>
  </si>
  <si>
    <t>1-chloro-3,3,3-trifluoropropene</t>
  </si>
  <si>
    <t>2730-43-0</t>
  </si>
  <si>
    <t>1-chloro-4-(trifluoromethyl)benzene</t>
  </si>
  <si>
    <t>98-56-6</t>
  </si>
  <si>
    <t>1-chloro-4-nitrobenzene</t>
  </si>
  <si>
    <t>100-00-5</t>
  </si>
  <si>
    <t>1-chloroheptane</t>
  </si>
  <si>
    <t>629-06-1</t>
  </si>
  <si>
    <t>1-chloropentane</t>
  </si>
  <si>
    <t>543-59-9</t>
  </si>
  <si>
    <t>1-chloropropene</t>
  </si>
  <si>
    <t>590-21-6</t>
  </si>
  <si>
    <t>1-chlorotetradecane</t>
  </si>
  <si>
    <t>2425-54-9</t>
  </si>
  <si>
    <t>1-decene</t>
  </si>
  <si>
    <t>872-05-9</t>
  </si>
  <si>
    <t>1-docosanol</t>
  </si>
  <si>
    <t>661-19-8</t>
  </si>
  <si>
    <t>1-docosene</t>
  </si>
  <si>
    <t>1599-67-3 (Not Defined)</t>
  </si>
  <si>
    <t>1599-67-3 (PM)</t>
  </si>
  <si>
    <t>1-dodecanethiol</t>
  </si>
  <si>
    <t>112-55-0</t>
  </si>
  <si>
    <t>1-dodecanol, manufacture of, distillation lights</t>
  </si>
  <si>
    <t>189233-28-1</t>
  </si>
  <si>
    <t>1-dodecene</t>
  </si>
  <si>
    <t>112-41-4</t>
  </si>
  <si>
    <t>1-dodecene, dimer, hydrogenated</t>
  </si>
  <si>
    <t>151006-61-0</t>
  </si>
  <si>
    <t>1-dodecyne</t>
  </si>
  <si>
    <t>765-03-7</t>
  </si>
  <si>
    <t>1-eicosanol</t>
  </si>
  <si>
    <t>629-96-9</t>
  </si>
  <si>
    <t>1-eicosene</t>
  </si>
  <si>
    <t>3452-07-1 (Not Defined)</t>
  </si>
  <si>
    <t>3452-07-1 (PM)</t>
  </si>
  <si>
    <t>1-ethoxy propanol</t>
  </si>
  <si>
    <t>52125-53-8</t>
  </si>
  <si>
    <t>1-ethoxy-2-heptanone</t>
  </si>
  <si>
    <t>51149-70-3</t>
  </si>
  <si>
    <t>1-ethoxyethene</t>
  </si>
  <si>
    <t>109-92-2</t>
  </si>
  <si>
    <t>1-ethyl-2-(8-heptadecenyl)-4,5-dihydro-3-(2-hydroxyethyl)-(1H-imidazolium) ethyl sulfate</t>
  </si>
  <si>
    <t>68039-12-3</t>
  </si>
  <si>
    <t>1-ethyl-2-propylbenzene</t>
  </si>
  <si>
    <t>16021-20-8</t>
  </si>
  <si>
    <t>1-ethyl-2-pyrrolidinone</t>
  </si>
  <si>
    <t>2687-91-4</t>
  </si>
  <si>
    <t>1-ethyl-3-methylimidazolium ethyl sulfate</t>
  </si>
  <si>
    <t>342573-75-5</t>
  </si>
  <si>
    <t>1-ethylnaphthalene</t>
  </si>
  <si>
    <t>1127-76-0</t>
  </si>
  <si>
    <t>1H-1,2,4-triazole-3-thiol</t>
  </si>
  <si>
    <t>3179-31-5</t>
  </si>
  <si>
    <t>1H-benzotriazole, sulfate</t>
  </si>
  <si>
    <t>24694-40-4</t>
  </si>
  <si>
    <t>1-heptadecanol</t>
  </si>
  <si>
    <t>1454-85-9 (Not Defined)</t>
  </si>
  <si>
    <t>1454-85-9 (PM)</t>
  </si>
  <si>
    <t>1-heptadecene</t>
  </si>
  <si>
    <t>6765-39-5</t>
  </si>
  <si>
    <t>1-heptene</t>
  </si>
  <si>
    <t>592-76-7</t>
  </si>
  <si>
    <t>1-hexacosanol</t>
  </si>
  <si>
    <t>506-52-5 (Not Defined)</t>
  </si>
  <si>
    <t>506-52-5 (PM)</t>
  </si>
  <si>
    <t>1-hexacosene</t>
  </si>
  <si>
    <t>18835-33-1 (Not Defined)</t>
  </si>
  <si>
    <t>18835-33-1 (PM)</t>
  </si>
  <si>
    <t>1-hexadecanethiol</t>
  </si>
  <si>
    <t>2917-26-2</t>
  </si>
  <si>
    <t>1-hexadecanol</t>
  </si>
  <si>
    <t>36653-82-4 (Not Defined)</t>
  </si>
  <si>
    <t>36653-82-4 (PM)</t>
  </si>
  <si>
    <t>1-hexadecene</t>
  </si>
  <si>
    <t>629-73-2</t>
  </si>
  <si>
    <t>1-hexanol</t>
  </si>
  <si>
    <t>111-27-3</t>
  </si>
  <si>
    <t>1-hexen-3-yne</t>
  </si>
  <si>
    <t>13721-54-5</t>
  </si>
  <si>
    <t>1-hexene</t>
  </si>
  <si>
    <t>592-41-6</t>
  </si>
  <si>
    <t>1-hexyn-3-ol</t>
  </si>
  <si>
    <t>105-31-7</t>
  </si>
  <si>
    <t>1H-imidazole</t>
  </si>
  <si>
    <t>288-32-4 (PM)</t>
  </si>
  <si>
    <t>288-32-4 (Vapor)</t>
  </si>
  <si>
    <t>1H-imidazoledipropanoic acid, 4,5-dihydro-1-(2-hydroxyethyl)-, 2-norcoco alkyl derivs., di-Me esters, phosphates (esters), sodium salts</t>
  </si>
  <si>
    <t>95913-20-5</t>
  </si>
  <si>
    <t>1H-pyrazole</t>
  </si>
  <si>
    <t>288-13-1 (PM)</t>
  </si>
  <si>
    <t>288-13-1 (Vapor)</t>
  </si>
  <si>
    <t>1-hydroxy-2-butanone</t>
  </si>
  <si>
    <t>5077-67-8</t>
  </si>
  <si>
    <t>1-hydroxy-2-propanone</t>
  </si>
  <si>
    <t>116-09-6</t>
  </si>
  <si>
    <t>1-hydroxy-4-(p-toluidino)-anthraquinone</t>
  </si>
  <si>
    <t>81-48-1</t>
  </si>
  <si>
    <t>1-hydroxycyclohexyl phenyl ketone</t>
  </si>
  <si>
    <t>947-19-3</t>
  </si>
  <si>
    <t>1-hydroxyethyl-2-cocoimidazoline</t>
  </si>
  <si>
    <t>61791-38-6</t>
  </si>
  <si>
    <t>1-hydroxyethylidene-1,1-diphosphonic acid</t>
  </si>
  <si>
    <t>2809-21-4</t>
  </si>
  <si>
    <t>1-imino-1H-isoindol-3-amine</t>
  </si>
  <si>
    <t>3468-11-9</t>
  </si>
  <si>
    <t>1-methacrylic acid, dodecyl ester</t>
  </si>
  <si>
    <t>90551-76-1</t>
  </si>
  <si>
    <t>1-methoxy-1-butanol</t>
  </si>
  <si>
    <t>30677-36-2</t>
  </si>
  <si>
    <t>1-methoxy-2-butanol</t>
  </si>
  <si>
    <t>53778-73-7</t>
  </si>
  <si>
    <t>1-methoxy-2-propanol</t>
  </si>
  <si>
    <t>107-98-2</t>
  </si>
  <si>
    <t>1-methoxy-2-propanol acetate</t>
  </si>
  <si>
    <t>108-65-6</t>
  </si>
  <si>
    <t>1-methoxy-2-propanone</t>
  </si>
  <si>
    <t>5878-19-3</t>
  </si>
  <si>
    <t>1-methoxypentane</t>
  </si>
  <si>
    <t>628-80-8</t>
  </si>
  <si>
    <t>1-methyl-1H-indene</t>
  </si>
  <si>
    <t>29036-25-7</t>
  </si>
  <si>
    <t>1-methyl-2-(2-propenyl)-benzene</t>
  </si>
  <si>
    <t>1587-04-8</t>
  </si>
  <si>
    <t>1-methyl-2-(C12-14-alkyloxy)oxirane</t>
  </si>
  <si>
    <t>39390-62-0 (PM)</t>
  </si>
  <si>
    <t>39390-62-0 (Vapor)</t>
  </si>
  <si>
    <t>1-methyl-2,5-pyrrolidinedione</t>
  </si>
  <si>
    <t>1121-07-9</t>
  </si>
  <si>
    <t>1-methyl-2-chlorobenzene</t>
  </si>
  <si>
    <t>25168-05-2</t>
  </si>
  <si>
    <t>1-methyl-2-methylene cyclohexane</t>
  </si>
  <si>
    <t>2808-75-5</t>
  </si>
  <si>
    <t>1-methyl-2-n-butylbenzene</t>
  </si>
  <si>
    <t>1595-11-5</t>
  </si>
  <si>
    <t>1-methyl-2-propylbenzene</t>
  </si>
  <si>
    <t>1074-17-5</t>
  </si>
  <si>
    <t>1-methyl-2-propylcyclohexane</t>
  </si>
  <si>
    <t>4291-79-6</t>
  </si>
  <si>
    <t>1-methyl-2-tert-butylbenzene</t>
  </si>
  <si>
    <t>27138-21-2</t>
  </si>
  <si>
    <t>1-methyl-3-butylbenzene</t>
  </si>
  <si>
    <t>1595-04-6</t>
  </si>
  <si>
    <t>1-methyl-3-propylbenzene</t>
  </si>
  <si>
    <t>1074-43-7</t>
  </si>
  <si>
    <t>1-methyl-4-(1-methylethyl)cyclohexanol</t>
  </si>
  <si>
    <t>21129-27-1</t>
  </si>
  <si>
    <t>1-methyl-4-butylbenzene</t>
  </si>
  <si>
    <t>1595-05-7</t>
  </si>
  <si>
    <t>1-methyl-4-propylbenzene</t>
  </si>
  <si>
    <t>1074-55-1</t>
  </si>
  <si>
    <t>1-methylcyclopentadiene</t>
  </si>
  <si>
    <t>26519-91-5</t>
  </si>
  <si>
    <t>1-methylcyclopentene</t>
  </si>
  <si>
    <t>693-89-0</t>
  </si>
  <si>
    <t>1-methylethylidine-bis-1,1-dimethylethyl) peroxide</t>
  </si>
  <si>
    <t>4262-61-7</t>
  </si>
  <si>
    <t>1-methylimidazole</t>
  </si>
  <si>
    <t>616-47-7</t>
  </si>
  <si>
    <t>1-methylindane</t>
  </si>
  <si>
    <t>767-58-8</t>
  </si>
  <si>
    <t>1-methyl-N-(trimethylsilyl)-methanesulfonamide</t>
  </si>
  <si>
    <t>999-99-5</t>
  </si>
  <si>
    <t>1-methylnaphthalene</t>
  </si>
  <si>
    <t>90-12-0</t>
  </si>
  <si>
    <t>1-methyl-trans-3-ethylcyclopentane</t>
  </si>
  <si>
    <t>2613-65-2</t>
  </si>
  <si>
    <t>1-naphthalene acetamide</t>
  </si>
  <si>
    <t>86-86-2</t>
  </si>
  <si>
    <t>1-naphthalenesulfonic acid, polymer with formaldehyde, calcium salt</t>
  </si>
  <si>
    <t>37293-74-6</t>
  </si>
  <si>
    <t>1-naphthol</t>
  </si>
  <si>
    <t>90-15-3</t>
  </si>
  <si>
    <t>1-naphthylamine</t>
  </si>
  <si>
    <t>134-32-7</t>
  </si>
  <si>
    <t>1-nitropropane</t>
  </si>
  <si>
    <t>108-03-2</t>
  </si>
  <si>
    <t>1-nitropyrene</t>
  </si>
  <si>
    <t>5522-43-0</t>
  </si>
  <si>
    <t>1-nonadecanol</t>
  </si>
  <si>
    <t>1454-84-8 (Not Defined)</t>
  </si>
  <si>
    <t>1454-84-8 (PM)</t>
  </si>
  <si>
    <t>1-nonadecene</t>
  </si>
  <si>
    <t>18435-45-5</t>
  </si>
  <si>
    <t>1-nonanamine</t>
  </si>
  <si>
    <t>112-20-9</t>
  </si>
  <si>
    <t>1-nonanethiol</t>
  </si>
  <si>
    <t>1455-21-6</t>
  </si>
  <si>
    <t>1-nonene</t>
  </si>
  <si>
    <t>124-11-8</t>
  </si>
  <si>
    <t>1-nonyne</t>
  </si>
  <si>
    <t>3452-09-3</t>
  </si>
  <si>
    <t>1-octacosene</t>
  </si>
  <si>
    <t>18835-34-2 (Not Defined)</t>
  </si>
  <si>
    <t>18835-34-2 (PM)</t>
  </si>
  <si>
    <t>1-octadecanethiol</t>
  </si>
  <si>
    <t>2885-00-9</t>
  </si>
  <si>
    <t>1-octadecanol</t>
  </si>
  <si>
    <t>112-92-5 (Not Defined)</t>
  </si>
  <si>
    <t>112-92-5 (PM)</t>
  </si>
  <si>
    <t>1-octadecanol, manuf. of, distn. Lights</t>
  </si>
  <si>
    <t>189233-31-6 (Not Defined)</t>
  </si>
  <si>
    <t>189233-31-6 (PM)</t>
  </si>
  <si>
    <t>1-octadecene</t>
  </si>
  <si>
    <t>112-88-9</t>
  </si>
  <si>
    <t>1-octene</t>
  </si>
  <si>
    <t>111-66-0</t>
  </si>
  <si>
    <t>1-octyl alcohol</t>
  </si>
  <si>
    <t>111-87-5</t>
  </si>
  <si>
    <t>1-O-methyl-3,6-anhydro-alpha-D-mannopyranose</t>
  </si>
  <si>
    <t>15814-56-9 (Not Defined)</t>
  </si>
  <si>
    <t>15814-56-9 (PM)</t>
  </si>
  <si>
    <t>1-pentadecanol</t>
  </si>
  <si>
    <t>629-76-5 (Not Defined)</t>
  </si>
  <si>
    <t>629-76-5 (PM)</t>
  </si>
  <si>
    <t>1-pentadecene</t>
  </si>
  <si>
    <t>13360-61-7 (Not Defined)</t>
  </si>
  <si>
    <t>13360-61-7 (PM)</t>
  </si>
  <si>
    <t>1-pentanethiol</t>
  </si>
  <si>
    <t>110-66-7</t>
  </si>
  <si>
    <t>1-pentanol</t>
  </si>
  <si>
    <t>71-41-0</t>
  </si>
  <si>
    <t>1-penten-4-yne</t>
  </si>
  <si>
    <t>871-28-3</t>
  </si>
  <si>
    <t>1-pentene</t>
  </si>
  <si>
    <t>109-67-1</t>
  </si>
  <si>
    <t>1-pentyl-2,5-pyrrolidinedione</t>
  </si>
  <si>
    <t>5332-35-4</t>
  </si>
  <si>
    <t>1-pentyne</t>
  </si>
  <si>
    <t>627-19-0</t>
  </si>
  <si>
    <t>1-phenyl-1-propanol</t>
  </si>
  <si>
    <t>93-54-9</t>
  </si>
  <si>
    <t>1-phenyl-2-heptanone</t>
  </si>
  <si>
    <t>6683-94-9</t>
  </si>
  <si>
    <t>1-phenylnaphthalene</t>
  </si>
  <si>
    <t>605-02-7</t>
  </si>
  <si>
    <t>1-phenylthiourea</t>
  </si>
  <si>
    <t>103-85-5</t>
  </si>
  <si>
    <t>1-piperazineethanamine and tall-oil fatty acid amides</t>
  </si>
  <si>
    <t>475285-70-2</t>
  </si>
  <si>
    <t>1-piperidine pentanol</t>
  </si>
  <si>
    <t>2937-83-9</t>
  </si>
  <si>
    <t>1-propanesulfonic acid, 2-methyl-2-((1-oxo-2-propen-1-yl)amino)-, sodium salt (1:1), polymer with 2-propenamide</t>
  </si>
  <si>
    <t>38193-60-1</t>
  </si>
  <si>
    <t>1-propanol</t>
  </si>
  <si>
    <t>71-23-8</t>
  </si>
  <si>
    <t>1-propene, hydroformylation products, by-products from, distn. residues</t>
  </si>
  <si>
    <t>203588-70-9</t>
  </si>
  <si>
    <t>1-propene, hydroformylation products, high-boiling</t>
  </si>
  <si>
    <t>68551-11-1</t>
  </si>
  <si>
    <t>1-propoxy-2-(propylthio)-3-(trifluoromethyl)-benzene</t>
  </si>
  <si>
    <t>1-propoxy-2-propanol</t>
  </si>
  <si>
    <t>1569-01-3</t>
  </si>
  <si>
    <t>1-tetracosanol</t>
  </si>
  <si>
    <t>506-51-4</t>
  </si>
  <si>
    <t>1-tetracosene</t>
  </si>
  <si>
    <t>10192-32-2 (Not Defined)</t>
  </si>
  <si>
    <t>10192-32-2 (PM)</t>
  </si>
  <si>
    <t>1-tetradecanol</t>
  </si>
  <si>
    <t>112-72-1 (Not Defined)</t>
  </si>
  <si>
    <t>112-72-1 (PM)</t>
  </si>
  <si>
    <t>1-tetradecanol-1-propanoate</t>
  </si>
  <si>
    <t>6221-95-0</t>
  </si>
  <si>
    <t>1-tetradecene</t>
  </si>
  <si>
    <t>1120-36-1</t>
  </si>
  <si>
    <t>1-tridecene</t>
  </si>
  <si>
    <t>2437-56-1</t>
  </si>
  <si>
    <t>1-tridecyl alcohol</t>
  </si>
  <si>
    <t>112-70-9</t>
  </si>
  <si>
    <t>1-undecanethiol</t>
  </si>
  <si>
    <t>5332-52-5</t>
  </si>
  <si>
    <t>1-undecene</t>
  </si>
  <si>
    <t>821-95-4</t>
  </si>
  <si>
    <t>1-vinyl-1H-imidazole</t>
  </si>
  <si>
    <t>1072-63-5</t>
  </si>
  <si>
    <t>2 (2'-hydroxy-5'-methylphenyl) benzotriazole</t>
  </si>
  <si>
    <t>2440-22-4</t>
  </si>
  <si>
    <t>2-((2-(dimethylamino)ethyl)methylamino)-ethanol</t>
  </si>
  <si>
    <t>2212-32-0</t>
  </si>
  <si>
    <t>2-((2-aminoethyl)amino)ethanol, polymer with methyloxirane</t>
  </si>
  <si>
    <t>31568-06-6</t>
  </si>
  <si>
    <t>2-((dimethylamino)methyl)phenol</t>
  </si>
  <si>
    <t>120-65-0</t>
  </si>
  <si>
    <t>2-(1,1-dimethylethyl)-5-pyrimidinol, sodium salt</t>
  </si>
  <si>
    <t>146237-62-9</t>
  </si>
  <si>
    <t>2-(1,3-benzothiazol-2-ylsulfanyl)succinic acid</t>
  </si>
  <si>
    <t>95154-01-1</t>
  </si>
  <si>
    <t>2-(2-(2-hydroxy-1-naphthalenyl)diazenyl)-5-methylbenzenesulfonic acid, barium salt (2:1)</t>
  </si>
  <si>
    <t>108825-27-0</t>
  </si>
  <si>
    <t>2-(2,3,4,5-tetramethylnonoxy)ethanol</t>
  </si>
  <si>
    <t>68015-67-8</t>
  </si>
  <si>
    <t>2-(2,4,5-trichlorophenoxy)propionic acid</t>
  </si>
  <si>
    <t>93-72-1</t>
  </si>
  <si>
    <t>2-(2-aminoethoxy)ethanol</t>
  </si>
  <si>
    <t>929-06-6</t>
  </si>
  <si>
    <t>2-(2-butoxyethoxy)ethanol</t>
  </si>
  <si>
    <t>210818-08-9</t>
  </si>
  <si>
    <t>2-(2-ethoxyethox)yethyl acrylate</t>
  </si>
  <si>
    <t>7328-17-8</t>
  </si>
  <si>
    <t>2-(2H-benzotriazol-2-yl)-4,6-bis(1-methyl-1-phenylethyl)phenol</t>
  </si>
  <si>
    <t>70321-86-7 (PM)</t>
  </si>
  <si>
    <t>70321-86-7 (Vapor)</t>
  </si>
  <si>
    <t>2-(2H-benzotriazol-2-yl)-6-(1-methyl-1-phenylethyl)-4-(1,1,3,3-tetramethylbutyl)phenol</t>
  </si>
  <si>
    <t>73936-91-1</t>
  </si>
  <si>
    <t>2-(2'-hydroxy-3,5'-diteramylphenyl) benzotriazole</t>
  </si>
  <si>
    <t>25973-55-1</t>
  </si>
  <si>
    <t>2-(2-hydroxyethylamino)ethanol</t>
  </si>
  <si>
    <t>8033-73-6</t>
  </si>
  <si>
    <t>2-(2-hydroxyphenyl)-2-(4-hydroxyphenyl)propane</t>
  </si>
  <si>
    <t>837-08-1 (PM)</t>
  </si>
  <si>
    <t>837-08-1 (Vapor)</t>
  </si>
  <si>
    <t>2-(2-nonylphenoxy)ethanol phosphoric acid</t>
  </si>
  <si>
    <t>51811-79-1</t>
  </si>
  <si>
    <t>2-(2-pyridyl)benzimidazole</t>
  </si>
  <si>
    <t>1137-68-4</t>
  </si>
  <si>
    <t>2-(2-trifluoromethylphenylazo)-N-(2,3-dihydro-2-oxo-1H-benzimidazol-5-yl)-3-oxobutanamide</t>
  </si>
  <si>
    <t>68134-22-5</t>
  </si>
  <si>
    <t>2-(3,4-dichlorophenyl)-4-methyl-1,2,4-oxadiazolidine-3,5-dione</t>
  </si>
  <si>
    <t>20354-26-1</t>
  </si>
  <si>
    <t>2-(3-isobutylphenyl)propionic acid</t>
  </si>
  <si>
    <t>66622-47-7</t>
  </si>
  <si>
    <t>2(5H)-furanone</t>
  </si>
  <si>
    <t>497-23-4</t>
  </si>
  <si>
    <t>2-(7-methyloctyl)phenol</t>
  </si>
  <si>
    <t>27938-31-4</t>
  </si>
  <si>
    <t>2-(8-heptadecen-1-yl)-4,5-dihydro-1H-imidazole-1-ethanol</t>
  </si>
  <si>
    <t>95-38-5</t>
  </si>
  <si>
    <t>2-(acryloyloxy)ethyl)trimethylammonium chloride</t>
  </si>
  <si>
    <t>5039-78-1</t>
  </si>
  <si>
    <t>2-(butylamino)ethanol</t>
  </si>
  <si>
    <t>111-75-1</t>
  </si>
  <si>
    <t>2-(chloromethyl)oxirane</t>
  </si>
  <si>
    <t>9009-12-5</t>
  </si>
  <si>
    <t>2-(E)-butanedioic acid, polymer with methyloxirane and oxirane</t>
  </si>
  <si>
    <t>68400-72-6 (PM)</t>
  </si>
  <si>
    <t>68400-72-6 (Vapor)</t>
  </si>
  <si>
    <t>2-(E)-butanedioic acid, polymer with methyloxirane and oxirane and 1,2,3-propanetriol</t>
  </si>
  <si>
    <t>68400-71-5 (PM)</t>
  </si>
  <si>
    <t>68400-71-5 (Vapor)</t>
  </si>
  <si>
    <t>2-(ethylamino)ethanol</t>
  </si>
  <si>
    <t>110-73-6</t>
  </si>
  <si>
    <t>2-(heptadecenyl)-2-oxazoline-4,4-dimethanol</t>
  </si>
  <si>
    <t>28984-69-2</t>
  </si>
  <si>
    <t>2-(hydroxyl t-butyl)-5,5-dimethyl 1,3-dioxane</t>
  </si>
  <si>
    <t>2-(mercapto)-6-(trifluoromethyl)-phenol</t>
  </si>
  <si>
    <t>2-(methylthio)phenol</t>
  </si>
  <si>
    <t>1073-29-6</t>
  </si>
  <si>
    <t>2-(nonylphenoxy)ethanol</t>
  </si>
  <si>
    <t>27986-36-3</t>
  </si>
  <si>
    <t>2-(perfluoroalkyl)ethanol</t>
  </si>
  <si>
    <t>65545-80-4</t>
  </si>
  <si>
    <t>2-(phenylmethyl)isoquinolinium, chloride</t>
  </si>
  <si>
    <t>35674-56-7</t>
  </si>
  <si>
    <t>2-(propylthio)-3-(trifluoromethyl)phenol</t>
  </si>
  <si>
    <t>380611-43-8</t>
  </si>
  <si>
    <t>2-(Z)-butenedioic acid, dibutyl ester polymer with chloroethene and 1,2-propanediol mono-2-propenoate</t>
  </si>
  <si>
    <t>114653-42-8</t>
  </si>
  <si>
    <t>2,2'-((9,10-dihydro-9,10-dioxo-1,4-anthracenediyl)diimino)bis(5-methyl-benzenesulfonic acid, disodium salt</t>
  </si>
  <si>
    <t>4403-90-1</t>
  </si>
  <si>
    <t>2,2'-(4-methylphenylimino)diethanol</t>
  </si>
  <si>
    <t>3077-12-1 (PM)</t>
  </si>
  <si>
    <t>3077-12-1 (Vapor)</t>
  </si>
  <si>
    <t>2,2',2"-nitrotrisethanol, homopolymer</t>
  </si>
  <si>
    <t>64114-46-1</t>
  </si>
  <si>
    <t>2,2',2"-nitrotrisethanol, homopolymer, reaction products with chloromethane</t>
  </si>
  <si>
    <t>68609-18-7</t>
  </si>
  <si>
    <t>2,2',2''-[propane-1,2,3-triyltris(oxy)]triethanol</t>
  </si>
  <si>
    <t>31694-55-0</t>
  </si>
  <si>
    <t>2,2',2''-nitrilotriethanol sulfate</t>
  </si>
  <si>
    <t>7376-31-0</t>
  </si>
  <si>
    <t>2,2',2''-nitrilotriethanol, hydrochloride</t>
  </si>
  <si>
    <t>637-39-8</t>
  </si>
  <si>
    <t>2,2',2''-nitrilotrisacetamide</t>
  </si>
  <si>
    <t>4862-18-4</t>
  </si>
  <si>
    <t>2,2',2''-nitrilotris-ethanol, homopolymer, hydrochloride</t>
  </si>
  <si>
    <t>67924-33-8</t>
  </si>
  <si>
    <t>2,2',2''-nitrilotrisethyl tri(dihydrogenphosphate)</t>
  </si>
  <si>
    <t>68140-45-4</t>
  </si>
  <si>
    <t>2,2',2''-nitrilotrisethyl tris(dihydrogen phosphate), sodium salt</t>
  </si>
  <si>
    <t>68171-29-9 (Not Defined)</t>
  </si>
  <si>
    <t>68171-29-9 (PM)</t>
  </si>
  <si>
    <t>2,2,2-trichloroacetaldehyde</t>
  </si>
  <si>
    <t>75-87-6</t>
  </si>
  <si>
    <t>2,2,2-trichloroethanol</t>
  </si>
  <si>
    <t>115-20-8</t>
  </si>
  <si>
    <t>2,2,3,3,4-pentamethylpentane</t>
  </si>
  <si>
    <t>16747-44-7</t>
  </si>
  <si>
    <t>2,2,3,3-tetramethylbutane</t>
  </si>
  <si>
    <t>594-82-1</t>
  </si>
  <si>
    <t>2,2,3,3-tetramethylhexane</t>
  </si>
  <si>
    <t>13475-81-5</t>
  </si>
  <si>
    <t>2,2,3,3-tetramethylpentane</t>
  </si>
  <si>
    <t>7154-79-2</t>
  </si>
  <si>
    <t>2,2,3,4,4-pentamethylpentane</t>
  </si>
  <si>
    <t>16747-45-8</t>
  </si>
  <si>
    <t>2,2,3,4-tetramethylhexane</t>
  </si>
  <si>
    <t>52897-08-2</t>
  </si>
  <si>
    <t>2,2,3,4-tetramethylpentane</t>
  </si>
  <si>
    <t>1186-53-4</t>
  </si>
  <si>
    <t>2,2,3,5-tetramethylhexane</t>
  </si>
  <si>
    <t>52897-09-3</t>
  </si>
  <si>
    <t>2,2',3-triisopropylbiphenyl</t>
  </si>
  <si>
    <t>29225-91-0</t>
  </si>
  <si>
    <t>2,2,3-trimethylbutane</t>
  </si>
  <si>
    <t>464-06-2</t>
  </si>
  <si>
    <t>2,2,3-trimethylheptane</t>
  </si>
  <si>
    <t>52896-92-1</t>
  </si>
  <si>
    <t>2,2,3-trimethylhexane</t>
  </si>
  <si>
    <t>16747-25-4</t>
  </si>
  <si>
    <t>2,2,3-trimethylpentane</t>
  </si>
  <si>
    <t>564-02-3</t>
  </si>
  <si>
    <t>2,2,4(2,4,4)-trimethyl-1,6-hexanediamine</t>
  </si>
  <si>
    <t>25620-58-0</t>
  </si>
  <si>
    <t>2,2,4,4-tetramethyl cyclobutanedione</t>
  </si>
  <si>
    <t>933-52-8</t>
  </si>
  <si>
    <t>2,2,4,4-tetramethyl-21-oxo-7-oxa-3,20-diazadispiro[5.1.11.2]heneicosane-20-propanoic acid dodecyl ester</t>
  </si>
  <si>
    <t>85099-51-0</t>
  </si>
  <si>
    <t>2,2,4,4-tetramethylhexane</t>
  </si>
  <si>
    <t>51750-65-3</t>
  </si>
  <si>
    <t>2,2,4,4-tetramethylpentane</t>
  </si>
  <si>
    <t>1070-87-7</t>
  </si>
  <si>
    <t>2,2,4,5-tetramethylhexane</t>
  </si>
  <si>
    <t>16747-42-5</t>
  </si>
  <si>
    <t>2,2,4-trimethyl-1,3-pentanediol</t>
  </si>
  <si>
    <t>144-19-4</t>
  </si>
  <si>
    <t>2,2,4-trimethyl-1,3-pentanediol dibenzoate</t>
  </si>
  <si>
    <t>68052-23-3</t>
  </si>
  <si>
    <t>2,2,4-trimethyl-1,3-pentanediol diisobutyrate</t>
  </si>
  <si>
    <t>6846-50-0</t>
  </si>
  <si>
    <t>2,2,4-trimethyl-1,6-hexanediamine</t>
  </si>
  <si>
    <t>3236-53-1</t>
  </si>
  <si>
    <t>2,2,4-trimethylheptane</t>
  </si>
  <si>
    <t>14720-74-2</t>
  </si>
  <si>
    <t>2,2,4-trimethylhexane</t>
  </si>
  <si>
    <t>16747-26-5</t>
  </si>
  <si>
    <t>2,2,4-trimethylpent-3-en-1-yl 2-methylpropanoate</t>
  </si>
  <si>
    <t>3494-69-7 (PM)</t>
  </si>
  <si>
    <t>3494-69-7 (Vapor)</t>
  </si>
  <si>
    <t>2,2,4-trimethylpentane</t>
  </si>
  <si>
    <t>540-84-1</t>
  </si>
  <si>
    <t>2,2,5,5-tetramethyldihydrofuran-3(2H)-one</t>
  </si>
  <si>
    <t>5455-94-7</t>
  </si>
  <si>
    <t>2,2,5,5-tetramethylhexane</t>
  </si>
  <si>
    <t>1071-81-4</t>
  </si>
  <si>
    <t>2,2,5-trimethylheptane</t>
  </si>
  <si>
    <t>20291-95-6</t>
  </si>
  <si>
    <t>2,2,5-trimethylhexane</t>
  </si>
  <si>
    <t>3522-94-9</t>
  </si>
  <si>
    <t>2,2,6-trimethylheptane</t>
  </si>
  <si>
    <t>1190-83-6</t>
  </si>
  <si>
    <t>2,2'-[(1-methylethylidene)bis] [4,1-phenyleneoxymethylene]bis-oxirane, homopolymer</t>
  </si>
  <si>
    <t>25085-99-8 (PM)</t>
  </si>
  <si>
    <t>25085-99-8 (Vapor)</t>
  </si>
  <si>
    <t>2,2'-[(1-methylethylidene)bis] 4,1-phenyleneoxy[(1-butoxumethyl)-2,1-ethanediyl oxymethylene)]bis-oxirane</t>
  </si>
  <si>
    <t>71033-08-4 (PM)</t>
  </si>
  <si>
    <t>71033-08-4 (Vapor)</t>
  </si>
  <si>
    <t>2,2'-[(E)-1,2-ethenediyl]bis[5-[[4-(4-morpholinyl)-6-(phenylamino)-1,3,5-triazin-2-yl]amino]-benzenesulfonic acid, sodium salt (1:2)</t>
  </si>
  <si>
    <t>16090-02-1 (PM)</t>
  </si>
  <si>
    <t>16090-02-1 (Vapor)</t>
  </si>
  <si>
    <t>2,2'-[1,2-ethanediylbis{oxy}bis[n,n-dimethyl]ethaneamine</t>
  </si>
  <si>
    <t>3065-46-1</t>
  </si>
  <si>
    <t>2,2'-[dioxybis(carbonyloxy)]dibutane</t>
  </si>
  <si>
    <t>19910-65-7 (PM)</t>
  </si>
  <si>
    <t>19910-65-7 (Vapor)</t>
  </si>
  <si>
    <t>2,2'-[dioxybis(carbonyloxy)]dipropane</t>
  </si>
  <si>
    <t>105-64-6</t>
  </si>
  <si>
    <t>2,2'-[oxybis(methylene)]bis[2-ethylpropane-1,3-diol]</t>
  </si>
  <si>
    <t>23235-61-2</t>
  </si>
  <si>
    <t>2,2'-azodi(2-methylbutyronitrile)</t>
  </si>
  <si>
    <t>13472-08-7</t>
  </si>
  <si>
    <t>2,2'-azodiisobutyronitrile</t>
  </si>
  <si>
    <t>78-67-1 (Not Defined)</t>
  </si>
  <si>
    <t>78-67-1 (PM)</t>
  </si>
  <si>
    <t>2,2'-bipyridyl</t>
  </si>
  <si>
    <t>366-18-7</t>
  </si>
  <si>
    <t>2,2-bis(bromomethyl)-1,3-propanediol, polymer with 2-(chloromethyl)oxirane</t>
  </si>
  <si>
    <t>31452-80-9</t>
  </si>
  <si>
    <t>2,2-dibromo malonamide</t>
  </si>
  <si>
    <t>73003-80-2</t>
  </si>
  <si>
    <t>2,2-dibromo-2-cyanoacetamide</t>
  </si>
  <si>
    <t>10222-01-2</t>
  </si>
  <si>
    <t>2,2-dibutyl-1,3,2-dioxastannepin-4,7-dione</t>
  </si>
  <si>
    <t>78-04-6</t>
  </si>
  <si>
    <t>2,2-dichloro-1,1,1-trifluoroethane</t>
  </si>
  <si>
    <t>306-83-2</t>
  </si>
  <si>
    <t>2,2-dichloroisopropyl ether</t>
  </si>
  <si>
    <t>63283-80-7</t>
  </si>
  <si>
    <t>2,2-dichloropropane</t>
  </si>
  <si>
    <t>594-20-7</t>
  </si>
  <si>
    <t>2,2-dichloropropionic acid</t>
  </si>
  <si>
    <t>75-99-0</t>
  </si>
  <si>
    <t>2,2-diethyl-1,3-propanediol</t>
  </si>
  <si>
    <t>115-76-4 (PM)</t>
  </si>
  <si>
    <t>115-76-4 (Vapor)</t>
  </si>
  <si>
    <t>2,2'-diisopropylbiphenyl</t>
  </si>
  <si>
    <t>36876-13-8</t>
  </si>
  <si>
    <t>2,2-dimehtylhexane</t>
  </si>
  <si>
    <t>590-73-8</t>
  </si>
  <si>
    <t>2,2-dimethoxy-1-aza-2-silacyclopentane-1-ethanamine</t>
  </si>
  <si>
    <t>618914-51-5</t>
  </si>
  <si>
    <t>2,2-dimethoxy-2-phenylacetophenone</t>
  </si>
  <si>
    <t>24650-42-8</t>
  </si>
  <si>
    <t>2,2-dimethoxypropane</t>
  </si>
  <si>
    <t>77-76-9</t>
  </si>
  <si>
    <t>2,2-dimethyl-1-(1-methylethyl)-3-(2-methyl-1-oxopropoxy)propyl phenylmethyl ester benzenedicarboxylic acid</t>
  </si>
  <si>
    <t>16883-83-3</t>
  </si>
  <si>
    <t>2,2-dimethyl-1-propanol</t>
  </si>
  <si>
    <t>75-84-3</t>
  </si>
  <si>
    <t>2,2-dimethylbutane</t>
  </si>
  <si>
    <t>75-83-2</t>
  </si>
  <si>
    <t>2,2-dimethylcyclopentanone</t>
  </si>
  <si>
    <t>4541-32-6</t>
  </si>
  <si>
    <t>2,2-dimethylheptane</t>
  </si>
  <si>
    <t>1071-26-7</t>
  </si>
  <si>
    <t>2,2-dimethyloctane</t>
  </si>
  <si>
    <t>15869-87-1</t>
  </si>
  <si>
    <t>2,2-dimethylpentane</t>
  </si>
  <si>
    <t>590-35-2</t>
  </si>
  <si>
    <t>2,2-dimethylthiazolidine</t>
  </si>
  <si>
    <t>19351-18-9</t>
  </si>
  <si>
    <t>2,2'-disulfanediyldiethanol</t>
  </si>
  <si>
    <t>1892-29-1</t>
  </si>
  <si>
    <t>2,2'-dithiobis-benzothiazole</t>
  </si>
  <si>
    <t>120-78-5</t>
  </si>
  <si>
    <t>2,2'-iminobisethanol, compd. with alpha-(nonylphenyl)-omega-hydroxypoly(oxy-1,2-ethanediyl) phosphate</t>
  </si>
  <si>
    <t>61837-81-8 (Not Defined)</t>
  </si>
  <si>
    <t>61837-81-8 (PM)</t>
  </si>
  <si>
    <t>2,2-iminobisethanol, N-(3-(branched decyloxy)propyl) derivs, N-oxides</t>
  </si>
  <si>
    <t>68478-65-9</t>
  </si>
  <si>
    <t>2,2'-iminobisethanol, N-coco alkyl derivs., N-oxides</t>
  </si>
  <si>
    <t>61791-47-7</t>
  </si>
  <si>
    <t>2,2'-iminobisethanol, N-tallow alkyl derivs.</t>
  </si>
  <si>
    <t>61791-44-4</t>
  </si>
  <si>
    <t>2,2'-iminodiethanol hydrochloride</t>
  </si>
  <si>
    <t>14426-21-2</t>
  </si>
  <si>
    <t>2,2'-methylene bis(4-methyl-6-tert-butyl phenol)</t>
  </si>
  <si>
    <t>119-47-1</t>
  </si>
  <si>
    <t>2,2'-oxybis(ethanol) dibenzoate</t>
  </si>
  <si>
    <t>120-55-8</t>
  </si>
  <si>
    <t>2,2'-oxybis(ethylamine)</t>
  </si>
  <si>
    <t>2752-17-2</t>
  </si>
  <si>
    <t>2,2'-oxybis-acetic acid</t>
  </si>
  <si>
    <t>110-99-6</t>
  </si>
  <si>
    <t>2,2'-oxybisethanol</t>
  </si>
  <si>
    <t>68909-76-2</t>
  </si>
  <si>
    <t>2,2'-oxybisethanol, reaction products with ammonia, morpholine derivs. residues</t>
  </si>
  <si>
    <t>68909-77-3</t>
  </si>
  <si>
    <t>2,2'-oxybis-ethanol, reaction products with ammonia, morpholine derivs. residues, acetates (salts)</t>
  </si>
  <si>
    <t>68877-16-7</t>
  </si>
  <si>
    <t>2,2'-oxybisethanol, reaction products with ammonia, morpholine derivs. residues, reaction products with sulfur dioxide</t>
  </si>
  <si>
    <t>102424-23-7</t>
  </si>
  <si>
    <t>2,2'-thiodiethanethiol</t>
  </si>
  <si>
    <t>3570-55-6</t>
  </si>
  <si>
    <t>2,3- dichloropropene</t>
  </si>
  <si>
    <t>78-88-6</t>
  </si>
  <si>
    <t>2,3,3,3-tetrafluoropropene</t>
  </si>
  <si>
    <t>754-12-1</t>
  </si>
  <si>
    <t>2,3,3,4-tetramethylhexane</t>
  </si>
  <si>
    <t>52897-10-6</t>
  </si>
  <si>
    <t>2,3,3,4-tetramethylpentane</t>
  </si>
  <si>
    <t>16747-38-9</t>
  </si>
  <si>
    <t>2,3,3,5-tetramethylhexane</t>
  </si>
  <si>
    <t>52897-11-7</t>
  </si>
  <si>
    <t>2,3,3-trichloro-1,1,1-trifluoropropane</t>
  </si>
  <si>
    <t>431-51-6</t>
  </si>
  <si>
    <t>2,3,3-trimethylheptane</t>
  </si>
  <si>
    <t>52896-93-2</t>
  </si>
  <si>
    <t>2,3,3-trimethylhexane</t>
  </si>
  <si>
    <t>16747-28-7</t>
  </si>
  <si>
    <t>2,3,3-trimethylpentane</t>
  </si>
  <si>
    <t>560-21-4</t>
  </si>
  <si>
    <t>2,3,4,6-tetrachlorophenol</t>
  </si>
  <si>
    <t>58-90-2</t>
  </si>
  <si>
    <t>2,3,4-trihydroxybenzophenone</t>
  </si>
  <si>
    <t>1143-72-2 (PM)</t>
  </si>
  <si>
    <t>1143-72-2 (Vapor)</t>
  </si>
  <si>
    <t>2,3,4-trihydroxybenzophenone naphthoquinone-1,2-diazido-5-sulfonate</t>
  </si>
  <si>
    <t>68510-93-0 (PM)</t>
  </si>
  <si>
    <t>68510-93-0 (Vapor)</t>
  </si>
  <si>
    <t>2,3,4-trimethylheptane</t>
  </si>
  <si>
    <t>52896-95-4</t>
  </si>
  <si>
    <t>2,3,4-trimethylhexane</t>
  </si>
  <si>
    <t>921-47-1</t>
  </si>
  <si>
    <t>2,3,4-trimethylpentane</t>
  </si>
  <si>
    <t>565-75-3</t>
  </si>
  <si>
    <t>2,3,5,6-tetrachloropyridine</t>
  </si>
  <si>
    <t>2402-79-1</t>
  </si>
  <si>
    <t>2,3,5-trichloropyridine</t>
  </si>
  <si>
    <t>16063-70-0</t>
  </si>
  <si>
    <t>2,3,5-trimethylheptane</t>
  </si>
  <si>
    <t>20278-85-7</t>
  </si>
  <si>
    <t>2,3,5-trimethylhexane</t>
  </si>
  <si>
    <t>1069-53-0</t>
  </si>
  <si>
    <t>2,3,6,7-tetramethyl-4-octene</t>
  </si>
  <si>
    <t>63830-66-0</t>
  </si>
  <si>
    <t>2,3,6-trimethylheptane</t>
  </si>
  <si>
    <t>4032-93-3</t>
  </si>
  <si>
    <t>2,3,6-trimethylphenol</t>
  </si>
  <si>
    <t>2416-94-6 (PM)</t>
  </si>
  <si>
    <t>2416-94-6 (Vapor)</t>
  </si>
  <si>
    <t>2,3,7,8-tetrachlorodibenzo-p-dioxin</t>
  </si>
  <si>
    <t>1746-01-6</t>
  </si>
  <si>
    <t>2,3,7-trimethyloctane</t>
  </si>
  <si>
    <t>62016-34-6</t>
  </si>
  <si>
    <t>2,3-benzo[b]fluorene</t>
  </si>
  <si>
    <t>243-17-4</t>
  </si>
  <si>
    <t>2,3-butylene glycol</t>
  </si>
  <si>
    <t>513-85-9</t>
  </si>
  <si>
    <t>2,3-diaminotoluene</t>
  </si>
  <si>
    <t>2687-25-4</t>
  </si>
  <si>
    <t>2,3-dichloro-1,1,1-trifluoropropane</t>
  </si>
  <si>
    <t>338-75-0</t>
  </si>
  <si>
    <t>2,3-dichloro-2-propanol</t>
  </si>
  <si>
    <t>616-23-9</t>
  </si>
  <si>
    <t>2,3-dichloroaniline</t>
  </si>
  <si>
    <t>608-27-5</t>
  </si>
  <si>
    <t>2,3-dichloropyridine</t>
  </si>
  <si>
    <t>2402-77-9</t>
  </si>
  <si>
    <t>2,3-dihydro-1,1,3-trimethyl-5-(1 -methylethyl)-1H-indene</t>
  </si>
  <si>
    <t>74057-44-6</t>
  </si>
  <si>
    <t>2,3-dihydro-1,1-dimethyl-3-phenyl-1H-indene</t>
  </si>
  <si>
    <t>6240-49-9</t>
  </si>
  <si>
    <t>2,3-dihydro-1,4-dioxine</t>
  </si>
  <si>
    <t>543-75-9</t>
  </si>
  <si>
    <t>2,3-dihydro-2,2-dimethyl-7-benzofuranol</t>
  </si>
  <si>
    <t>1563-38-8</t>
  </si>
  <si>
    <t>2,3-dihydro-4H-pyran</t>
  </si>
  <si>
    <t>110-87-2</t>
  </si>
  <si>
    <t>2,3-dihydrofuran</t>
  </si>
  <si>
    <t>1191-99-7</t>
  </si>
  <si>
    <t>2,3-dihydroxy-N,N,N-trimethyl-1-propanaminium chloride</t>
  </si>
  <si>
    <t>34004-36-9</t>
  </si>
  <si>
    <t>2,3-dimethyl-1,4-hexadiene</t>
  </si>
  <si>
    <t>18669-52-8</t>
  </si>
  <si>
    <t>2,3-dimethyl-1-butene</t>
  </si>
  <si>
    <t>563-78-0</t>
  </si>
  <si>
    <t>2,3-dimethyl-1-hexene</t>
  </si>
  <si>
    <t>16746-86-4</t>
  </si>
  <si>
    <t>2,3-dimethyl-2-butene</t>
  </si>
  <si>
    <t>563-79-1</t>
  </si>
  <si>
    <t>2,3-dimethyl-2-hexene</t>
  </si>
  <si>
    <t>7145-20-2</t>
  </si>
  <si>
    <t>2,3-dimethyl-2-pentenoic acid</t>
  </si>
  <si>
    <t>122630-51-7</t>
  </si>
  <si>
    <t>2,3-dimethylbutane</t>
  </si>
  <si>
    <t>79-29-8</t>
  </si>
  <si>
    <t>2,3-dimethylheptane</t>
  </si>
  <si>
    <t>3074-71-3</t>
  </si>
  <si>
    <t>2,3-dimethylhexane</t>
  </si>
  <si>
    <t>584-94-1</t>
  </si>
  <si>
    <t>2,3-dimethylnaphthalene</t>
  </si>
  <si>
    <t>581-40-8</t>
  </si>
  <si>
    <t>2,3-dimethyloctane</t>
  </si>
  <si>
    <t>7146-60-3</t>
  </si>
  <si>
    <t>2,3-dimethylpentane</t>
  </si>
  <si>
    <t>565-59-3</t>
  </si>
  <si>
    <t>2,3-dimethylpyridine</t>
  </si>
  <si>
    <t>108-47-4</t>
  </si>
  <si>
    <t>2,3-epoxy-1-butanol</t>
  </si>
  <si>
    <t>872-38-8</t>
  </si>
  <si>
    <t>2,3-epoxypropyl ester neodecanoic acid</t>
  </si>
  <si>
    <t>26761-45-5</t>
  </si>
  <si>
    <t>2,3-xylenol</t>
  </si>
  <si>
    <t>526-75-0</t>
  </si>
  <si>
    <t>2,4,4-trimethyl-1-pentene</t>
  </si>
  <si>
    <t>107-39-1</t>
  </si>
  <si>
    <t>2,4,4-trimethyl-2-pentanyl 2,2-dimethylpropaneperoxoate</t>
  </si>
  <si>
    <t>22288-41-1</t>
  </si>
  <si>
    <t>2,4,4-trimethyl-2-pentene</t>
  </si>
  <si>
    <t>107-40-4</t>
  </si>
  <si>
    <t>2,4,4-trimethylheptane</t>
  </si>
  <si>
    <t>4032-92-2</t>
  </si>
  <si>
    <t>2,4,4-trimethylhexane</t>
  </si>
  <si>
    <t>16747-30-1</t>
  </si>
  <si>
    <t>2,4,5-trichlorophenol</t>
  </si>
  <si>
    <t>95-95-4</t>
  </si>
  <si>
    <t>2,4,5-trichlorophenoxyacetic acid</t>
  </si>
  <si>
    <t>93-76-5</t>
  </si>
  <si>
    <t>2,4,5-trimethylheptane</t>
  </si>
  <si>
    <t>20278-84-6</t>
  </si>
  <si>
    <t>2,4,6-trichlorophenol</t>
  </si>
  <si>
    <t>88-06-2</t>
  </si>
  <si>
    <t>2,4,6-trimethyl-1-heptene</t>
  </si>
  <si>
    <t>102943-77-1</t>
  </si>
  <si>
    <t>2,4,6-trimethylbenzoylphenylphosphinic acid ethyl ester</t>
  </si>
  <si>
    <t>84434-11-7</t>
  </si>
  <si>
    <t>2,4,6-trimethylheptane</t>
  </si>
  <si>
    <t>2613-61-8</t>
  </si>
  <si>
    <t>2,4,6-trimethylphenol</t>
  </si>
  <si>
    <t>527-60-6 (PM)</t>
  </si>
  <si>
    <t>527-60-6 (Vapor)</t>
  </si>
  <si>
    <t>2,4,6-trimethylpyridine</t>
  </si>
  <si>
    <t>108-75-8</t>
  </si>
  <si>
    <t>2,4,6-trimethylstyrene</t>
  </si>
  <si>
    <t>769-25-5</t>
  </si>
  <si>
    <t>2,4,6-tris (1,1-dimethyl ethyl)-phenol</t>
  </si>
  <si>
    <t>732-26-3</t>
  </si>
  <si>
    <t>2,4,6-tris(2-pyridyl)-s-triazine</t>
  </si>
  <si>
    <t>3682-35-7</t>
  </si>
  <si>
    <t>2,4,6-tris(allyloxy)-1,3,5-triazine</t>
  </si>
  <si>
    <t>101-37-1</t>
  </si>
  <si>
    <t>2,4,6-tris-(dimethylaminomethyl)phenol</t>
  </si>
  <si>
    <t>90-72-2</t>
  </si>
  <si>
    <t>2,4,7,9-tetramethyl-5-decyne-4,7-diol</t>
  </si>
  <si>
    <t>126-86-3</t>
  </si>
  <si>
    <t>2,4,7,9-tetramethyl-5-decyne-4,7-diol ethoxylate</t>
  </si>
  <si>
    <t>9014-85-1</t>
  </si>
  <si>
    <t>2,4-bis(xylylazo)resorcinol</t>
  </si>
  <si>
    <t>29190-28-1</t>
  </si>
  <si>
    <t>2,4-bis[(4-dodecylphenyl)azo]resorcinol</t>
  </si>
  <si>
    <t>65087-00-5</t>
  </si>
  <si>
    <t>2,4-bis[(dimethylamino)methyl]phenol</t>
  </si>
  <si>
    <t>5424-54-4</t>
  </si>
  <si>
    <t>2,4-D dimethylamine salt</t>
  </si>
  <si>
    <t>2008-39-1</t>
  </si>
  <si>
    <t>2,4-dibromophenol</t>
  </si>
  <si>
    <t>615-58-7</t>
  </si>
  <si>
    <t>2,4-dichlorodiphenyldichloroethane</t>
  </si>
  <si>
    <t>53-19-0</t>
  </si>
  <si>
    <t>2,4-dichlorodiphenyldichloroethylene</t>
  </si>
  <si>
    <t>3424-82-6</t>
  </si>
  <si>
    <t>2,4-dichlorodiphenyltrichloroethane</t>
  </si>
  <si>
    <t>789-02-6</t>
  </si>
  <si>
    <t>2,4-dichlorophenol</t>
  </si>
  <si>
    <t>120-83-2</t>
  </si>
  <si>
    <t>2,4-dichlorophenoxyethyl sulfate sodium salt</t>
  </si>
  <si>
    <t>136-78-7</t>
  </si>
  <si>
    <t>2,4-didodecylbenzene sulfonic acid ammonium salt</t>
  </si>
  <si>
    <t>81611-36-1 (PM)</t>
  </si>
  <si>
    <t>81611-36-1 (Vapor)</t>
  </si>
  <si>
    <t>2,4-didodecylbenzene sulfonic acid compd with cyclohexylamine (1:1)</t>
  </si>
  <si>
    <t>14356-38-8 (PM)</t>
  </si>
  <si>
    <t>14356-38-8 (Vapor)</t>
  </si>
  <si>
    <t>2,4-difluoroaniline</t>
  </si>
  <si>
    <t>367-25-9</t>
  </si>
  <si>
    <t>2,4-dimethyl-1-heptene</t>
  </si>
  <si>
    <t>19549-87-2</t>
  </si>
  <si>
    <t>2,4-dimethyl-6-(2-methyl-2-propanyl)phenol</t>
  </si>
  <si>
    <t>1879-09-0</t>
  </si>
  <si>
    <t>2,4-dimethylheptane</t>
  </si>
  <si>
    <t>2213-23-2</t>
  </si>
  <si>
    <t>2,4-dimethylhexane</t>
  </si>
  <si>
    <t>589-43-5</t>
  </si>
  <si>
    <t>2,4-dimethyloctane</t>
  </si>
  <si>
    <t>4032-94-4</t>
  </si>
  <si>
    <t>2,4-dimethylpentane</t>
  </si>
  <si>
    <t>108-08-7</t>
  </si>
  <si>
    <t>2,4-dinitrotoluene</t>
  </si>
  <si>
    <t>121-14-2</t>
  </si>
  <si>
    <t>2,4-di-tert-butylphenol</t>
  </si>
  <si>
    <t>96-76-4</t>
  </si>
  <si>
    <t>2,4-hexanedione</t>
  </si>
  <si>
    <t>3002-24-2</t>
  </si>
  <si>
    <t>2,4-pentanediol</t>
  </si>
  <si>
    <t>625-69-4</t>
  </si>
  <si>
    <t>2,4-pentanedione</t>
  </si>
  <si>
    <t>123-54-6</t>
  </si>
  <si>
    <t>2,4-xylenesulfonic acid</t>
  </si>
  <si>
    <t>88-61-9</t>
  </si>
  <si>
    <t>2,4-xylenol</t>
  </si>
  <si>
    <t>105-67-9</t>
  </si>
  <si>
    <t>2,5,5-trimethyl-2-hexene</t>
  </si>
  <si>
    <t>40467-04-7</t>
  </si>
  <si>
    <t>2,5,5-trimethylheptane</t>
  </si>
  <si>
    <t>1189-99-7</t>
  </si>
  <si>
    <t>2,5,7,10-tetraoxaundecane</t>
  </si>
  <si>
    <t>4431-83-8</t>
  </si>
  <si>
    <t>2,5,8,11-tetramethyldodec-6-yne-5,8-diol</t>
  </si>
  <si>
    <t>68227-33-8</t>
  </si>
  <si>
    <t>2,5-bis(5-tert-butyl-benzoxazol-2-yl)thiophene</t>
  </si>
  <si>
    <t>7128-64-5</t>
  </si>
  <si>
    <t>2,5-dichloroaniline</t>
  </si>
  <si>
    <t>95-82-9</t>
  </si>
  <si>
    <t>2,5-dihydro-5-oxo-1-(4-sulfophenyl)-4-[(E)-(4-sulfophenyl)azo]-1H-pyrazole-3-carboxylic acid, trisodium salt</t>
  </si>
  <si>
    <t>1934-21-0</t>
  </si>
  <si>
    <t>2,5-dihydrofuran</t>
  </si>
  <si>
    <t>1708-29-8</t>
  </si>
  <si>
    <t>2,5-dimethyl thiophene</t>
  </si>
  <si>
    <t>638-02-8</t>
  </si>
  <si>
    <t>2,5-dimethyl-1,5-hexadiene</t>
  </si>
  <si>
    <t>627-58-7</t>
  </si>
  <si>
    <t>2,5-dimethyl-2,5-di(2-ethylhexanoylperoxy) hexane</t>
  </si>
  <si>
    <t>13052-09-0</t>
  </si>
  <si>
    <t>2,5-dimethyl-2,5-di(t-butylperoxy)hexyne-3</t>
  </si>
  <si>
    <t>1068-27-5</t>
  </si>
  <si>
    <t>2,5-dimethyl-2,5-di(tert-butylperoxy)hexane</t>
  </si>
  <si>
    <t>78-63-7</t>
  </si>
  <si>
    <t>2,5-dimethyl-2,5-hexanediol</t>
  </si>
  <si>
    <t>110-03-2</t>
  </si>
  <si>
    <t>2,5-dimethyl-3-hexene</t>
  </si>
  <si>
    <t>15910-22-2</t>
  </si>
  <si>
    <t>2,5-dimethylbenzaldehyde</t>
  </si>
  <si>
    <t>5779-94-2</t>
  </si>
  <si>
    <t>2,5-dimethylcyclopentanone</t>
  </si>
  <si>
    <t>4041-09-2</t>
  </si>
  <si>
    <t>2,5-dimethylheptane</t>
  </si>
  <si>
    <t>2216-30-0</t>
  </si>
  <si>
    <t>2,5-dimethylhexane</t>
  </si>
  <si>
    <t>592-13-2</t>
  </si>
  <si>
    <t>2,5-dimethylhexane 2,5-dihydroperoxide</t>
  </si>
  <si>
    <t>3025-88-5</t>
  </si>
  <si>
    <t>2,5-dimethyloctane</t>
  </si>
  <si>
    <t>15869-89-3</t>
  </si>
  <si>
    <t>2,5-dimethyl-phenanthrene</t>
  </si>
  <si>
    <t>3674-66-6</t>
  </si>
  <si>
    <t>2,5-di-tertbutyl-1,4-benzoquinone</t>
  </si>
  <si>
    <t>2460-77-7</t>
  </si>
  <si>
    <t>2,5-di-tert-butyl-hydroquinone</t>
  </si>
  <si>
    <t>88-58-4</t>
  </si>
  <si>
    <t>2,5-di-tert-butylphenol</t>
  </si>
  <si>
    <t>5875-45-6</t>
  </si>
  <si>
    <t>2,5-furandione (polymer with ethylbenzene, sulfonate, sodium salt)</t>
  </si>
  <si>
    <t>68037-40-1</t>
  </si>
  <si>
    <t>2,5-furandione (polymer with methyloxirane polymer with oxirane ether with 1,2,3-propanetriol)</t>
  </si>
  <si>
    <t>68834-10-6</t>
  </si>
  <si>
    <t>2,5-furandione, polymer with 2-methyl-1-propene, amide imide, ammonium salts</t>
  </si>
  <si>
    <t>146583-55-3</t>
  </si>
  <si>
    <t>2,5-furandione, polymer with alpha,alpha',alpha''-1,2,3-propanetriyltris[omega-hydroxypoly[oxy(methyl-1,2-ethanediyl)]]</t>
  </si>
  <si>
    <t>52408-85-2</t>
  </si>
  <si>
    <t>2,5-furandione, reaction products with polypropylene, chlorinated</t>
  </si>
  <si>
    <t>68609-36-9 (PM)</t>
  </si>
  <si>
    <t>68609-36-9 (Vapor)</t>
  </si>
  <si>
    <t>2,5-hexanedione</t>
  </si>
  <si>
    <t>110-13-4</t>
  </si>
  <si>
    <t>2,5-xylenol</t>
  </si>
  <si>
    <t>95-87-4</t>
  </si>
  <si>
    <t>2,6,10,14-tetramethylpentadecane</t>
  </si>
  <si>
    <t>1921-70-6</t>
  </si>
  <si>
    <t>2,6,10-trimethyl-2,6,10-triazaundecane</t>
  </si>
  <si>
    <t>3855-32-1</t>
  </si>
  <si>
    <t>2,6,10-trimethyldodecane</t>
  </si>
  <si>
    <t>3891-98-3</t>
  </si>
  <si>
    <t>2,6,8-trimethyl-4-nonanol</t>
  </si>
  <si>
    <t>123-17-1</t>
  </si>
  <si>
    <t>2,6,8-trimethyl-4-nonanone</t>
  </si>
  <si>
    <t>123-18-2</t>
  </si>
  <si>
    <t>2,6,8-trimethylnonyl vinyl ether</t>
  </si>
  <si>
    <t>10141-19-2</t>
  </si>
  <si>
    <t>2,6-bis(1-methylpropyl)-4-[2-(4-nitrophenyl)diazenyl]phenol</t>
  </si>
  <si>
    <t>111850-24-9</t>
  </si>
  <si>
    <t>2,6-bis[(4-azidophenyl)methylene]-4-ethyl-cyclohexanone</t>
  </si>
  <si>
    <t>114391-97-8</t>
  </si>
  <si>
    <t>2,6-bis[(4-azidophenyl)methylene]-4-methylcyclohexanone</t>
  </si>
  <si>
    <t>5284-79-7</t>
  </si>
  <si>
    <t>2,6-chloropyridine</t>
  </si>
  <si>
    <t>2402-78-0</t>
  </si>
  <si>
    <t>2,6-dibromophenol</t>
  </si>
  <si>
    <t>608-33-3</t>
  </si>
  <si>
    <t>2,6-dichloro-4-(trichloromethyl)pyridine</t>
  </si>
  <si>
    <t>22652-14-8</t>
  </si>
  <si>
    <t>2,6-dichloro-4-nitroaniline</t>
  </si>
  <si>
    <t>99-30-9</t>
  </si>
  <si>
    <t>2,6-dichloroanisole</t>
  </si>
  <si>
    <t>1984-55-2</t>
  </si>
  <si>
    <t>2,6-dichlorobenzonitrile</t>
  </si>
  <si>
    <t>1194-65-6</t>
  </si>
  <si>
    <t>2,6-dichlorophenol</t>
  </si>
  <si>
    <t>87-65-0</t>
  </si>
  <si>
    <t>2,6-diethylaniline</t>
  </si>
  <si>
    <t>579-66-8</t>
  </si>
  <si>
    <t>2,6-difluoroaniline</t>
  </si>
  <si>
    <t>5509-65-9</t>
  </si>
  <si>
    <t>2,6-diisopropylphenol</t>
  </si>
  <si>
    <t>2078-54-8</t>
  </si>
  <si>
    <t>2,6-dimethyl-1-heptene</t>
  </si>
  <si>
    <t>3074-78-0</t>
  </si>
  <si>
    <t>2,6-dimethyl-2-heptanol</t>
  </si>
  <si>
    <t>13254-34-7</t>
  </si>
  <si>
    <t>2,6-dimethyl-2-octen-8-ol</t>
  </si>
  <si>
    <t>106-22-9</t>
  </si>
  <si>
    <t>2,6-dimethyl-3-heptene</t>
  </si>
  <si>
    <t>2738-18-3</t>
  </si>
  <si>
    <t>2,6-dimethyl-4-heptanol</t>
  </si>
  <si>
    <t>108-82-7</t>
  </si>
  <si>
    <t>2,6-dimethyl-4-heptanone</t>
  </si>
  <si>
    <t>108-83-8</t>
  </si>
  <si>
    <t>2,6-dimethylheptane</t>
  </si>
  <si>
    <t>1072-05-5</t>
  </si>
  <si>
    <t>2,6-dimethyloctane</t>
  </si>
  <si>
    <t>2051-30-1</t>
  </si>
  <si>
    <t>2,6-dimethylundecane</t>
  </si>
  <si>
    <t>17301-23-4</t>
  </si>
  <si>
    <t>2,6-dinitrophenol</t>
  </si>
  <si>
    <t>573-56-8</t>
  </si>
  <si>
    <t>2,6-di-t-butyl-4-sec-butylphenol</t>
  </si>
  <si>
    <t>17540-75-9</t>
  </si>
  <si>
    <t>2,6-di-tert-butyl phenol</t>
  </si>
  <si>
    <t>60083-44-5</t>
  </si>
  <si>
    <t>2,6-di-tert-butyl-4-nonylphenol</t>
  </si>
  <si>
    <t>4306-88-1</t>
  </si>
  <si>
    <t>2,6-di-tert-butylphenol</t>
  </si>
  <si>
    <t>128-39-2 (Not Defined)</t>
  </si>
  <si>
    <t>128-39-2 (PM)</t>
  </si>
  <si>
    <t>2,6-xylenol</t>
  </si>
  <si>
    <t>576-26-1</t>
  </si>
  <si>
    <t>2,7-dimethyloctane</t>
  </si>
  <si>
    <t>1072-16-8</t>
  </si>
  <si>
    <t xml:space="preserve">2,8-dimethylundecane </t>
  </si>
  <si>
    <t>17301-25-6</t>
  </si>
  <si>
    <t>2-[(1,1-dimethylethyl)amino]-ethanol</t>
  </si>
  <si>
    <t>4620-70-6</t>
  </si>
  <si>
    <t>2-[(4-dodecylphenyl)azo]-4-(2,4-xylylazo)resorcinol</t>
  </si>
  <si>
    <t>68310-04-3</t>
  </si>
  <si>
    <t>2-[(8-methylnonyl)oxy]ethanol</t>
  </si>
  <si>
    <t>61827-42-7 (PM)</t>
  </si>
  <si>
    <t>61827-42-7 (Vapor)</t>
  </si>
  <si>
    <t>2-[(8Z)-8-heptadecen-1-yl]-4,5-dihydro-1H-imidazole-1-ethanol</t>
  </si>
  <si>
    <t>21652-27-7</t>
  </si>
  <si>
    <t>2-[[[3-(dimethylamino)propyl]amino]methyl]-6-methyl-phenol, 4-polybutene derivs.</t>
  </si>
  <si>
    <t>1078715-83-9 (PM)</t>
  </si>
  <si>
    <t>1078715-83-9 (Vapor)</t>
  </si>
  <si>
    <t>2-[2-(2-hydroxyethoxy)ethyl]2-ethylhexanoate</t>
  </si>
  <si>
    <t>63468-14-4</t>
  </si>
  <si>
    <t>2-[ethyl(methyl)amino]-1-phenyl-1-propanol</t>
  </si>
  <si>
    <t>7681-79-0</t>
  </si>
  <si>
    <t>2-{[2-(acryloyloxy)ethoxy]carbonyl}cyclohexanecarboxylic acid</t>
  </si>
  <si>
    <t>57043-35-3 (PM)</t>
  </si>
  <si>
    <t>57043-35-3 (Vapor)</t>
  </si>
  <si>
    <t>2-{2-[(1E)-1-heptadecen-1-yl]-4,5-dihydro-1H-imidazol-1-yl}ethanol</t>
  </si>
  <si>
    <t>27136-73-8</t>
  </si>
  <si>
    <t>21-amino-N-(2-((2-((2-((2-aminoethyl)amino)ethyl)amino)ethyl)amino)ethyl)-9-(1-hydroxynonyl)-9,12,15,18-tetraazahenicosanamide</t>
  </si>
  <si>
    <t>68298-14-6</t>
  </si>
  <si>
    <t>2-2'-oxybis(N,N-dimethylethylamine)</t>
  </si>
  <si>
    <t>3033-62-3</t>
  </si>
  <si>
    <t>2-acetoacetoxyethyl methacrylate</t>
  </si>
  <si>
    <t>21282-97-3</t>
  </si>
  <si>
    <t>2-acetylaminofluorene</t>
  </si>
  <si>
    <t>53-96-3</t>
  </si>
  <si>
    <t>2-acetylbutyrolactone</t>
  </si>
  <si>
    <t>517-23-7</t>
  </si>
  <si>
    <t>2-acrylamido-2-methy-1-propane sulfonic acid sodium salt</t>
  </si>
  <si>
    <t>5165-97-9</t>
  </si>
  <si>
    <t>2-acrylamido-2-methyl propanesulfonic acid</t>
  </si>
  <si>
    <t>15214-89-8</t>
  </si>
  <si>
    <t>2-Alkenyl (C11-C13) succinic acid anhydride</t>
  </si>
  <si>
    <t>68412-02-2</t>
  </si>
  <si>
    <t>2-allylphenol</t>
  </si>
  <si>
    <t>1745-81-9</t>
  </si>
  <si>
    <t>2-aminethanol, reaction products with ammonia, by-products from, phosphonomethylated, compds. with alkylpyridine derivs.</t>
  </si>
  <si>
    <t>68956-76-3</t>
  </si>
  <si>
    <t>2-amino-1-phenylethanol</t>
  </si>
  <si>
    <t>7568-93-6 (PM)</t>
  </si>
  <si>
    <t>7568-93-6 (Vapor)</t>
  </si>
  <si>
    <t>2-amino-2-(hydroxymethyl)-1,3-propanediol, polymer with 2-methyloxirane</t>
  </si>
  <si>
    <t>68541-39-9</t>
  </si>
  <si>
    <t>2-amino-2-(hydroxymethyl)-propanediol polymer wth 5-isocyanato-1-(isocyanatomethyl)-1,3,3-trimethylcyclohexane, caprolactam-blocked</t>
  </si>
  <si>
    <t>68610-70-8</t>
  </si>
  <si>
    <t>2-amino-2-(hydroxymethyl)-propanediol polymer wth methyloxirane and oxirane</t>
  </si>
  <si>
    <t>68133-47-1</t>
  </si>
  <si>
    <t>2-amino-2-methyl-1-propanol</t>
  </si>
  <si>
    <t>124-68-5</t>
  </si>
  <si>
    <t>2-amino-4(1H)-pyrimidone</t>
  </si>
  <si>
    <t>108-53-2</t>
  </si>
  <si>
    <t>2-amino-4,6-dimethoxypyrimidine</t>
  </si>
  <si>
    <t>36315-01-2</t>
  </si>
  <si>
    <t>2-amino-5-ethoxy-benzenethiol dichloride</t>
  </si>
  <si>
    <t>71071-47-1</t>
  </si>
  <si>
    <t>2-amino-9,10-anthracenedione</t>
  </si>
  <si>
    <t>117-79-3</t>
  </si>
  <si>
    <t>2-aminobenzoic acid methyl ester</t>
  </si>
  <si>
    <t>134-20-3</t>
  </si>
  <si>
    <t>2-aminocyclopentanemethylamine</t>
  </si>
  <si>
    <t>21544-02-5</t>
  </si>
  <si>
    <t>2-aminoethanol acetate salt</t>
  </si>
  <si>
    <t>54300-24-2</t>
  </si>
  <si>
    <t>2-aminoethanol compd. with N-hydroxy-N-nitrosobenzenamine (1:1)</t>
  </si>
  <si>
    <t>105658-30-8</t>
  </si>
  <si>
    <t>2-aminoethanol sulfate</t>
  </si>
  <si>
    <t>56633-27-3</t>
  </si>
  <si>
    <t>2-aminoethanol, compound with sulphur dioxide (1:1)</t>
  </si>
  <si>
    <t>65345-27-9</t>
  </si>
  <si>
    <t>2-aminoethanol, reaction products with ammonia, by-products from, phosphonomethylated</t>
  </si>
  <si>
    <t>68649-44-5</t>
  </si>
  <si>
    <t>2-aminoethanol, salt with phosphoric acid</t>
  </si>
  <si>
    <t>29868-05-1</t>
  </si>
  <si>
    <t>2-aminopyridine</t>
  </si>
  <si>
    <t>504-29-0</t>
  </si>
  <si>
    <t>2-benzimidazolethiol</t>
  </si>
  <si>
    <t>583-39-1</t>
  </si>
  <si>
    <t>2-benzyl-2-(dimethylamino)-1-[4-(4-morpholinyl)phenyl]-1-butanone</t>
  </si>
  <si>
    <t>119313-12-1</t>
  </si>
  <si>
    <t>2-benzyloxyethanol</t>
  </si>
  <si>
    <t>622-08-2</t>
  </si>
  <si>
    <t>2-bromo-1,1,1-trifluoroethane</t>
  </si>
  <si>
    <t>421-06-7</t>
  </si>
  <si>
    <t>2-bromo-1,1,3,4,4-pentachloro-1,3-butadiene</t>
  </si>
  <si>
    <t>67280-69-7</t>
  </si>
  <si>
    <t>2-bromo-1,3-diethyl-5-methylbenzene</t>
  </si>
  <si>
    <t>314084-61-2</t>
  </si>
  <si>
    <t>2-bromo-2-nitro-1,3-propanediol</t>
  </si>
  <si>
    <t>52-51-7</t>
  </si>
  <si>
    <t>2-bromo-3-fluorobenzotrifluoride</t>
  </si>
  <si>
    <t>104540-42-3</t>
  </si>
  <si>
    <t>2-bromopentane</t>
  </si>
  <si>
    <t>107-81-3</t>
  </si>
  <si>
    <t>2-bromopropane</t>
  </si>
  <si>
    <t>75-26-3</t>
  </si>
  <si>
    <t>2-butene</t>
  </si>
  <si>
    <t>107-01-7</t>
  </si>
  <si>
    <t>2-butene-1,4-diol</t>
  </si>
  <si>
    <t>110-64-5</t>
  </si>
  <si>
    <t>2-butoxy-1-propanol</t>
  </si>
  <si>
    <t>15821-83-7</t>
  </si>
  <si>
    <t>2-butoxyethanol</t>
  </si>
  <si>
    <t>111-76-2</t>
  </si>
  <si>
    <t>2-butoxyethanol phosphate (3:1)</t>
  </si>
  <si>
    <t>78-51-3</t>
  </si>
  <si>
    <t>2-butoxyethyl acetate</t>
  </si>
  <si>
    <t>112-07-2</t>
  </si>
  <si>
    <t>2-butoxyethyl benzoate</t>
  </si>
  <si>
    <t>5451-76-3</t>
  </si>
  <si>
    <t>2-butyl-1-octanol</t>
  </si>
  <si>
    <t>3913-02-8</t>
  </si>
  <si>
    <t>2-butyl-2-ethyl-1,3-propanediol</t>
  </si>
  <si>
    <t>115-84-4 (PM)</t>
  </si>
  <si>
    <t>115-84-4 (Vapor)</t>
  </si>
  <si>
    <t>2-butylcyclohexanone</t>
  </si>
  <si>
    <t>1126-18-7</t>
  </si>
  <si>
    <t>2-butyne</t>
  </si>
  <si>
    <t>503-17-3</t>
  </si>
  <si>
    <t>2-chloro-1-(1-chlorocyclopropyl) ethanone</t>
  </si>
  <si>
    <t>120983-72-4</t>
  </si>
  <si>
    <t>2-chloro-1,1,1,2-tetrafluoroethane</t>
  </si>
  <si>
    <t>2837-89-0</t>
  </si>
  <si>
    <t>2-chloro-1,1,1,2-tetrafluoropropane</t>
  </si>
  <si>
    <t>421-73-8</t>
  </si>
  <si>
    <t>2-chloro-1,3-butadiene polymer</t>
  </si>
  <si>
    <t>9010-98-4</t>
  </si>
  <si>
    <t>2-chloro-1-butanol</t>
  </si>
  <si>
    <t>26106-95-6</t>
  </si>
  <si>
    <t>2-chloro-1-propanol</t>
  </si>
  <si>
    <t>78-89-7</t>
  </si>
  <si>
    <t>2-chloro-2-propen-1-ol</t>
  </si>
  <si>
    <t>5976-47-6</t>
  </si>
  <si>
    <t>2-chloro-2-propen-1-yl diethylcarbamodithioate</t>
  </si>
  <si>
    <t>95-06-7</t>
  </si>
  <si>
    <t>2-chloro-3,3,3-trifluoropropene</t>
  </si>
  <si>
    <t>2730-62-3</t>
  </si>
  <si>
    <t>2-chloro-6-trichloromethylpyridine</t>
  </si>
  <si>
    <t>1929-82-4</t>
  </si>
  <si>
    <t>2-chloroacetophenone</t>
  </si>
  <si>
    <t>532-27-4</t>
  </si>
  <si>
    <t>2-chlorobenzyl chloride</t>
  </si>
  <si>
    <t>611-19-8</t>
  </si>
  <si>
    <t>2-chloroethanol</t>
  </si>
  <si>
    <t>107-07-3</t>
  </si>
  <si>
    <t>2-chloroethylphosphonic acid</t>
  </si>
  <si>
    <t>16672-87-0</t>
  </si>
  <si>
    <t>2-chloronaphthalene</t>
  </si>
  <si>
    <t>91-58-7</t>
  </si>
  <si>
    <t>2-chloropentane</t>
  </si>
  <si>
    <t>625-29-6</t>
  </si>
  <si>
    <t>2-chloropropane</t>
  </si>
  <si>
    <t>75-29-6</t>
  </si>
  <si>
    <t>2-chloropropene</t>
  </si>
  <si>
    <t>557-98-2</t>
  </si>
  <si>
    <t>2-chloropropionic acid</t>
  </si>
  <si>
    <t>598-78-7</t>
  </si>
  <si>
    <t>2-chloropyridine</t>
  </si>
  <si>
    <t>109-09-1</t>
  </si>
  <si>
    <t>2-cyanopyridine</t>
  </si>
  <si>
    <t>100-70-9</t>
  </si>
  <si>
    <t>2-cyclohexenol</t>
  </si>
  <si>
    <t>822-67-3</t>
  </si>
  <si>
    <t>2-cyclohexenone</t>
  </si>
  <si>
    <t>930-68-7</t>
  </si>
  <si>
    <t>2-cyclohexyl-4,6-dinitro-phenol</t>
  </si>
  <si>
    <t>131-89-5</t>
  </si>
  <si>
    <t>2-cyclohexylidenecyclohexanone</t>
  </si>
  <si>
    <t>1011-12-7</t>
  </si>
  <si>
    <t>2-dehydrolinalool</t>
  </si>
  <si>
    <t>29171-20-8</t>
  </si>
  <si>
    <t>2-diethylaminoethanol</t>
  </si>
  <si>
    <t>100-37-8</t>
  </si>
  <si>
    <t>2-dimethylaminoethanol</t>
  </si>
  <si>
    <t>108-01-0</t>
  </si>
  <si>
    <t>2-dodecanone</t>
  </si>
  <si>
    <t>6175-49-1</t>
  </si>
  <si>
    <t>2-dodecy-1-hexadecanol</t>
  </si>
  <si>
    <t>72388-18-2</t>
  </si>
  <si>
    <t>2-ethoxy-1-propanol</t>
  </si>
  <si>
    <t>19089-47-5</t>
  </si>
  <si>
    <t>2-ethoxy-2-propylacetate</t>
  </si>
  <si>
    <t>54839-24-6</t>
  </si>
  <si>
    <t>2-ethoxy-3,4-dihydro-1,2-pyran</t>
  </si>
  <si>
    <t>103-75-3</t>
  </si>
  <si>
    <t>2-ethoxy-4,6-difluoropyrimidine</t>
  </si>
  <si>
    <t>166524-65-8</t>
  </si>
  <si>
    <t>2-ethoxy-4-fluoro-6-hydrazinopyrimidine</t>
  </si>
  <si>
    <t>166524-66-9</t>
  </si>
  <si>
    <t>2-ethoxyethanol</t>
  </si>
  <si>
    <t>110-80-5</t>
  </si>
  <si>
    <t>2-ethoxyethyl acetate</t>
  </si>
  <si>
    <t>111-15-9</t>
  </si>
  <si>
    <t>2-ethoxynaphthalene</t>
  </si>
  <si>
    <t>93-18-5</t>
  </si>
  <si>
    <t>2-ethyl acrolein</t>
  </si>
  <si>
    <t>922-63-4</t>
  </si>
  <si>
    <t>2-ethyl butyl alcohol</t>
  </si>
  <si>
    <t>97-95-0</t>
  </si>
  <si>
    <t>2-ethyl hexanoyl chloride</t>
  </si>
  <si>
    <t>760-67-8</t>
  </si>
  <si>
    <t>2-ethyl hexyl chloroformate</t>
  </si>
  <si>
    <t>24468-13-1</t>
  </si>
  <si>
    <t>2-ethyl-1,3-dimethylbenzene</t>
  </si>
  <si>
    <t>2870-04-4</t>
  </si>
  <si>
    <t>2-ethyl-1,3-hexanediol</t>
  </si>
  <si>
    <t>94-96-2</t>
  </si>
  <si>
    <t>2-ethyl-1-butene</t>
  </si>
  <si>
    <t>760-21-4</t>
  </si>
  <si>
    <t>2-ethyl-1-hexene</t>
  </si>
  <si>
    <t>1632-16-2</t>
  </si>
  <si>
    <t>2-ethyl-2-(hydroxylmethyl)-1,3-propanediol polymer with oxirane</t>
  </si>
  <si>
    <t>29860-47-7</t>
  </si>
  <si>
    <t>2-ethyl-2-(hydroxymethyl)-1,3-propanediol, polymer with 1,3-diisocyanatomethylbenzene and 2,2'-oxybis(ethanol)</t>
  </si>
  <si>
    <t>53317-61-6</t>
  </si>
  <si>
    <t>2-ethyl-2-butenal</t>
  </si>
  <si>
    <t>19780-25-7</t>
  </si>
  <si>
    <t>2-ethyl-2-hexenal</t>
  </si>
  <si>
    <t>64344-45-2</t>
  </si>
  <si>
    <t>645-62-5</t>
  </si>
  <si>
    <t>2-ethyl-2-oxazoline</t>
  </si>
  <si>
    <t>10431-98-8</t>
  </si>
  <si>
    <t>2-ethyl-4-methyl-1-pentane</t>
  </si>
  <si>
    <t>61847-80-1</t>
  </si>
  <si>
    <t>2-ethyl-9,10-anthraquinone</t>
  </si>
  <si>
    <t>84-51-5</t>
  </si>
  <si>
    <t>2-ethylhexanoic acid</t>
  </si>
  <si>
    <t>149-57-5</t>
  </si>
  <si>
    <t>2-ethyl-hexanoic acid, manganese salt</t>
  </si>
  <si>
    <t>13434-24-7</t>
  </si>
  <si>
    <t>2-ethylhexanoic acid, potassium salt</t>
  </si>
  <si>
    <t>3164-85-0</t>
  </si>
  <si>
    <t>2-ethylhexanoic acid, zirconium salt</t>
  </si>
  <si>
    <t>22464-99-9</t>
  </si>
  <si>
    <t>2-ethylhexenal</t>
  </si>
  <si>
    <t>26266-68-2</t>
  </si>
  <si>
    <t>2-ethylhexyl 7-oxabicyclo[4.1.0]heptane-3-carboxylate</t>
  </si>
  <si>
    <t>62256-00-2</t>
  </si>
  <si>
    <t>2-ethylhexyl acetate</t>
  </si>
  <si>
    <t>103-09-3</t>
  </si>
  <si>
    <t>2-ethylhexyl acrylate</t>
  </si>
  <si>
    <t>103-11-7</t>
  </si>
  <si>
    <t>2-ethylhexyl alcohol</t>
  </si>
  <si>
    <t>104-76-7</t>
  </si>
  <si>
    <t>2-ethylhexyl chloride</t>
  </si>
  <si>
    <t>123-04-6</t>
  </si>
  <si>
    <t>2-ethylhexyl diphenyl phosphate</t>
  </si>
  <si>
    <t>1241-94-7</t>
  </si>
  <si>
    <t>2-ethylhexyl nitrate</t>
  </si>
  <si>
    <t>27247-96-7</t>
  </si>
  <si>
    <t>2-ethylhexyl thioglycolate</t>
  </si>
  <si>
    <t>7659-86-1</t>
  </si>
  <si>
    <t>2-ethylhexyl-2-cyano-3,3-diphenylacrylate</t>
  </si>
  <si>
    <t>6197-30-4</t>
  </si>
  <si>
    <t>2-ethylhexyl-3-mercaptopropionate</t>
  </si>
  <si>
    <t>50448-95-8</t>
  </si>
  <si>
    <t>2-ethylhexylamine</t>
  </si>
  <si>
    <t>104-75-6</t>
  </si>
  <si>
    <t>2-ethylphenol</t>
  </si>
  <si>
    <t>90-00-6</t>
  </si>
  <si>
    <t>2-ethylthiophene</t>
  </si>
  <si>
    <t>872-55-9</t>
  </si>
  <si>
    <t>2-heptadecanone</t>
  </si>
  <si>
    <t>2922-51-2</t>
  </si>
  <si>
    <t>2-heptyl-3,4-bis(9-isocyanatononyl)-1-pentylcyclohexane</t>
  </si>
  <si>
    <t>68239-06-5</t>
  </si>
  <si>
    <t>2-heptylcyclopentanone</t>
  </si>
  <si>
    <t>137-03-1</t>
  </si>
  <si>
    <t>2-hexanol</t>
  </si>
  <si>
    <t>626-93-7</t>
  </si>
  <si>
    <t>2-hexene</t>
  </si>
  <si>
    <t>592-43-8</t>
  </si>
  <si>
    <t>2-hexyl-1-decanol</t>
  </si>
  <si>
    <t>2425-77-6</t>
  </si>
  <si>
    <t>2-hydroxy-2-methylpropiophenone</t>
  </si>
  <si>
    <t>7473-98-5</t>
  </si>
  <si>
    <t>2-hydroxy-4-methylthio-butanoic acid</t>
  </si>
  <si>
    <t>583-91-5</t>
  </si>
  <si>
    <t>2-hydroxyacetophenone</t>
  </si>
  <si>
    <t>118-93-4</t>
  </si>
  <si>
    <t>2-hydroxy-ethane sulfonic acid, monosodium salt</t>
  </si>
  <si>
    <t>1562-00-1</t>
  </si>
  <si>
    <t>2-hydroxyethanesulphonic acid</t>
  </si>
  <si>
    <t>107-36-8</t>
  </si>
  <si>
    <t>2-hydroxyethyl acrylate</t>
  </si>
  <si>
    <t>818-61-1</t>
  </si>
  <si>
    <t>2-hydroxyethyl methacrylate</t>
  </si>
  <si>
    <t>868-77-9</t>
  </si>
  <si>
    <t>2-hydroxyethyl piperazine</t>
  </si>
  <si>
    <t>103-76-4</t>
  </si>
  <si>
    <t>2-hydroxyethyl-n-octyl sulfide</t>
  </si>
  <si>
    <t>3547-33-9</t>
  </si>
  <si>
    <t>2-hydroxymethyl benzeneethanol, alpha isomer</t>
  </si>
  <si>
    <t>33206-31-4</t>
  </si>
  <si>
    <t>2-hydroxymethyl benzeneethanol, beta isomer</t>
  </si>
  <si>
    <t>134342-25-9</t>
  </si>
  <si>
    <t>2-hydroxymethylamino ethanol</t>
  </si>
  <si>
    <t>34375-28-5</t>
  </si>
  <si>
    <t>2-hydroxy-N-(2-hydroxyethyl)ethanaminium acetate</t>
  </si>
  <si>
    <t>23251-72-1 (PM)</t>
  </si>
  <si>
    <t>23251-72-1 (Vapor)</t>
  </si>
  <si>
    <t>2-hydroxy-N,N,N-trimethyl-1-propanaminium</t>
  </si>
  <si>
    <t>7562-87-0</t>
  </si>
  <si>
    <t>2-hydroxy-N,N-bis(2-hydroxyethyl)-N-methylethanaminium chloride</t>
  </si>
  <si>
    <t>7006-59-9</t>
  </si>
  <si>
    <t>2-hydroxyphenethyl alcohol</t>
  </si>
  <si>
    <t>7768-28-7</t>
  </si>
  <si>
    <t>2-hydroxypropyl acrylate</t>
  </si>
  <si>
    <t>999-61-1</t>
  </si>
  <si>
    <t>2-hydroxypropyl methacrylate</t>
  </si>
  <si>
    <t>923-26-2</t>
  </si>
  <si>
    <t>2-isobutyl isobutyrate</t>
  </si>
  <si>
    <t>97-85-8</t>
  </si>
  <si>
    <t>2-isopropoxyethanol</t>
  </si>
  <si>
    <t>109-59-1</t>
  </si>
  <si>
    <t>2-isopropyl pyridine</t>
  </si>
  <si>
    <t>644-98-4</t>
  </si>
  <si>
    <t>2-isopropyl-2,3-dimethylbutyronitrile</t>
  </si>
  <si>
    <t>55897-64-8</t>
  </si>
  <si>
    <t>2-isopropyl-5,5-dimethyl-1,3-dioxane</t>
  </si>
  <si>
    <t>7651-50-5</t>
  </si>
  <si>
    <t>2-isopropyl-9H-thioxanthen-9-one</t>
  </si>
  <si>
    <t>5495-84-1</t>
  </si>
  <si>
    <t>2-isopropyl-N,2,3-trimethylbutyramide</t>
  </si>
  <si>
    <t>51115-67-4</t>
  </si>
  <si>
    <t>2-isopropylphenol</t>
  </si>
  <si>
    <t>88-69-7</t>
  </si>
  <si>
    <t>2-mercapto-3-butanol-3-hydroxy-2-butanethiol</t>
  </si>
  <si>
    <t>37887-04-0</t>
  </si>
  <si>
    <t>2-mercaptoacetic acid, compds. with alkylpyridines</t>
  </si>
  <si>
    <t>168612-10-0</t>
  </si>
  <si>
    <t>2-mercaptoethanol</t>
  </si>
  <si>
    <t>60-24-2</t>
  </si>
  <si>
    <t>2-mercaptoethyl oleate</t>
  </si>
  <si>
    <t>59118-78-4</t>
  </si>
  <si>
    <t>2-mercaptoethyl tallate</t>
  </si>
  <si>
    <t>68440-24-4</t>
  </si>
  <si>
    <t>2-methoxy-1-propanol</t>
  </si>
  <si>
    <t>1589-47-5</t>
  </si>
  <si>
    <t>2-methoxy-1-propyl acetate</t>
  </si>
  <si>
    <t>70657-70-4</t>
  </si>
  <si>
    <t>2-methoxy-3,4-dihydro-2H-pyran</t>
  </si>
  <si>
    <t>4454-05-1</t>
  </si>
  <si>
    <t>2-methoxyethanol</t>
  </si>
  <si>
    <t>109-86-4</t>
  </si>
  <si>
    <t>2-methoxyethyl acetate</t>
  </si>
  <si>
    <t>110-49-6</t>
  </si>
  <si>
    <t>2-methoxyphenol</t>
  </si>
  <si>
    <t>90-05-1</t>
  </si>
  <si>
    <t>2-methyl biphenyl</t>
  </si>
  <si>
    <t>643-58-3</t>
  </si>
  <si>
    <t>2-methyl butyl acetate</t>
  </si>
  <si>
    <t>624-41-9</t>
  </si>
  <si>
    <t>2-methyl indene</t>
  </si>
  <si>
    <t>2177-47-1</t>
  </si>
  <si>
    <t>2-methyl octanoic acid</t>
  </si>
  <si>
    <t>3004-93-1</t>
  </si>
  <si>
    <t>2-methyl-1,5-heptadiene</t>
  </si>
  <si>
    <t>41044-63-7</t>
  </si>
  <si>
    <t>2-methyl-1-butanol</t>
  </si>
  <si>
    <t>137-32-6</t>
  </si>
  <si>
    <t>2-methyl-1-butene</t>
  </si>
  <si>
    <t>563-46-2</t>
  </si>
  <si>
    <t>2-methyl-1-decanol</t>
  </si>
  <si>
    <t>18675-24-6</t>
  </si>
  <si>
    <t>2-methyl-1-hexanol</t>
  </si>
  <si>
    <t>61949-26-6</t>
  </si>
  <si>
    <t>2-methyl-1-nonene</t>
  </si>
  <si>
    <t>2980-71-4</t>
  </si>
  <si>
    <t>2-methyl-1-pentanol</t>
  </si>
  <si>
    <t>105-30-6</t>
  </si>
  <si>
    <t>2-methyl-1-pentene</t>
  </si>
  <si>
    <t>763-29-1</t>
  </si>
  <si>
    <t>2-methyl-1-propanethiol</t>
  </si>
  <si>
    <t>513-44-0</t>
  </si>
  <si>
    <t>2-methyl-1-propene, homopolymer, hydroformylation products, reaction products with ammonia</t>
  </si>
  <si>
    <t>337367-30-3</t>
  </si>
  <si>
    <t>2-methyl-1-undecanol</t>
  </si>
  <si>
    <t>10522-26-6</t>
  </si>
  <si>
    <t>2-methyl-2-(methylamino)-1-propanol</t>
  </si>
  <si>
    <t>27646-80-6</t>
  </si>
  <si>
    <t>2-methyl-2-[(1-oxo-2-propenyl)amino]-1-propanesulfonic acid, monoammonium salt, polymer with 2-propenamide</t>
  </si>
  <si>
    <t>110897-64-8</t>
  </si>
  <si>
    <t>2-methyl-2-butanethiol</t>
  </si>
  <si>
    <t>1679-09-0</t>
  </si>
  <si>
    <t>2-methyl-2-butene</t>
  </si>
  <si>
    <t>513-35-9</t>
  </si>
  <si>
    <t>2-methyl-2-butenenitrile</t>
  </si>
  <si>
    <t>4403-61-6</t>
  </si>
  <si>
    <t>2-methyl-2-heptene</t>
  </si>
  <si>
    <t>627-97-4</t>
  </si>
  <si>
    <t>2-methyl-2-pentanol</t>
  </si>
  <si>
    <t>590-36-3</t>
  </si>
  <si>
    <t>2-methyl-2-pentenal</t>
  </si>
  <si>
    <t>623-36-9</t>
  </si>
  <si>
    <t>2-methyl-2-propanethiol</t>
  </si>
  <si>
    <t>75-66-1</t>
  </si>
  <si>
    <t>2-methyl-2-propen-1-ol</t>
  </si>
  <si>
    <t>513-42-8</t>
  </si>
  <si>
    <t>2-methyl-2-undecanethiol</t>
  </si>
  <si>
    <t>10059-13-9</t>
  </si>
  <si>
    <t>2-methyl-2-undecene</t>
  </si>
  <si>
    <t>56888-88-1</t>
  </si>
  <si>
    <t>2-methyl-3-(3,4-methylenedioxyphenyl)-propanal</t>
  </si>
  <si>
    <t>1205-17-0</t>
  </si>
  <si>
    <t>2-methyl-3-(p-isopropylphenyl)propionaldehyde</t>
  </si>
  <si>
    <t>103-95-7</t>
  </si>
  <si>
    <t>2-methyl-3-butenenitrile</t>
  </si>
  <si>
    <t>16529-56-9</t>
  </si>
  <si>
    <t>2-methyl-3-butyn-2-ol</t>
  </si>
  <si>
    <t>115-19-5</t>
  </si>
  <si>
    <t>2-methyl-3-hexanone</t>
  </si>
  <si>
    <t>7379-12-6</t>
  </si>
  <si>
    <t>2-methyl-4,6-bis(methylthio)-1,3-benzenediamine</t>
  </si>
  <si>
    <t>104983-85-9</t>
  </si>
  <si>
    <t>2-methyl-4,6-di(methylthio)-1,3-benzenediamine</t>
  </si>
  <si>
    <t>106264-79-3</t>
  </si>
  <si>
    <t>2'-methyl-4'-hydroxyacetophenone</t>
  </si>
  <si>
    <t>875-59-2</t>
  </si>
  <si>
    <t>2-methyl-4-isothiazolin-3-one</t>
  </si>
  <si>
    <t>2682-20-4</t>
  </si>
  <si>
    <t>2-methyl-5-(1-methyl-2-sulfanylethyl)cyclohexanethiol</t>
  </si>
  <si>
    <t>4802-20-4</t>
  </si>
  <si>
    <t>2-methyl-5,6,7,7a-tetrahydro-1H-indene</t>
  </si>
  <si>
    <t>2-methyl-5-ethyl pyridine</t>
  </si>
  <si>
    <t>104-90-5</t>
  </si>
  <si>
    <t>2-methyl-5-nitroaniline</t>
  </si>
  <si>
    <t>99-55-8</t>
  </si>
  <si>
    <t>2-methylanthracene</t>
  </si>
  <si>
    <t>613-12-7</t>
  </si>
  <si>
    <t>2-methylaziridine</t>
  </si>
  <si>
    <t>75-55-8</t>
  </si>
  <si>
    <t>2-methylbenzenesulfonic acid</t>
  </si>
  <si>
    <t>88-20-0</t>
  </si>
  <si>
    <t>2-methylbenzofuran</t>
  </si>
  <si>
    <t>4265-25-2</t>
  </si>
  <si>
    <t>2-methylbutylbenzene</t>
  </si>
  <si>
    <t>3968-85-2</t>
  </si>
  <si>
    <t>2-methylbutyraldehyde</t>
  </si>
  <si>
    <t>96-17-3</t>
  </si>
  <si>
    <t>2-methylbutyric acid</t>
  </si>
  <si>
    <t>116-53-0</t>
  </si>
  <si>
    <t>2-methylcyclohexanol, mixed isomers</t>
  </si>
  <si>
    <t>583-59-5</t>
  </si>
  <si>
    <t>2-methyldecane</t>
  </si>
  <si>
    <t>6975-98-0</t>
  </si>
  <si>
    <t>2-methylfuran</t>
  </si>
  <si>
    <t>534-22-5</t>
  </si>
  <si>
    <t>2-methylhept-2-en-6-one</t>
  </si>
  <si>
    <t>409-02-9</t>
  </si>
  <si>
    <t>2-methylheptadecane</t>
  </si>
  <si>
    <t>1560-89-0</t>
  </si>
  <si>
    <t>2-methylheptane</t>
  </si>
  <si>
    <t>592-27-8</t>
  </si>
  <si>
    <t>2-methylhexadecane</t>
  </si>
  <si>
    <t>1560-92-5</t>
  </si>
  <si>
    <t>2-methylhexadecanol</t>
  </si>
  <si>
    <t>2490-48-4 (Not Defined)</t>
  </si>
  <si>
    <t>2490-48-4 (PM)</t>
  </si>
  <si>
    <t>2-methylhexane</t>
  </si>
  <si>
    <t>591-76-4</t>
  </si>
  <si>
    <t>2-methylhexanoic acid</t>
  </si>
  <si>
    <t>4536-23-6</t>
  </si>
  <si>
    <t>2-methylimidazole</t>
  </si>
  <si>
    <t>693-98-1</t>
  </si>
  <si>
    <t>2-methyl-N-({1,3,3-trimethyl-5-[(2-methylpropylidene)amino]cyclohexyl}methyl)-1-propanimine</t>
  </si>
  <si>
    <t>54914-37-3</t>
  </si>
  <si>
    <t>2-methylnaphthalene</t>
  </si>
  <si>
    <t>91-57-6</t>
  </si>
  <si>
    <t>2-methylnonadecane</t>
  </si>
  <si>
    <t>1560-86-7</t>
  </si>
  <si>
    <t>2-methylnonane</t>
  </si>
  <si>
    <t>871-83-0</t>
  </si>
  <si>
    <t>2-methyloctanal</t>
  </si>
  <si>
    <t>7786-29-0</t>
  </si>
  <si>
    <t>2-methyloctane</t>
  </si>
  <si>
    <t>3221-61-2</t>
  </si>
  <si>
    <t>2-methylpentaldehyde</t>
  </si>
  <si>
    <t>123-15-9</t>
  </si>
  <si>
    <t>2-methylpentane</t>
  </si>
  <si>
    <t>107-83-5</t>
  </si>
  <si>
    <t>2-methylpyridine</t>
  </si>
  <si>
    <t>109-06-8</t>
  </si>
  <si>
    <t>2-methylquinoline</t>
  </si>
  <si>
    <t>91-63-4</t>
  </si>
  <si>
    <t>2-methylquinolinium chloride</t>
  </si>
  <si>
    <t>62763-89-7</t>
  </si>
  <si>
    <t>2-methyltetrahydrofuran</t>
  </si>
  <si>
    <t>96-47-9</t>
  </si>
  <si>
    <t>2-methylthiazole</t>
  </si>
  <si>
    <t>3581-87-1</t>
  </si>
  <si>
    <t>2-methylthiophene</t>
  </si>
  <si>
    <t>554-14-3</t>
  </si>
  <si>
    <t>2-methyltridecane</t>
  </si>
  <si>
    <t>1560-96-9</t>
  </si>
  <si>
    <t>2-methylundecanal</t>
  </si>
  <si>
    <t>110-41-8</t>
  </si>
  <si>
    <t>2-naphthalenesulfonic acid, polymer with formaldehyde, sodium salt</t>
  </si>
  <si>
    <t>36290-04-7</t>
  </si>
  <si>
    <t>2-naphthylamine</t>
  </si>
  <si>
    <t>91-59-8</t>
  </si>
  <si>
    <t>2-N-dibutylaminoethanol</t>
  </si>
  <si>
    <t>102-81-8</t>
  </si>
  <si>
    <t>2-nitroaniline</t>
  </si>
  <si>
    <t>88-74-4</t>
  </si>
  <si>
    <t>2-nitronaphthalene</t>
  </si>
  <si>
    <t>581-89-5</t>
  </si>
  <si>
    <t>2-nitropropane</t>
  </si>
  <si>
    <t>79-46-9</t>
  </si>
  <si>
    <t>2-nonanone</t>
  </si>
  <si>
    <t>821-55-6</t>
  </si>
  <si>
    <t>2-nonylphenol, branched</t>
  </si>
  <si>
    <t>91672-41-2</t>
  </si>
  <si>
    <t>2-N-tert-butyl-2,4-toluenediamine</t>
  </si>
  <si>
    <t>106917-60-6</t>
  </si>
  <si>
    <t>2-N-tert-butyl-2,6-toluenediamine</t>
  </si>
  <si>
    <t>106917-65-1</t>
  </si>
  <si>
    <t>2-octanone</t>
  </si>
  <si>
    <t>111-13-7</t>
  </si>
  <si>
    <t>2-octyl alcohol</t>
  </si>
  <si>
    <t>123-96-6</t>
  </si>
  <si>
    <t>2-octyl-1-dodecanol</t>
  </si>
  <si>
    <t>5333-42-6</t>
  </si>
  <si>
    <t>2-octyl-4-isothiazolin-3-one</t>
  </si>
  <si>
    <t>26530-20-1</t>
  </si>
  <si>
    <t>2-oxopropanoate</t>
  </si>
  <si>
    <t>57-60-3</t>
  </si>
  <si>
    <t>2-pentanone</t>
  </si>
  <si>
    <t>107-87-9</t>
  </si>
  <si>
    <t>2-pentene</t>
  </si>
  <si>
    <t>109-68-2</t>
  </si>
  <si>
    <t>2-pentenenitrile</t>
  </si>
  <si>
    <t>13284-42-9</t>
  </si>
  <si>
    <t>2-pentyl-9,10-anthracenedione</t>
  </si>
  <si>
    <t>13936-21-5</t>
  </si>
  <si>
    <t>2-phenethyl formate</t>
  </si>
  <si>
    <t>104-62-1</t>
  </si>
  <si>
    <t>2-phenoxyethanol</t>
  </si>
  <si>
    <t>122-99-6</t>
  </si>
  <si>
    <t>2-phenoxyethyl acrylate</t>
  </si>
  <si>
    <t>48145-04-6</t>
  </si>
  <si>
    <t>2-phenyl propionaldehyde</t>
  </si>
  <si>
    <t>93-53-8</t>
  </si>
  <si>
    <t>2-phenyl-2-butene</t>
  </si>
  <si>
    <t>768-00-3</t>
  </si>
  <si>
    <t>2-phenyl-2-propanol</t>
  </si>
  <si>
    <t>617-94-7</t>
  </si>
  <si>
    <t>2-phosphono-1,2,4-butanetricarboxylic acid</t>
  </si>
  <si>
    <t>37971-36-1</t>
  </si>
  <si>
    <t>2-phosphonobutane-1,2,4-tricarboxylic acid, ammonium salt</t>
  </si>
  <si>
    <t>70233-62-4</t>
  </si>
  <si>
    <t>2-pinen-4-one</t>
  </si>
  <si>
    <t>1196-01-6</t>
  </si>
  <si>
    <t>2-pivaloyl-1,3-indaione</t>
  </si>
  <si>
    <t>83-26-1</t>
  </si>
  <si>
    <t>2-propanamine sulfate</t>
  </si>
  <si>
    <t>60828-92-4</t>
  </si>
  <si>
    <t>2-propanol-1-butoxy</t>
  </si>
  <si>
    <t>5131-66-8</t>
  </si>
  <si>
    <t>2-propenenitrile, polymer with ethenylbenzene, methyloxirane and oxirane</t>
  </si>
  <si>
    <t>58050-75-2 (PM)</t>
  </si>
  <si>
    <t>58050-75-2 (Vapor)</t>
  </si>
  <si>
    <t>2-propenoic acid polymer with ethenylbenzene, 2-ethylhexyl 2-propenoate and (1-methylethenyl)benzene, ammonium salt</t>
  </si>
  <si>
    <t>323585-41-7</t>
  </si>
  <si>
    <t>2-propenoic acid, 2-hydroxyethyl ester polymer with alpha-hydro-omega-hydroxypoly(1,4-butanediyl), 4-hydroxy-N-(2-hydroxyethyl)-N-methylbutanamide and 1,1'-methylenebis [4-isocyanatocyclohexane]</t>
  </si>
  <si>
    <t>68083-84-1</t>
  </si>
  <si>
    <t>2-propenoic acid, 2-hydroxyethyl ester, polymer with 1,3-diisocyanatomethylbenzene and alpha-hydro-omega-hydroxypolyoxy(methyl-1,2-ethanediyl)</t>
  </si>
  <si>
    <t>37302-70-8</t>
  </si>
  <si>
    <t>2-propenoic acid, 2-hydroxyethyl ester, polymer with alpha-hydro-omega-hydroxypoly(oxy(methyl-1,2-ethanediyl)) and 5-isocyanato-1-(isocyanatomethyl)-1,3,3-trimethylcyclohexane</t>
  </si>
  <si>
    <t>73297-28-6</t>
  </si>
  <si>
    <t>2-propenoic acid, butyl ester, homopolymer, reaction products with N1,N1-dimethyl-1,3-propanediamine</t>
  </si>
  <si>
    <t>222417-26-7</t>
  </si>
  <si>
    <t>2-propenoic acid, homopolymer ammonium salt</t>
  </si>
  <si>
    <t>9003-03-6</t>
  </si>
  <si>
    <t>2-propenoic acid, homopolymer, potassium salt</t>
  </si>
  <si>
    <t>25608-12-2</t>
  </si>
  <si>
    <t>2-Propenoic acid, polymer with 2-ethylhexyl 2-propenoate, ethyl 2-propenoate and N-(hydroxymethyl)-2-propenamide</t>
  </si>
  <si>
    <t>68133-44-8</t>
  </si>
  <si>
    <t>2-Propenoic acid, polymer with 2-ethylhexyl 2-propenoate, ethyl 2-propenoate, N-(hydroxymethyl)-2-propenamide and 2-propenenitrile</t>
  </si>
  <si>
    <t>52640-81-0</t>
  </si>
  <si>
    <t>2-propenoic acid, polymer with butyl 2-propenoate and ethenylbenzene</t>
  </si>
  <si>
    <t>25586-20-3</t>
  </si>
  <si>
    <t>2-propenoic acid, polymer with ethenylbenzene and (1-methylethenyl)benzene</t>
  </si>
  <si>
    <t>52831-04-6</t>
  </si>
  <si>
    <t>2-propenoic acid, polymer with ethenylbenzene and (1-methylethenyl)benzene, ammonium salt</t>
  </si>
  <si>
    <t>89678-90-0</t>
  </si>
  <si>
    <t>2-propenoic acid, polymer with oxirane and 1,2,3-propanetriol</t>
  </si>
  <si>
    <t>144086-03-3</t>
  </si>
  <si>
    <t>2-propenoic acid, reaction products with pentaerythritol</t>
  </si>
  <si>
    <t>1245638-61-2</t>
  </si>
  <si>
    <t>2-propenoic acid, telomer with sodium 2-methyl-2-((1-oxo-2-propen-1-yl)amino)-1-propanesulfonate (1:1) and sodium phosphinite (1:1)</t>
  </si>
  <si>
    <t>110224-99-2</t>
  </si>
  <si>
    <t>2-propenyl hexanoate</t>
  </si>
  <si>
    <t>123-68-2</t>
  </si>
  <si>
    <t>2-propionylphenol</t>
  </si>
  <si>
    <t>610-99-1</t>
  </si>
  <si>
    <t>2-propoxy-1-propanol</t>
  </si>
  <si>
    <t>10215-30-2</t>
  </si>
  <si>
    <t>2-propyl-1H-imidazole</t>
  </si>
  <si>
    <t>50995-95-4</t>
  </si>
  <si>
    <t>2-propylheptanol</t>
  </si>
  <si>
    <t>10042-59-8</t>
  </si>
  <si>
    <t>2-pyridinethiol-1-oxide, zinc salt</t>
  </si>
  <si>
    <t>13463-41-7</t>
  </si>
  <si>
    <t>2-pyrrolidine</t>
  </si>
  <si>
    <t>123-75-1</t>
  </si>
  <si>
    <t>2-pyrrolidinone</t>
  </si>
  <si>
    <t>616-45-5</t>
  </si>
  <si>
    <t>2-sec-butyl-6-ethylaniline</t>
  </si>
  <si>
    <t>71758-10-6</t>
  </si>
  <si>
    <t>2-sulfo-butanedioic acid, 1,4-bis(2-ethylhexyl) ester</t>
  </si>
  <si>
    <t>10041-19-7</t>
  </si>
  <si>
    <t>2-tert-butylcyclohexanolacetate</t>
  </si>
  <si>
    <t>88-41-5</t>
  </si>
  <si>
    <t>2-thiabutane</t>
  </si>
  <si>
    <t>624-89-5</t>
  </si>
  <si>
    <t>2-thiophenethiol</t>
  </si>
  <si>
    <t>7774-74-5</t>
  </si>
  <si>
    <t>2-tridecyloxirane</t>
  </si>
  <si>
    <t>18633-25-5 (PM)</t>
  </si>
  <si>
    <t>18633-25-5 (Vapor)</t>
  </si>
  <si>
    <t>2-trifluoromethyl-3-ethoxyperfluorohexane</t>
  </si>
  <si>
    <t>297730-93-9</t>
  </si>
  <si>
    <t>3-((6-deoxy-2-O-(6-deoxy-alpha-L-mannopyranosyl)-alpha-L-mannopyranosyl)oxy)-decanoic acid, 1-(carboxymethyl)octyl ester</t>
  </si>
  <si>
    <t>4348-76-9 (PM)</t>
  </si>
  <si>
    <t>4348-76-9 (Vapor)</t>
  </si>
  <si>
    <t>3-((6-deoxy-alpha-L-mannopyranosyl)oxy)-decanoic acid, 1-(carboxymethyl)octyl ester</t>
  </si>
  <si>
    <t>37134-61-5 (PM)</t>
  </si>
  <si>
    <t>37134-61-5 (Vapor)</t>
  </si>
  <si>
    <t>3-(1,3-dimethylbutylidene)aminopropyl-trithoxysilane</t>
  </si>
  <si>
    <t>116229-43-7</t>
  </si>
  <si>
    <t>3-(2,3-epoxypropoxy)propyl dimethoxymethylsilane</t>
  </si>
  <si>
    <t>2897-60-1 (PM)</t>
  </si>
  <si>
    <t>2897-60-1 (Vapor)</t>
  </si>
  <si>
    <t>3-(2-aminoethylamino)propylmethyldimethoxysilane</t>
  </si>
  <si>
    <t>3069-29-2</t>
  </si>
  <si>
    <t>3-(4-isobutylphenyl)propionic acid</t>
  </si>
  <si>
    <t>65322-85-2</t>
  </si>
  <si>
    <t>3-(4-morpholinyl)propanenitrile</t>
  </si>
  <si>
    <t>4542-47-6</t>
  </si>
  <si>
    <t>3-(dibutylamino)propylamine</t>
  </si>
  <si>
    <t>102-83-0</t>
  </si>
  <si>
    <t>3-(phenylamino)phenol</t>
  </si>
  <si>
    <t>101-18-8</t>
  </si>
  <si>
    <t>3-(trifluoromethyl)phenol</t>
  </si>
  <si>
    <t>98-17-9</t>
  </si>
  <si>
    <t>3-(trimethoxysilyl)propyl methacrylate</t>
  </si>
  <si>
    <t>2530-85-0</t>
  </si>
  <si>
    <t>3,3,3-trifluoropropene</t>
  </si>
  <si>
    <t>677-21-4</t>
  </si>
  <si>
    <t>3,3,3-trifluoropropyne</t>
  </si>
  <si>
    <t>661-54-1</t>
  </si>
  <si>
    <t>3,3,4,4-tetramethylhexane</t>
  </si>
  <si>
    <t>5171-84-6</t>
  </si>
  <si>
    <t>3,3,4-trimethylheptane</t>
  </si>
  <si>
    <t>20278-87-9</t>
  </si>
  <si>
    <t>3,3,4-trimethylhexane</t>
  </si>
  <si>
    <t>16747-31-2</t>
  </si>
  <si>
    <t>3,3,5-trimethyl cyclohexanone</t>
  </si>
  <si>
    <t>873-94-9</t>
  </si>
  <si>
    <t>3,3,5-trimethylcyclohexanol</t>
  </si>
  <si>
    <t>116-02-9</t>
  </si>
  <si>
    <t>3,3,5-trimethylheptane</t>
  </si>
  <si>
    <t>7154-80-5</t>
  </si>
  <si>
    <t>3,3,6,6-tetramethyl-1,2-dioxane</t>
  </si>
  <si>
    <t>22431-89-6</t>
  </si>
  <si>
    <t>3,3-bis((1,1-dimethylethyl)dioxy)butanoic acid, ethyl ester</t>
  </si>
  <si>
    <t>55794-20-2</t>
  </si>
  <si>
    <t>3,3-diaminodipropylamine</t>
  </si>
  <si>
    <t>56-18-8</t>
  </si>
  <si>
    <t>3,3-dichloro-1,1,1,2,2-pentafluoropropane</t>
  </si>
  <si>
    <t>422-56-0</t>
  </si>
  <si>
    <t>3,3'-dichlorobenzidine</t>
  </si>
  <si>
    <t>91-94-1</t>
  </si>
  <si>
    <t>3,3-dichloropropene</t>
  </si>
  <si>
    <t>563-57-5</t>
  </si>
  <si>
    <t>3,3-diethyl-2-methylpentane</t>
  </si>
  <si>
    <t>52897-16-2</t>
  </si>
  <si>
    <t>3,3-diethylhexane</t>
  </si>
  <si>
    <t>17302-02-2</t>
  </si>
  <si>
    <t>3,3-diethylpentane</t>
  </si>
  <si>
    <t>1067-20-5</t>
  </si>
  <si>
    <t>3,3-dimethoxybenzidine</t>
  </si>
  <si>
    <t>119-90-4</t>
  </si>
  <si>
    <t>3,3-dimethyl-1-butene</t>
  </si>
  <si>
    <t>558-37-2</t>
  </si>
  <si>
    <t>3,3-dimethyl-2-butanone</t>
  </si>
  <si>
    <t>75-97-8</t>
  </si>
  <si>
    <t>3,3'-dimethylbenzidine</t>
  </si>
  <si>
    <t>119-93-7</t>
  </si>
  <si>
    <t>3,3-dimethylheptane</t>
  </si>
  <si>
    <t>4032-86-4</t>
  </si>
  <si>
    <t>3,3-dimethylhexane</t>
  </si>
  <si>
    <t>563-16-6</t>
  </si>
  <si>
    <t>3,3-dimethyloctane</t>
  </si>
  <si>
    <t>4110-44-5</t>
  </si>
  <si>
    <t>3,3-dimethylpentane</t>
  </si>
  <si>
    <t>562-49-2</t>
  </si>
  <si>
    <t>3,3'-methylenebis(5-methyloxazolidine)</t>
  </si>
  <si>
    <t>66204-44-2</t>
  </si>
  <si>
    <t>3,3'-oxybis-propionitrile</t>
  </si>
  <si>
    <t>1656-48-0</t>
  </si>
  <si>
    <t>3,4,4-trimethylheptane</t>
  </si>
  <si>
    <t>20278-88-0</t>
  </si>
  <si>
    <t>3,4,4-trimethyloxazolidine</t>
  </si>
  <si>
    <t>75673-43-7</t>
  </si>
  <si>
    <t>3,4,5-trimethoxybenzoyl methyl reserpate</t>
  </si>
  <si>
    <t>50-55-5</t>
  </si>
  <si>
    <t>3,4,5-trimethylheptane</t>
  </si>
  <si>
    <t>20278-89-1</t>
  </si>
  <si>
    <t>3,4-diacetoxy-1-butene</t>
  </si>
  <si>
    <t>18085-02-4</t>
  </si>
  <si>
    <t>3,4-diaminotoluene</t>
  </si>
  <si>
    <t>496-72-0</t>
  </si>
  <si>
    <t>3,4-dichloro-1-butene</t>
  </si>
  <si>
    <t>760-23-6</t>
  </si>
  <si>
    <t>3,4-dichloroaniline</t>
  </si>
  <si>
    <t>95-76-1</t>
  </si>
  <si>
    <t>3,4-dichlorobenzaldehyde</t>
  </si>
  <si>
    <t>6287-38-3</t>
  </si>
  <si>
    <t>3,4-diepoxybutane</t>
  </si>
  <si>
    <t>1464-53-5</t>
  </si>
  <si>
    <t>3,4-diethylhexane</t>
  </si>
  <si>
    <t>19398-77-7</t>
  </si>
  <si>
    <t>3,4-dihydro-2H-pyran-2-carboxaldehyde</t>
  </si>
  <si>
    <t>100-73-2</t>
  </si>
  <si>
    <t>3,4-dimethylheptane</t>
  </si>
  <si>
    <t>922-28-1</t>
  </si>
  <si>
    <t>3,4-dimethylhexane</t>
  </si>
  <si>
    <t>583-48-2</t>
  </si>
  <si>
    <t>3,4-dimethyloctane</t>
  </si>
  <si>
    <t>15869-92-8</t>
  </si>
  <si>
    <t>3,4-xylenol</t>
  </si>
  <si>
    <t>95-65-8</t>
  </si>
  <si>
    <t>3,5,5-trimethylhexyl acetate</t>
  </si>
  <si>
    <t>58430-94-7</t>
  </si>
  <si>
    <t>3,5-bis(1,1-dimethylethyl)-4-hydroxybenzenepropanoic acid, C13-15-branched and linear alkyl esters</t>
  </si>
  <si>
    <t>171090-93-0</t>
  </si>
  <si>
    <t>3,5-dibromofluorobenzene</t>
  </si>
  <si>
    <t>1435-51-4</t>
  </si>
  <si>
    <t>3,5-dichloroanisole</t>
  </si>
  <si>
    <t>33719-74-3</t>
  </si>
  <si>
    <t>3,5-difluoroaniline</t>
  </si>
  <si>
    <t>372-39-4</t>
  </si>
  <si>
    <t>3,5-dimethyl-1-hexyn-3-ol</t>
  </si>
  <si>
    <t>107-54-0</t>
  </si>
  <si>
    <t>3,5-dimethyl-3-heptene</t>
  </si>
  <si>
    <t>59643-68-4</t>
  </si>
  <si>
    <t>3,5-dimethylfuran-2,4(3H,5H)-dione</t>
  </si>
  <si>
    <t>5460-81-1 (Not Defined)</t>
  </si>
  <si>
    <t>5460-81-1 (PM)</t>
  </si>
  <si>
    <t>3,5-dimethylheptane</t>
  </si>
  <si>
    <t>926-82-9</t>
  </si>
  <si>
    <t>3,5-dimethyloctane</t>
  </si>
  <si>
    <t>15869-93-9</t>
  </si>
  <si>
    <t>3,5-dimethylpiperidine</t>
  </si>
  <si>
    <t>35794-11-7</t>
  </si>
  <si>
    <t>3,5-dimethyltetrahydropyran-2-ol</t>
  </si>
  <si>
    <t>92340-69-7</t>
  </si>
  <si>
    <t>3,5-dimethyl-thiomorpholine</t>
  </si>
  <si>
    <t>78243-63-7</t>
  </si>
  <si>
    <t>3,5-Dinitro-o-toluamide</t>
  </si>
  <si>
    <t>148-01-6</t>
  </si>
  <si>
    <t>3,5-di-tert-butyl-2,6-toluenediamine</t>
  </si>
  <si>
    <t>103596-73-2</t>
  </si>
  <si>
    <t>3,5-di-tert-butylcatechol</t>
  </si>
  <si>
    <t>1020-31-1</t>
  </si>
  <si>
    <t>3,5-xylenol</t>
  </si>
  <si>
    <t>108-68-9</t>
  </si>
  <si>
    <t>3,6,9-trimethyl-1,4,7-triperoxonane</t>
  </si>
  <si>
    <t>24748-23-0</t>
  </si>
  <si>
    <t>3,6-bis[4-(1,1-dimethylethyl)phenyl]-2,5-di-hydropyrrolo[3,4-c]pyrrole-1,4-di-one</t>
  </si>
  <si>
    <t>84632-59-7</t>
  </si>
  <si>
    <t>3,6-dimethyloctane</t>
  </si>
  <si>
    <t>15869-94-0</t>
  </si>
  <si>
    <t>3,6-diphenyl-2,5-dihydropyrrolo(3,4-c)pyrrole-1,4-dione</t>
  </si>
  <si>
    <t>54660-00-3</t>
  </si>
  <si>
    <t>3,7,11-trimethyl-1-dodecanol</t>
  </si>
  <si>
    <t>6750-34-1</t>
  </si>
  <si>
    <t>3,7,7-trimethyl bicyclohep-3-ene</t>
  </si>
  <si>
    <t>13466-78-9</t>
  </si>
  <si>
    <t>3,7-dimethyl-1,6-octadien-3-ol</t>
  </si>
  <si>
    <t>78-70-6</t>
  </si>
  <si>
    <t>3,7-dimethyl-1,6-octadien-3-yl acetate</t>
  </si>
  <si>
    <t>115-95-7</t>
  </si>
  <si>
    <t>3,7-dimethyl-1-octanol</t>
  </si>
  <si>
    <t>106-21-8</t>
  </si>
  <si>
    <t>3,7-dimethyl-2,6-octadienal</t>
  </si>
  <si>
    <t>5392-40-5</t>
  </si>
  <si>
    <t>3,7-dimethyl-2,6-octadienenitrile</t>
  </si>
  <si>
    <t>5585-39-7</t>
  </si>
  <si>
    <t>3,7-dimethyl-6-octen-1-yl acetate</t>
  </si>
  <si>
    <t>150-84-5</t>
  </si>
  <si>
    <t>3,7-dimethyl-6-octenenitrile</t>
  </si>
  <si>
    <t>51566-62-2</t>
  </si>
  <si>
    <t>3-[(2-aminoethylamino) propyltrimethoxysilane]</t>
  </si>
  <si>
    <t>1760-24-3</t>
  </si>
  <si>
    <t>3-[(4-methylphenyl)amino]propane-1,2-diol</t>
  </si>
  <si>
    <t>42902-53-4</t>
  </si>
  <si>
    <t>3-[dimethoxy(methyl)silyl]-1-propanethiol</t>
  </si>
  <si>
    <t>31001-77-1</t>
  </si>
  <si>
    <t>3a,4,7,7a-tetrahydro-4,7-methano-1H-indene, polymer with ethenylmethylbenzene, 1H-indene and (1-methylethenyl)benzene</t>
  </si>
  <si>
    <t>68444-36-0</t>
  </si>
  <si>
    <t>3a,4,7,7a-tetrahydroindene</t>
  </si>
  <si>
    <t>3048-65-5</t>
  </si>
  <si>
    <t>3-acetoxypropene</t>
  </si>
  <si>
    <t>591-87-7</t>
  </si>
  <si>
    <t>3a-methyl-3a,4,5,6-tetrahydro-2-benzofuran-1,3-dione</t>
  </si>
  <si>
    <t>11070-44-3</t>
  </si>
  <si>
    <t>3-amino-1,2,4-triazole</t>
  </si>
  <si>
    <t>61-82-5</t>
  </si>
  <si>
    <t>3-amino-1-cyclohexylaminopropane</t>
  </si>
  <si>
    <t>3312-60-5</t>
  </si>
  <si>
    <t>3-amino-9-ethylcarbazole</t>
  </si>
  <si>
    <t>132-32-1</t>
  </si>
  <si>
    <t>3-amino-N-(2-carboxyethyl)-N,N-dimethyl-1-propanaminium,N-coco acyl derivs., inner salts</t>
  </si>
  <si>
    <t>499781-63-4</t>
  </si>
  <si>
    <t>3-amino-N-(carboxymethyl)-N,N-dimethyl-1-propanaminium, N-coco acyl derivs, chlorides, sodium salts</t>
  </si>
  <si>
    <t>61789-39-7</t>
  </si>
  <si>
    <t>3-amino-N,N,N-trimethyl-1-propanaminium, N-soya acyl. derivs., chlorides</t>
  </si>
  <si>
    <t>391232-99-8</t>
  </si>
  <si>
    <t>3-aminopentanenitrile</t>
  </si>
  <si>
    <t>75405-06-0</t>
  </si>
  <si>
    <t>3-aminopropyltriethoxysilane</t>
  </si>
  <si>
    <t>919-30-2</t>
  </si>
  <si>
    <t>3-aminopyridine</t>
  </si>
  <si>
    <t>462-08-8</t>
  </si>
  <si>
    <t>3-benzyloxy-1-chloro-2-propanol</t>
  </si>
  <si>
    <t>13991-52-1</t>
  </si>
  <si>
    <t>3-benzyloxy-1-chloro-2-propyloxymethyl propionate</t>
  </si>
  <si>
    <t>3-benzyloxy-1-propionyloxy-2-propyloxymethyl propionate</t>
  </si>
  <si>
    <t>194204-51-8</t>
  </si>
  <si>
    <t>3-bromofluorobenzene</t>
  </si>
  <si>
    <t>1073-06-9</t>
  </si>
  <si>
    <t>3-butenenitrile</t>
  </si>
  <si>
    <t>109-75-1</t>
  </si>
  <si>
    <t>3-chloro-1,1,1-trifluoropropane</t>
  </si>
  <si>
    <t>460-35-5</t>
  </si>
  <si>
    <t>3-chloro-1,2-propanediol</t>
  </si>
  <si>
    <t>96-24-2</t>
  </si>
  <si>
    <t>3-chloro-2-hydroxy-1-propanesulfonic acid sodium salt</t>
  </si>
  <si>
    <t>126-83-0</t>
  </si>
  <si>
    <t>3-chloro-2-hydroxypropyltrimethylammonium chloride</t>
  </si>
  <si>
    <t>3327-22-8</t>
  </si>
  <si>
    <t>3-chloro-3,3-difluoroprop-1-ene</t>
  </si>
  <si>
    <t>421-03-4</t>
  </si>
  <si>
    <t>3-chloro-3-methylpentane</t>
  </si>
  <si>
    <t>918-84-3</t>
  </si>
  <si>
    <t>3-chloropropionitrile</t>
  </si>
  <si>
    <t>542-76-7</t>
  </si>
  <si>
    <t>3-chloropropylmethyldimethoxysilane</t>
  </si>
  <si>
    <t>18171-19-2</t>
  </si>
  <si>
    <t>3-chloropropyltriethoxysilane</t>
  </si>
  <si>
    <t>5089-70-3</t>
  </si>
  <si>
    <t>3-chloropropyltrimethoxysilane</t>
  </si>
  <si>
    <t>2530-87-2</t>
  </si>
  <si>
    <t>3-chloropyridine</t>
  </si>
  <si>
    <t>626-60-8</t>
  </si>
  <si>
    <t>3-cyclohexene-1-methanol</t>
  </si>
  <si>
    <t>1679-51-2</t>
  </si>
  <si>
    <t>3-diethylamino-1,2-propanediol</t>
  </si>
  <si>
    <t>621-56-7</t>
  </si>
  <si>
    <t>3-diethylaminopropylamine</t>
  </si>
  <si>
    <t>104-78-9</t>
  </si>
  <si>
    <t>3-dimethylamino-N,N-dimethylpropionamide</t>
  </si>
  <si>
    <t>17268-47-2</t>
  </si>
  <si>
    <t>3-dimethylaminopropylamine</t>
  </si>
  <si>
    <t>109-55-7</t>
  </si>
  <si>
    <t>3-dodecene</t>
  </si>
  <si>
    <t>2030-83-3</t>
  </si>
  <si>
    <t>3-dodecylbenzenesulfonic acid, compound with 2,2',2"-nitrilotris(ethanol)</t>
  </si>
  <si>
    <t>27323-41-7 (PM)</t>
  </si>
  <si>
    <t>27323-41-7 (Vapor)</t>
  </si>
  <si>
    <t>3-ethoxy-1-propanol</t>
  </si>
  <si>
    <t>111-35-3</t>
  </si>
  <si>
    <t>3-ethoxy-1-propene</t>
  </si>
  <si>
    <t>557-31-3</t>
  </si>
  <si>
    <t>3-ethyl-2,2,3-trimethylpentane</t>
  </si>
  <si>
    <t>52897-17-3</t>
  </si>
  <si>
    <t>3-ethyl-2,2,4-trimethylpentane</t>
  </si>
  <si>
    <t>52897-18-4</t>
  </si>
  <si>
    <t>3-ethyl-2,2-dimethyl-1,3-oxazolidine</t>
  </si>
  <si>
    <t>57817-78-4</t>
  </si>
  <si>
    <t>3-ethyl-2,2-dimethylhexane</t>
  </si>
  <si>
    <t>20291-91-2</t>
  </si>
  <si>
    <t>3-ethyl-2,2-dimethylpentane</t>
  </si>
  <si>
    <t>16747-32-3</t>
  </si>
  <si>
    <t>3-ethyl-2,3,4-trimethylpentane</t>
  </si>
  <si>
    <t>52897-19-5</t>
  </si>
  <si>
    <t>3-ethyl-2,3-dimethylhexane</t>
  </si>
  <si>
    <t>52897-00-4</t>
  </si>
  <si>
    <t>3-ethyl-2,3-dimethylpentane</t>
  </si>
  <si>
    <t>16747-33-4</t>
  </si>
  <si>
    <t>3-ethyl-2,4-dimethylhexane</t>
  </si>
  <si>
    <t>7220-26-0</t>
  </si>
  <si>
    <t>3-ethyl-2,4-dimethylpentane</t>
  </si>
  <si>
    <t>1068-87-7</t>
  </si>
  <si>
    <t>3-ethyl-2,5-dimethylhexane</t>
  </si>
  <si>
    <t>52897-04-8</t>
  </si>
  <si>
    <t>3-ethyl-2-methyl-2-(3-methylbutyl)-1,3-oxazolidine</t>
  </si>
  <si>
    <t>143860-04-2</t>
  </si>
  <si>
    <t>3-ethyl-2-methylheptane</t>
  </si>
  <si>
    <t>14676-29-0</t>
  </si>
  <si>
    <t>3-ethyl-2-methylhexane</t>
  </si>
  <si>
    <t>16789-46-1</t>
  </si>
  <si>
    <t>3-ethyl-2-methylpentane</t>
  </si>
  <si>
    <t>609-26-7</t>
  </si>
  <si>
    <t>3-ethyl-3,4-dimethylhexane</t>
  </si>
  <si>
    <t>52897-06-0</t>
  </si>
  <si>
    <t>3-ethyl-3-methylheptane</t>
  </si>
  <si>
    <t>17302-01-1</t>
  </si>
  <si>
    <t>3-ethyl-3-methylhexane</t>
  </si>
  <si>
    <t>3074-76-8</t>
  </si>
  <si>
    <t>3-ethyl-3-methylpentane</t>
  </si>
  <si>
    <t>1067-08-9</t>
  </si>
  <si>
    <t>3-ethyl-4-methylheptane</t>
  </si>
  <si>
    <t>52896-91-0</t>
  </si>
  <si>
    <t>3-ethyl-4-methylhexane</t>
  </si>
  <si>
    <t>3074-77-9</t>
  </si>
  <si>
    <t>3-ethyl-5-methylheptane</t>
  </si>
  <si>
    <t>52896-90-9</t>
  </si>
  <si>
    <t>3-ethylheptane</t>
  </si>
  <si>
    <t>15869-80-4</t>
  </si>
  <si>
    <t>3-ethylhexane</t>
  </si>
  <si>
    <t>619-99-8</t>
  </si>
  <si>
    <t>3-ethylidene-1-cyclopentene</t>
  </si>
  <si>
    <t>22704-38-7</t>
  </si>
  <si>
    <t>3-ethylnonane</t>
  </si>
  <si>
    <t>17302-11-3</t>
  </si>
  <si>
    <t>3-ethyloctane</t>
  </si>
  <si>
    <t>5881-17-4</t>
  </si>
  <si>
    <t>3-ethylpentane</t>
  </si>
  <si>
    <t>617-78-7</t>
  </si>
  <si>
    <t>3-ethylpyrrole</t>
  </si>
  <si>
    <t>1551-16-2</t>
  </si>
  <si>
    <t>3-fluorobenzotrifluoride</t>
  </si>
  <si>
    <t>401-80-9</t>
  </si>
  <si>
    <t>3-glycidoxypropyltrimethoxysilane</t>
  </si>
  <si>
    <t>2530-83-8</t>
  </si>
  <si>
    <t>3-heptanol</t>
  </si>
  <si>
    <t>589-82-2</t>
  </si>
  <si>
    <t>3-heptanone</t>
  </si>
  <si>
    <t>106-35-4</t>
  </si>
  <si>
    <t>3-heptanyl formate</t>
  </si>
  <si>
    <t>54009-71-1</t>
  </si>
  <si>
    <t>3-hepten-2-one</t>
  </si>
  <si>
    <t>1119-44-4</t>
  </si>
  <si>
    <t>3-hexanol</t>
  </si>
  <si>
    <t>623-37-0</t>
  </si>
  <si>
    <t>3-hexanone</t>
  </si>
  <si>
    <t>589-38-8</t>
  </si>
  <si>
    <t>3-hydroxy-1,1-dimethylbutyl peroxyneodecanoate</t>
  </si>
  <si>
    <t>95718-78-8</t>
  </si>
  <si>
    <t>3-hydroxy-2-butanone</t>
  </si>
  <si>
    <t>513-86-0</t>
  </si>
  <si>
    <t>3-hydroxy-2-methyl-pentanal</t>
  </si>
  <si>
    <t>615-30-5</t>
  </si>
  <si>
    <t>3-hydroxy-4-((4-methyl-2-sulfophenyl)azo)-2-naphthalenecarboxylic acid, strontium salt</t>
  </si>
  <si>
    <t>73612-29-0</t>
  </si>
  <si>
    <t>3-hydroxy-4-((5-chloro-4-methyl-2-sulfophenyl)azo)-N-(2-methoxyphenyl))-2-naphthalenecarboxamide, sodium salt</t>
  </si>
  <si>
    <t>73263-37-3</t>
  </si>
  <si>
    <t>3-hydroxymethyl-5,5-dimethylhydantoin</t>
  </si>
  <si>
    <t>16228-00-5</t>
  </si>
  <si>
    <t>3-hydroxythiophene-2,5-dicarboxylic acid dimethyl ester</t>
  </si>
  <si>
    <t>5556-24-1 (PM)</t>
  </si>
  <si>
    <t>5556-24-1 (Vapor)</t>
  </si>
  <si>
    <t>3-iodo-2-propynyl butylcarbamate</t>
  </si>
  <si>
    <t>55406-53-6</t>
  </si>
  <si>
    <t>3-isocyanatopropyltriethoxysilane</t>
  </si>
  <si>
    <t>24801-88-5</t>
  </si>
  <si>
    <t>3-isopropyl-2,4-dimethylpentane</t>
  </si>
  <si>
    <t>13475-79-1</t>
  </si>
  <si>
    <t>3-isopropyl-2-methylhexane</t>
  </si>
  <si>
    <t>62016-13-1</t>
  </si>
  <si>
    <t>3-mercaptopropionic acid</t>
  </si>
  <si>
    <t>107-96-0</t>
  </si>
  <si>
    <t>3-methoxy-1,2-epoxypropane</t>
  </si>
  <si>
    <t>930-37-0</t>
  </si>
  <si>
    <t>3-methoxy-1-butanol</t>
  </si>
  <si>
    <t>2517-43-3</t>
  </si>
  <si>
    <t>3-methoxy-1-propene</t>
  </si>
  <si>
    <t>627-40-7</t>
  </si>
  <si>
    <t>3-methoxy-3-methyl-1-butanol</t>
  </si>
  <si>
    <t>56539-66-3</t>
  </si>
  <si>
    <t>3-methoxybutyl acetate</t>
  </si>
  <si>
    <t>4435-53-4</t>
  </si>
  <si>
    <t>3-methoxypropionitrile</t>
  </si>
  <si>
    <t>110-67-8</t>
  </si>
  <si>
    <t>3-methoxypropylamine</t>
  </si>
  <si>
    <t>5332-73-0</t>
  </si>
  <si>
    <t>3-methyl biphenyl</t>
  </si>
  <si>
    <t>643-93-6</t>
  </si>
  <si>
    <t>3-methyl-1,2-butadiene</t>
  </si>
  <si>
    <t>598-25-4</t>
  </si>
  <si>
    <t>3-methyl-1,3-oxazolidine</t>
  </si>
  <si>
    <t>27970-32-7</t>
  </si>
  <si>
    <t>3-methyl-1,4-pentadiene</t>
  </si>
  <si>
    <t>1115-08-8</t>
  </si>
  <si>
    <t>3-methyl-1,5-heptadiene</t>
  </si>
  <si>
    <t>50592-72-8</t>
  </si>
  <si>
    <t>3-methyl-1,5-pentanediol</t>
  </si>
  <si>
    <t>4457-71-0</t>
  </si>
  <si>
    <t>3-methyl-1-butene</t>
  </si>
  <si>
    <t>563-45-1</t>
  </si>
  <si>
    <t>3-methyl-1-cyclohexene</t>
  </si>
  <si>
    <t>591-48-0</t>
  </si>
  <si>
    <t>3-methyl-1-pentyn-3-ol</t>
  </si>
  <si>
    <t>77-75-8</t>
  </si>
  <si>
    <t>3-methyl-2,4-pentanedione</t>
  </si>
  <si>
    <t>815-57-6</t>
  </si>
  <si>
    <t>3-methyl-2-pentylcyclopentanol</t>
  </si>
  <si>
    <t>76649-20-2</t>
  </si>
  <si>
    <t>3-methyl-3-buten-2-one</t>
  </si>
  <si>
    <t>814-78-8</t>
  </si>
  <si>
    <t>3-methyl-5-propylnonane</t>
  </si>
  <si>
    <t>31081-18-2</t>
  </si>
  <si>
    <t>3-methylacrylic acid</t>
  </si>
  <si>
    <t>3724-65-0</t>
  </si>
  <si>
    <t>3-methylcholanthrene</t>
  </si>
  <si>
    <t>56-49-5</t>
  </si>
  <si>
    <t>3-methylcyclopentene</t>
  </si>
  <si>
    <t>1120-62-3</t>
  </si>
  <si>
    <t>3-methylheptane</t>
  </si>
  <si>
    <t>589-81-1</t>
  </si>
  <si>
    <t>3-methylhexane</t>
  </si>
  <si>
    <t>589-34-4</t>
  </si>
  <si>
    <t>3-methylmercapto-1-propanol</t>
  </si>
  <si>
    <t>505-10-2</t>
  </si>
  <si>
    <t>3-methylnonane</t>
  </si>
  <si>
    <t>5911-04-6</t>
  </si>
  <si>
    <t>3-methyloctane</t>
  </si>
  <si>
    <t>2216-33-3</t>
  </si>
  <si>
    <t>3-methylpentane</t>
  </si>
  <si>
    <t>96-14-0</t>
  </si>
  <si>
    <t>3-methylpiperidine</t>
  </si>
  <si>
    <t>626-56-2</t>
  </si>
  <si>
    <t>3-methylpyridine</t>
  </si>
  <si>
    <t>108-99-6</t>
  </si>
  <si>
    <t>3-methylquinoline</t>
  </si>
  <si>
    <t>612-58-8</t>
  </si>
  <si>
    <t>3-methylsulfolane</t>
  </si>
  <si>
    <t>872-93-5</t>
  </si>
  <si>
    <t>3-methyltetrahydropyran</t>
  </si>
  <si>
    <t>26093-63-0</t>
  </si>
  <si>
    <t>3-methylthiophene</t>
  </si>
  <si>
    <t>616-44-4</t>
  </si>
  <si>
    <t>3-morpholino-1,2-propanediol</t>
  </si>
  <si>
    <t>6425-32-7</t>
  </si>
  <si>
    <t>3-morpholinopropylamine</t>
  </si>
  <si>
    <t>123-00-2</t>
  </si>
  <si>
    <t>3-nitroaniline</t>
  </si>
  <si>
    <t>99-09-2</t>
  </si>
  <si>
    <t>3-octanoyl-1-thiopropyltriethoxysilane</t>
  </si>
  <si>
    <t>220727-26-4</t>
  </si>
  <si>
    <t>3-octyl alcohol</t>
  </si>
  <si>
    <t>589-98-0</t>
  </si>
  <si>
    <t>3-oxo-butanoic acid ethyl ester, polymer with 2,2-dimethyl-1,3-propanediol and 2-propanol aluminum salt</t>
  </si>
  <si>
    <t>115271-29-9</t>
  </si>
  <si>
    <t>3-oxo-nonyl acetate</t>
  </si>
  <si>
    <t>7779-54-6</t>
  </si>
  <si>
    <t>3-pentanone</t>
  </si>
  <si>
    <t>96-22-0</t>
  </si>
  <si>
    <t>3-pentenenitrile</t>
  </si>
  <si>
    <t>4635-87-4</t>
  </si>
  <si>
    <t>3-phenoxybenzaldehyde</t>
  </si>
  <si>
    <t>39515-51-0</t>
  </si>
  <si>
    <t>4-((dimethylamino)methyl)phenol</t>
  </si>
  <si>
    <t>25338-55-0</t>
  </si>
  <si>
    <t>4-(2-aminoethyl)-morpholine</t>
  </si>
  <si>
    <t>2038-03-1</t>
  </si>
  <si>
    <t>4-(2-furyl)-3-buten-2-one</t>
  </si>
  <si>
    <t>623-15-4</t>
  </si>
  <si>
    <t>4-(2-furyl)butan-2-one</t>
  </si>
  <si>
    <t>699-17-2</t>
  </si>
  <si>
    <t>4-(2-methyl-2-propen-1-yl)phenol</t>
  </si>
  <si>
    <t>68610-06-0</t>
  </si>
  <si>
    <t>4-(2-morpholine)methoxyethyl</t>
  </si>
  <si>
    <t>10220-23-2</t>
  </si>
  <si>
    <t>4-(2-nitrobutyl) morpholine</t>
  </si>
  <si>
    <t>2224-44-4</t>
  </si>
  <si>
    <t>4-(3-hydroxypropyl)morpholine</t>
  </si>
  <si>
    <t>4441-30-9</t>
  </si>
  <si>
    <t>4-(4-(methylamino)styryl)-phenol</t>
  </si>
  <si>
    <t>866475-34-5</t>
  </si>
  <si>
    <t>4-(methoxymethyl)cyclohexanemethanol</t>
  </si>
  <si>
    <t>98955-27-2</t>
  </si>
  <si>
    <t>4,11-dichloro-5,12-dihydroquino[2,3-b]acridine-7,14-dione</t>
  </si>
  <si>
    <t>3089-16-5</t>
  </si>
  <si>
    <t>4,4-(ethyl-2-nitrotrimethylene, 2-) dimorpholine</t>
  </si>
  <si>
    <t>1854-23-5</t>
  </si>
  <si>
    <t>4,4,4-trifluoroacetoacetyl chloride</t>
  </si>
  <si>
    <t>2261-53-2</t>
  </si>
  <si>
    <t>4,4'-bis({1-[(2,4-dimethylphenyl)amino]-1,3-dioxo-2-butanyl}diazenyl)-2,2'-biphenyldisulfonic acid</t>
  </si>
  <si>
    <t>78952-69-9</t>
  </si>
  <si>
    <t>4,4-dichlorodiphenyldichloroethane</t>
  </si>
  <si>
    <t>72-54-8</t>
  </si>
  <si>
    <t>4,4-dichlorodiphenyldichloroethylene</t>
  </si>
  <si>
    <t>72-55-9</t>
  </si>
  <si>
    <t>4,4-dichlorodiphenyltrichloroethane</t>
  </si>
  <si>
    <t>50-29-3</t>
  </si>
  <si>
    <t>4,4'-diisopropylbiphenyl</t>
  </si>
  <si>
    <t>18970-30-4</t>
  </si>
  <si>
    <t>4,4-dimethyl, 2-oxazolidinone</t>
  </si>
  <si>
    <t>26654-39-7</t>
  </si>
  <si>
    <t>4,4-dimethyl-1,3-dioxolane</t>
  </si>
  <si>
    <t>766-15-4</t>
  </si>
  <si>
    <t>4,4-dimethyl-1-phenyl-3-pentanone</t>
  </si>
  <si>
    <t>5195-24-4</t>
  </si>
  <si>
    <t>4,4-dimethylheptane</t>
  </si>
  <si>
    <t>1068-19-5</t>
  </si>
  <si>
    <t>4,4-dimethyloctane</t>
  </si>
  <si>
    <t>15869-95-1</t>
  </si>
  <si>
    <t>4,4-dimethyloxazolidine</t>
  </si>
  <si>
    <t>51200-87-4</t>
  </si>
  <si>
    <t>4,4'-methylene bis-(2,6-di-t-butyl phenol)</t>
  </si>
  <si>
    <t>118-82-1</t>
  </si>
  <si>
    <t>4,4'-methylene bis-(2-methyl cyclohexanamine)</t>
  </si>
  <si>
    <t>6864-37-5</t>
  </si>
  <si>
    <t>4,4'-methylene bis(dibutyldithiocarbamate)</t>
  </si>
  <si>
    <t>10254-57-6</t>
  </si>
  <si>
    <t>4,4-methylene diphenyl diisocyanate</t>
  </si>
  <si>
    <t>4,4'-methylenebis(2-carbomethoxyaniline)</t>
  </si>
  <si>
    <t>31383-81-0</t>
  </si>
  <si>
    <t>4,4'-methylenebis(2-ethylbenzenamine)</t>
  </si>
  <si>
    <t>19900-65-3</t>
  </si>
  <si>
    <t>4,4-methylenebis(cyclohexanamine)</t>
  </si>
  <si>
    <t>1761-71-3</t>
  </si>
  <si>
    <t>4,4'-methylenedianiline</t>
  </si>
  <si>
    <t>101-77-9</t>
  </si>
  <si>
    <t>4,4-methylenedimorpholine dimorpholine</t>
  </si>
  <si>
    <t>5625-90-1</t>
  </si>
  <si>
    <t>4,4'-oxydi-2,1-ethanediyl bismorpholine</t>
  </si>
  <si>
    <t>6425-39-4</t>
  </si>
  <si>
    <t>4,4'-sulfonyldianiline</t>
  </si>
  <si>
    <t>80-08-0</t>
  </si>
  <si>
    <t>4,4'-thiobis(6-t-butyl-m-cresol)</t>
  </si>
  <si>
    <t>96-69-5</t>
  </si>
  <si>
    <t>4,4'-thiodiphenol</t>
  </si>
  <si>
    <t>2664-63-3</t>
  </si>
  <si>
    <t>4,5-dichloro-2-n-octyl-3(2H)-isothiazolone</t>
  </si>
  <si>
    <t>64359-81-5</t>
  </si>
  <si>
    <t>4,5-dihydro-1H-imidazole-1-ethanamine, 2-nortall-oil alkyl derivs.</t>
  </si>
  <si>
    <t>68442-97-7 (PM)</t>
  </si>
  <si>
    <t>68442-97-7 (Vapor)</t>
  </si>
  <si>
    <t>4,5-dihydro-1H-imidazole-1-ethanamine, 2-nortall-oil alkyl derivs., acetates</t>
  </si>
  <si>
    <t>68140-11-4 (PM)</t>
  </si>
  <si>
    <t>68140-11-4 (Vapor)</t>
  </si>
  <si>
    <t>4,5-dimethyloctane</t>
  </si>
  <si>
    <t>15869-96-2</t>
  </si>
  <si>
    <t>4,6-diisopropyl-1-naphthalenesulfonic acid</t>
  </si>
  <si>
    <t>28757-00-8</t>
  </si>
  <si>
    <t>4,6-dimethyl-2-heptanone</t>
  </si>
  <si>
    <t>19549-80-5</t>
  </si>
  <si>
    <t>4,6-dinitro-o-cresol</t>
  </si>
  <si>
    <t>534-52-1</t>
  </si>
  <si>
    <t>4,8-bis(hydroxymethyl)tricyclo[5.2.1.0(2,6)]decane, mixture of isomers</t>
  </si>
  <si>
    <t>26896-48-0</t>
  </si>
  <si>
    <t>4-[(4-amino-3-nitrophenyl)sulfonyl]-2-nitrophenylamine</t>
  </si>
  <si>
    <t>18491-91-3</t>
  </si>
  <si>
    <t>4-[4,6-bis(2,4-dimethylphenyl)-1,3,5-triazin-2-yl]-1,3-benzenediol, reaction products with 2-[(dodecyloxy)methyl]oxirane and 2-[(C10-16-alkyloxy)methyl]oxirane</t>
  </si>
  <si>
    <t>153519-44-9 (PM)</t>
  </si>
  <si>
    <t>153519-44-9 (Vapor)</t>
  </si>
  <si>
    <t>4-aminobiphenyl</t>
  </si>
  <si>
    <t>92-67-1</t>
  </si>
  <si>
    <t>4-aminoethyl-1,8-octanediamine</t>
  </si>
  <si>
    <t>1572-55-0</t>
  </si>
  <si>
    <t>4-aminopyridine</t>
  </si>
  <si>
    <t>504-24-5</t>
  </si>
  <si>
    <t>4-anilinophenol</t>
  </si>
  <si>
    <t>122-37-2</t>
  </si>
  <si>
    <t>4-bromoanisole</t>
  </si>
  <si>
    <t>104-92-7</t>
  </si>
  <si>
    <t>4-bromodiphenyl ether</t>
  </si>
  <si>
    <t>101-55-3</t>
  </si>
  <si>
    <t>4-bromofluorobenzene</t>
  </si>
  <si>
    <t>460-00-4</t>
  </si>
  <si>
    <t>4-butyl-1,2-benzenediamine</t>
  </si>
  <si>
    <t>3663-23-8</t>
  </si>
  <si>
    <t>4-butyl-2-nitroaniline</t>
  </si>
  <si>
    <t>3663-22-7</t>
  </si>
  <si>
    <t>4-butylaniline</t>
  </si>
  <si>
    <t>104-13-2</t>
  </si>
  <si>
    <t>4-butylmorpholine</t>
  </si>
  <si>
    <t>1005-67-0</t>
  </si>
  <si>
    <t>4-chloro-2-butanol</t>
  </si>
  <si>
    <t>2203-34-1</t>
  </si>
  <si>
    <t>4-chloro-2-methoxyphenol</t>
  </si>
  <si>
    <t>16766-30-6</t>
  </si>
  <si>
    <t>4-chloro-2-methyl phenoxy acetic acid</t>
  </si>
  <si>
    <t>94-74-6</t>
  </si>
  <si>
    <t>4-chloro-3-methylphenol</t>
  </si>
  <si>
    <t>59-50-7 (Not Defined)</t>
  </si>
  <si>
    <t>59-50-7 (PM)</t>
  </si>
  <si>
    <t>4-chloro-3-nitrobenzotrifluoride</t>
  </si>
  <si>
    <t>121-17-5</t>
  </si>
  <si>
    <t>4-chlorobenzyl chloride</t>
  </si>
  <si>
    <t>104-83-6</t>
  </si>
  <si>
    <t>4-chlorodiphenyl ether</t>
  </si>
  <si>
    <t>7005-72-3</t>
  </si>
  <si>
    <t>4-cumylphenol</t>
  </si>
  <si>
    <t>599-64-4</t>
  </si>
  <si>
    <t>4-cyanocyclohexene</t>
  </si>
  <si>
    <t>100-45-8</t>
  </si>
  <si>
    <t>4-dimethylamino-3,5-xylyl methylcarbamate</t>
  </si>
  <si>
    <t>315-18-4</t>
  </si>
  <si>
    <t>4-dimethylaminoazobenzene</t>
  </si>
  <si>
    <t>60-11-7</t>
  </si>
  <si>
    <t>4-dodecylphenol, mixed isomers</t>
  </si>
  <si>
    <t>27193-86-8</t>
  </si>
  <si>
    <t>4-ethenyl-1,2-dimethylbenzene</t>
  </si>
  <si>
    <t>27831-13-6</t>
  </si>
  <si>
    <t>4-ethyl-1,2-dimethylbenzene</t>
  </si>
  <si>
    <t>934-80-5</t>
  </si>
  <si>
    <t>4-ethyl-1-octyn-3-ol</t>
  </si>
  <si>
    <t>5877-42-9</t>
  </si>
  <si>
    <t>4-ethyl-2-(8-heptadecenyl)-2-oxazoline-4-methanol</t>
  </si>
  <si>
    <t>68140-98-7</t>
  </si>
  <si>
    <t>4-ethyl-2,2-dimethylhexane</t>
  </si>
  <si>
    <t>52896-99-8</t>
  </si>
  <si>
    <t>4-ethyl-2,3-dimethylhexane</t>
  </si>
  <si>
    <t>52897-01-5</t>
  </si>
  <si>
    <t>4-ethyl-2,4-dimethylhexane</t>
  </si>
  <si>
    <t>52897-03-7</t>
  </si>
  <si>
    <t>4-ethyl-2-methylheptane</t>
  </si>
  <si>
    <t>52896-88-5</t>
  </si>
  <si>
    <t>4-ethyl-2-methylhexane</t>
  </si>
  <si>
    <t>3074-75-7</t>
  </si>
  <si>
    <t>4-ethyl-3,3-dimethylhexane</t>
  </si>
  <si>
    <t>52897-05-9</t>
  </si>
  <si>
    <t>4-ethyl-3-methylheptane</t>
  </si>
  <si>
    <t>52896-89-6</t>
  </si>
  <si>
    <t>4-ethyl-4-methylheptane</t>
  </si>
  <si>
    <t>17302-04-4</t>
  </si>
  <si>
    <t>4-ethylheptane</t>
  </si>
  <si>
    <t>2216-32-2</t>
  </si>
  <si>
    <t>4-ethylmorpholine</t>
  </si>
  <si>
    <t>100-74-3</t>
  </si>
  <si>
    <t>4-ethyloctane</t>
  </si>
  <si>
    <t>15869-86-0</t>
  </si>
  <si>
    <t>4-heptanol</t>
  </si>
  <si>
    <t>589-55-9</t>
  </si>
  <si>
    <t>4-hepten-2-one</t>
  </si>
  <si>
    <t>24332-22-7</t>
  </si>
  <si>
    <t>4H-imidazole</t>
  </si>
  <si>
    <t>288-30-2 (PM)</t>
  </si>
  <si>
    <t>288-30-2 (Vapor)</t>
  </si>
  <si>
    <t>4-hydroxy-2,2,6,6-tetramethyl-1-piperidinyloxy</t>
  </si>
  <si>
    <t>2226-96-2</t>
  </si>
  <si>
    <t>4-hydroxy-2-butanone</t>
  </si>
  <si>
    <t>590-90-9</t>
  </si>
  <si>
    <t>4-hydroxy-2-heptanone</t>
  </si>
  <si>
    <t>25290-14-6</t>
  </si>
  <si>
    <t>4-hydroxy-2-hexanone</t>
  </si>
  <si>
    <t>56072-26-5</t>
  </si>
  <si>
    <t>4-hydroxy-4-methyl-2-pentanone</t>
  </si>
  <si>
    <t>123-42-2</t>
  </si>
  <si>
    <t>4-hydroxyacetophenone</t>
  </si>
  <si>
    <t>99-93-4 (PM)</t>
  </si>
  <si>
    <t>99-93-4 (Vapor)</t>
  </si>
  <si>
    <t>4-hydroxybenzenesulfonic acid</t>
  </si>
  <si>
    <t>98-67-9</t>
  </si>
  <si>
    <t>4-hydroxybutyl butyrate</t>
  </si>
  <si>
    <t>55011-60-4</t>
  </si>
  <si>
    <t>4-hydroxyphenethyl alcohol</t>
  </si>
  <si>
    <t>501-94-0</t>
  </si>
  <si>
    <t>4-isobutylstyrene</t>
  </si>
  <si>
    <t>63444-56-4</t>
  </si>
  <si>
    <t>4-isopropylacetophenone</t>
  </si>
  <si>
    <t>645-13-6</t>
  </si>
  <si>
    <t>4-isopropylbenzyl alcohol</t>
  </si>
  <si>
    <t>536-60-7</t>
  </si>
  <si>
    <t>4-isopropylheptane</t>
  </si>
  <si>
    <t>52896-87-4</t>
  </si>
  <si>
    <t>4-methoxybenzaldehyde</t>
  </si>
  <si>
    <t>123-11-5</t>
  </si>
  <si>
    <t>4-methoxybenzyl alcohol</t>
  </si>
  <si>
    <t>105-13-5</t>
  </si>
  <si>
    <t>4-methoxyphenol</t>
  </si>
  <si>
    <t>150-76-5</t>
  </si>
  <si>
    <t>4-methyl biphenyl</t>
  </si>
  <si>
    <t>644-08-6</t>
  </si>
  <si>
    <t>4-methyl-1,4-heptadiene</t>
  </si>
  <si>
    <t>13857-55-1</t>
  </si>
  <si>
    <t>4-methyl-1-cyclohexanemethanol</t>
  </si>
  <si>
    <t>34885-03-5</t>
  </si>
  <si>
    <t>4-methyl-1-hexene</t>
  </si>
  <si>
    <t>3769-23-1</t>
  </si>
  <si>
    <t>4-methyl-1-isopropylcyclohexene</t>
  </si>
  <si>
    <t>500-00-5</t>
  </si>
  <si>
    <t>4-methyl-1-pentene</t>
  </si>
  <si>
    <t>691-37-2</t>
  </si>
  <si>
    <t>4-methyl-2,6-bis(methylthio)-1,3-benzenediamine</t>
  </si>
  <si>
    <t>102093-68-5</t>
  </si>
  <si>
    <t>4-methyl-2-pentanol</t>
  </si>
  <si>
    <t>108-11-2</t>
  </si>
  <si>
    <t>4-methyl-2-pentanol acetate</t>
  </si>
  <si>
    <t>108-84-9</t>
  </si>
  <si>
    <t>4-methyl-2-pentene</t>
  </si>
  <si>
    <t>4461-48-7</t>
  </si>
  <si>
    <t>4-methyl-3-thiadecane</t>
  </si>
  <si>
    <t>53970-40-4</t>
  </si>
  <si>
    <t>4-methylcyclopentene</t>
  </si>
  <si>
    <t>1759-81-5</t>
  </si>
  <si>
    <t>4-methylheptane</t>
  </si>
  <si>
    <t>589-53-7</t>
  </si>
  <si>
    <t>4-methylhexanoic acid</t>
  </si>
  <si>
    <t>1561-11-1</t>
  </si>
  <si>
    <t>4-methylimidazole</t>
  </si>
  <si>
    <t>822-36-6</t>
  </si>
  <si>
    <t>4-methylmorpholine</t>
  </si>
  <si>
    <t>109-02-4</t>
  </si>
  <si>
    <t>4-methylnonane</t>
  </si>
  <si>
    <t>17301-94-9</t>
  </si>
  <si>
    <t>4-methyloctane</t>
  </si>
  <si>
    <t>2216-34-4</t>
  </si>
  <si>
    <t>4-methylpyridine</t>
  </si>
  <si>
    <t>108-89-4</t>
  </si>
  <si>
    <t>4-methylquinoline</t>
  </si>
  <si>
    <t>491-35-0</t>
  </si>
  <si>
    <t>4-morpholinoethanol</t>
  </si>
  <si>
    <t>622-40-2</t>
  </si>
  <si>
    <t>4-N-5-di-tert-butyl-2,4-toluenediamine</t>
  </si>
  <si>
    <t>106917-63-9</t>
  </si>
  <si>
    <t>4-nitro-N-methylphthalimide</t>
  </si>
  <si>
    <t>41663-84-7</t>
  </si>
  <si>
    <t>4-nitro-o-anisidine</t>
  </si>
  <si>
    <t>97-52-9</t>
  </si>
  <si>
    <t>4-nitroquinoline-1-oxide</t>
  </si>
  <si>
    <t>56-57-5</t>
  </si>
  <si>
    <t>4-nitrosophenol</t>
  </si>
  <si>
    <t>104-91-6</t>
  </si>
  <si>
    <t>4-nonyl-phenol, branched</t>
  </si>
  <si>
    <t>84852-15-3</t>
  </si>
  <si>
    <t>4-N-tert-butyl-2,4-toluenediamine</t>
  </si>
  <si>
    <t>106917-61-7</t>
  </si>
  <si>
    <t>4-pentenenitrile</t>
  </si>
  <si>
    <t>592-51-8</t>
  </si>
  <si>
    <t>4-phenyl-2-butanone</t>
  </si>
  <si>
    <t>2550-26-7</t>
  </si>
  <si>
    <t>4-phenylcyclohexene</t>
  </si>
  <si>
    <t>4994-16-5</t>
  </si>
  <si>
    <t>4-propyl-1,2,4-triazol-3-amine</t>
  </si>
  <si>
    <t>58661-97-5</t>
  </si>
  <si>
    <t>4-propylheptane</t>
  </si>
  <si>
    <t>3178-29-8</t>
  </si>
  <si>
    <t>4-tert-butyl-2-methylphenol</t>
  </si>
  <si>
    <t>98-27-1 (Not Defined)</t>
  </si>
  <si>
    <t>98-27-1 (PM)</t>
  </si>
  <si>
    <t>4-tert-butylcyclohexanol</t>
  </si>
  <si>
    <t>98-52-2 (Not Defined)</t>
  </si>
  <si>
    <t>98-52-2 (PM)</t>
  </si>
  <si>
    <t>4-tert-butyltoluene</t>
  </si>
  <si>
    <t>98-51-1</t>
  </si>
  <si>
    <t>4-trifluoromethyl-2-nitroaniline</t>
  </si>
  <si>
    <t>400-98-6</t>
  </si>
  <si>
    <t>4-vinyl-1-cyclohexene diepoxide</t>
  </si>
  <si>
    <t>106-87-6</t>
  </si>
  <si>
    <t>4-vinylcyclohexene</t>
  </si>
  <si>
    <t>100-40-3</t>
  </si>
  <si>
    <t>4-vinylpyridine</t>
  </si>
  <si>
    <t>100-43-6</t>
  </si>
  <si>
    <t>5 (or 6) -carboxy-4-hexyl, 2-cyclohexene-1-octanoic acid</t>
  </si>
  <si>
    <t>53980-88-4</t>
  </si>
  <si>
    <t>5-(hydroxymethyl)-1,3-dimethyl-2,4-imidazolidinedione</t>
  </si>
  <si>
    <t>27636-82-4</t>
  </si>
  <si>
    <t>5,12-dihydroquino(2,3-b)acridine-7,14-dione</t>
  </si>
  <si>
    <t>87397-48-6</t>
  </si>
  <si>
    <t>5,5-dimethyl-2,4-imidazolidinedione</t>
  </si>
  <si>
    <t>77-71-4</t>
  </si>
  <si>
    <t>5,5-dimethyl-2-hexene</t>
  </si>
  <si>
    <t>39761-61-0</t>
  </si>
  <si>
    <t>5,5-dimethyl-4-hydroxy-2-isopropyl-1,3-dioxane</t>
  </si>
  <si>
    <t>5,5-dimethyl-4-hydroxy-6-isopropyl-2-(1',1'-dimethyl-2'-hydoxy)ethyl-1,3-dioxane</t>
  </si>
  <si>
    <t>5,6-dihydro-6-methyl-2H-pyran-3(4H)-one</t>
  </si>
  <si>
    <t>43152-89-2</t>
  </si>
  <si>
    <t>5,6-dihydrodicyclopentadiene</t>
  </si>
  <si>
    <t>4488-57-7</t>
  </si>
  <si>
    <t>5-[2-chloro-4-(trifluoromethyl)phenoxy]-2-nitrobenzoic acid 2-ethoxy-1-methyl-2-oxoethyl ester</t>
  </si>
  <si>
    <t>77501-63-4</t>
  </si>
  <si>
    <t>5-amino-1,3,3-trimethylcyclohexanemethanamine, reaction products with bisphenol A diglycidyl ether homopolymer</t>
  </si>
  <si>
    <t>68609-08-5</t>
  </si>
  <si>
    <t>5-amino-1,3,3-trimethylcyclohexanemethylamine, mixture of cis and trans</t>
  </si>
  <si>
    <t>2855-13-2</t>
  </si>
  <si>
    <t>5-butyl-1H-1,2,3-benzotriazole, sodium salt</t>
  </si>
  <si>
    <t>118685-34-0</t>
  </si>
  <si>
    <t>5-butyl-5-nonanol</t>
  </si>
  <si>
    <t>597-93-3</t>
  </si>
  <si>
    <t>5-chloro-2-methyl-2H-isothiazol-3-one and 2-methyl-2H-isothiazol-3-one</t>
  </si>
  <si>
    <t>55965-84-9</t>
  </si>
  <si>
    <t>5-chloro-2-methyl-4-isothiazolin-3-one</t>
  </si>
  <si>
    <t>26172-55-4</t>
  </si>
  <si>
    <t>5-ethyl-1-aza-3,7-dioxabicyclo[3.3.0]octane</t>
  </si>
  <si>
    <t>7747-35-5</t>
  </si>
  <si>
    <t>5-ethyl-2-methylheptane</t>
  </si>
  <si>
    <t>13475-78-0</t>
  </si>
  <si>
    <t>5-ethyl-2-nonanol</t>
  </si>
  <si>
    <t>103-08-2</t>
  </si>
  <si>
    <t>5-ethyl-2-nonanone</t>
  </si>
  <si>
    <t>5440-89-1</t>
  </si>
  <si>
    <t>5-ethylidene-2-norbornene</t>
  </si>
  <si>
    <t>16219-75-3</t>
  </si>
  <si>
    <t>5-heptyldihydro-2(3H)-furanone</t>
  </si>
  <si>
    <t>104-67-6</t>
  </si>
  <si>
    <t>5-hexenoic acid</t>
  </si>
  <si>
    <t>1577-22-6</t>
  </si>
  <si>
    <t>5-hydroxyvaleric acid</t>
  </si>
  <si>
    <t>13392-69-3</t>
  </si>
  <si>
    <t>5-isocyanato-1-(isocyanatomethyl)-1,3,3-trimethylcyclohexane, homopolymer</t>
  </si>
  <si>
    <t>53880-05-0</t>
  </si>
  <si>
    <t>5-methyl-1,3,6-heptatriene</t>
  </si>
  <si>
    <t>925-52-0</t>
  </si>
  <si>
    <t>5-methyl-2H-benzotriazole</t>
  </si>
  <si>
    <t>136-85-6</t>
  </si>
  <si>
    <t>5-methyl-2-undecene</t>
  </si>
  <si>
    <t>56851-34-4</t>
  </si>
  <si>
    <t>5-methyl-3a,4,7,7a-tetrahydro-2-benzofuran-1,3-dione</t>
  </si>
  <si>
    <t>26590-20-5</t>
  </si>
  <si>
    <t>5-methyl-3-heptanone</t>
  </si>
  <si>
    <t>541-85-5</t>
  </si>
  <si>
    <t>5-methyl-3-hexen-2-one</t>
  </si>
  <si>
    <t>5166-53-0</t>
  </si>
  <si>
    <t>5-methyl-4-hexen-2-one</t>
  </si>
  <si>
    <t>28332-44-7</t>
  </si>
  <si>
    <t>5-methyl-4-hydroxy-2-hexanone</t>
  </si>
  <si>
    <t>38836-21-4</t>
  </si>
  <si>
    <t>5-methyl-5-hexen-2-one</t>
  </si>
  <si>
    <t>3240-09-3</t>
  </si>
  <si>
    <t>5-methylindane</t>
  </si>
  <si>
    <t>874-35-1</t>
  </si>
  <si>
    <t>5-methylnonane</t>
  </si>
  <si>
    <t>15869-85-9</t>
  </si>
  <si>
    <t>5-methyl-o-anisidine</t>
  </si>
  <si>
    <t>120-71-8</t>
  </si>
  <si>
    <t>5-methylquinoline</t>
  </si>
  <si>
    <t>7661-55-4</t>
  </si>
  <si>
    <t>5-nitro-o-anisidine</t>
  </si>
  <si>
    <t>99-59-2</t>
  </si>
  <si>
    <t>5-nonanone</t>
  </si>
  <si>
    <t>502-56-7</t>
  </si>
  <si>
    <t>5-propyldihydro-2-furanone</t>
  </si>
  <si>
    <t>26524-73-2</t>
  </si>
  <si>
    <t>5-vinyl-2-norbornene</t>
  </si>
  <si>
    <t>3048-64-4</t>
  </si>
  <si>
    <t>6,10,14-trimethyl-2-pentadecanol</t>
  </si>
  <si>
    <t>69729-17-5</t>
  </si>
  <si>
    <t>6-acetoxydicyclopentadiene</t>
  </si>
  <si>
    <t>54830-99-8</t>
  </si>
  <si>
    <t>6-amino-1H-benzo[de]isoquinoline-1,3(2H)-dione</t>
  </si>
  <si>
    <t>1742-95-6</t>
  </si>
  <si>
    <t>6-chloro-1-hexene</t>
  </si>
  <si>
    <t>928-89-2</t>
  </si>
  <si>
    <t>6-deoxy-3-C-methyl-2-O-methylhexose</t>
  </si>
  <si>
    <t>27208-98-6</t>
  </si>
  <si>
    <t>6-dodecanol</t>
  </si>
  <si>
    <t>6836-38-0</t>
  </si>
  <si>
    <t>6-hydroxycaproic acid</t>
  </si>
  <si>
    <t>1191-25-9</t>
  </si>
  <si>
    <t>6-methyl-3a,4,5,7a-tetrahydro-2-benzofuran-1,3-dione</t>
  </si>
  <si>
    <t>34090-76-1</t>
  </si>
  <si>
    <t>6-methyl-5-hepten-2-one</t>
  </si>
  <si>
    <t>110-93-0</t>
  </si>
  <si>
    <t>6-methylquinoline</t>
  </si>
  <si>
    <t>91-62-3</t>
  </si>
  <si>
    <t>6-undecanone</t>
  </si>
  <si>
    <t>927-49-1</t>
  </si>
  <si>
    <t>7-(2-(2-hydroxymethylethoxy)methylethoxy)tetramethyl-3,6,8,11-tetraoxa-7-phosphatridecane-1,13-diol</t>
  </si>
  <si>
    <t>36788-39-3</t>
  </si>
  <si>
    <t>7,12-dimethylbenz[a]anthracene</t>
  </si>
  <si>
    <t>57-97-6</t>
  </si>
  <si>
    <t>7-diethylamino-4-methylcoumarin</t>
  </si>
  <si>
    <t>91-44-1</t>
  </si>
  <si>
    <t>7-ethyl-2-methyl-4-undecanol</t>
  </si>
  <si>
    <t>103-20-8</t>
  </si>
  <si>
    <t>7-hydroxy-3,7-dimethyloctanal</t>
  </si>
  <si>
    <t>107-75-5</t>
  </si>
  <si>
    <t>7-methyl-4-undecene</t>
  </si>
  <si>
    <t>76441-79-7</t>
  </si>
  <si>
    <t>7-methylquinoline</t>
  </si>
  <si>
    <t>612-60-2</t>
  </si>
  <si>
    <t>7-phenyl-2-heptanone</t>
  </si>
  <si>
    <t>14171-88-1</t>
  </si>
  <si>
    <t>8-hydroxy quinoline</t>
  </si>
  <si>
    <t>148-24-3</t>
  </si>
  <si>
    <t>8-methylquinoline</t>
  </si>
  <si>
    <t>611-32-5</t>
  </si>
  <si>
    <t>9,12-octadecadienoicacid (9Z,12Z)-, 2-mercaptoethyl ester</t>
  </si>
  <si>
    <t>52147-29-2</t>
  </si>
  <si>
    <t>9,9-dimethyldecanoic acid</t>
  </si>
  <si>
    <t>68938-07-8 (PM)</t>
  </si>
  <si>
    <t>68938-07-8 (Vapor)</t>
  </si>
  <si>
    <t>9-[n-(2-hydroxypropyl)-(Z)-octadeceneamide</t>
  </si>
  <si>
    <t>111-05-7</t>
  </si>
  <si>
    <t>9-dodecenoic acid, methyl ester</t>
  </si>
  <si>
    <t>39202-17-0</t>
  </si>
  <si>
    <t>9-methylanthracene</t>
  </si>
  <si>
    <t>779-02-2</t>
  </si>
  <si>
    <t>a,a'-(iminodi-2,1-ethanediyl) bis[hydroxy-poly(oxy-1,2-ethanediyl)], N-[2-(4,5) dihydro-2-nortall-oil alkyl-1H-(imidazol-1-yl)ethyl] derivs</t>
  </si>
  <si>
    <t>68928-27-8 (PM)</t>
  </si>
  <si>
    <t>68928-27-8 (Vapor)</t>
  </si>
  <si>
    <t>a,a'-(iminodi-2,1-ethanediyl)bis[omega-hydroxy-poly(oxy-1,2-ethanediyl), N-[3-(brancheddecyloxy)propyl]</t>
  </si>
  <si>
    <t>68478-95-5 (PM)</t>
  </si>
  <si>
    <t>68478-95-5 (Vapor)</t>
  </si>
  <si>
    <t>a,a',a"-1,2,3-propanetriyltris[omega-hydroxy]-poly[oxy(methyl-1,2-ethanediyl)] (polyether polyol)</t>
  </si>
  <si>
    <t>25791-96-2 (PM)</t>
  </si>
  <si>
    <t>25791-96-2 (Vapor)</t>
  </si>
  <si>
    <t>a,a'-[(hexylimino)di-2,1-ethanediyl]bis[omega-hydroxy]-poly(oxy-1,2-ethanediyl)</t>
  </si>
  <si>
    <t>67875-41-6 (PM)</t>
  </si>
  <si>
    <t>67875-41-6 (Vapor)</t>
  </si>
  <si>
    <t>a,a'-[[[3-(decyloxy)propyl]methyliminio]di-2,1-ethanediyl]bis[w-hydroxy-poly(oxy-1,2-ethanediyl), branched, chlorides</t>
  </si>
  <si>
    <t>68478-94-4 (PM)</t>
  </si>
  <si>
    <t>68478-94-4 (Vapor)</t>
  </si>
  <si>
    <t>a,a'-phosphinicobis[omega-(4-nonylphenoxy)-poly(oxy-1,2-ethanediyl)</t>
  </si>
  <si>
    <t>9071-85-6 (PM)</t>
  </si>
  <si>
    <t>9071-85-6 (Vapor)</t>
  </si>
  <si>
    <t>a,a'-phosphinicobis[omega-(tridecyloxy)] poly(oxy-1,2-ethanediyl), branched</t>
  </si>
  <si>
    <t>68891-26-9 (PM)</t>
  </si>
  <si>
    <t>68891-26-9 (Vapor)</t>
  </si>
  <si>
    <t>Abamectin</t>
  </si>
  <si>
    <t>71751-41-2</t>
  </si>
  <si>
    <t>abietic acid</t>
  </si>
  <si>
    <t>514-10-3 (PM)</t>
  </si>
  <si>
    <t>514-10-3 (Vapor)</t>
  </si>
  <si>
    <t>Acacia Gum</t>
  </si>
  <si>
    <t>9000-01-5 (PM)</t>
  </si>
  <si>
    <t>9000-01-5 (Vapor)</t>
  </si>
  <si>
    <t>acenaphthene</t>
  </si>
  <si>
    <t>83-32-9</t>
  </si>
  <si>
    <t>acenaphthylene</t>
  </si>
  <si>
    <t>208-96-8</t>
  </si>
  <si>
    <t>acetal</t>
  </si>
  <si>
    <t>105-57-7</t>
  </si>
  <si>
    <t>acetaldehyde</t>
  </si>
  <si>
    <t>75-07-0</t>
  </si>
  <si>
    <t>acetaldehyde oxime</t>
  </si>
  <si>
    <t>107-29-9</t>
  </si>
  <si>
    <t>acetaldehyde, homopolymer</t>
  </si>
  <si>
    <t>9002-91-9</t>
  </si>
  <si>
    <t>acetamide</t>
  </si>
  <si>
    <t>60-35-5</t>
  </si>
  <si>
    <t>acetaminophen</t>
  </si>
  <si>
    <t>103-90-2</t>
  </si>
  <si>
    <t>acetamiprid</t>
  </si>
  <si>
    <t>135410-20-7</t>
  </si>
  <si>
    <t>acetanilide</t>
  </si>
  <si>
    <t>103-84-4</t>
  </si>
  <si>
    <t>acetate salt by-products from 2-aminoethanol reaction products with ammonia</t>
  </si>
  <si>
    <t>169591-03-1</t>
  </si>
  <si>
    <t>acetic acid</t>
  </si>
  <si>
    <t>64-19-7</t>
  </si>
  <si>
    <t>acetic acid ethenyl ester</t>
  </si>
  <si>
    <t>25213-24-5</t>
  </si>
  <si>
    <t>acetic acid ethenyl ester, polymer with chloroethene and 2,5-furandione</t>
  </si>
  <si>
    <t>25085-82-9</t>
  </si>
  <si>
    <t>acetic acid ethenyl ester, polymer with ethenol, cyclic acetal with butanal (polyvinyl butyral)</t>
  </si>
  <si>
    <t>68648-78-2</t>
  </si>
  <si>
    <t>acetic acid, aluminum salt (3:1)</t>
  </si>
  <si>
    <t>139-12-8</t>
  </si>
  <si>
    <t>acetic acid, C6-8 branched alkyl esters</t>
  </si>
  <si>
    <t>90438-79-2</t>
  </si>
  <si>
    <t>acetic acid, C7-9-branched alkyl esters, C8-rich</t>
  </si>
  <si>
    <t>108419-32-5</t>
  </si>
  <si>
    <t>acetic acid, C8-10-branched alkyl esters, C9-rich</t>
  </si>
  <si>
    <t>108419-33-6</t>
  </si>
  <si>
    <t>acetic acid, nonyl ester</t>
  </si>
  <si>
    <t>143-13-5</t>
  </si>
  <si>
    <t>acetic anhydride</t>
  </si>
  <si>
    <t>108-24-7</t>
  </si>
  <si>
    <t>acetic formic anhydride</t>
  </si>
  <si>
    <t>2258-42-6</t>
  </si>
  <si>
    <t>acetoacetanilide</t>
  </si>
  <si>
    <t>102-01-2 (PM)</t>
  </si>
  <si>
    <t>102-01-2 (Vapor)</t>
  </si>
  <si>
    <t>Acetochlor</t>
  </si>
  <si>
    <t>34256-82-1</t>
  </si>
  <si>
    <t>acetochlor herbicide</t>
  </si>
  <si>
    <t>123113-74-6</t>
  </si>
  <si>
    <t>acetone</t>
  </si>
  <si>
    <t>67-64-1</t>
  </si>
  <si>
    <t>acetone cyanohydrin</t>
  </si>
  <si>
    <t>75-86-5</t>
  </si>
  <si>
    <t>acetone oxime</t>
  </si>
  <si>
    <t>127-06-0</t>
  </si>
  <si>
    <t>acetonitrile</t>
  </si>
  <si>
    <t>75-05-8</t>
  </si>
  <si>
    <t>acetophenone</t>
  </si>
  <si>
    <t>98-86-2</t>
  </si>
  <si>
    <t>acetoxy acetic acid</t>
  </si>
  <si>
    <t>13831-30-6</t>
  </si>
  <si>
    <t>acetyl chloride</t>
  </si>
  <si>
    <t>75-36-5</t>
  </si>
  <si>
    <t>acetyl fluoride</t>
  </si>
  <si>
    <t>557-99-3 (Not Defined)</t>
  </si>
  <si>
    <t>acetyl fluoride | For air permit reviews in agricultural areas</t>
  </si>
  <si>
    <t>acetyl fluoride | For air permit reviews in agricultural areas with cattle</t>
  </si>
  <si>
    <t>acetylacetone peroxide</t>
  </si>
  <si>
    <t>37187-22-7</t>
  </si>
  <si>
    <t>acetylcedrene</t>
  </si>
  <si>
    <t>32388-55-9</t>
  </si>
  <si>
    <t>acetylene</t>
  </si>
  <si>
    <t>74-86-2</t>
  </si>
  <si>
    <t>acetylsalicylic acid</t>
  </si>
  <si>
    <t>50-78-2</t>
  </si>
  <si>
    <t>acetylurethane</t>
  </si>
  <si>
    <t>2597-54-8</t>
  </si>
  <si>
    <t>Acid Blue 25</t>
  </si>
  <si>
    <t>6408-78-2</t>
  </si>
  <si>
    <t>Acid Blue 40</t>
  </si>
  <si>
    <t>6424-85-7</t>
  </si>
  <si>
    <t>Acid Blue 9</t>
  </si>
  <si>
    <t>3844-45-9</t>
  </si>
  <si>
    <t>Acid Orange 154</t>
  </si>
  <si>
    <t>56819-40-0</t>
  </si>
  <si>
    <t>Acid Red 1</t>
  </si>
  <si>
    <t>3734-67-6</t>
  </si>
  <si>
    <t>Acid Red 14</t>
  </si>
  <si>
    <t>3567-69-9</t>
  </si>
  <si>
    <t>Acid Red 407</t>
  </si>
  <si>
    <t>72017-66-4</t>
  </si>
  <si>
    <t>Acid Red 52</t>
  </si>
  <si>
    <t>3520-42-1</t>
  </si>
  <si>
    <t>Acid Violet 17</t>
  </si>
  <si>
    <t>4129-84-4</t>
  </si>
  <si>
    <t>Acid Yellow 5GL</t>
  </si>
  <si>
    <t>6359-98-4</t>
  </si>
  <si>
    <t>acid-treated middle petroleum distillates</t>
  </si>
  <si>
    <t>64742-13-8</t>
  </si>
  <si>
    <t>acidulated corn/soya soapstock</t>
  </si>
  <si>
    <t>68308-53-2 (PM)</t>
  </si>
  <si>
    <t>68308-53-2 (Vapor)</t>
  </si>
  <si>
    <t>Acifluorfen</t>
  </si>
  <si>
    <t>50594-66-6</t>
  </si>
  <si>
    <t>Acifluorfen Sodium herbicide</t>
  </si>
  <si>
    <t>62476-59-9</t>
  </si>
  <si>
    <t>acridine</t>
  </si>
  <si>
    <t>260-94-6</t>
  </si>
  <si>
    <t>acrolein</t>
  </si>
  <si>
    <t>107-02-8</t>
  </si>
  <si>
    <t>acrylamide</t>
  </si>
  <si>
    <t>79-06-1</t>
  </si>
  <si>
    <t>acrylate copolymer</t>
  </si>
  <si>
    <t>acrylic acid</t>
  </si>
  <si>
    <t>79-10-7</t>
  </si>
  <si>
    <t>acrylic acid, triester with 2-ethyl-2-(hydroxymethyl)-1,3-propanediol</t>
  </si>
  <si>
    <t>72269-91-1</t>
  </si>
  <si>
    <t>acrylic acid, triester with 2-ethyl-2-(hydroxymethyl)-1,3-propanediol, butyl acrylate polymer</t>
  </si>
  <si>
    <t>25119-93-1</t>
  </si>
  <si>
    <t>acrylic copolymer</t>
  </si>
  <si>
    <t>acrylic emulsion</t>
  </si>
  <si>
    <t>acrylic latex</t>
  </si>
  <si>
    <t>acrylic polyol</t>
  </si>
  <si>
    <t>acrylonitrile</t>
  </si>
  <si>
    <t>107-13-1</t>
  </si>
  <si>
    <t>acrylonitrile, polymer with 1,3-butadiene and stryrene</t>
  </si>
  <si>
    <t>9003-56-9</t>
  </si>
  <si>
    <t>acrylonitrile-butadiene polymer</t>
  </si>
  <si>
    <t>9003-18-3</t>
  </si>
  <si>
    <t>ACTICIDE GA</t>
  </si>
  <si>
    <t>adamantane</t>
  </si>
  <si>
    <t>281-23-2</t>
  </si>
  <si>
    <t>adipic acid</t>
  </si>
  <si>
    <t>124-04-9</t>
  </si>
  <si>
    <t>adipic acid, polymer with hexane-1,6-diol and propylidynetrimethanol</t>
  </si>
  <si>
    <t>56266-32-1</t>
  </si>
  <si>
    <t>adiponitrile</t>
  </si>
  <si>
    <t>111-69-3</t>
  </si>
  <si>
    <t>Admire</t>
  </si>
  <si>
    <t>105827-78-9</t>
  </si>
  <si>
    <t>aflatoxin</t>
  </si>
  <si>
    <t>1402-68-2</t>
  </si>
  <si>
    <t>Alachlor Technical</t>
  </si>
  <si>
    <t>15972-60-8</t>
  </si>
  <si>
    <t>alcohol ether sulfate</t>
  </si>
  <si>
    <t>alcohol, ethoxylated, not otherwise specified</t>
  </si>
  <si>
    <t>alcohol, generic, not otherwise specified</t>
  </si>
  <si>
    <t xml:space="preserve">alcohols C9, branched and linear </t>
  </si>
  <si>
    <t>85711-26-8</t>
  </si>
  <si>
    <t>alcohols C9, branched and linear , C10-rich</t>
  </si>
  <si>
    <t>93821-11-5</t>
  </si>
  <si>
    <t>alcohols, C&gt;14, ethoxylated</t>
  </si>
  <si>
    <t>251553-55-6</t>
  </si>
  <si>
    <t>alcohols, C10-14, ethoxylated</t>
  </si>
  <si>
    <t>66455-15-0</t>
  </si>
  <si>
    <t>alcohols, C10-16</t>
  </si>
  <si>
    <t>67762-41-8</t>
  </si>
  <si>
    <t>alcohols, C10-16, ethoxylated</t>
  </si>
  <si>
    <t>68002-97-1</t>
  </si>
  <si>
    <t>alcohols, C10-16, ethoxylated propoxylated</t>
  </si>
  <si>
    <t>69227-22-1</t>
  </si>
  <si>
    <t>alcohols, C10-C12, ethoxylated, propoxylated</t>
  </si>
  <si>
    <t>68154-97-2</t>
  </si>
  <si>
    <t>alcohols, C11-14-iso-, C13-rich, ethoxylated propoxylated</t>
  </si>
  <si>
    <t>78330-23-1</t>
  </si>
  <si>
    <t>alcohols, C11-14-isoalcs., C13-rich, ethoxylated</t>
  </si>
  <si>
    <t>78330-21-9</t>
  </si>
  <si>
    <t>alcohols, C12-13</t>
  </si>
  <si>
    <t>75782-86-4</t>
  </si>
  <si>
    <t>alcohols, C12-13, ethoxylated</t>
  </si>
  <si>
    <t>66455-14-9</t>
  </si>
  <si>
    <t>alcohols, C12-14, ethoxylated</t>
  </si>
  <si>
    <t>68439-50-9</t>
  </si>
  <si>
    <t>alcohols, C12-14, ethoxylated, propoxylated</t>
  </si>
  <si>
    <t>68439-51-0</t>
  </si>
  <si>
    <t>alcohols, C12-14, secondary</t>
  </si>
  <si>
    <t>126950-60-5</t>
  </si>
  <si>
    <t>alcohols, C12-15</t>
  </si>
  <si>
    <t>63393-82-8</t>
  </si>
  <si>
    <t>alcohols, C12-15, ethoxylated</t>
  </si>
  <si>
    <t>68131-39-5</t>
  </si>
  <si>
    <t>alcohols, C12-15-branched and linear, ethoxylated propoxylated</t>
  </si>
  <si>
    <t>120313-48-6</t>
  </si>
  <si>
    <t>alcohols, C12-16, ethoxylated</t>
  </si>
  <si>
    <t>68551-12-2</t>
  </si>
  <si>
    <t>alcohols, C12-18 (ethoxylated propoxylated)</t>
  </si>
  <si>
    <t>69227-21-0</t>
  </si>
  <si>
    <t>alcohols, C12-18, distn. residues</t>
  </si>
  <si>
    <t>68603-16-7</t>
  </si>
  <si>
    <t>alcohols, C12-18, ethoxylated</t>
  </si>
  <si>
    <t>68213-23-0</t>
  </si>
  <si>
    <t>alcohols, C12-C16</t>
  </si>
  <si>
    <t>68855-56-1</t>
  </si>
  <si>
    <t>alcohols, C14-18, ethoxylated, propoxylated</t>
  </si>
  <si>
    <t>68154-98-3</t>
  </si>
  <si>
    <t>alcohols, C16-18 ethoxylated</t>
  </si>
  <si>
    <t>68439-49-6</t>
  </si>
  <si>
    <t>alcohols, C16-18, distn. residues</t>
  </si>
  <si>
    <t>68603-17-8</t>
  </si>
  <si>
    <t>alcohols, C16-C18, ethoxylated, propoxylated</t>
  </si>
  <si>
    <t>68002-96-0</t>
  </si>
  <si>
    <t>alcohols, C2-C33 manuf. of, by products from overheads</t>
  </si>
  <si>
    <t>876065-86-0</t>
  </si>
  <si>
    <t>alcohols, C6-10, ethoxylated</t>
  </si>
  <si>
    <t>70879-83-3</t>
  </si>
  <si>
    <t>alcohols, C6-12, ethoxylated</t>
  </si>
  <si>
    <t>68439-45-2</t>
  </si>
  <si>
    <t>alcohols, C6-12, ethoxylated propoxylated</t>
  </si>
  <si>
    <t>68937-66-6</t>
  </si>
  <si>
    <t>alcohols, C6-C12</t>
  </si>
  <si>
    <t>68603-15-6</t>
  </si>
  <si>
    <t>alcohols, C7-9-iso, C8 rich, ethoxylated</t>
  </si>
  <si>
    <t>78330-19-5</t>
  </si>
  <si>
    <t>alcohols, C8-10, ethoxylated, sulfates, ammonium salts</t>
  </si>
  <si>
    <t>68891-29-2 (PM)</t>
  </si>
  <si>
    <t>68891-29-2 (Vapor)</t>
  </si>
  <si>
    <t>alcohols, C8-18, ethoxylated</t>
  </si>
  <si>
    <t>69013-18-9</t>
  </si>
  <si>
    <t>alcohols, C9-11</t>
  </si>
  <si>
    <t>66455-17-2</t>
  </si>
  <si>
    <t>alcohols, C9-C11, ethoxylated</t>
  </si>
  <si>
    <t>68439-46-3</t>
  </si>
  <si>
    <t>aldehyde, generic, not otherwise specified</t>
  </si>
  <si>
    <t>Aldicarb</t>
  </si>
  <si>
    <t>116-06-3</t>
  </si>
  <si>
    <t>aldol</t>
  </si>
  <si>
    <t>107-89-1</t>
  </si>
  <si>
    <t>Aldrin</t>
  </si>
  <si>
    <t>309-00-2</t>
  </si>
  <si>
    <t>aliphatic dibasic esters</t>
  </si>
  <si>
    <t>aliphatic esters</t>
  </si>
  <si>
    <t>aliphatic glycidyl ether</t>
  </si>
  <si>
    <t>aliphatic hydrocarbon blend</t>
  </si>
  <si>
    <t>69430-33-7</t>
  </si>
  <si>
    <t>aliphatic petroleum distillates (mineral spirits)</t>
  </si>
  <si>
    <t>64741-41-9</t>
  </si>
  <si>
    <t>aliphatic petroleum naphtha</t>
  </si>
  <si>
    <t>64742-30-9</t>
  </si>
  <si>
    <t>aliphatic polyepoxide</t>
  </si>
  <si>
    <t>aliphatic polyisocyanate</t>
  </si>
  <si>
    <t>alkanes, C10-24</t>
  </si>
  <si>
    <t>289711-49-5</t>
  </si>
  <si>
    <t>alkanes, C10-24, branched</t>
  </si>
  <si>
    <t>289711-48-4</t>
  </si>
  <si>
    <t>alkanes, C14-16</t>
  </si>
  <si>
    <t>90622-46-1</t>
  </si>
  <si>
    <t>alkanes, C18-28, chloro</t>
  </si>
  <si>
    <t>85535-86-0</t>
  </si>
  <si>
    <t>alkanes, C5-C16, generic, not otherwise specified</t>
  </si>
  <si>
    <t>alkanolamide</t>
  </si>
  <si>
    <t>alkanolamine</t>
  </si>
  <si>
    <t>alkanolamine fatty acid ester</t>
  </si>
  <si>
    <t>alkenes, C&gt;10 alpha</t>
  </si>
  <si>
    <t>64743-02-8</t>
  </si>
  <si>
    <t>alkenes, C10-16</t>
  </si>
  <si>
    <t>68991-52-6</t>
  </si>
  <si>
    <t>alkenes, C11-13, C12-rich</t>
  </si>
  <si>
    <t>68526-58-9</t>
  </si>
  <si>
    <t>alkenes, C18 alpha, isomerized</t>
  </si>
  <si>
    <t>148617-59-8 (Not Defined)</t>
  </si>
  <si>
    <t>148617-59-8 (PM)</t>
  </si>
  <si>
    <t>alkenes, C20-24 alpha</t>
  </si>
  <si>
    <t>93924-10-8 (Not Defined)</t>
  </si>
  <si>
    <t>93924-10-8 (PM)</t>
  </si>
  <si>
    <t>alkenes, C24-28 alpha-, polymers with maleic anhydride</t>
  </si>
  <si>
    <t>68459-79-0</t>
  </si>
  <si>
    <t>alkenes, C6-8-branched, C7-rich</t>
  </si>
  <si>
    <t>97592-99-9</t>
  </si>
  <si>
    <t>alkenes, C7-9, C8-rich</t>
  </si>
  <si>
    <t>68526-54-5</t>
  </si>
  <si>
    <t>alkenes, C8-10, C9-rich</t>
  </si>
  <si>
    <t>68526-55-6</t>
  </si>
  <si>
    <t>alkenes, C9-11, C10-rich</t>
  </si>
  <si>
    <t>68526-56-7</t>
  </si>
  <si>
    <t>alkenes, generic, not otherwise specified</t>
  </si>
  <si>
    <t>alkenyl succinic anhydride</t>
  </si>
  <si>
    <t>67762-77-0</t>
  </si>
  <si>
    <t>alkoxylated linear alcohol</t>
  </si>
  <si>
    <t>alkyl (C12-C13) glycidyl ether</t>
  </si>
  <si>
    <t>120547-52-6</t>
  </si>
  <si>
    <t>alkyl (C12-C14) dimethylethylbenzyl ammonium chloride</t>
  </si>
  <si>
    <t>85409-23-0</t>
  </si>
  <si>
    <t>alkyl acetate, generic, not otherwise specified</t>
  </si>
  <si>
    <t>alkyl acid phosphate/triethylene</t>
  </si>
  <si>
    <t>alkyl alcohol (C8-10) ethoxylates</t>
  </si>
  <si>
    <t>71060-57-6</t>
  </si>
  <si>
    <t>alkyl alcohol (C8-22) ethoxylates</t>
  </si>
  <si>
    <t>69013-19-0</t>
  </si>
  <si>
    <t>alkyl alcohol ethoxylate</t>
  </si>
  <si>
    <t>74432-13-6</t>
  </si>
  <si>
    <t>alkyl alcohol ethoxylates, C9-C11, branched</t>
  </si>
  <si>
    <t>78330-20-8</t>
  </si>
  <si>
    <t>alkyl aryl alkoxylated phosphate ester</t>
  </si>
  <si>
    <t>alkyl benzene, C6-C9, generic, not otherwise specified</t>
  </si>
  <si>
    <t>alkyl benzene, C9 and higher, generic, not otherwise specified</t>
  </si>
  <si>
    <t>alkyl dimethyl amine oxides</t>
  </si>
  <si>
    <t>61788-90-7</t>
  </si>
  <si>
    <t>alkyl ether amines</t>
  </si>
  <si>
    <t>alkyl naphthalene</t>
  </si>
  <si>
    <t>alkyl phenol ethoxylate</t>
  </si>
  <si>
    <t>alkyl phenol polyamine</t>
  </si>
  <si>
    <t>alkyl tallow amine ethoxylated</t>
  </si>
  <si>
    <t>61791-26-2</t>
  </si>
  <si>
    <t>alkyl tallow amine ethoxylated acetates (salts)</t>
  </si>
  <si>
    <t>68551-33-7</t>
  </si>
  <si>
    <t>alkylaryl etheral alcohols</t>
  </si>
  <si>
    <t>alkylate, full range alkylation naphtha</t>
  </si>
  <si>
    <t>64741-64-6</t>
  </si>
  <si>
    <t>alkylated aromatic compounds</t>
  </si>
  <si>
    <t>alkylidene, generic, not otherwise specified</t>
  </si>
  <si>
    <t>alkyloxypolyethyleneoxyethanol</t>
  </si>
  <si>
    <t>68131-40-8 (PM)</t>
  </si>
  <si>
    <t>68131-40-8 (Vapor)</t>
  </si>
  <si>
    <t>Allethrins</t>
  </si>
  <si>
    <t>584-79-2</t>
  </si>
  <si>
    <t>Allura Red AC</t>
  </si>
  <si>
    <t>25956-17-6</t>
  </si>
  <si>
    <t>allyl (3-methylbutoxy)acetate</t>
  </si>
  <si>
    <t>67634-00-8</t>
  </si>
  <si>
    <t>allyl alcohol</t>
  </si>
  <si>
    <t>107-18-6</t>
  </si>
  <si>
    <t>allyl bromide</t>
  </si>
  <si>
    <t>106-95-6</t>
  </si>
  <si>
    <t>allyl chloride</t>
  </si>
  <si>
    <t>107-05-1</t>
  </si>
  <si>
    <t>allyl disulfide</t>
  </si>
  <si>
    <t>2179-57-9</t>
  </si>
  <si>
    <t>allyl ether</t>
  </si>
  <si>
    <t>557-40-4</t>
  </si>
  <si>
    <t>allyl formate</t>
  </si>
  <si>
    <t>1838-59-1</t>
  </si>
  <si>
    <t>allyl glycidyl ether</t>
  </si>
  <si>
    <t>106-92-3</t>
  </si>
  <si>
    <t>allyl isothiocyanate</t>
  </si>
  <si>
    <t>57-06-7</t>
  </si>
  <si>
    <t>allyl methacrylate</t>
  </si>
  <si>
    <t>96-05-9</t>
  </si>
  <si>
    <t>allyl propyl disulfide</t>
  </si>
  <si>
    <t>2179-59-1</t>
  </si>
  <si>
    <t>allyl succinic anhydride</t>
  </si>
  <si>
    <t>7539-12-0</t>
  </si>
  <si>
    <t>allylamine</t>
  </si>
  <si>
    <t>107-11-9</t>
  </si>
  <si>
    <t>allyloxypolyethylene glycol</t>
  </si>
  <si>
    <t>27274-31-3 (PM)</t>
  </si>
  <si>
    <t>27274-31-3 (Vapor)</t>
  </si>
  <si>
    <t>alpha tocopherol acetate</t>
  </si>
  <si>
    <t>7695-91-2</t>
  </si>
  <si>
    <t>alpha-(2-aminomethylethyl)-omega-(nonylphenoxy)-poly[oxy(methyl-1,2-ethanediyl)], branched</t>
  </si>
  <si>
    <t>144736-30-1</t>
  </si>
  <si>
    <t>alpha-(2-ethylhexyl)-omega-hydroxy-poly(oxy-1,2-ethanediyl), phosphate</t>
  </si>
  <si>
    <t>68439-39-4</t>
  </si>
  <si>
    <t>alpha-(2-ethylhexyl)-omega-hydroxy-poly(oxy-1,2-ethanediyl), phosphate, potassium salt</t>
  </si>
  <si>
    <t>68238-84-6</t>
  </si>
  <si>
    <t>alpha-(2-propylheptyl)-omega-hydroxy-poly(oxy-1,2-ethanediyl)</t>
  </si>
  <si>
    <t>160875-66-1</t>
  </si>
  <si>
    <t>alpha-(3,5-dimethyl-1-(2-methylpropyl)hexyl)-omega-hydroxy-poly(oxy-1,2-ethanediyl)</t>
  </si>
  <si>
    <t>60828-78-6 (PM)</t>
  </si>
  <si>
    <t>60828-78-6 (Vapor)</t>
  </si>
  <si>
    <t>alpha-(4-Nonylphenyl)-omega-hydroxy-poly(oxy-1,2-ethanediyl) branched</t>
  </si>
  <si>
    <t>127087-87-0 (PM)</t>
  </si>
  <si>
    <t>127087-87-0 (Vapor)</t>
  </si>
  <si>
    <t>alpha-(4-nonylphenyl)-omega-hydroxy-poly(oxy-1,2-ethanediyl) phosphate</t>
  </si>
  <si>
    <t>51609-41-7 (PM)</t>
  </si>
  <si>
    <t>51609-41-7 (Vapor)</t>
  </si>
  <si>
    <t>alpha-(bis(1-phenylethyl)phenyl)-omega-hydroxy-poly(oxy-1,2-ethanediyl)</t>
  </si>
  <si>
    <t>9086-52-6</t>
  </si>
  <si>
    <t>alpha-(dimethylphenyl)-omega-hydroxy-poly(oxy-1,2-ethanediyl)</t>
  </si>
  <si>
    <t>61723-82-8 (PM)</t>
  </si>
  <si>
    <t>61723-82-8 (Vapor)</t>
  </si>
  <si>
    <t>alpha-(dinonylphenyl)-omega-hydroxy-poly(oxy-1,2-ethanediyl)</t>
  </si>
  <si>
    <t>9014-93-1 (PM)</t>
  </si>
  <si>
    <t>9014-93-1 (Vapor)</t>
  </si>
  <si>
    <t>alpha-(dodecylphenyl)-omega-hydroxy-poly(oxy-1,2-ethanediyl)</t>
  </si>
  <si>
    <t>9014-92-0 (PM)</t>
  </si>
  <si>
    <t>9014-92-0 (Vapor)</t>
  </si>
  <si>
    <t>alpha-(nonylphenyl)-omega-hydroxy-poly(oxy-1,2-ethanediyl), branched, phosphates</t>
  </si>
  <si>
    <t>68412-53-3</t>
  </si>
  <si>
    <t>alpha-(nonylphenyl)-omega-hydroxy-poly(oxy-1,2-ethanediyl), phosphate, sodium salt</t>
  </si>
  <si>
    <t>37340-60-6</t>
  </si>
  <si>
    <t>alpha,alpha'-(((3-methylphenyl)imino)di-2,1-ethanediyl)bis(omega-hydroxy-poly(oxy-1,2-ethanediyl))</t>
  </si>
  <si>
    <t>36356-82-8</t>
  </si>
  <si>
    <t>alpha,alpha'-((9-octadecen-1-ylimino)di-2,1-ethanediyl)bis(omega-hydroxy)poly(oxy-1,2-ethanediyl)</t>
  </si>
  <si>
    <t>58253-49-9</t>
  </si>
  <si>
    <t>alpha,alpha'-((phenylimino)di-2,1-ethanediyl)bis(omega-hydroxy-poly(oxy-1,2-ethanediyl))</t>
  </si>
  <si>
    <t>36356-83-9</t>
  </si>
  <si>
    <t>alpha,alpha,alpha,alpha-((1,36-dioxo-1,36-hexacosanediyl)bis(oxy-2,1-ethanediylnitrilodi-2,1-ethanediyl))tetrakis(omega-hydroxy-poly(oxy-1,2-ethanediyl)</t>
  </si>
  <si>
    <t>68214-24-4 (PM)</t>
  </si>
  <si>
    <t>68214-24-4 (Vapor)</t>
  </si>
  <si>
    <t>alpha,alpha',alpha''-1,2,3-propanetriyltris(omega-(2-aminomethylethoxy)-poly(oxy(methyl-1,2-ethanediyl))</t>
  </si>
  <si>
    <t>64852-22-8</t>
  </si>
  <si>
    <t>alpha,alpha',alpha''-1,2,3-propanetriyltris(omega-hydroxy-poly(oxy(methyl-1,2-ethanediyl)), polymer with 1,3-diisocyanato-2-methylbenzene and 2,4-diisocyanato-1-methylbenzene</t>
  </si>
  <si>
    <t>68479-75-4</t>
  </si>
  <si>
    <t>alpha-[1,1'-biphenyl]-4-yl-omega-hydroxy-poly(oxy-1,2-ethanediyl), benzylated</t>
  </si>
  <si>
    <t>104376-72-9</t>
  </si>
  <si>
    <t>alpha-[2-(tert-dodecylthio)ethyl]-omega-hydroxy-poly(oxy-1,2-ethanediyl)</t>
  </si>
  <si>
    <t>9004-83-5 (PM)</t>
  </si>
  <si>
    <t>9004-83-5 (Vapor)</t>
  </si>
  <si>
    <t>alpha-[3-[3-(2H-benzotriazol-2-yl)-5-(1,1-dimethylethyl)-4-hydroxyphenyl]-1-oxopropyl]-omega-[3-[3-(2Hbenzotriazol-2-yl)-5-(1,1-dimethylethyl)-4-hydroxyphenyl]-1-oxopropoxy]poly(oxy-1,2-ethanediyl)</t>
  </si>
  <si>
    <t>104810-47-1</t>
  </si>
  <si>
    <t>alpha-2-propen-1-yl-omega-hydroxy-poly(oxy(methyl-1,2-ethanediyl))</t>
  </si>
  <si>
    <t>9042-19-7</t>
  </si>
  <si>
    <t>alpha-acetyl-omega-(2-propen-1-yloxy)-poly(oxy-1,2-ethanediyl)</t>
  </si>
  <si>
    <t>27252-87-5</t>
  </si>
  <si>
    <t>alpha-amylase, bacterial</t>
  </si>
  <si>
    <t>9000-85-5</t>
  </si>
  <si>
    <t>alpha-amylcinnamaldehyde</t>
  </si>
  <si>
    <t>122-40-7</t>
  </si>
  <si>
    <t>alpha-C12-15-alkyl-omega-sulfo-poly(oxy-1,2-ethanediyl), sodium salt</t>
  </si>
  <si>
    <t>121546-77-8 (PM)</t>
  </si>
  <si>
    <t>121546-77-8 (Vapor)</t>
  </si>
  <si>
    <t>alpha-cumyl peroxyneoheptanoate</t>
  </si>
  <si>
    <t>104852-44-0</t>
  </si>
  <si>
    <t>alpha-decyl-omega-hydroxy-poly(oxy-1,2-ethanediyl)</t>
  </si>
  <si>
    <t>26183-52-8 (PM)</t>
  </si>
  <si>
    <t>26183-52-8 (Vapor)</t>
  </si>
  <si>
    <t>alpha-hexyl-omega-hydroxy-poly(oxy-1,2-ethanediyl)</t>
  </si>
  <si>
    <t>31726-34-8</t>
  </si>
  <si>
    <t>alpha-hydro-omega-hydroxy-poly(oxy(methyl-1,2-ethanediyl)), polymer with 1,1'-methylenebis(4-isocyanatobenzene)</t>
  </si>
  <si>
    <t>9048-57-1</t>
  </si>
  <si>
    <t>alpha-hydro-omega-hydroxy-poly(oxy-1,2-ethanediyl), ether with d-glucitol (6:1)</t>
  </si>
  <si>
    <t>53694-15-8 (PM)</t>
  </si>
  <si>
    <t>53694-15-8 (Vapor)</t>
  </si>
  <si>
    <t>alpha-hydro-omega-hydroxy-poly(oxy-1,2-ethanediyl), mono-C11-14-isoalkyl ethers, C13-rich, phosphates, ethoxylated</t>
  </si>
  <si>
    <t>78330-22-0</t>
  </si>
  <si>
    <t>alpha-hydro-omega-hydroxy-poly[oxy(methyl-1,2-ethanediyl)], ether with [[(2-hydroxymethylethyl)imino]bis(2,1-ethanediylnitrilo)]tetrakis[propanol] (5:1)</t>
  </si>
  <si>
    <t>61252-98-0 (PM)</t>
  </si>
  <si>
    <t>61252-98-0 (Vapor)</t>
  </si>
  <si>
    <t>alpha-hydro-omega-hydroxy-poly[oxy(methyl-1,2-ethanediyl)], ether with D-glucitol (6:1)</t>
  </si>
  <si>
    <t>52625-13-5</t>
  </si>
  <si>
    <t>alpha-methylbenzyl alcohol</t>
  </si>
  <si>
    <t>98-85-1</t>
  </si>
  <si>
    <t>alpha-methylstyrene</t>
  </si>
  <si>
    <t>98-83-9</t>
  </si>
  <si>
    <t>alpha-methylstyrene dimer</t>
  </si>
  <si>
    <t>6362-80-7</t>
  </si>
  <si>
    <t>alpha-pinene</t>
  </si>
  <si>
    <t>80-56-8</t>
  </si>
  <si>
    <t>alpha-terpinene</t>
  </si>
  <si>
    <t>99-86-5</t>
  </si>
  <si>
    <t>alpha-terpineol</t>
  </si>
  <si>
    <t>98-55-5</t>
  </si>
  <si>
    <t>alpha-terpineol acetate</t>
  </si>
  <si>
    <t>8007-35-0</t>
  </si>
  <si>
    <t>alpha-tetradecyl-omega-hyroxy-poly(oxy-1,2-ethanediyl)</t>
  </si>
  <si>
    <t>27306-79-2 (PM)</t>
  </si>
  <si>
    <t>27306-79-2 (Vapor)</t>
  </si>
  <si>
    <t>alpha-tridecyl-omega-hyroxy-poly(oxy-1,2-ethanediyl) phosphonate</t>
  </si>
  <si>
    <t>9046-01-9 (PM)</t>
  </si>
  <si>
    <t>9046-01-9 (Vapor)</t>
  </si>
  <si>
    <t>alpha-undecyl-omega-hydroxy-poly(oxy-1,2-ethanediyl)</t>
  </si>
  <si>
    <t>34398-01-1</t>
  </si>
  <si>
    <t>aluminosilicate</t>
  </si>
  <si>
    <t>1318-02-1</t>
  </si>
  <si>
    <t>aluminum</t>
  </si>
  <si>
    <t>7429-90-5</t>
  </si>
  <si>
    <t>aluminum calcium oxide (2:1)</t>
  </si>
  <si>
    <t>12042-68-1</t>
  </si>
  <si>
    <t>aluminum chloride</t>
  </si>
  <si>
    <t>7446-70-0</t>
  </si>
  <si>
    <t>aluminum chloride hydroxide sulfate</t>
  </si>
  <si>
    <t>39290-78-3</t>
  </si>
  <si>
    <t>aluminum formate</t>
  </si>
  <si>
    <t>7360-53-4</t>
  </si>
  <si>
    <t>aluminum hydroxide</t>
  </si>
  <si>
    <t>21645-51-2</t>
  </si>
  <si>
    <t>aluminum hydroxide silicate</t>
  </si>
  <si>
    <t>12428-46-5</t>
  </si>
  <si>
    <t>aluminum L-lactate</t>
  </si>
  <si>
    <t>18917-91-4</t>
  </si>
  <si>
    <t>aluminum oxide</t>
  </si>
  <si>
    <t>1344-28-1</t>
  </si>
  <si>
    <t>aluminum phosphate</t>
  </si>
  <si>
    <t>7784-30-7</t>
  </si>
  <si>
    <t>aluminum potassium sulfate dodecahydrate</t>
  </si>
  <si>
    <t>7784-24-9</t>
  </si>
  <si>
    <t>aluminum silicate</t>
  </si>
  <si>
    <t>1302-76-7</t>
  </si>
  <si>
    <t>aluminum stearate</t>
  </si>
  <si>
    <t>637-12-7</t>
  </si>
  <si>
    <t>aluminum sulfate</t>
  </si>
  <si>
    <t>10043-01-3</t>
  </si>
  <si>
    <t>aluminum sulfate tetradecahydrate</t>
  </si>
  <si>
    <t>16828-12-9</t>
  </si>
  <si>
    <t>aluminum titanium chloride</t>
  </si>
  <si>
    <t>12003-13-3</t>
  </si>
  <si>
    <t>aluminum, insoluble compounds</t>
  </si>
  <si>
    <t>aluminum, soluble compounds</t>
  </si>
  <si>
    <t>Amdro</t>
  </si>
  <si>
    <t>67485-29-4</t>
  </si>
  <si>
    <t>amide, generic, not otherwise specified</t>
  </si>
  <si>
    <t>amides, coco, N-[3-(dimethylamino)propyl], alkylation products with chloroacetic acid, sodium salts</t>
  </si>
  <si>
    <t>70851-07-9 (PM)</t>
  </si>
  <si>
    <t>70851-07-9 (Vapor)</t>
  </si>
  <si>
    <t>amides, from C14-18 and C16-18-unsatd. fatty acids and diethylenetriamine, phosphates</t>
  </si>
  <si>
    <t>91844-83-6 (PM)</t>
  </si>
  <si>
    <t>91844-83-6 (Vapor)</t>
  </si>
  <si>
    <t>amides, from C18-unsatd. fatty acid dimers and diethylenetriamine</t>
  </si>
  <si>
    <t>70321-65-2 (PM)</t>
  </si>
  <si>
    <t>70321-65-2 (Vapor)</t>
  </si>
  <si>
    <t>amides, from diethylenetriamine, oleic acid and tall-oil fatty acids</t>
  </si>
  <si>
    <t>68526-42-1</t>
  </si>
  <si>
    <t>amides, from tall-oil fatty acids and tetraethylenepentamine</t>
  </si>
  <si>
    <t>68155-17-9 (PM)</t>
  </si>
  <si>
    <t>68155-17-9 (Vapor)</t>
  </si>
  <si>
    <t>amides, tall oil fatty, N,N-bis(2-hydroxyethyl)-</t>
  </si>
  <si>
    <t>68155-20-4 (PM)</t>
  </si>
  <si>
    <t>68155-20-4 (Vapor)</t>
  </si>
  <si>
    <t>amides, tall-oil fatty, N-[2-(4,5-dihydro-2-nortall-oil alkyl-1H-imidazol-1-yl)ethyl]</t>
  </si>
  <si>
    <t>68155-19-1 (PM)</t>
  </si>
  <si>
    <t>68155-19-1 (Vapor)</t>
  </si>
  <si>
    <t>amidopolyamine</t>
  </si>
  <si>
    <t>amidosulfonic acid, potassium salt</t>
  </si>
  <si>
    <t>13823-50-2</t>
  </si>
  <si>
    <t>amine phosphonate, cyclic amine derivative salt</t>
  </si>
  <si>
    <t>amine phosphonates</t>
  </si>
  <si>
    <t>amine, generic, not otherwise specified</t>
  </si>
  <si>
    <t>amine, tallow, not otherwise specified</t>
  </si>
  <si>
    <t>amines, bis(hydrogenated tallow alkyl), 2-((bis(hydrogenated tallow alkyl)amino)carbonyl)benzoates</t>
  </si>
  <si>
    <t>91745-35-6</t>
  </si>
  <si>
    <t>amines, C10-14-branched and linear alkyl, [1-[(2-hydroxy-4-nitrophenyl)azo]-2-naphthalenolato(2-)][1-[(2-hydroxy-5-nitrophenyl)azo]-2-naphthalenolato(2-)]chromate(1-)</t>
  </si>
  <si>
    <t>85186-64-7</t>
  </si>
  <si>
    <t>amines, C10-14-branched and linear alkyl, bis(2,4-dihydro-4-(2-(2-hydroxy-5-nitrophenyl)diazenyl)-5-methyl-2-phenyl-3H-pyrazol-3-onato(2-))chromate(1-) (1:1)</t>
  </si>
  <si>
    <t>84961-40-0</t>
  </si>
  <si>
    <t>amines, C10-14-branched and linear alkyl, bis[1-[(2-hydroxy-4-nitrophenyl)azo]-2-naphthalenolato(2-)]chromate(1-)</t>
  </si>
  <si>
    <t>85186-66-9</t>
  </si>
  <si>
    <t>amines, C12-14-tert-alkyl, ethoxylated</t>
  </si>
  <si>
    <t>73138-27-9</t>
  </si>
  <si>
    <t>amines, C12-14-tert-alkyl, ethoxylated, sulfates, sodium salts</t>
  </si>
  <si>
    <t>72379-24-9 (PM)</t>
  </si>
  <si>
    <t>72379-24-9 (Vapor)</t>
  </si>
  <si>
    <t>amines, C12-16-alkyldimethyl</t>
  </si>
  <si>
    <t>68439-70-3</t>
  </si>
  <si>
    <t>amines, C16-22-alkyl</t>
  </si>
  <si>
    <t>68037-92-3</t>
  </si>
  <si>
    <t>amines, C16-22-alkyldimethyl</t>
  </si>
  <si>
    <t>75444-69-8</t>
  </si>
  <si>
    <t>amines, C16-22-tert-alkyl</t>
  </si>
  <si>
    <t>68955-54-4</t>
  </si>
  <si>
    <t>amines, C16-22-tert-alkyl, ethoxylated</t>
  </si>
  <si>
    <t>68647-49-4</t>
  </si>
  <si>
    <t>amines, C18-unsatd. alkyl, dimers</t>
  </si>
  <si>
    <t>68201-29-6</t>
  </si>
  <si>
    <t>amines, coco alkyl, hydrochoride</t>
  </si>
  <si>
    <t>91745-52-7</t>
  </si>
  <si>
    <t>amines, cocoalkyl, acetates</t>
  </si>
  <si>
    <t>61790-57-6</t>
  </si>
  <si>
    <t>amines, di-C16-22-alkylmethyl</t>
  </si>
  <si>
    <t>97553-98-5</t>
  </si>
  <si>
    <t>amines, dicoco alkyl</t>
  </si>
  <si>
    <t>amines, dicoco alkylmethyl</t>
  </si>
  <si>
    <t>amines, hydrogenated tallow alkyl</t>
  </si>
  <si>
    <t>61788-45-2</t>
  </si>
  <si>
    <t>amines, methylditallow alkyl</t>
  </si>
  <si>
    <t>68603-65-6</t>
  </si>
  <si>
    <t>amines, tallow alkyl, ethoxylated, branched dodecylbenzenesulfonates (salts)</t>
  </si>
  <si>
    <t>68955-73-7</t>
  </si>
  <si>
    <t>amines, tallow alkyl, ethoxylated, phosphates</t>
  </si>
  <si>
    <t>68308-48-5</t>
  </si>
  <si>
    <t>amines, tallow alkyl, ethoxylated, sulfates</t>
  </si>
  <si>
    <t>72968-31-1</t>
  </si>
  <si>
    <t>aminocaproamide</t>
  </si>
  <si>
    <t>373-04-6</t>
  </si>
  <si>
    <t>aminocapronitrile</t>
  </si>
  <si>
    <t>2432-74-8</t>
  </si>
  <si>
    <t>aminoethylethanolamine</t>
  </si>
  <si>
    <t>111-41-1</t>
  </si>
  <si>
    <t>Aminolignin</t>
  </si>
  <si>
    <t>53529-03-6</t>
  </si>
  <si>
    <t>aminophenol</t>
  </si>
  <si>
    <t>27598-85-2</t>
  </si>
  <si>
    <t>aminopropyldiethanolamine</t>
  </si>
  <si>
    <t>4985-85-7</t>
  </si>
  <si>
    <t>Amitraz</t>
  </si>
  <si>
    <t>33089-61-1</t>
  </si>
  <si>
    <t>ammonia</t>
  </si>
  <si>
    <t>7664-41-7</t>
  </si>
  <si>
    <t>Ammonium 1,1,2,2,3,3,4,4,4-nonafluorobutane-1-sulphonate</t>
  </si>
  <si>
    <t>68259-10-9 (PM)</t>
  </si>
  <si>
    <t>68259-10-9 (Vapor)</t>
  </si>
  <si>
    <t>Ammonium 1,1,2,2,3,3,4,4,5,5,5-undecafluoropentane-1-sulphonate</t>
  </si>
  <si>
    <t>68259-09-6 (PM)</t>
  </si>
  <si>
    <t>68259-09-6 (Vapor)</t>
  </si>
  <si>
    <t>Ammonium 1,1,2,2,3,3,4,4,5,5,6,6,7,7,7-pentadecafluoroheptane-1-sulphonate</t>
  </si>
  <si>
    <t>68259-07-4 (PM)</t>
  </si>
  <si>
    <t>68259-07-4 (Vapor)</t>
  </si>
  <si>
    <t>ammonium acetate</t>
  </si>
  <si>
    <t>631-61-8</t>
  </si>
  <si>
    <t>ammonium alkyl aryl sulfonates</t>
  </si>
  <si>
    <t>ammonium benzoate</t>
  </si>
  <si>
    <t>1863-63-4</t>
  </si>
  <si>
    <t>ammonium bicarbonate</t>
  </si>
  <si>
    <t>1066-33-7</t>
  </si>
  <si>
    <t>ammonium bifluoride</t>
  </si>
  <si>
    <t>1341-49-7 (Not Defined)</t>
  </si>
  <si>
    <t>ammonium bifluoride | For air permit reviews in agricultural areas</t>
  </si>
  <si>
    <t>ammonium bifluoride | For air permit reviews in agricultural areas with cattle</t>
  </si>
  <si>
    <t>ammonium bisulfite</t>
  </si>
  <si>
    <t>10192-30-0</t>
  </si>
  <si>
    <t>ammonium chloride</t>
  </si>
  <si>
    <t>12125-02-9</t>
  </si>
  <si>
    <t>ammonium cocoyl isethionate</t>
  </si>
  <si>
    <t>223705-57-5 (PM)</t>
  </si>
  <si>
    <t>223705-57-5 (Vapor)</t>
  </si>
  <si>
    <t>ammonium dichromate</t>
  </si>
  <si>
    <t>7789-09-5</t>
  </si>
  <si>
    <t>ammonium dimolybdate</t>
  </si>
  <si>
    <t>27546-07-2</t>
  </si>
  <si>
    <t>ammonium ferrous sulfate</t>
  </si>
  <si>
    <t>10045-89-3</t>
  </si>
  <si>
    <t>ammonium fluoborate</t>
  </si>
  <si>
    <t>13826-83-0 (Not Defined)</t>
  </si>
  <si>
    <t>ammonium fluoborate | For air permit reviews in agricultural areas</t>
  </si>
  <si>
    <t>ammonium fluoborate | For air permit reviews in agricultural areas with cattle</t>
  </si>
  <si>
    <t>ammonium fluoride</t>
  </si>
  <si>
    <t>12125-01-8 (Not Defined)</t>
  </si>
  <si>
    <t>ammonium fluoride | For air permit reviews in agricultural areas</t>
  </si>
  <si>
    <t>ammonium fluoride | For air permit reviews in agricultural areas with cattle</t>
  </si>
  <si>
    <t>ammonium formate</t>
  </si>
  <si>
    <t>540-69-2</t>
  </si>
  <si>
    <t>Ammonium heptadecafluorooctanesulphonate</t>
  </si>
  <si>
    <t>29081-56-9 (PM)</t>
  </si>
  <si>
    <t>29081-56-9 (Vapor)</t>
  </si>
  <si>
    <t>ammonium hexafluorozirconate</t>
  </si>
  <si>
    <t>16919-31-6</t>
  </si>
  <si>
    <t>ammonium hydroxide</t>
  </si>
  <si>
    <t>1336-21-6</t>
  </si>
  <si>
    <t>ammonium iron(III) hexacyanoferrate(II)</t>
  </si>
  <si>
    <t>25869-00-5</t>
  </si>
  <si>
    <t>ammonium iron(III) sulfate</t>
  </si>
  <si>
    <t>10138-04-2</t>
  </si>
  <si>
    <t>ammonium lauryl ether sulfate</t>
  </si>
  <si>
    <t>32612-48-9 (PM)</t>
  </si>
  <si>
    <t>32612-48-9 (Vapor)</t>
  </si>
  <si>
    <t>ammonium lauryl sulfate</t>
  </si>
  <si>
    <t>2235-54-3 (PM)</t>
  </si>
  <si>
    <t>2235-54-3 (Vapor)</t>
  </si>
  <si>
    <t>ammonium lignosulfonate</t>
  </si>
  <si>
    <t>8061-53-8</t>
  </si>
  <si>
    <t>ammonium metatungstate, hydrate</t>
  </si>
  <si>
    <t>12333-11-8</t>
  </si>
  <si>
    <t>ammonium nitrate</t>
  </si>
  <si>
    <t>6484-52-2</t>
  </si>
  <si>
    <t>ammonium nitrite</t>
  </si>
  <si>
    <t>13446-48-5</t>
  </si>
  <si>
    <t>ammonium N-nitrosophenylhydroxylamine</t>
  </si>
  <si>
    <t>135-20-6</t>
  </si>
  <si>
    <t>ammonium nonoxynol-4-sulfate</t>
  </si>
  <si>
    <t>9051-57-4</t>
  </si>
  <si>
    <t>Ammonium perfluorohexane-1-sulphonate)</t>
  </si>
  <si>
    <t>68259-08-5 (PM)</t>
  </si>
  <si>
    <t>68259-08-5 (Vapor)</t>
  </si>
  <si>
    <t>ammonium perfluorooctanoate</t>
  </si>
  <si>
    <t>3825-26-1</t>
  </si>
  <si>
    <t>ammonium persulfate</t>
  </si>
  <si>
    <t>7727-54-0</t>
  </si>
  <si>
    <t>ammonium phosphate</t>
  </si>
  <si>
    <t>7783-28-0</t>
  </si>
  <si>
    <t>ammonium polyphosphate</t>
  </si>
  <si>
    <t>68333-79-9</t>
  </si>
  <si>
    <t>ammonium sodium sulphate</t>
  </si>
  <si>
    <t>13863-45-1</t>
  </si>
  <si>
    <t>ammonium sulfamate</t>
  </si>
  <si>
    <t>7773-06-0</t>
  </si>
  <si>
    <t>ammonium sulfate</t>
  </si>
  <si>
    <t>7783-20-2</t>
  </si>
  <si>
    <t>ammonium sulfide</t>
  </si>
  <si>
    <t>12124-99-1</t>
  </si>
  <si>
    <t>ammonium sulfite</t>
  </si>
  <si>
    <t>10196-04-0</t>
  </si>
  <si>
    <t>ammonium thiosulfate</t>
  </si>
  <si>
    <t>7783-18-8</t>
  </si>
  <si>
    <t>ammonium xylene sulfonate</t>
  </si>
  <si>
    <t>26447-10-9</t>
  </si>
  <si>
    <t>amyl acid phosphate</t>
  </si>
  <si>
    <t>3138-42-9</t>
  </si>
  <si>
    <t>amyl bromide</t>
  </si>
  <si>
    <t>110-53-2</t>
  </si>
  <si>
    <t>amyl salicylate</t>
  </si>
  <si>
    <t>2050-08-0</t>
  </si>
  <si>
    <t>amylopectin, phosphate, 2-hydroxypropyl ether</t>
  </si>
  <si>
    <t>113894-92-1</t>
  </si>
  <si>
    <t>anhydrite</t>
  </si>
  <si>
    <t>14798-04-0</t>
  </si>
  <si>
    <t>anilazine fungicide</t>
  </si>
  <si>
    <t>101-05-3</t>
  </si>
  <si>
    <t>aniline</t>
  </si>
  <si>
    <t>62-53-3</t>
  </si>
  <si>
    <t>anionic surfactant (nonylphenol ethoxylated and phosphated, potassium salt)</t>
  </si>
  <si>
    <t>52503-15-8 (PM)</t>
  </si>
  <si>
    <t>52503-15-8 (Vapor)</t>
  </si>
  <si>
    <t>anthophyllite (non-asbestos form)</t>
  </si>
  <si>
    <t>17068-78-9</t>
  </si>
  <si>
    <t>anthracene</t>
  </si>
  <si>
    <t>120-12-7</t>
  </si>
  <si>
    <t>anthracite</t>
  </si>
  <si>
    <t>8029-10-5 (PM)</t>
  </si>
  <si>
    <t>8029-10-5 (PM4)</t>
  </si>
  <si>
    <t>anthraquinone</t>
  </si>
  <si>
    <t>84-65-1</t>
  </si>
  <si>
    <t>antifoam additive</t>
  </si>
  <si>
    <t>antigorite</t>
  </si>
  <si>
    <t>12135-86-3</t>
  </si>
  <si>
    <t>antimony</t>
  </si>
  <si>
    <t>7440-36-0</t>
  </si>
  <si>
    <t>antimony diamyldithiocarbamate</t>
  </si>
  <si>
    <t>15890-25-2</t>
  </si>
  <si>
    <t>antimony pentachloride</t>
  </si>
  <si>
    <t>7647-18-9</t>
  </si>
  <si>
    <t>antimony pentoxide</t>
  </si>
  <si>
    <t>1314-60-9</t>
  </si>
  <si>
    <t>antimony trioxide</t>
  </si>
  <si>
    <t>1309-64-4</t>
  </si>
  <si>
    <t>antimony(III) chloride</t>
  </si>
  <si>
    <t>10025-91-9</t>
  </si>
  <si>
    <t>antisag agent</t>
  </si>
  <si>
    <t>Aphistar</t>
  </si>
  <si>
    <t>112143-82-5</t>
  </si>
  <si>
    <t>aqueous zinc stearate dispersion</t>
  </si>
  <si>
    <t>arabinose</t>
  </si>
  <si>
    <t>147-81-9</t>
  </si>
  <si>
    <t>Aramite</t>
  </si>
  <si>
    <t>140-57-8</t>
  </si>
  <si>
    <t>Simple Asphyxiant</t>
  </si>
  <si>
    <t>aromatic distillate, heavy</t>
  </si>
  <si>
    <t>67891-79-6</t>
  </si>
  <si>
    <t>aromatic hydrocarbons, C8</t>
  </si>
  <si>
    <t>90989-38-1</t>
  </si>
  <si>
    <t>aromatic hydrocarbons, C9-C11, mononuclear</t>
  </si>
  <si>
    <t>70693-06-0</t>
  </si>
  <si>
    <t>aromatic solvent naphtha, heavy</t>
  </si>
  <si>
    <t>64742-94-5</t>
  </si>
  <si>
    <t>Aromex</t>
  </si>
  <si>
    <t>78308-32-4</t>
  </si>
  <si>
    <t>arsenic</t>
  </si>
  <si>
    <t>7440-38-2</t>
  </si>
  <si>
    <t>arsenic acid</t>
  </si>
  <si>
    <t>7778-39-4</t>
  </si>
  <si>
    <t>arsenic pentoxide</t>
  </si>
  <si>
    <t>1303-28-2</t>
  </si>
  <si>
    <t>arsenic trioxide</t>
  </si>
  <si>
    <t>1327-53-3</t>
  </si>
  <si>
    <t>arsenic, inorganic compounds</t>
  </si>
  <si>
    <t>arsenic, organic compounds</t>
  </si>
  <si>
    <t>arsine</t>
  </si>
  <si>
    <t>7784-42-1</t>
  </si>
  <si>
    <t>aryl amines</t>
  </si>
  <si>
    <t>arylic melamine</t>
  </si>
  <si>
    <t>asbestos, all forms</t>
  </si>
  <si>
    <t>1332-21-4</t>
  </si>
  <si>
    <t>asphalt</t>
  </si>
  <si>
    <t>8052-42-4 (PM)</t>
  </si>
  <si>
    <t>8052-42-4 (Vapor)</t>
  </si>
  <si>
    <t>asphaltenes</t>
  </si>
  <si>
    <t>91995-23-2</t>
  </si>
  <si>
    <t>Atrazine</t>
  </si>
  <si>
    <t>1912-24-9</t>
  </si>
  <si>
    <t>attapulgite clay, hydrous magnesium aluminum silicate</t>
  </si>
  <si>
    <t>12174-11-7</t>
  </si>
  <si>
    <t>aviation gasoline (&gt; 90% light alkyklate naphtha and &lt;1% benzene)</t>
  </si>
  <si>
    <t>avocado oil</t>
  </si>
  <si>
    <t>8024-32-6</t>
  </si>
  <si>
    <t>Azaserine</t>
  </si>
  <si>
    <t>115-02-6</t>
  </si>
  <si>
    <t>azelaic acid</t>
  </si>
  <si>
    <t>123-99-9</t>
  </si>
  <si>
    <t>azinphos-methyl</t>
  </si>
  <si>
    <t>86-50-0</t>
  </si>
  <si>
    <t>aziridine, homopolymer, ethoxylated</t>
  </si>
  <si>
    <t>68130-99-4</t>
  </si>
  <si>
    <t>aziridine, homopolymer,reaction products with carbon disulfide, sodium salts</t>
  </si>
  <si>
    <t>189326-02-1</t>
  </si>
  <si>
    <t>azo dye orange G, cobalt(II) salt</t>
  </si>
  <si>
    <t>azo nickel complex</t>
  </si>
  <si>
    <t>51931-46-5</t>
  </si>
  <si>
    <t>azo nickel pigment</t>
  </si>
  <si>
    <t>68511-62-6</t>
  </si>
  <si>
    <t>azo permanent yellow</t>
  </si>
  <si>
    <t>5102-83-0</t>
  </si>
  <si>
    <t>azodicarbonamide</t>
  </si>
  <si>
    <t>123-77-3</t>
  </si>
  <si>
    <t>azomethane</t>
  </si>
  <si>
    <t>503-28-6</t>
  </si>
  <si>
    <t>azoxystrobin</t>
  </si>
  <si>
    <t>131860-33-8</t>
  </si>
  <si>
    <t>bacteria, complex with amylase and proteinase</t>
  </si>
  <si>
    <t>68920-42-3</t>
  </si>
  <si>
    <t>barite</t>
  </si>
  <si>
    <t>8054-35-1</t>
  </si>
  <si>
    <t>barium</t>
  </si>
  <si>
    <t>7440-39-3</t>
  </si>
  <si>
    <t>barium aluminate</t>
  </si>
  <si>
    <t>12004-04-5</t>
  </si>
  <si>
    <t>barium bromate</t>
  </si>
  <si>
    <t>13967-90-3</t>
  </si>
  <si>
    <t>barium carbonate</t>
  </si>
  <si>
    <t>513-77-9</t>
  </si>
  <si>
    <t>barium chloride</t>
  </si>
  <si>
    <t>10361-37-2</t>
  </si>
  <si>
    <t>barium chromate</t>
  </si>
  <si>
    <t>10294-40-3</t>
  </si>
  <si>
    <t>barium dinonylnaphthalene sulfonate</t>
  </si>
  <si>
    <t>25619-56-1</t>
  </si>
  <si>
    <t>barium hydrogen phosphate</t>
  </si>
  <si>
    <t>10048-98-3</t>
  </si>
  <si>
    <t>barium hydroxide</t>
  </si>
  <si>
    <t>17194-00-2</t>
  </si>
  <si>
    <t>barium metaborate</t>
  </si>
  <si>
    <t>13701-59-2</t>
  </si>
  <si>
    <t>barium metaborate monohydrate</t>
  </si>
  <si>
    <t>19004-06-9</t>
  </si>
  <si>
    <t>barium oxide</t>
  </si>
  <si>
    <t>1304-28-5</t>
  </si>
  <si>
    <t>barium sulfate</t>
  </si>
  <si>
    <t>7727-43-7</t>
  </si>
  <si>
    <t>barium sulfate, natural</t>
  </si>
  <si>
    <t>13462-86-7</t>
  </si>
  <si>
    <t>barium sulfide</t>
  </si>
  <si>
    <t>21109-95-5</t>
  </si>
  <si>
    <t>barium zinc sulfide sulfate</t>
  </si>
  <si>
    <t>1345-05-7</t>
  </si>
  <si>
    <t>barium, insoluble compounds</t>
  </si>
  <si>
    <t>barium, soluble compounds</t>
  </si>
  <si>
    <t>Basagran</t>
  </si>
  <si>
    <t>25057-89-0</t>
  </si>
  <si>
    <t>Basic chromium sulfate</t>
  </si>
  <si>
    <t>12336-95-7</t>
  </si>
  <si>
    <t>Basic Violet 11:1</t>
  </si>
  <si>
    <t>73398-89-7</t>
  </si>
  <si>
    <t>Bauxite</t>
  </si>
  <si>
    <t>1318-16-7</t>
  </si>
  <si>
    <t>Benomyl (Fungicide)</t>
  </si>
  <si>
    <t>17804-35-2</t>
  </si>
  <si>
    <t>Bentonite</t>
  </si>
  <si>
    <t>1302-78-9</t>
  </si>
  <si>
    <t>bentonite clay (a thixotropic agent)</t>
  </si>
  <si>
    <t>132-87-0</t>
  </si>
  <si>
    <t>benzaldehyde</t>
  </si>
  <si>
    <t>100-52-7</t>
  </si>
  <si>
    <t>benzalkonium chloride</t>
  </si>
  <si>
    <t>8001-54-5</t>
  </si>
  <si>
    <t>benzamide</t>
  </si>
  <si>
    <t>55-21-0</t>
  </si>
  <si>
    <t>benzene</t>
  </si>
  <si>
    <t>71-43-2</t>
  </si>
  <si>
    <t>benzene propanoic acid, 3,5-bis(1,1-dimethylethyl)-4-hydroxy-, C7-9 branched alkyl esters</t>
  </si>
  <si>
    <t>125643-61-0</t>
  </si>
  <si>
    <t>benzene raffinates</t>
  </si>
  <si>
    <t>68410-71-9</t>
  </si>
  <si>
    <t>benzene, &gt;C9 alkyl derivatives</t>
  </si>
  <si>
    <t>68648-87-3</t>
  </si>
  <si>
    <t>benzene, C10-C13 alkyl derivatives</t>
  </si>
  <si>
    <t>129813-58-7</t>
  </si>
  <si>
    <t>67774-74-7</t>
  </si>
  <si>
    <t>benzene, di-C10-18-alkyl derivs.</t>
  </si>
  <si>
    <t>146865-37-4</t>
  </si>
  <si>
    <t>benzene, ethylenated, residues, distn. lights</t>
  </si>
  <si>
    <t>178535-25-6</t>
  </si>
  <si>
    <t>benzene, mono C10-13 alkyl derivs.</t>
  </si>
  <si>
    <t>84961-70-6</t>
  </si>
  <si>
    <t>benzene, mono-C10-13-alkyl derivs., fractionation bottoms, heavy ends</t>
  </si>
  <si>
    <t>94094-93-6</t>
  </si>
  <si>
    <t>benzene, mono-C10-14-alkyl derivs.</t>
  </si>
  <si>
    <t>68442-69-3</t>
  </si>
  <si>
    <t>benzene, mono-C12-14-alkyl derivs</t>
  </si>
  <si>
    <t>129813-59-8</t>
  </si>
  <si>
    <t>benzene, polypropene derivs., sulfonated, calcium salts</t>
  </si>
  <si>
    <t>75975-85-8 (PM)</t>
  </si>
  <si>
    <t>75975-85-8 (Vapor)</t>
  </si>
  <si>
    <t>benzenediol, all isomers</t>
  </si>
  <si>
    <t>12385-08-9</t>
  </si>
  <si>
    <t>benzenesulfonic acid, C10-13-alkyl derivs, calcium salt</t>
  </si>
  <si>
    <t>90194-36-8 (PM)</t>
  </si>
  <si>
    <t>90194-36-8 (Vapor)</t>
  </si>
  <si>
    <t>benzenesulfonic acid, C10-16 alkyl derivs</t>
  </si>
  <si>
    <t>68584-22-5 (PM)</t>
  </si>
  <si>
    <t>68584-22-5 (Vapor)</t>
  </si>
  <si>
    <t>benzenesulfonic acid, C10-16 alkyl derivs compds with triethanolamine</t>
  </si>
  <si>
    <t>68584-25-8 (PM)</t>
  </si>
  <si>
    <t>68584-25-8 (Vapor)</t>
  </si>
  <si>
    <t>benzenesulfonic acid, c10-16-alkyl derivs., compds. with 2-propanamine</t>
  </si>
  <si>
    <t>68584-24-7</t>
  </si>
  <si>
    <t>benzenesulfonic acid, mono- and di-C15-30-alkyl derivs, sodium salts</t>
  </si>
  <si>
    <t>78330-12-8 (PM)</t>
  </si>
  <si>
    <t>78330-12-8 (Vapor)</t>
  </si>
  <si>
    <t>benzenesulfonic acid, mono-C10-16-alkyl derivs, ammonium salts</t>
  </si>
  <si>
    <t>68910-31-6 (PM)</t>
  </si>
  <si>
    <t>68910-31-6 (Vapor)</t>
  </si>
  <si>
    <t>benzenesulfonic acid, mono-C10-16-alkyl derivs, sodium salts</t>
  </si>
  <si>
    <t>68081-81-2 (PM)</t>
  </si>
  <si>
    <t>68081-81-2 (Vapor)</t>
  </si>
  <si>
    <t>benzenesulfonic acid, mono-C11-13-branched alkyl derivs, sodium salts</t>
  </si>
  <si>
    <t>68608-89-9 (PM)</t>
  </si>
  <si>
    <t>68608-89-9 (Vapor)</t>
  </si>
  <si>
    <t>benzenesulfonic acid, mono-C16-24 alkyl derivs., calcium salts</t>
  </si>
  <si>
    <t>70024-69-0 (PM)</t>
  </si>
  <si>
    <t>70024-69-0 (Vapor)</t>
  </si>
  <si>
    <t>benzenesulfonic acid, mono-C9-17-branched alkyl derivs., compds. with 2-propanamine</t>
  </si>
  <si>
    <t>68649-00-3 (PM)</t>
  </si>
  <si>
    <t>68649-00-3 (Vapor)</t>
  </si>
  <si>
    <t>benzidine</t>
  </si>
  <si>
    <t>92-87-5</t>
  </si>
  <si>
    <t>benzimidazolone pigment</t>
  </si>
  <si>
    <t>12236-62-3</t>
  </si>
  <si>
    <t>benzo[a]anthracene</t>
  </si>
  <si>
    <t>56-55-3</t>
  </si>
  <si>
    <t>benzo[a]pyrene</t>
  </si>
  <si>
    <t>50-32-8</t>
  </si>
  <si>
    <t>benzo[b]fluoranthene</t>
  </si>
  <si>
    <t>205-99-2</t>
  </si>
  <si>
    <t>benzo[e]pyrene</t>
  </si>
  <si>
    <t>192-97-2</t>
  </si>
  <si>
    <t>benzo[g,h,i]perylene</t>
  </si>
  <si>
    <t>191-24-2</t>
  </si>
  <si>
    <t>benzo[j]fluoranthene</t>
  </si>
  <si>
    <t>205-82-3</t>
  </si>
  <si>
    <t>benzo[k]fluoranthene</t>
  </si>
  <si>
    <t>207-08-9</t>
  </si>
  <si>
    <t>benzoic acid</t>
  </si>
  <si>
    <t>65-85-0 (PM)</t>
  </si>
  <si>
    <t>65-85-0 (Vapor)</t>
  </si>
  <si>
    <t>benzoic acid, coconut fatty acids, phthalic anhydride, glycerol polymer</t>
  </si>
  <si>
    <t>68154-38-1 (PM)</t>
  </si>
  <si>
    <t>68154-38-1 (Vapor)</t>
  </si>
  <si>
    <t>benzoin</t>
  </si>
  <si>
    <t>119-53-9</t>
  </si>
  <si>
    <t>benzoin isobutyl ether</t>
  </si>
  <si>
    <t>22499-12-3</t>
  </si>
  <si>
    <t>benzonitrile</t>
  </si>
  <si>
    <t>100-47-0</t>
  </si>
  <si>
    <t>benzophenone</t>
  </si>
  <si>
    <t>119-61-9</t>
  </si>
  <si>
    <t>benzophenone dimethyl ketal</t>
  </si>
  <si>
    <t>2235-01-0</t>
  </si>
  <si>
    <t>benzophenone-3,3',4,4'-tetracarboxylic dianhydride</t>
  </si>
  <si>
    <t>2421-28-5</t>
  </si>
  <si>
    <t>benzothiazole</t>
  </si>
  <si>
    <t>95-16-9</t>
  </si>
  <si>
    <t>benzotriazole derivative</t>
  </si>
  <si>
    <t>127519-17-9</t>
  </si>
  <si>
    <t>benzotrichloride</t>
  </si>
  <si>
    <t>98-07-7</t>
  </si>
  <si>
    <t>benzotrifluoride</t>
  </si>
  <si>
    <t>98-08-8</t>
  </si>
  <si>
    <t>benzoyl chloride</t>
  </si>
  <si>
    <t>98-88-4</t>
  </si>
  <si>
    <t>benzoyl peroxide</t>
  </si>
  <si>
    <t>94-36-0</t>
  </si>
  <si>
    <t>benzyl acetate</t>
  </si>
  <si>
    <t>140-11-4</t>
  </si>
  <si>
    <t>benzyl alcohol</t>
  </si>
  <si>
    <t>100-51-6</t>
  </si>
  <si>
    <t>benzyl benzoate</t>
  </si>
  <si>
    <t>120-51-4</t>
  </si>
  <si>
    <t>benzyl butyl phthalate</t>
  </si>
  <si>
    <t>85-68-7</t>
  </si>
  <si>
    <t>benzyl cabazate</t>
  </si>
  <si>
    <t>5331-43-1</t>
  </si>
  <si>
    <t>benzyl chloride</t>
  </si>
  <si>
    <t>100-44-7</t>
  </si>
  <si>
    <t>benzyl disulfide</t>
  </si>
  <si>
    <t>150-60-7</t>
  </si>
  <si>
    <t>benzyl ethyl ether</t>
  </si>
  <si>
    <t>539-30-0</t>
  </si>
  <si>
    <t>benzyl formate</t>
  </si>
  <si>
    <t>104-57-4</t>
  </si>
  <si>
    <t>benzyl salicylate</t>
  </si>
  <si>
    <t>118-58-1</t>
  </si>
  <si>
    <t>benzyl sulfide</t>
  </si>
  <si>
    <t>538-74-9</t>
  </si>
  <si>
    <t>benzyl trimethyl ammonium hydroxide</t>
  </si>
  <si>
    <t>100-85-6</t>
  </si>
  <si>
    <t>benzylamine</t>
  </si>
  <si>
    <t>100-46-9</t>
  </si>
  <si>
    <t>benzyl-dimethyl-dodecyl-ammonium chloride</t>
  </si>
  <si>
    <t>139-07-1</t>
  </si>
  <si>
    <t>benzyl-dimethyl-hexadecyl-ammonium chloride</t>
  </si>
  <si>
    <t>122-18-9</t>
  </si>
  <si>
    <t>benzyl-dimethyl-octadecyl-ammonium chloride</t>
  </si>
  <si>
    <t>122-19-0</t>
  </si>
  <si>
    <t>benzyl-dimethyl-tetradecyl-ammonium chloride</t>
  </si>
  <si>
    <t>139-08-2</t>
  </si>
  <si>
    <t>benzyltrimethyl ammonium chloride</t>
  </si>
  <si>
    <t>56-93-9</t>
  </si>
  <si>
    <t>beryllium</t>
  </si>
  <si>
    <t>7440-41-7</t>
  </si>
  <si>
    <t>beta,beta,5,5-tetramethyl-1,3-dioxane-2-ethanol</t>
  </si>
  <si>
    <t>7299-86-7</t>
  </si>
  <si>
    <t>beta-alanine, N-coco alkyl derivs., sodium salts</t>
  </si>
  <si>
    <t>68608-68-4</t>
  </si>
  <si>
    <t>beta-bromo-beta-nitrostyrene</t>
  </si>
  <si>
    <t>7166-19-0</t>
  </si>
  <si>
    <t>beta-carboxyethyl acrylate</t>
  </si>
  <si>
    <t>24615-84-7</t>
  </si>
  <si>
    <t>beta-caryophyllene</t>
  </si>
  <si>
    <t>87-44-5</t>
  </si>
  <si>
    <t>beta-ethoxypropionitrile</t>
  </si>
  <si>
    <t>14631-45-9</t>
  </si>
  <si>
    <t>beta-hydroxypentanoic acid</t>
  </si>
  <si>
    <t>10237-77-1</t>
  </si>
  <si>
    <t>beta-naphthylthiourea</t>
  </si>
  <si>
    <t>3394-04-5</t>
  </si>
  <si>
    <t>beta-phellandrene</t>
  </si>
  <si>
    <t>555-10-2</t>
  </si>
  <si>
    <t>beta-pinene</t>
  </si>
  <si>
    <t>127-91-3</t>
  </si>
  <si>
    <t>beta-propiolactone</t>
  </si>
  <si>
    <t>57-57-8</t>
  </si>
  <si>
    <t>beta-terpinene</t>
  </si>
  <si>
    <t>99-84-3</t>
  </si>
  <si>
    <t>beta-terpineol</t>
  </si>
  <si>
    <t>138-87-4</t>
  </si>
  <si>
    <t>bicycloheptadiene</t>
  </si>
  <si>
    <t>121-46-0</t>
  </si>
  <si>
    <t>Bifenazate (Floramite mitacide)</t>
  </si>
  <si>
    <t>149877-41-8</t>
  </si>
  <si>
    <t>Bifenox</t>
  </si>
  <si>
    <t>42576-02-3</t>
  </si>
  <si>
    <t>Bifenthrin</t>
  </si>
  <si>
    <t>82657-04-3</t>
  </si>
  <si>
    <t>biphenyl</t>
  </si>
  <si>
    <t>92-52-4</t>
  </si>
  <si>
    <t>biphenylyl phenyl ether</t>
  </si>
  <si>
    <t>28984-89-6</t>
  </si>
  <si>
    <t>bis((dimethylamino)methyl)phenol</t>
  </si>
  <si>
    <t>71074-89-0</t>
  </si>
  <si>
    <t>bis(1,2,2,6,6-pentamethyl-4-piperidinyl) sebacate</t>
  </si>
  <si>
    <t>41556-26-7</t>
  </si>
  <si>
    <t>bis(1-methylethyl)-naphthalenesulfonic acid, compd. with 1-butanamine (1:1)</t>
  </si>
  <si>
    <t>151911-63-6</t>
  </si>
  <si>
    <t>bis(1-methylethyl)-naphthalenesulfonic acid, Me derivs.</t>
  </si>
  <si>
    <t>99811-86-6</t>
  </si>
  <si>
    <t>bis(1-methylpropyl)-phenol</t>
  </si>
  <si>
    <t>31291-60-8</t>
  </si>
  <si>
    <t>bis-(1-octyloxy-2,2,6,6-tetramethyl-4-piperidinyl) sebacate</t>
  </si>
  <si>
    <t>129757-67-1</t>
  </si>
  <si>
    <t>bis(2,2,6,6-tetramethyl-4-piperidinyl) sebacate</t>
  </si>
  <si>
    <t>52829-07-9</t>
  </si>
  <si>
    <t>bis(2-chloroethoxy)methane</t>
  </si>
  <si>
    <t>111-91-1</t>
  </si>
  <si>
    <t>bis(2-chloroethyl)-2-naphthylamine</t>
  </si>
  <si>
    <t>494-03-1</t>
  </si>
  <si>
    <t>bis(2-chloroisopropyl) ether</t>
  </si>
  <si>
    <t>108-60-1</t>
  </si>
  <si>
    <t>bis-(2-ethyl-hexyl) ether</t>
  </si>
  <si>
    <t>10143-60-9</t>
  </si>
  <si>
    <t>bis(2-ethylhexyl) phosphate</t>
  </si>
  <si>
    <t>298-07-7</t>
  </si>
  <si>
    <t>bis(2-ethylhexyl) phosphite</t>
  </si>
  <si>
    <t>3658-48-8</t>
  </si>
  <si>
    <t>bis(2-hydroxyethyl) terephthalate</t>
  </si>
  <si>
    <t>959-26-2</t>
  </si>
  <si>
    <t>bis(2-hydroxyethyl)oleyamine</t>
  </si>
  <si>
    <t>25307-17-9</t>
  </si>
  <si>
    <t>bis(2-methylpropyl)naphthalenesulfonic acid, sodium salt</t>
  </si>
  <si>
    <t>27213-90-7</t>
  </si>
  <si>
    <t>bis(6-[dithiocarboxy]amino)hexyl, sodium salt</t>
  </si>
  <si>
    <t>25272-73-5</t>
  </si>
  <si>
    <t>bis(acetylactonate) ethoxide isopropoxide titanium</t>
  </si>
  <si>
    <t>445398-76-5</t>
  </si>
  <si>
    <t>bis(chloromethyl)ether</t>
  </si>
  <si>
    <t>542-88-1</t>
  </si>
  <si>
    <t>bis(coconut oil alkyl)dimethylammonium nitrite</t>
  </si>
  <si>
    <t>71487-01-9 (Not Defined)</t>
  </si>
  <si>
    <t>71487-01-9 (PM)</t>
  </si>
  <si>
    <t>bis(dimethylthiocarbamoyl)sulfide</t>
  </si>
  <si>
    <t>97-74-5</t>
  </si>
  <si>
    <t>bis(heptafluoropropyl) ether</t>
  </si>
  <si>
    <t>356-62-7</t>
  </si>
  <si>
    <t>bis(hexamethylene)triaminopenta(methylene-phosphonic acid)</t>
  </si>
  <si>
    <t>35657-77-3</t>
  </si>
  <si>
    <t>bis(hydrogenated tallow alkyl)methyl amines</t>
  </si>
  <si>
    <t>61788-63-4</t>
  </si>
  <si>
    <t>bis(N,N-dibutylcarbamodithioato-kappaS,kappaS')di-mu-oxodioxodimolybdenum, sulfurized</t>
  </si>
  <si>
    <t>68412-26-0</t>
  </si>
  <si>
    <t>bis(pentamethylene)thiuram tetrasulfide</t>
  </si>
  <si>
    <t>120-54-7</t>
  </si>
  <si>
    <t>bis(t-butyldioxyisopropyl) benzene</t>
  </si>
  <si>
    <t>25155-25-3</t>
  </si>
  <si>
    <t>bis(tridecyl) hydrogen phosphite</t>
  </si>
  <si>
    <t>36432-46-9</t>
  </si>
  <si>
    <t>bis(triphenylsilyl) chromate</t>
  </si>
  <si>
    <t>1624-02-8</t>
  </si>
  <si>
    <t>bis[1-(chloromethyl) propyl] ether</t>
  </si>
  <si>
    <t>53622-12-1</t>
  </si>
  <si>
    <t>bis[2-(2-isopropyl-1,3-oxazolidin-3-yl)ethyl] carbonate</t>
  </si>
  <si>
    <t>145899-78-1</t>
  </si>
  <si>
    <t>bis[2-[(4,5-dihydro-3-methyl-5-oxo-1-phenyl-1H-pyrazol-4-yl)azo]benzoato(2-)]-chromate(1-), hydrogen, compound with 2-ethyl-1-hexanamine (1:1)</t>
  </si>
  <si>
    <t>71701-15-0</t>
  </si>
  <si>
    <t>bis[2-[bis(2-hydroxyethyl)amino-kN]ethanolato-kO]bis(2-propanolato)-titanium</t>
  </si>
  <si>
    <t>36673-16-2</t>
  </si>
  <si>
    <t>bis[3-(triethoxysilyl)propyl] tetrasulfide</t>
  </si>
  <si>
    <t>40372-72-3</t>
  </si>
  <si>
    <t>bis-hexamethylene triamine</t>
  </si>
  <si>
    <t>143-23-7</t>
  </si>
  <si>
    <t>bismuth</t>
  </si>
  <si>
    <t>7440-69-9</t>
  </si>
  <si>
    <t>bismuth molybdate</t>
  </si>
  <si>
    <t>13565-96-3</t>
  </si>
  <si>
    <t>bismuth oxychloride</t>
  </si>
  <si>
    <t>7787-59-9</t>
  </si>
  <si>
    <t>bismuth telluride</t>
  </si>
  <si>
    <t>1304-82-1</t>
  </si>
  <si>
    <t>bismuth trichloride</t>
  </si>
  <si>
    <t>7787-60-2</t>
  </si>
  <si>
    <t>bismuth vanadate</t>
  </si>
  <si>
    <t>14059-33-7</t>
  </si>
  <si>
    <t>bisphenol A</t>
  </si>
  <si>
    <t>80-05-7 (PM)</t>
  </si>
  <si>
    <t>80-05-7 (Vapor)</t>
  </si>
  <si>
    <t>bisphenol A ethoxylate dimethacrylate</t>
  </si>
  <si>
    <t>24448-20-2</t>
  </si>
  <si>
    <t>Biuret</t>
  </si>
  <si>
    <t>108-19-0</t>
  </si>
  <si>
    <t>blended reformate (light reformate contains 8-12% benzene)</t>
  </si>
  <si>
    <t>blocked copolymer</t>
  </si>
  <si>
    <t>blue dye</t>
  </si>
  <si>
    <t>1325-86-6</t>
  </si>
  <si>
    <t>borates, not otherwise specified</t>
  </si>
  <si>
    <t>boric acid</t>
  </si>
  <si>
    <t>10043-35-3</t>
  </si>
  <si>
    <t>boric acid, disodium salt, pentahydrate</t>
  </si>
  <si>
    <t>12179-04-3</t>
  </si>
  <si>
    <t>boric acid, sodium salt, pentahydrate</t>
  </si>
  <si>
    <t>11130-12-4</t>
  </si>
  <si>
    <t>boron</t>
  </si>
  <si>
    <t>7440-42-8</t>
  </si>
  <si>
    <t>boron carbide</t>
  </si>
  <si>
    <t>12069-32-8</t>
  </si>
  <si>
    <t>boron nitride</t>
  </si>
  <si>
    <t>10043-11-5</t>
  </si>
  <si>
    <t>boron oxide</t>
  </si>
  <si>
    <t>1303-86-2</t>
  </si>
  <si>
    <t>boron sodium oxide tetrahydrate</t>
  </si>
  <si>
    <t>12280-03-4</t>
  </si>
  <si>
    <t>boron tribromide</t>
  </si>
  <si>
    <t>10294-33-4</t>
  </si>
  <si>
    <t>boron trichloride</t>
  </si>
  <si>
    <t>10294-34-5</t>
  </si>
  <si>
    <t>boron trifluoride</t>
  </si>
  <si>
    <t>7637-07-2 (Not Defined)</t>
  </si>
  <si>
    <t>boron trifluoride | For air permit reviews in agricultural areas</t>
  </si>
  <si>
    <t>boron trifluoride | For air permit reviews in agricultural areas with cattle</t>
  </si>
  <si>
    <t>borosilicate glass</t>
  </si>
  <si>
    <t>Bromacil</t>
  </si>
  <si>
    <t>314-40-9</t>
  </si>
  <si>
    <t>bromine</t>
  </si>
  <si>
    <t>7726-95-6</t>
  </si>
  <si>
    <t>bromine pentafluoride</t>
  </si>
  <si>
    <t>7789-30-2</t>
  </si>
  <si>
    <t>bromoacetic acid</t>
  </si>
  <si>
    <t>79-08-3</t>
  </si>
  <si>
    <t>bromoanisole</t>
  </si>
  <si>
    <t>578-57-4</t>
  </si>
  <si>
    <t>bromobenzene</t>
  </si>
  <si>
    <t>108-86-1</t>
  </si>
  <si>
    <t>bromochloromethane</t>
  </si>
  <si>
    <t>74-97-5</t>
  </si>
  <si>
    <t>bromochlorotoluene</t>
  </si>
  <si>
    <t>589-17-3</t>
  </si>
  <si>
    <t>bromocyclohexane</t>
  </si>
  <si>
    <t>108-85-0</t>
  </si>
  <si>
    <t>bromodichloromethane</t>
  </si>
  <si>
    <t>75-27-4</t>
  </si>
  <si>
    <t>bromoethane</t>
  </si>
  <si>
    <t>74-96-4</t>
  </si>
  <si>
    <t>bromoform</t>
  </si>
  <si>
    <t>75-25-2</t>
  </si>
  <si>
    <t>bromoheptane</t>
  </si>
  <si>
    <t>629-04-9</t>
  </si>
  <si>
    <t>bromomethane</t>
  </si>
  <si>
    <t>74-83-9</t>
  </si>
  <si>
    <t>bromotrifluoromethane</t>
  </si>
  <si>
    <t>75-63-8</t>
  </si>
  <si>
    <t>Bromoxynil</t>
  </si>
  <si>
    <t>1689-84-5</t>
  </si>
  <si>
    <t>brown iron oxide</t>
  </si>
  <si>
    <t>1317-60-8</t>
  </si>
  <si>
    <t>brown oxide pigment</t>
  </si>
  <si>
    <t>12713-03-0</t>
  </si>
  <si>
    <t>Brucine</t>
  </si>
  <si>
    <t>357-57-3</t>
  </si>
  <si>
    <t>Buprofezin insecticide</t>
  </si>
  <si>
    <t>69327-76-0 (PM)</t>
  </si>
  <si>
    <t>69327-76-0 (Vapor)</t>
  </si>
  <si>
    <t>butanal, reaction products with aniline</t>
  </si>
  <si>
    <t>68411-20-1</t>
  </si>
  <si>
    <t>butanestannonic acid</t>
  </si>
  <si>
    <t>2273-43-0</t>
  </si>
  <si>
    <t>butoxymethanol</t>
  </si>
  <si>
    <t>3085-35-6</t>
  </si>
  <si>
    <t>butoxypolypropylene glycol</t>
  </si>
  <si>
    <t>9003-13-8 (PM)</t>
  </si>
  <si>
    <t>9003-13-8 (Vapor)</t>
  </si>
  <si>
    <t>butyl 2-methyl-2-propenoate polymer with [(1-methoxy-2-methyl-1-propenyl)oxy]trimethylsilane, methyl 2-methyl-2-propenoate and oxiranylmethyl 2-methyl-2-propenoate, 4-nitrobenzoate</t>
  </si>
  <si>
    <t>148969-95-3</t>
  </si>
  <si>
    <t>butyl 3-hydroxybutyrate</t>
  </si>
  <si>
    <t>53605-94-0</t>
  </si>
  <si>
    <t>butyl acid phosphate</t>
  </si>
  <si>
    <t>1623-15-0</t>
  </si>
  <si>
    <t>butyl acrylate</t>
  </si>
  <si>
    <t>141-32-2</t>
  </si>
  <si>
    <t>butyl benzene</t>
  </si>
  <si>
    <t>104-51-8</t>
  </si>
  <si>
    <t>butyl butoxy propionate</t>
  </si>
  <si>
    <t>14144-48-0</t>
  </si>
  <si>
    <t>butyl butoxyacetate</t>
  </si>
  <si>
    <t>10397-22-5</t>
  </si>
  <si>
    <t>butyl butyrate</t>
  </si>
  <si>
    <t>109-21-7</t>
  </si>
  <si>
    <t>butyl carbitol formal</t>
  </si>
  <si>
    <t>143-29-3</t>
  </si>
  <si>
    <t>butyl citrate</t>
  </si>
  <si>
    <t>77-94-1 (PM)</t>
  </si>
  <si>
    <t>77-94-1 (Vapor)</t>
  </si>
  <si>
    <t>butyl cyclohexyl ether</t>
  </si>
  <si>
    <t>24072-44-4</t>
  </si>
  <si>
    <t>butyl formate</t>
  </si>
  <si>
    <t>592-84-7</t>
  </si>
  <si>
    <t>butyl glycidyl ether</t>
  </si>
  <si>
    <t>2426-08-6</t>
  </si>
  <si>
    <t>butyl glycolate</t>
  </si>
  <si>
    <t>7397-62-8</t>
  </si>
  <si>
    <t>butyl isobutyrate</t>
  </si>
  <si>
    <t>97-87-0</t>
  </si>
  <si>
    <t>butyl isocyanate</t>
  </si>
  <si>
    <t>111-36-4</t>
  </si>
  <si>
    <t>butyl lactate</t>
  </si>
  <si>
    <t>138-22-7</t>
  </si>
  <si>
    <t>butyl methacrylate</t>
  </si>
  <si>
    <t>97-88-1</t>
  </si>
  <si>
    <t>butyl octyl phthalate</t>
  </si>
  <si>
    <t>84-78-6</t>
  </si>
  <si>
    <t>butyl stearate</t>
  </si>
  <si>
    <t>123-95-5</t>
  </si>
  <si>
    <t>butyl vinyl ether</t>
  </si>
  <si>
    <t>111-34-2</t>
  </si>
  <si>
    <t>butylamine sulfate</t>
  </si>
  <si>
    <t>39085-66-0</t>
  </si>
  <si>
    <t>butylated hydroxyanisole</t>
  </si>
  <si>
    <t>25013-16-5</t>
  </si>
  <si>
    <t>butylated hydroxytoluene</t>
  </si>
  <si>
    <t>128-37-0</t>
  </si>
  <si>
    <t>butylcyclohexane</t>
  </si>
  <si>
    <t>1678-93-9</t>
  </si>
  <si>
    <t>butylcyclopentane</t>
  </si>
  <si>
    <t>2040-95-1</t>
  </si>
  <si>
    <t>butylene chlorohydrin</t>
  </si>
  <si>
    <t>1320-66-7</t>
  </si>
  <si>
    <t>butylmagnesium chloride</t>
  </si>
  <si>
    <t>693-04-9</t>
  </si>
  <si>
    <t>butyraldehyde</t>
  </si>
  <si>
    <t>123-72-8</t>
  </si>
  <si>
    <t>butyraldehyde dibutyl acetal</t>
  </si>
  <si>
    <t>5921-80-2</t>
  </si>
  <si>
    <t>butyraldehyde oxime</t>
  </si>
  <si>
    <t>110-69-0</t>
  </si>
  <si>
    <t>butyric acid</t>
  </si>
  <si>
    <t>107-92-6</t>
  </si>
  <si>
    <t>butyric anhydride</t>
  </si>
  <si>
    <t>106-31-0</t>
  </si>
  <si>
    <t>C.I. Acid Black 52</t>
  </si>
  <si>
    <t>5610-64-0</t>
  </si>
  <si>
    <t>C.I. Acid Blue 3</t>
  </si>
  <si>
    <t>3536-49-0</t>
  </si>
  <si>
    <t>C.I. Acid yellow 220</t>
  </si>
  <si>
    <t>70851-34-2</t>
  </si>
  <si>
    <t>C.I. Basic Blue 41</t>
  </si>
  <si>
    <t>12270-13-2</t>
  </si>
  <si>
    <t>C.I. Basic Red 1</t>
  </si>
  <si>
    <t>989-38-8</t>
  </si>
  <si>
    <t>C.I. Basic Violet 10</t>
  </si>
  <si>
    <t>81-88-9</t>
  </si>
  <si>
    <t>C.I. Direct Blue 218</t>
  </si>
  <si>
    <t>28407-37-6</t>
  </si>
  <si>
    <t>C.I. Disperse blue 3</t>
  </si>
  <si>
    <t>2475-46-9</t>
  </si>
  <si>
    <t>C.I. Natural Brown 8</t>
  </si>
  <si>
    <t>72669-22-8</t>
  </si>
  <si>
    <t>C.I. pigment 16</t>
  </si>
  <si>
    <t>5979-28-2</t>
  </si>
  <si>
    <t>C.I. pigment black 11</t>
  </si>
  <si>
    <t>12227-89-3</t>
  </si>
  <si>
    <t>C.I. pigment black 28</t>
  </si>
  <si>
    <t>68186-91-4</t>
  </si>
  <si>
    <t>C.I. pigment blue 15:2</t>
  </si>
  <si>
    <t>147-14-8</t>
  </si>
  <si>
    <t>C.I. Pigment Blue 61</t>
  </si>
  <si>
    <t>1324-76-1</t>
  </si>
  <si>
    <t>C.I. pigment brown 24</t>
  </si>
  <si>
    <t>68186-90-3</t>
  </si>
  <si>
    <t>C.I. pigment brown 35</t>
  </si>
  <si>
    <t>68187-09-7</t>
  </si>
  <si>
    <t>C.I. Pigment Green</t>
  </si>
  <si>
    <t>14302-13-7</t>
  </si>
  <si>
    <t>C.I. Pigment Orange 13</t>
  </si>
  <si>
    <t>3520-72-7</t>
  </si>
  <si>
    <t>C.I. pigment orange 34</t>
  </si>
  <si>
    <t>15793-73-4</t>
  </si>
  <si>
    <t>C.I. Pigment Orange 43</t>
  </si>
  <si>
    <t>4424-06-0</t>
  </si>
  <si>
    <t>C.I. pigment orange 67</t>
  </si>
  <si>
    <t>74336-59-7</t>
  </si>
  <si>
    <t>C.I. pigment red 164</t>
  </si>
  <si>
    <t>12216-95-4</t>
  </si>
  <si>
    <t>C.I. pigment red 170</t>
  </si>
  <si>
    <t>2786-76-7</t>
  </si>
  <si>
    <t>C.I. Pigment Red 178</t>
  </si>
  <si>
    <t>3049-71-6</t>
  </si>
  <si>
    <t>C.I. Pigment Red 20</t>
  </si>
  <si>
    <t>6041-94-7</t>
  </si>
  <si>
    <t>C.I. Pigment Red 200, calcium salt</t>
  </si>
  <si>
    <t>58067-05-3</t>
  </si>
  <si>
    <t>C.I. Pigment Red 22</t>
  </si>
  <si>
    <t>6448-95-9</t>
  </si>
  <si>
    <t>C.I. Pigment red 266</t>
  </si>
  <si>
    <t>36968-27-1</t>
  </si>
  <si>
    <t>C.I. pigment red 48:2</t>
  </si>
  <si>
    <t>7023-61-2</t>
  </si>
  <si>
    <t>C.I. pigment red 48:4</t>
  </si>
  <si>
    <t>5280-66-0</t>
  </si>
  <si>
    <t>C.I. Pigment Red 52, strontium salt</t>
  </si>
  <si>
    <t>67828-72-2</t>
  </si>
  <si>
    <t>C.I. pigment red 52:2</t>
  </si>
  <si>
    <t>12238-31-2</t>
  </si>
  <si>
    <t>C.I. pigment red 57</t>
  </si>
  <si>
    <t>5281-04-9</t>
  </si>
  <si>
    <t>C.I. Pigment Red 63, calcium salt (1:1)</t>
  </si>
  <si>
    <t>6417-83-0</t>
  </si>
  <si>
    <t>C.I. Pigment Red 81:3</t>
  </si>
  <si>
    <t>75627-12-2</t>
  </si>
  <si>
    <t>C.I. pigment violet 1</t>
  </si>
  <si>
    <t>63022-09-3</t>
  </si>
  <si>
    <t>C.I. Pigment Violet 3</t>
  </si>
  <si>
    <t>1325-82-2</t>
  </si>
  <si>
    <t>C.I. pigment yellow 12</t>
  </si>
  <si>
    <t>6358-85-6</t>
  </si>
  <si>
    <t>C.I. Pigment Yellow 174</t>
  </si>
  <si>
    <t>78952-72-4</t>
  </si>
  <si>
    <t>C.I. pigment yellow 175</t>
  </si>
  <si>
    <t>35636-63-6</t>
  </si>
  <si>
    <t>C.I. pigment yellow 194</t>
  </si>
  <si>
    <t>82199-12-0</t>
  </si>
  <si>
    <t>C.I. Pigment Yellow 73</t>
  </si>
  <si>
    <t>13515-40-7</t>
  </si>
  <si>
    <t>C.I. pigment yellow 75</t>
  </si>
  <si>
    <t>5232-66-8</t>
  </si>
  <si>
    <t>C.I. pigment yellow 83</t>
  </si>
  <si>
    <t>5567-15-7</t>
  </si>
  <si>
    <t>C.I. Solvent Black 29, 6% Cr III</t>
  </si>
  <si>
    <t>57206-81-2</t>
  </si>
  <si>
    <t>C.I. Solvent Blue 98</t>
  </si>
  <si>
    <t>71819-49-3</t>
  </si>
  <si>
    <t>C.I. Solvent Red 164</t>
  </si>
  <si>
    <t>71819-51-7</t>
  </si>
  <si>
    <t>C.I. Solvent Yellow 82</t>
  </si>
  <si>
    <t>73297-13-9</t>
  </si>
  <si>
    <t>C.l Pigment Red 221</t>
  </si>
  <si>
    <t>71566-54-6</t>
  </si>
  <si>
    <t>C10-16-alkyl(2-hydroxy-3-sulfopropyl)dimethyl betaines</t>
  </si>
  <si>
    <t>72869-77-3 (PM)</t>
  </si>
  <si>
    <t>72869-77-3 (Vapor)</t>
  </si>
  <si>
    <t>C10-16-alkyldimethylamines oxides</t>
  </si>
  <si>
    <t>70592-80-2</t>
  </si>
  <si>
    <t>C11-13 branched alkylbenzenesulfonic acid</t>
  </si>
  <si>
    <t>68608-88-8</t>
  </si>
  <si>
    <t>C11-C13 branched alkylbenzenesulfonic acid, calcium salt</t>
  </si>
  <si>
    <t>68953-96-8 (PM)</t>
  </si>
  <si>
    <t>68953-96-8 (Vapor)</t>
  </si>
  <si>
    <t>C12-14-tert-alkyl amines</t>
  </si>
  <si>
    <t>68955-53-3</t>
  </si>
  <si>
    <t>C12-18-alkyldimethylamines</t>
  </si>
  <si>
    <t>68391-04-8</t>
  </si>
  <si>
    <t>C14-30 alkylaromatic derivs.</t>
  </si>
  <si>
    <t>68855-24-3</t>
  </si>
  <si>
    <t>C14-C18 and C16-C18 unsaturated alkylcarboxylic acid methyl ester</t>
  </si>
  <si>
    <t>67762-26-9 (PM)</t>
  </si>
  <si>
    <t>67762-26-9 (Vapor)</t>
  </si>
  <si>
    <t>C15-30 petroleum lubricating oils, hydrotreated neutral oil-based</t>
  </si>
  <si>
    <t>72623-86-0</t>
  </si>
  <si>
    <t>C16-C18 and C18 unsaturated alkyl and dialkyl glycerides</t>
  </si>
  <si>
    <t>68424-61-3</t>
  </si>
  <si>
    <t>C18-unsatd. fatty acids, dimers, compds. with alkylpyridines</t>
  </si>
  <si>
    <t>70900-17-3 (PM)</t>
  </si>
  <si>
    <t>70900-17-3 (Vapor)</t>
  </si>
  <si>
    <t>C1-C14 alkyldithiophosphoric acid</t>
  </si>
  <si>
    <t>68187-41-7</t>
  </si>
  <si>
    <t>C36-alkylenediamines</t>
  </si>
  <si>
    <t>68955-56-6</t>
  </si>
  <si>
    <t>C3-C4 alkane blend</t>
  </si>
  <si>
    <t>68475-59-2</t>
  </si>
  <si>
    <t>C4-C12 alkane hydrocarbons</t>
  </si>
  <si>
    <t>68527-27-5</t>
  </si>
  <si>
    <t>C5 unsaturated carbons</t>
  </si>
  <si>
    <t>68956-55-8</t>
  </si>
  <si>
    <t>C7-10 isoalkanes</t>
  </si>
  <si>
    <t>90622-56-3</t>
  </si>
  <si>
    <t>C8-18 and C18-unsaturated amides, ethoxylated</t>
  </si>
  <si>
    <t>68603-39-4</t>
  </si>
  <si>
    <t>C9-12 isoalkanes</t>
  </si>
  <si>
    <t>90622-57-4</t>
  </si>
  <si>
    <t>C9-13-neo-fatty acids, potassium salts</t>
  </si>
  <si>
    <t>92044-83-2 (PM)</t>
  </si>
  <si>
    <t>92044-83-2 (Vapor)</t>
  </si>
  <si>
    <t>Cacodylic acid</t>
  </si>
  <si>
    <t>75-60-5</t>
  </si>
  <si>
    <t>cadmium</t>
  </si>
  <si>
    <t>7440-43-9</t>
  </si>
  <si>
    <t>cadmium carbonate</t>
  </si>
  <si>
    <t>513-78-0</t>
  </si>
  <si>
    <t>cadmium chloride</t>
  </si>
  <si>
    <t>10108-64-2</t>
  </si>
  <si>
    <t>cadmium fluoborate</t>
  </si>
  <si>
    <t>14486-19-2</t>
  </si>
  <si>
    <t>cadmium oxide</t>
  </si>
  <si>
    <t>1306-19-0</t>
  </si>
  <si>
    <t>cadmium sulfate</t>
  </si>
  <si>
    <t>10124-36-4</t>
  </si>
  <si>
    <t>cadmium sulfide</t>
  </si>
  <si>
    <t>1306-23-6</t>
  </si>
  <si>
    <t>calcined bauxite</t>
  </si>
  <si>
    <t>92797-42-7</t>
  </si>
  <si>
    <t>calcite</t>
  </si>
  <si>
    <t>13397-26-7</t>
  </si>
  <si>
    <t>calcium alkanoate solution</t>
  </si>
  <si>
    <t>calcium alkyl salicylate mix</t>
  </si>
  <si>
    <t>calcium alpha-D-heptagluconate hydrate</t>
  </si>
  <si>
    <t>17140-60-2</t>
  </si>
  <si>
    <t>calcium aluminate cement</t>
  </si>
  <si>
    <t>65997-16-2</t>
  </si>
  <si>
    <t>calcium aluminate cement product</t>
  </si>
  <si>
    <t>calcium arsenate</t>
  </si>
  <si>
    <t>7778-44-1</t>
  </si>
  <si>
    <t>calcium bis(3-hexadecyl-2-hydroxybenzoate)</t>
  </si>
  <si>
    <t>114959-46-5</t>
  </si>
  <si>
    <t>calcium borate</t>
  </si>
  <si>
    <t>13701-64-9</t>
  </si>
  <si>
    <t>calcium borosilicate</t>
  </si>
  <si>
    <t>59794-15-9</t>
  </si>
  <si>
    <t>calcium bromide</t>
  </si>
  <si>
    <t>7789-41-5</t>
  </si>
  <si>
    <t>calcium carbide</t>
  </si>
  <si>
    <t>75-20-7</t>
  </si>
  <si>
    <t>calcium carbonate</t>
  </si>
  <si>
    <t>1317-65-3</t>
  </si>
  <si>
    <t>calcium chloride</t>
  </si>
  <si>
    <t>10043-52-4</t>
  </si>
  <si>
    <t>calcium chromate</t>
  </si>
  <si>
    <t>13765-19-0</t>
  </si>
  <si>
    <t>calcium cyanamide</t>
  </si>
  <si>
    <t>156-62-7</t>
  </si>
  <si>
    <t>calcium cyanide</t>
  </si>
  <si>
    <t>592-01-8</t>
  </si>
  <si>
    <t>calcium dichromate</t>
  </si>
  <si>
    <t>14307-33-6</t>
  </si>
  <si>
    <t>calcium dinonyl naphthalene sulfonate</t>
  </si>
  <si>
    <t>57855-77-3</t>
  </si>
  <si>
    <t>calcium fluoride</t>
  </si>
  <si>
    <t>7789-75-5 (Not Defined)</t>
  </si>
  <si>
    <t>calcium fluoride | For air permit reviews in agricultural areas</t>
  </si>
  <si>
    <t>calcium fluoride | For air permit reviews in agricultural areas with cattle</t>
  </si>
  <si>
    <t>calcium formate</t>
  </si>
  <si>
    <t>544-17-2</t>
  </si>
  <si>
    <t>calcium hydrogen sulfite solution</t>
  </si>
  <si>
    <t>13780-03-5</t>
  </si>
  <si>
    <t>calcium hydroxide</t>
  </si>
  <si>
    <t>1305-62-0</t>
  </si>
  <si>
    <t>calcium hypochlorite</t>
  </si>
  <si>
    <t>7778-54-3</t>
  </si>
  <si>
    <t>calcium lignosulfate</t>
  </si>
  <si>
    <t>8061-52-7</t>
  </si>
  <si>
    <t>calcium long chain alkyl salicylate</t>
  </si>
  <si>
    <t>83846-43-9</t>
  </si>
  <si>
    <t>calcium magnesium carbonate</t>
  </si>
  <si>
    <t>16389-88-1</t>
  </si>
  <si>
    <t>calcium metasilicate</t>
  </si>
  <si>
    <t>10101-39-0</t>
  </si>
  <si>
    <t>calcium molybdate</t>
  </si>
  <si>
    <t>7789-82-4</t>
  </si>
  <si>
    <t>calcium naphthenate</t>
  </si>
  <si>
    <t>61789-36-4</t>
  </si>
  <si>
    <t>calcium neodecanoate</t>
  </si>
  <si>
    <t>27253-33-4</t>
  </si>
  <si>
    <t>calcium nitrate</t>
  </si>
  <si>
    <t>10124-37-5</t>
  </si>
  <si>
    <t>calcium oxide</t>
  </si>
  <si>
    <t>1305-78-8</t>
  </si>
  <si>
    <t>calcium phosphide</t>
  </si>
  <si>
    <t>1305-99-3</t>
  </si>
  <si>
    <t>calcium propionate</t>
  </si>
  <si>
    <t>4075-81-4</t>
  </si>
  <si>
    <t>calcium silicate</t>
  </si>
  <si>
    <t>1344-95-2</t>
  </si>
  <si>
    <t>calcium solution</t>
  </si>
  <si>
    <t>6107-56-8</t>
  </si>
  <si>
    <t>calcium stearate</t>
  </si>
  <si>
    <t>1592-23-0</t>
  </si>
  <si>
    <t>calcium sulfate dihydrate</t>
  </si>
  <si>
    <t>10101-41-4</t>
  </si>
  <si>
    <t>calcium, carbonate dimethylhexanoate complexes</t>
  </si>
  <si>
    <t>68442-82-0</t>
  </si>
  <si>
    <t>calcium/bismuth drier</t>
  </si>
  <si>
    <t>calcium-2-ethylhexanoate</t>
  </si>
  <si>
    <t>136-51-6</t>
  </si>
  <si>
    <t>calcium-phosphate (3:2)</t>
  </si>
  <si>
    <t>7758-87-4</t>
  </si>
  <si>
    <t>camphene</t>
  </si>
  <si>
    <t>79-92-5 (PM)</t>
  </si>
  <si>
    <t>79-92-5 (Vapor)</t>
  </si>
  <si>
    <t>camphor</t>
  </si>
  <si>
    <t>76-22-2</t>
  </si>
  <si>
    <t>cannabinol</t>
  </si>
  <si>
    <t>521-35-7</t>
  </si>
  <si>
    <t>canola oil</t>
  </si>
  <si>
    <t>120962-03-0</t>
  </si>
  <si>
    <t>canola oil, methyl esters</t>
  </si>
  <si>
    <t>129828-16-6</t>
  </si>
  <si>
    <t>caprolactam</t>
  </si>
  <si>
    <t>105-60-2</t>
  </si>
  <si>
    <t>caprolactone</t>
  </si>
  <si>
    <t>502-44-3</t>
  </si>
  <si>
    <t>capronitrile</t>
  </si>
  <si>
    <t>628-73-9</t>
  </si>
  <si>
    <t>caprylic, capric acid, triethylene glycol diester</t>
  </si>
  <si>
    <t>68583-52-8</t>
  </si>
  <si>
    <t>Captafol</t>
  </si>
  <si>
    <t>2425-06-1</t>
  </si>
  <si>
    <t>Captan</t>
  </si>
  <si>
    <t>133-06-2</t>
  </si>
  <si>
    <t>carbamate hydrochloride</t>
  </si>
  <si>
    <t>65086-85-3</t>
  </si>
  <si>
    <t>Carbaryl (insecticide)</t>
  </si>
  <si>
    <t>63-25-2</t>
  </si>
  <si>
    <t>carbazole</t>
  </si>
  <si>
    <t>86-74-8</t>
  </si>
  <si>
    <t>carbinoxamine maleate salt</t>
  </si>
  <si>
    <t>3505-38-2</t>
  </si>
  <si>
    <t>Carbofuran</t>
  </si>
  <si>
    <t>1563-66-2</t>
  </si>
  <si>
    <t>carbohydrazide</t>
  </si>
  <si>
    <t>497-18-7</t>
  </si>
  <si>
    <t>carbon</t>
  </si>
  <si>
    <t>7440-44-0</t>
  </si>
  <si>
    <t>carbon black</t>
  </si>
  <si>
    <t>1333-86-4</t>
  </si>
  <si>
    <t>carbon black oil</t>
  </si>
  <si>
    <t>64742-90-1</t>
  </si>
  <si>
    <t>carbon disulfide</t>
  </si>
  <si>
    <t>75-15-0</t>
  </si>
  <si>
    <t>carbon monoxide</t>
  </si>
  <si>
    <t>630-08-0</t>
  </si>
  <si>
    <t>carbon tetrabromide</t>
  </si>
  <si>
    <t>558-13-4</t>
  </si>
  <si>
    <t>carbon tetrachloride</t>
  </si>
  <si>
    <t>56-23-5</t>
  </si>
  <si>
    <t>carbon tetrafluoride</t>
  </si>
  <si>
    <t>75-73-0</t>
  </si>
  <si>
    <t>carbonate, inorganic</t>
  </si>
  <si>
    <t>carbonic acid, bis[2-(dimethylamino)ethyl] ester</t>
  </si>
  <si>
    <t>3030-45-3</t>
  </si>
  <si>
    <t>carbonic acid, calcium salt</t>
  </si>
  <si>
    <t>471-34-1</t>
  </si>
  <si>
    <t>carbonic dichloride, polymer with 4,4-(1-methylethylidene)bisphenol</t>
  </si>
  <si>
    <t>25971-63-5</t>
  </si>
  <si>
    <t>carbonyl fluoride</t>
  </si>
  <si>
    <t>353-50-4 (Not Defined)</t>
  </si>
  <si>
    <t>carbonyl fluoride | For air permit reviews in agricultural areas</t>
  </si>
  <si>
    <t>carbonyl fluoride | For air permit reviews in agricultural areas with cattle</t>
  </si>
  <si>
    <t>carbonyl sulfide</t>
  </si>
  <si>
    <t>463-58-1</t>
  </si>
  <si>
    <t>Carbosulfan</t>
  </si>
  <si>
    <t>55285-14-8</t>
  </si>
  <si>
    <t>carboxymethyl cellulose, sodium salt (cellogen)</t>
  </si>
  <si>
    <t>9004-32-4</t>
  </si>
  <si>
    <t>carnauba wax</t>
  </si>
  <si>
    <t>8015-86-9</t>
  </si>
  <si>
    <t>casein</t>
  </si>
  <si>
    <t>9000-71-9</t>
  </si>
  <si>
    <t>castor oil</t>
  </si>
  <si>
    <t>8001-79-4</t>
  </si>
  <si>
    <t>castor oil dehydrated</t>
  </si>
  <si>
    <t>64147-40-6 (PM)</t>
  </si>
  <si>
    <t>64147-40-6 (Vapor)</t>
  </si>
  <si>
    <t>castor oil fatty acids</t>
  </si>
  <si>
    <t>61789-44-4 (PM)</t>
  </si>
  <si>
    <t>61789-44-4 (Vapor)</t>
  </si>
  <si>
    <t>castor oil, dehydrated, polymer with benzoic acid, pentaerythritol, phthalic anhydride and tung oil</t>
  </si>
  <si>
    <t>67922-67-2</t>
  </si>
  <si>
    <t>castor oil, ethoxylated</t>
  </si>
  <si>
    <t>61791-12-6</t>
  </si>
  <si>
    <t>castor oil, oxidized</t>
  </si>
  <si>
    <t>68187-84-8</t>
  </si>
  <si>
    <t>castor oil, pentaerythritol ester</t>
  </si>
  <si>
    <t>68459-68-7 (PM)</t>
  </si>
  <si>
    <t>68459-68-7 (Vapor)</t>
  </si>
  <si>
    <t>castor oil, polymd., oxidized</t>
  </si>
  <si>
    <t>68439-93-0</t>
  </si>
  <si>
    <t>catalytic dewaxed light paraffin oils (petroleum)</t>
  </si>
  <si>
    <t>64742-71-8</t>
  </si>
  <si>
    <t>cationic polyamine polymer</t>
  </si>
  <si>
    <t>cedar oil</t>
  </si>
  <si>
    <t>8000-27-9</t>
  </si>
  <si>
    <t>cellophane</t>
  </si>
  <si>
    <t>9005-81-6</t>
  </si>
  <si>
    <t>cellulose</t>
  </si>
  <si>
    <t>9004-34-6</t>
  </si>
  <si>
    <t>cellulose acetate</t>
  </si>
  <si>
    <t>9004-35-7</t>
  </si>
  <si>
    <t>cellulose acetate butyrate</t>
  </si>
  <si>
    <t>9004-36-8</t>
  </si>
  <si>
    <t>cellulose acetate phthalate</t>
  </si>
  <si>
    <t>9004-38-0</t>
  </si>
  <si>
    <t>cellulose acetate propionate</t>
  </si>
  <si>
    <t>9004-39-1</t>
  </si>
  <si>
    <t>ceric oxide</t>
  </si>
  <si>
    <t>1306-38-3</t>
  </si>
  <si>
    <t>cerium oxide</t>
  </si>
  <si>
    <t>1345-13-7</t>
  </si>
  <si>
    <t>cesium hydroxide</t>
  </si>
  <si>
    <t>21351-79-1</t>
  </si>
  <si>
    <t>cetostearyl alcohol</t>
  </si>
  <si>
    <t>67762-27-0 (Not Defined)</t>
  </si>
  <si>
    <t>67762-27-0 (PM)</t>
  </si>
  <si>
    <t>cetyl alcohol, ethoxylated, propoxylated</t>
  </si>
  <si>
    <t>9087-53-0</t>
  </si>
  <si>
    <t>cetyl methacrylate</t>
  </si>
  <si>
    <t>2495-27-4</t>
  </si>
  <si>
    <t>cetyltrimethylammonium bromide</t>
  </si>
  <si>
    <t>57-09-0</t>
  </si>
  <si>
    <t>chelating agent</t>
  </si>
  <si>
    <t>chloral hydrate</t>
  </si>
  <si>
    <t>302-17-0</t>
  </si>
  <si>
    <t>chlordane</t>
  </si>
  <si>
    <t>57-74-9</t>
  </si>
  <si>
    <t>chlordecone</t>
  </si>
  <si>
    <t>143-50-0</t>
  </si>
  <si>
    <t>chlorendic acid</t>
  </si>
  <si>
    <t>115-28-6</t>
  </si>
  <si>
    <t>chlorides</t>
  </si>
  <si>
    <t>16887-00-6</t>
  </si>
  <si>
    <t>chlorinated diphenyl oxide</t>
  </si>
  <si>
    <t>31242-93-0</t>
  </si>
  <si>
    <t>chlorinated n-paraffins</t>
  </si>
  <si>
    <t>68920-70-7</t>
  </si>
  <si>
    <t>chlorinated paraffin waxes and hydrocarbon waxes</t>
  </si>
  <si>
    <t>63449-39-8</t>
  </si>
  <si>
    <t>chlorinated trisodium phosphate</t>
  </si>
  <si>
    <t>11084-85-8</t>
  </si>
  <si>
    <t>chlorine</t>
  </si>
  <si>
    <t>7782-50-5</t>
  </si>
  <si>
    <t>chlorine dioxide</t>
  </si>
  <si>
    <t>10049-04-4</t>
  </si>
  <si>
    <t>chlorine trifluoride</t>
  </si>
  <si>
    <t>7790-91-2</t>
  </si>
  <si>
    <t>chlorite ion</t>
  </si>
  <si>
    <t>14998-27-7</t>
  </si>
  <si>
    <t>chloro(2-hydroxyphenyl)-mercury</t>
  </si>
  <si>
    <t>90-03-9</t>
  </si>
  <si>
    <t>chloroacetaldehyde</t>
  </si>
  <si>
    <t>107-20-0</t>
  </si>
  <si>
    <t>chloroacetaldehyde dimethyl acetal</t>
  </si>
  <si>
    <t>97-97-2</t>
  </si>
  <si>
    <t>chloroacetic acid</t>
  </si>
  <si>
    <t>79-11-8</t>
  </si>
  <si>
    <t>chloroacetic acid methyl ester</t>
  </si>
  <si>
    <t>96-34-4</t>
  </si>
  <si>
    <t>chloroacetone</t>
  </si>
  <si>
    <t>78-95-5</t>
  </si>
  <si>
    <t>chloroacetylchloride</t>
  </si>
  <si>
    <t>79-04-9</t>
  </si>
  <si>
    <t>chloroacetylene</t>
  </si>
  <si>
    <t>593-63-5</t>
  </si>
  <si>
    <t>Chloroambucil</t>
  </si>
  <si>
    <t>305-03-3</t>
  </si>
  <si>
    <t>chloroamphenicol</t>
  </si>
  <si>
    <t>56-75-7</t>
  </si>
  <si>
    <t>chlorobenzene</t>
  </si>
  <si>
    <t>108-90-7</t>
  </si>
  <si>
    <t>chlorobenzilate</t>
  </si>
  <si>
    <t>510-15-6</t>
  </si>
  <si>
    <t>chlorobenzyl alcohol</t>
  </si>
  <si>
    <t>873-76-7</t>
  </si>
  <si>
    <t>chlorocyclohexane</t>
  </si>
  <si>
    <t>542-18-7</t>
  </si>
  <si>
    <t>chlorodifluoromethane</t>
  </si>
  <si>
    <t>75-45-6</t>
  </si>
  <si>
    <t>chlorodiphenyl, 42% chlorine</t>
  </si>
  <si>
    <t>53469-21-9</t>
  </si>
  <si>
    <t>chlorodiphenyl, 54% chlorine</t>
  </si>
  <si>
    <t>11097-69-1</t>
  </si>
  <si>
    <t>chloroethane</t>
  </si>
  <si>
    <t>75-00-3</t>
  </si>
  <si>
    <t>chlorofluoromethane</t>
  </si>
  <si>
    <t>593-70-4</t>
  </si>
  <si>
    <t>chloroform</t>
  </si>
  <si>
    <t>67-66-3</t>
  </si>
  <si>
    <t>chloromethane</t>
  </si>
  <si>
    <t>74-87-3</t>
  </si>
  <si>
    <t>chloromethyl 2-chloroundecanoate</t>
  </si>
  <si>
    <t>80418-88-8 (PM)</t>
  </si>
  <si>
    <t>80418-88-8 (Vapor)</t>
  </si>
  <si>
    <t>chloromethyl methyl ether</t>
  </si>
  <si>
    <t>107-30-2</t>
  </si>
  <si>
    <t>Chloroneb</t>
  </si>
  <si>
    <t>2675-77-6</t>
  </si>
  <si>
    <t>chloronitropropane</t>
  </si>
  <si>
    <t>600-25-9</t>
  </si>
  <si>
    <t>chloropentafluorobenzene</t>
  </si>
  <si>
    <t>344-07-0</t>
  </si>
  <si>
    <t>chloropentafluoroethane</t>
  </si>
  <si>
    <t>76-15-3</t>
  </si>
  <si>
    <t>chlorophenolthiomethyl-O,O-diethyl phosphorodithioate</t>
  </si>
  <si>
    <t>786-19-6</t>
  </si>
  <si>
    <t>chloroplatinic acid</t>
  </si>
  <si>
    <t>16941-12-1</t>
  </si>
  <si>
    <t>Chloroprene</t>
  </si>
  <si>
    <t>126-99-8</t>
  </si>
  <si>
    <t>chlorosulfonated polyethylene (HYPALON, synthetic rubbers)</t>
  </si>
  <si>
    <t>68037-39-8</t>
  </si>
  <si>
    <t>chlorosulfonic acid</t>
  </si>
  <si>
    <t>7790-94-5</t>
  </si>
  <si>
    <t>chlorothalonil</t>
  </si>
  <si>
    <t>1897-45-6</t>
  </si>
  <si>
    <t>chlorotoluene, all isomers</t>
  </si>
  <si>
    <t>95-49-8</t>
  </si>
  <si>
    <t>chlorotrifluoroethylene</t>
  </si>
  <si>
    <t>79-38-9</t>
  </si>
  <si>
    <t>chlorotrifluoromethane</t>
  </si>
  <si>
    <t>75-72-9</t>
  </si>
  <si>
    <t>CHLOROWAX 50 (liquid chlorinated paraffin)</t>
  </si>
  <si>
    <t>61788-76-9</t>
  </si>
  <si>
    <t>chloroxylenol</t>
  </si>
  <si>
    <t>88-04-0</t>
  </si>
  <si>
    <t>Chlorpropham</t>
  </si>
  <si>
    <t>101-21-3</t>
  </si>
  <si>
    <t>Chlorpyrifos</t>
  </si>
  <si>
    <t>2921-88-2</t>
  </si>
  <si>
    <t>choline chloride</t>
  </si>
  <si>
    <t>67-48-1</t>
  </si>
  <si>
    <t>chrome (III) azo dye</t>
  </si>
  <si>
    <t>85828-89-3</t>
  </si>
  <si>
    <t>chrome black pigment</t>
  </si>
  <si>
    <t>71631-15-7</t>
  </si>
  <si>
    <t>chromic acid mist</t>
  </si>
  <si>
    <t>7738-94-5</t>
  </si>
  <si>
    <t>chromite</t>
  </si>
  <si>
    <t>1308-31-2</t>
  </si>
  <si>
    <t>chromium acetate</t>
  </si>
  <si>
    <t>1066-30-4</t>
  </si>
  <si>
    <t>chromium acetate monohydrate</t>
  </si>
  <si>
    <t>25013-82-5</t>
  </si>
  <si>
    <t>chromium aqua chlorohydroxy methacrylate complexes</t>
  </si>
  <si>
    <t>111031-82-4</t>
  </si>
  <si>
    <t>chromium bromide</t>
  </si>
  <si>
    <t>10049-25-9</t>
  </si>
  <si>
    <t>chromium carbide</t>
  </si>
  <si>
    <t>12012-61-9</t>
  </si>
  <si>
    <t>chromium carbonate</t>
  </si>
  <si>
    <t>29689-14-3</t>
  </si>
  <si>
    <t>chromium carbonyl</t>
  </si>
  <si>
    <t>13007-92-6</t>
  </si>
  <si>
    <t>chromium chloride</t>
  </si>
  <si>
    <t>10025-73-7</t>
  </si>
  <si>
    <t>chromium chloride hexahydrate</t>
  </si>
  <si>
    <t>10060-12-5</t>
  </si>
  <si>
    <t>chromium dioxide</t>
  </si>
  <si>
    <t>12018-01-8</t>
  </si>
  <si>
    <t>chromium fluoride</t>
  </si>
  <si>
    <t>7788-97-8</t>
  </si>
  <si>
    <t>chromium hydroxide</t>
  </si>
  <si>
    <t>1308-14-1</t>
  </si>
  <si>
    <t>chromium nitrate</t>
  </si>
  <si>
    <t>13548-38-4</t>
  </si>
  <si>
    <t>chromium nitrate nonahydrate</t>
  </si>
  <si>
    <t>7789-02-8</t>
  </si>
  <si>
    <t>chromium phosphate</t>
  </si>
  <si>
    <t>7789-04-0</t>
  </si>
  <si>
    <t>chromium phosphate hexahydrate</t>
  </si>
  <si>
    <t>13475-98-4</t>
  </si>
  <si>
    <t>chromium picolinate</t>
  </si>
  <si>
    <t>14639-25-9</t>
  </si>
  <si>
    <t>chromium potassium sulfate</t>
  </si>
  <si>
    <t>10141-00-1</t>
  </si>
  <si>
    <t>chromium sulfate</t>
  </si>
  <si>
    <t>10101-53-8</t>
  </si>
  <si>
    <t>chromium sulfate n-hydrate</t>
  </si>
  <si>
    <t>15244-38-9</t>
  </si>
  <si>
    <t>chromium trioxide</t>
  </si>
  <si>
    <t>1333-82-0</t>
  </si>
  <si>
    <t>chromium zinc oxide</t>
  </si>
  <si>
    <t>50922-29-7</t>
  </si>
  <si>
    <t>chromium(II) oxide</t>
  </si>
  <si>
    <t>12018-00-7</t>
  </si>
  <si>
    <t>chromium(III) compounds</t>
  </si>
  <si>
    <t>chromium(III) oxide</t>
  </si>
  <si>
    <t>1308-38-9</t>
  </si>
  <si>
    <t>chromium(VI) compounds</t>
  </si>
  <si>
    <t>chromium, elemental</t>
  </si>
  <si>
    <t>7440-47-3</t>
  </si>
  <si>
    <t>chromous acetate</t>
  </si>
  <si>
    <t>628-52-4</t>
  </si>
  <si>
    <t>chromous chloride</t>
  </si>
  <si>
    <t>10049-05-5</t>
  </si>
  <si>
    <t>chromous fluoride</t>
  </si>
  <si>
    <t>10049-10-2</t>
  </si>
  <si>
    <t>chromous sulfate</t>
  </si>
  <si>
    <t>13825-86-0</t>
  </si>
  <si>
    <t>chromyl chloride</t>
  </si>
  <si>
    <t>14977-61-8</t>
  </si>
  <si>
    <t>chrysene</t>
  </si>
  <si>
    <t>218-01-9</t>
  </si>
  <si>
    <t>chrysotile asbestos</t>
  </si>
  <si>
    <t>12001-29-5</t>
  </si>
  <si>
    <t>cinnamaldehyde</t>
  </si>
  <si>
    <t>104-55-2</t>
  </si>
  <si>
    <t>cinnamic acid</t>
  </si>
  <si>
    <t>621-82-9</t>
  </si>
  <si>
    <t>cis,cis,trans-1,2,4-trimethyl cyclopentane</t>
  </si>
  <si>
    <t>4850-28-6</t>
  </si>
  <si>
    <t>cis-1-(3-chloroallyl)-3,5,7-triaza-1-azoniaadamantane chloride</t>
  </si>
  <si>
    <t>51229-78-8</t>
  </si>
  <si>
    <t>cis-1,2-dichloroethylene</t>
  </si>
  <si>
    <t>156-59-2</t>
  </si>
  <si>
    <t>cis-1,2-dimethylcyclohexane</t>
  </si>
  <si>
    <t>2207-01-4</t>
  </si>
  <si>
    <t>cis-1,3-dichloropropene</t>
  </si>
  <si>
    <t>10061-01-5</t>
  </si>
  <si>
    <t>cis-1,3-dimethylcyclohexane</t>
  </si>
  <si>
    <t>638-04-0</t>
  </si>
  <si>
    <t>cis-1,3-dimethylcyclopentane</t>
  </si>
  <si>
    <t>2532-58-3</t>
  </si>
  <si>
    <t>cis-1,4-dimethylcyclohexane</t>
  </si>
  <si>
    <t>624-29-3</t>
  </si>
  <si>
    <t>cis-2-butene</t>
  </si>
  <si>
    <t>590-18-1</t>
  </si>
  <si>
    <t>cis-2-decene</t>
  </si>
  <si>
    <t>20348-51-0</t>
  </si>
  <si>
    <t>cis-2-hexene</t>
  </si>
  <si>
    <t>7688-21-3</t>
  </si>
  <si>
    <t>cis-2-pentene</t>
  </si>
  <si>
    <t>627-20-3</t>
  </si>
  <si>
    <t>cis-2-pentenenitrile</t>
  </si>
  <si>
    <t>25899-50-7</t>
  </si>
  <si>
    <t>cis-2-pinanol</t>
  </si>
  <si>
    <t>4948-28-1 (Not Defined)</t>
  </si>
  <si>
    <t>4948-28-1 (PM)</t>
  </si>
  <si>
    <t>cis-3-decene</t>
  </si>
  <si>
    <t>19398-86-8</t>
  </si>
  <si>
    <t>cis-3-hexene</t>
  </si>
  <si>
    <t>7642-09-3</t>
  </si>
  <si>
    <t>cis-3-hexenoic acid</t>
  </si>
  <si>
    <t>4219-24-3</t>
  </si>
  <si>
    <t>cis-3-methyl-2-pentene</t>
  </si>
  <si>
    <t>922-62-3</t>
  </si>
  <si>
    <t>cis-4-decene</t>
  </si>
  <si>
    <t>19398-88-0</t>
  </si>
  <si>
    <t>cis-4-methyl-2-pentene</t>
  </si>
  <si>
    <t>691-38-3</t>
  </si>
  <si>
    <t>cis-5-decene</t>
  </si>
  <si>
    <t>7433-78-5</t>
  </si>
  <si>
    <t>cis-9-tetradecenoic acid</t>
  </si>
  <si>
    <t>544-64-9</t>
  </si>
  <si>
    <t>cis-crotonaldehyde</t>
  </si>
  <si>
    <t>15798-64-8</t>
  </si>
  <si>
    <t>cis-isosafrole</t>
  </si>
  <si>
    <t>17627-76-8</t>
  </si>
  <si>
    <t>cis-piperylene</t>
  </si>
  <si>
    <t>1574-41-0</t>
  </si>
  <si>
    <t>citraconic acid</t>
  </si>
  <si>
    <t>498-23-7</t>
  </si>
  <si>
    <t>citraconic anhydride</t>
  </si>
  <si>
    <t>616-02-4</t>
  </si>
  <si>
    <t>citric acid</t>
  </si>
  <si>
    <t>77-92-9 (PM)</t>
  </si>
  <si>
    <t>77-92-9 (Vapor)</t>
  </si>
  <si>
    <t>citronella oil</t>
  </si>
  <si>
    <t>8000-29-1</t>
  </si>
  <si>
    <t>citrus extract</t>
  </si>
  <si>
    <t>8028-48-6</t>
  </si>
  <si>
    <t>citrus terpenes</t>
  </si>
  <si>
    <t>94266-47-4</t>
  </si>
  <si>
    <t>clinoptilolite</t>
  </si>
  <si>
    <t>12173-10-3</t>
  </si>
  <si>
    <t>Clopidol</t>
  </si>
  <si>
    <t>2971-90-6</t>
  </si>
  <si>
    <t>clove oil</t>
  </si>
  <si>
    <t>8000-34-8</t>
  </si>
  <si>
    <t>coal dust: bituminous</t>
  </si>
  <si>
    <t>125612-26-2 (PM)</t>
  </si>
  <si>
    <t>125612-26-2 (PM4)</t>
  </si>
  <si>
    <t>coal dust: lignite</t>
  </si>
  <si>
    <t>129521-66-0 (PM)</t>
  </si>
  <si>
    <t>129521-66-0 (PM4)</t>
  </si>
  <si>
    <t>coal fly ash</t>
  </si>
  <si>
    <t>68131-74-8 (PM)</t>
  </si>
  <si>
    <t>68131-74-8 (PM4)</t>
  </si>
  <si>
    <t>coal slag</t>
  </si>
  <si>
    <t>68476-96-0</t>
  </si>
  <si>
    <t>coal solvent naphtha</t>
  </si>
  <si>
    <t>65996-79-4</t>
  </si>
  <si>
    <t>coal tar</t>
  </si>
  <si>
    <t>8007-45-2</t>
  </si>
  <si>
    <t>coal tar distillate</t>
  </si>
  <si>
    <t>65996-92-1</t>
  </si>
  <si>
    <t>coal tar light oil (71% benzene)</t>
  </si>
  <si>
    <t>65996-78-3</t>
  </si>
  <si>
    <t>coal tar pitch volatiles</t>
  </si>
  <si>
    <t>65996-93-2</t>
  </si>
  <si>
    <t>cobalt</t>
  </si>
  <si>
    <t>7440-48-4</t>
  </si>
  <si>
    <t>cobalt 2-ethylhexanoate</t>
  </si>
  <si>
    <t>136-52-7</t>
  </si>
  <si>
    <t>cobalt aluminate blue spinel</t>
  </si>
  <si>
    <t>1345-16-0</t>
  </si>
  <si>
    <t>cobalt carbonyl</t>
  </si>
  <si>
    <t>10210-68-1</t>
  </si>
  <si>
    <t>cobalt carboxylate</t>
  </si>
  <si>
    <t>814-89-1</t>
  </si>
  <si>
    <t>cobalt chromite green spinel</t>
  </si>
  <si>
    <t>68187-49-5</t>
  </si>
  <si>
    <t>cobalt chromite pigment blue 36</t>
  </si>
  <si>
    <t>68187-11-1</t>
  </si>
  <si>
    <t>cobalt chromium alloy</t>
  </si>
  <si>
    <t>11114-92-4</t>
  </si>
  <si>
    <t>cobalt hydrocarbonyl</t>
  </si>
  <si>
    <t>16842-03-8</t>
  </si>
  <si>
    <t>cobalt naphthenate</t>
  </si>
  <si>
    <t>61789-51-3</t>
  </si>
  <si>
    <t>cobalt neodecanoate</t>
  </si>
  <si>
    <t>27253-31-2</t>
  </si>
  <si>
    <t>cobalt soap</t>
  </si>
  <si>
    <t>cobalt(II) acetate</t>
  </si>
  <si>
    <t>71-48-7</t>
  </si>
  <si>
    <t>cobalt(II) acetate tetrahydrate</t>
  </si>
  <si>
    <t>6147-53-1</t>
  </si>
  <si>
    <t>cobalt(II) carbonate</t>
  </si>
  <si>
    <t>513-79-1</t>
  </si>
  <si>
    <t>cobalt(II) chloride</t>
  </si>
  <si>
    <t>7646-79-9</t>
  </si>
  <si>
    <t>cobalt(II) hydroxide</t>
  </si>
  <si>
    <t>21041-93-0</t>
  </si>
  <si>
    <t>cobalt(II) nitrate anhydrous</t>
  </si>
  <si>
    <t>10141-05-6</t>
  </si>
  <si>
    <t>cobalt(II) nitrate hexahydrate</t>
  </si>
  <si>
    <t>10026-22-9</t>
  </si>
  <si>
    <t>cobalt(II) oxide</t>
  </si>
  <si>
    <t>1307-96-6</t>
  </si>
  <si>
    <t>cobalt(II) phosphate</t>
  </si>
  <si>
    <t>13455-36-2</t>
  </si>
  <si>
    <t>cobalt(II) sulfate</t>
  </si>
  <si>
    <t>10124-43-3</t>
  </si>
  <si>
    <t>cobalt(II,III) oxide</t>
  </si>
  <si>
    <t>1308-06-1</t>
  </si>
  <si>
    <t>cobalt(III) acetate</t>
  </si>
  <si>
    <t>917-69-1</t>
  </si>
  <si>
    <t>cobalt(III) oxide</t>
  </si>
  <si>
    <t>21158-51-0</t>
  </si>
  <si>
    <t>cobalt, 2-ethylhexanoate isononanoate complexes</t>
  </si>
  <si>
    <t>68478-57-9</t>
  </si>
  <si>
    <t>cocamide monoethanolamine</t>
  </si>
  <si>
    <t>68140-00-1</t>
  </si>
  <si>
    <t>cocamidopropyl hydroxysultaine</t>
  </si>
  <si>
    <t>68139-30-0 (PM)</t>
  </si>
  <si>
    <t>68139-30-0 (Vapor)</t>
  </si>
  <si>
    <t>coco alkyl amine</t>
  </si>
  <si>
    <t>61788-46-3</t>
  </si>
  <si>
    <t>coco alkyl amine acetates, ethoxylated (salts)</t>
  </si>
  <si>
    <t>61791-15-9</t>
  </si>
  <si>
    <t>coco alkyl amine, ethoxylated</t>
  </si>
  <si>
    <t>61791-14-8</t>
  </si>
  <si>
    <t>coco alkyldimethyl amine</t>
  </si>
  <si>
    <t>61788-93-0</t>
  </si>
  <si>
    <t>coco alkyldimethyl betaines</t>
  </si>
  <si>
    <t>68424-94-2 (PM)</t>
  </si>
  <si>
    <t>68424-94-2 (Vapor)</t>
  </si>
  <si>
    <t>coco amines</t>
  </si>
  <si>
    <t>coco dimethyl amines</t>
  </si>
  <si>
    <t>coco fatty acid</t>
  </si>
  <si>
    <t>61788-47-4</t>
  </si>
  <si>
    <t>coco fatty acids compds. with diethanolamine</t>
  </si>
  <si>
    <t>61790-63-4</t>
  </si>
  <si>
    <t>coco nitriles</t>
  </si>
  <si>
    <t>61789-53-5</t>
  </si>
  <si>
    <t>coco trimethyl ammonium chloride</t>
  </si>
  <si>
    <t>61789-18-2</t>
  </si>
  <si>
    <t>cocobis(2-hydroxypropyl)benzylammonium chloride</t>
  </si>
  <si>
    <t>73138-80-4 (Not Defined)</t>
  </si>
  <si>
    <t>73138-80-4 (PM)</t>
  </si>
  <si>
    <t>coconut diethanolamide</t>
  </si>
  <si>
    <t>68603-42-9</t>
  </si>
  <si>
    <t>coconut fatty acid methyl ester</t>
  </si>
  <si>
    <t>61788-59-8</t>
  </si>
  <si>
    <t>coconut monoisopropanolamide</t>
  </si>
  <si>
    <t>68333-82-4</t>
  </si>
  <si>
    <t>coconut oil</t>
  </si>
  <si>
    <t>8001-31-8</t>
  </si>
  <si>
    <t>coconut oil fatty acids, glycerin, phthalic anhydride polymer</t>
  </si>
  <si>
    <t>67746-02-5</t>
  </si>
  <si>
    <t>Coconut oil fatty acids, phthalic anhydride, glycerin polymer</t>
  </si>
  <si>
    <t>66070-87-9</t>
  </si>
  <si>
    <t>coconut oil, polymer with ethylene glycol, pentaerythritol and phthalic anhydride</t>
  </si>
  <si>
    <t>66070-89-1 (PM)</t>
  </si>
  <si>
    <t>66070-89-1 (Vapor)</t>
  </si>
  <si>
    <t>coconut oil, reaction products with diethanolamine</t>
  </si>
  <si>
    <t>8051-30-7 (Not Defined)</t>
  </si>
  <si>
    <t>8051-30-7 (PM)</t>
  </si>
  <si>
    <t>coke oven (emissions)</t>
  </si>
  <si>
    <t>collodial silica</t>
  </si>
  <si>
    <t>68611-44-9</t>
  </si>
  <si>
    <t>columbianetin glucopyranoside</t>
  </si>
  <si>
    <t>55836-35-6 (PM)</t>
  </si>
  <si>
    <t>55836-35-6 (Vapor)</t>
  </si>
  <si>
    <t>columbianetin-beta-D-glucopyranoside</t>
  </si>
  <si>
    <t>55838-67-0 (PM)</t>
  </si>
  <si>
    <t>55838-67-0 (Vapor)</t>
  </si>
  <si>
    <t>condensation polymer of formaldehyde and urea</t>
  </si>
  <si>
    <t>condensation product of phenol and aldehyde</t>
  </si>
  <si>
    <t>copolymer of ethylene and propylene</t>
  </si>
  <si>
    <t>127883-08-3 (PM)</t>
  </si>
  <si>
    <t>127883-08-3 (Vapor)</t>
  </si>
  <si>
    <t>copper</t>
  </si>
  <si>
    <t>7440-50-8</t>
  </si>
  <si>
    <t>copper (II) sulfate</t>
  </si>
  <si>
    <t>7758-98-7</t>
  </si>
  <si>
    <t>copper acetylacetonate</t>
  </si>
  <si>
    <t>13395-16-9</t>
  </si>
  <si>
    <t>copper chromite</t>
  </si>
  <si>
    <t>12018-10-9</t>
  </si>
  <si>
    <t>copper dimethyldithiocarbamate</t>
  </si>
  <si>
    <t>137-29-1</t>
  </si>
  <si>
    <t>copper naphthenate</t>
  </si>
  <si>
    <t>1338-02-9</t>
  </si>
  <si>
    <t>copper nitrate trihydrate</t>
  </si>
  <si>
    <t>10031-43-3</t>
  </si>
  <si>
    <t>copper oxide</t>
  </si>
  <si>
    <t>1317-38-0</t>
  </si>
  <si>
    <t>copper phthalocyanine monosulfonate</t>
  </si>
  <si>
    <t>28901-96-4</t>
  </si>
  <si>
    <t>copper(II) carbonate basic</t>
  </si>
  <si>
    <t>12069-69-1</t>
  </si>
  <si>
    <t>copper(II) chloride</t>
  </si>
  <si>
    <t>7447-39-4</t>
  </si>
  <si>
    <t>copper(II) chloride dihydrate</t>
  </si>
  <si>
    <t>10125-13-0</t>
  </si>
  <si>
    <t>copper, dusts and mists</t>
  </si>
  <si>
    <t>corn oil</t>
  </si>
  <si>
    <t>8001-30-7</t>
  </si>
  <si>
    <t>corn syrup</t>
  </si>
  <si>
    <t>8029-43-4</t>
  </si>
  <si>
    <t>corrosion or scale inhibitor, generic, not otherwise specified</t>
  </si>
  <si>
    <t>corundum</t>
  </si>
  <si>
    <t>1302-74-5</t>
  </si>
  <si>
    <t>cottonseed oil</t>
  </si>
  <si>
    <t>8001-29-4</t>
  </si>
  <si>
    <t>coumaphos</t>
  </si>
  <si>
    <t>56-72-4</t>
  </si>
  <si>
    <t>coumarin</t>
  </si>
  <si>
    <t>91-64-5</t>
  </si>
  <si>
    <t>creosote oil</t>
  </si>
  <si>
    <t>8001-58-9</t>
  </si>
  <si>
    <t>cresol propoxylate</t>
  </si>
  <si>
    <t>9064-13-5</t>
  </si>
  <si>
    <t>cresols (mixed isomers)</t>
  </si>
  <si>
    <t>1319-77-3</t>
  </si>
  <si>
    <t>cresyl diphenyl phosphate</t>
  </si>
  <si>
    <t>26444-49-5</t>
  </si>
  <si>
    <t>cresyl glycidyl ether</t>
  </si>
  <si>
    <t>26447-14-3</t>
  </si>
  <si>
    <t>croton oil</t>
  </si>
  <si>
    <t>8001-28-3</t>
  </si>
  <si>
    <t>crotonaldehyde</t>
  </si>
  <si>
    <t>4170-30-3</t>
  </si>
  <si>
    <t>crotonic acid</t>
  </si>
  <si>
    <t>107-93-7</t>
  </si>
  <si>
    <t>crude isoprene (hydrocarbons, C5-rich)</t>
  </si>
  <si>
    <t>68476-55-1</t>
  </si>
  <si>
    <t>crude naphthenic acid</t>
  </si>
  <si>
    <t>crude oil, &lt; 1% benzene</t>
  </si>
  <si>
    <t>Cruformate</t>
  </si>
  <si>
    <t>299-86-5</t>
  </si>
  <si>
    <t>cumene</t>
  </si>
  <si>
    <t>98-82-8</t>
  </si>
  <si>
    <t>cumene hydroperoxide</t>
  </si>
  <si>
    <t>80-15-9</t>
  </si>
  <si>
    <t>cuminaldehyde</t>
  </si>
  <si>
    <t>122-03-2</t>
  </si>
  <si>
    <t>cumyl peroxyneodecanoate</t>
  </si>
  <si>
    <t>26748-47-0</t>
  </si>
  <si>
    <t>cupric nitrate</t>
  </si>
  <si>
    <t>3251-23-8</t>
  </si>
  <si>
    <t>cuprous iodide</t>
  </si>
  <si>
    <t>7681-65-4</t>
  </si>
  <si>
    <t>cuprous oxide</t>
  </si>
  <si>
    <t>1317-39-1</t>
  </si>
  <si>
    <t>cutter stock (general)</t>
  </si>
  <si>
    <t>cutting oil</t>
  </si>
  <si>
    <t>cyanamide</t>
  </si>
  <si>
    <t>420-04-2</t>
  </si>
  <si>
    <t>cyanide</t>
  </si>
  <si>
    <t>57-12-5</t>
  </si>
  <si>
    <t>cyanogen</t>
  </si>
  <si>
    <t>460-19-5</t>
  </si>
  <si>
    <t>cyanogen bromide</t>
  </si>
  <si>
    <t>506-68-3</t>
  </si>
  <si>
    <t>cyanogen chloride</t>
  </si>
  <si>
    <t>506-77-4</t>
  </si>
  <si>
    <t>cyanoguanidine</t>
  </si>
  <si>
    <t>461-58-5</t>
  </si>
  <si>
    <t>Cycasin</t>
  </si>
  <si>
    <t>14901-08-7</t>
  </si>
  <si>
    <t>cyclic amine derivatives</t>
  </si>
  <si>
    <t>cyclic hexanediol</t>
  </si>
  <si>
    <t>61412-63-3</t>
  </si>
  <si>
    <t>cyclized polyisoprene</t>
  </si>
  <si>
    <t>68441-13-4</t>
  </si>
  <si>
    <t>cycloaliphatic amine</t>
  </si>
  <si>
    <t>cyclobutane</t>
  </si>
  <si>
    <t>287-23-0</t>
  </si>
  <si>
    <t>cyclodecane</t>
  </si>
  <si>
    <t>293-96-9</t>
  </si>
  <si>
    <t>cyclododecane</t>
  </si>
  <si>
    <t>294-62-2</t>
  </si>
  <si>
    <t>cyclododecanone</t>
  </si>
  <si>
    <t>830-13-7</t>
  </si>
  <si>
    <t>cyclododecene, mixture of cis and trans</t>
  </si>
  <si>
    <t>1501-82-2</t>
  </si>
  <si>
    <t>cyclododecyl alcohol</t>
  </si>
  <si>
    <t>1724-39-6</t>
  </si>
  <si>
    <t>cycloheptane</t>
  </si>
  <si>
    <t>291-64-5</t>
  </si>
  <si>
    <t>cyclohexanamine, 4,4'-methylene bis-reaction products with bisphenol A diglycidylether homoploymer</t>
  </si>
  <si>
    <t>129733-57-9</t>
  </si>
  <si>
    <t>cyclohexane</t>
  </si>
  <si>
    <t>110-82-7</t>
  </si>
  <si>
    <t>cyclohexane, oxidized, non-acidic by-products, distn. residues</t>
  </si>
  <si>
    <t>68609-04-1</t>
  </si>
  <si>
    <t>cyclohexanediamine</t>
  </si>
  <si>
    <t>694-83-7</t>
  </si>
  <si>
    <t>cyclohexanediol, all isomers</t>
  </si>
  <si>
    <t>cyclohexanol</t>
  </si>
  <si>
    <t>108-93-0</t>
  </si>
  <si>
    <t>cyclohexanone</t>
  </si>
  <si>
    <t>108-94-1</t>
  </si>
  <si>
    <t>cyclohexanone oxime</t>
  </si>
  <si>
    <t>100-64-1</t>
  </si>
  <si>
    <t>cyclohexene</t>
  </si>
  <si>
    <t>110-83-8</t>
  </si>
  <si>
    <t>cyclohexene oxide</t>
  </si>
  <si>
    <t>286-20-4</t>
  </si>
  <si>
    <t>cyclohexyl acetate</t>
  </si>
  <si>
    <t>622-45-7</t>
  </si>
  <si>
    <t>cyclohexyl benzene</t>
  </si>
  <si>
    <t>827-52-1</t>
  </si>
  <si>
    <t>cyclohexyl butyrate</t>
  </si>
  <si>
    <t>1551-44-6</t>
  </si>
  <si>
    <t>cyclohexyl formate</t>
  </si>
  <si>
    <t>4351-54-6</t>
  </si>
  <si>
    <t>cyclohexyl hexanoate</t>
  </si>
  <si>
    <t>6243-10-3</t>
  </si>
  <si>
    <t>cyclohexyl hydroperoxide</t>
  </si>
  <si>
    <t>766-07-4</t>
  </si>
  <si>
    <t>cyclohexyl isocyanate</t>
  </si>
  <si>
    <t>3173-53-3</t>
  </si>
  <si>
    <t>cyclohexyl valerate</t>
  </si>
  <si>
    <t>1551-43-5</t>
  </si>
  <si>
    <t>cyclohexyl-2-pyrrolidone</t>
  </si>
  <si>
    <t>6837-24-7</t>
  </si>
  <si>
    <t>cyclohexylamine</t>
  </si>
  <si>
    <t>108-91-8</t>
  </si>
  <si>
    <t>cyclohexylammonium sulfate</t>
  </si>
  <si>
    <t>19834-02-7</t>
  </si>
  <si>
    <t>cyclohexyldiethanolamine</t>
  </si>
  <si>
    <t>4500-29-2</t>
  </si>
  <si>
    <t>cyclohexylmercaptan</t>
  </si>
  <si>
    <t>1569-69-3</t>
  </si>
  <si>
    <t>cyclohexylsulfamic acid</t>
  </si>
  <si>
    <t>100-88-9</t>
  </si>
  <si>
    <t>cyclonite</t>
  </si>
  <si>
    <t>121-82-4</t>
  </si>
  <si>
    <t>cyclooctadiene</t>
  </si>
  <si>
    <t>29965-97-7</t>
  </si>
  <si>
    <t>cyclooctane</t>
  </si>
  <si>
    <t>292-64-8</t>
  </si>
  <si>
    <t>cyclooctatetraene</t>
  </si>
  <si>
    <t>629-20-9</t>
  </si>
  <si>
    <t>cyclopenta[d,e,f]phenanthrene</t>
  </si>
  <si>
    <t>203-64-5</t>
  </si>
  <si>
    <t>cyclopentadiene</t>
  </si>
  <si>
    <t>542-92-7</t>
  </si>
  <si>
    <t>cyclopentamine</t>
  </si>
  <si>
    <t>102-45-4</t>
  </si>
  <si>
    <t>cyclopentane</t>
  </si>
  <si>
    <t>287-92-3</t>
  </si>
  <si>
    <t>cyclopentanone</t>
  </si>
  <si>
    <t>120-92-3</t>
  </si>
  <si>
    <t>cyclopentene</t>
  </si>
  <si>
    <t>142-29-0</t>
  </si>
  <si>
    <t>cyclopentyl alcohol</t>
  </si>
  <si>
    <t>96-41-3</t>
  </si>
  <si>
    <t>cyclopropane</t>
  </si>
  <si>
    <t>75-19-4</t>
  </si>
  <si>
    <t>cyclopropanecarboxaldehyde</t>
  </si>
  <si>
    <t>1489-69-6</t>
  </si>
  <si>
    <t>cyclopropanemethanol</t>
  </si>
  <si>
    <t>2516-33-8</t>
  </si>
  <si>
    <t>cyclosiloxanes, di-Me, polymers with 1,3-diethenyl-1,3-dimethyl-1,3-diphenyldisiloxane</t>
  </si>
  <si>
    <t>68037-52-5 (PM)</t>
  </si>
  <si>
    <t>68037-52-5 (Vapor)</t>
  </si>
  <si>
    <t>cyclotetramethylenetetranitramine</t>
  </si>
  <si>
    <t>2691-41-0</t>
  </si>
  <si>
    <t>Cyfluthrin</t>
  </si>
  <si>
    <t>68359-37-5</t>
  </si>
  <si>
    <t>Cyhexatin</t>
  </si>
  <si>
    <t>13121-70-5</t>
  </si>
  <si>
    <t>Cymoxanil</t>
  </si>
  <si>
    <t>57966-95-7</t>
  </si>
  <si>
    <t>Cypermethrin</t>
  </si>
  <si>
    <t>66841-24-5</t>
  </si>
  <si>
    <t>Cyromazine</t>
  </si>
  <si>
    <t>66215-27-8</t>
  </si>
  <si>
    <t>Daunomycin</t>
  </si>
  <si>
    <t>20830-81-3</t>
  </si>
  <si>
    <t>decaborane</t>
  </si>
  <si>
    <t>17702-41-9</t>
  </si>
  <si>
    <t>decabromodiphenyl oxide</t>
  </si>
  <si>
    <t>1163-19-5</t>
  </si>
  <si>
    <t>decafluorobutane</t>
  </si>
  <si>
    <t>355-25-9</t>
  </si>
  <si>
    <t>decahydronaphthalene</t>
  </si>
  <si>
    <t>91-17-8</t>
  </si>
  <si>
    <t>decamethylcyclopentasiloxane</t>
  </si>
  <si>
    <t>541-02-6</t>
  </si>
  <si>
    <t>decamethyltetrasiloxane</t>
  </si>
  <si>
    <t>141-62-8</t>
  </si>
  <si>
    <t>decanal</t>
  </si>
  <si>
    <t>112-31-2</t>
  </si>
  <si>
    <t>decanoic acid</t>
  </si>
  <si>
    <t>334-48-5 (PM)</t>
  </si>
  <si>
    <t>334-48-5 (Vapor)</t>
  </si>
  <si>
    <t>decanol, mixed isomers</t>
  </si>
  <si>
    <t>85566-12-7</t>
  </si>
  <si>
    <t>decene, isomer not specified</t>
  </si>
  <si>
    <t>25339-53-1</t>
  </si>
  <si>
    <t>Dechlorane Plus</t>
  </si>
  <si>
    <t>13560-89-9</t>
  </si>
  <si>
    <t>decyl acetate</t>
  </si>
  <si>
    <t>112-17-4</t>
  </si>
  <si>
    <t>decyl alcohol</t>
  </si>
  <si>
    <t>112-30-1</t>
  </si>
  <si>
    <t>decyl alcohol ethoxylated, phosphate</t>
  </si>
  <si>
    <t>52019-36-0</t>
  </si>
  <si>
    <t>decylamidopropyl betaine</t>
  </si>
  <si>
    <t>73772-45-9 (PM)</t>
  </si>
  <si>
    <t>73772-45-9 (Vapor)</t>
  </si>
  <si>
    <t>decylbenzene</t>
  </si>
  <si>
    <t>104-72-3</t>
  </si>
  <si>
    <t>decylmercaptan</t>
  </si>
  <si>
    <t>143-10-2</t>
  </si>
  <si>
    <t>decyl-N,N-dimethylamine oxide</t>
  </si>
  <si>
    <t>2605-79-0</t>
  </si>
  <si>
    <t>DEGREE Xtra Herbicide</t>
  </si>
  <si>
    <t>dehydroabietic acid</t>
  </si>
  <si>
    <t>1740-19-8 (PM)</t>
  </si>
  <si>
    <t>1740-19-8 (Vapor)</t>
  </si>
  <si>
    <t>delta-8-tetrahydrocannabinol</t>
  </si>
  <si>
    <t>5957-75-5</t>
  </si>
  <si>
    <t>delta-9-tetrahydrocannabinol</t>
  </si>
  <si>
    <t>6465-30-1</t>
  </si>
  <si>
    <t>delta-hexachlorocyclohexane</t>
  </si>
  <si>
    <t>319-86-8</t>
  </si>
  <si>
    <t>Deltamethrin</t>
  </si>
  <si>
    <t>52918-63-5</t>
  </si>
  <si>
    <t>Demeton</t>
  </si>
  <si>
    <t>8065-48-3</t>
  </si>
  <si>
    <t>demeton-methyl</t>
  </si>
  <si>
    <t>8022-00-2</t>
  </si>
  <si>
    <t>denatonium benzoate</t>
  </si>
  <si>
    <t>3734-33-6</t>
  </si>
  <si>
    <t>Dextrin</t>
  </si>
  <si>
    <t>9004-53-9</t>
  </si>
  <si>
    <t>D-glucopyranuronic acid, polymer with 6-deoxy-L-mannose, D-glucose and D-mannose, calcium potassium sodium salt</t>
  </si>
  <si>
    <t>72121-88-1</t>
  </si>
  <si>
    <t>D-Glucose, reaction products with nitric acid and sodium nitrite (1:1), potassium sodium salts</t>
  </si>
  <si>
    <t>1362054-55-4</t>
  </si>
  <si>
    <t>di-(2-ethylhexyl) peroxydicarbonate</t>
  </si>
  <si>
    <t>16111-62-9</t>
  </si>
  <si>
    <t>di(2-ethylhexyl) phenyl phosphate</t>
  </si>
  <si>
    <t>16368-97-1</t>
  </si>
  <si>
    <t>di(2-ethylhexyl)adipate</t>
  </si>
  <si>
    <t>103-23-1</t>
  </si>
  <si>
    <t>di(2-ethylhexyl)phthalate</t>
  </si>
  <si>
    <t>117-81-7</t>
  </si>
  <si>
    <t>di(n-propyl)peroxydicarbonate</t>
  </si>
  <si>
    <t>16066-38-9 (PM)</t>
  </si>
  <si>
    <t>16066-38-9 (Vapor)</t>
  </si>
  <si>
    <t>di(propylene glycol) dibenzoate</t>
  </si>
  <si>
    <t>27138-31-4</t>
  </si>
  <si>
    <t>di(tetrahydrofuryl)propane</t>
  </si>
  <si>
    <t>89686-69-1</t>
  </si>
  <si>
    <t>di-2-ethylhexylamine</t>
  </si>
  <si>
    <t>106-20-7</t>
  </si>
  <si>
    <t>diacetyl bis(2-methyl-2-propanyl) orthosilicate</t>
  </si>
  <si>
    <t>13170-23-5 (PM)</t>
  </si>
  <si>
    <t>13170-23-5 (Vapor)</t>
  </si>
  <si>
    <t>diacrylate monomer</t>
  </si>
  <si>
    <t>24447-78-7</t>
  </si>
  <si>
    <t>dialkyl amino propylamine</t>
  </si>
  <si>
    <t>dialkyl benzene</t>
  </si>
  <si>
    <t>85117-34-6</t>
  </si>
  <si>
    <t>dialkyl phosphates and dialkyl amines</t>
  </si>
  <si>
    <t>122970-62-1</t>
  </si>
  <si>
    <t>dialkyl phthalate</t>
  </si>
  <si>
    <t>83968-18-7</t>
  </si>
  <si>
    <t>dialkyl phthalates, C6-C11</t>
  </si>
  <si>
    <t>68515-43-5</t>
  </si>
  <si>
    <t>dialkylcocoamidoalkylamine</t>
  </si>
  <si>
    <t>Diallate</t>
  </si>
  <si>
    <t>2303-16-4</t>
  </si>
  <si>
    <t>diallyl phthalate</t>
  </si>
  <si>
    <t>131-17-9</t>
  </si>
  <si>
    <t>diallyl sulfide</t>
  </si>
  <si>
    <t>592-88-1</t>
  </si>
  <si>
    <t>diallyl trisulfide</t>
  </si>
  <si>
    <t>2050-87-5</t>
  </si>
  <si>
    <t>diallylamine</t>
  </si>
  <si>
    <t>124-02-7</t>
  </si>
  <si>
    <t>diallyldimethylammonium chloride</t>
  </si>
  <si>
    <t>7398-69-8</t>
  </si>
  <si>
    <t>diammonium salt of ethylene diaminetetraacetic acid (EDTA)</t>
  </si>
  <si>
    <t>20824-56-0</t>
  </si>
  <si>
    <t>diamylamines, mixed isomers</t>
  </si>
  <si>
    <t>dianhydro-D-glucitol</t>
  </si>
  <si>
    <t>652-67-5</t>
  </si>
  <si>
    <t>dianisidine orange/orange 16</t>
  </si>
  <si>
    <t>6505-28-8</t>
  </si>
  <si>
    <t>diaryl-p-phenylenediamine</t>
  </si>
  <si>
    <t>68953-84-4</t>
  </si>
  <si>
    <t>diatomaceous earth, flux-calcined</t>
  </si>
  <si>
    <t>68855-54-9</t>
  </si>
  <si>
    <t>Diazinon</t>
  </si>
  <si>
    <t>333-41-5</t>
  </si>
  <si>
    <t>diazomethane</t>
  </si>
  <si>
    <t>334-88-3</t>
  </si>
  <si>
    <t>diazonaphthoquinone sulfonic acid esters</t>
  </si>
  <si>
    <t>5610-94-6</t>
  </si>
  <si>
    <t>dibasic ester, generic, not otherwise specified</t>
  </si>
  <si>
    <t>dibenz[a,h]anthracene</t>
  </si>
  <si>
    <t>53-70-3</t>
  </si>
  <si>
    <t>Dibenzene chromium</t>
  </si>
  <si>
    <t>1271-54-1</t>
  </si>
  <si>
    <t>dibenzofluoranthene</t>
  </si>
  <si>
    <t>60382-88-9</t>
  </si>
  <si>
    <t>dibenzofuran</t>
  </si>
  <si>
    <t>132-64-9</t>
  </si>
  <si>
    <t>dibenzo-furans, chlorinated</t>
  </si>
  <si>
    <t>dibenzothiophene</t>
  </si>
  <si>
    <t>132-65-0</t>
  </si>
  <si>
    <t>dibenzyl</t>
  </si>
  <si>
    <t>103-29-7 (PM)</t>
  </si>
  <si>
    <t>103-29-7 (Vapor)</t>
  </si>
  <si>
    <t>dibenzyl ether</t>
  </si>
  <si>
    <t>103-50-4</t>
  </si>
  <si>
    <t>diborane</t>
  </si>
  <si>
    <t>19287-45-7</t>
  </si>
  <si>
    <t>dibromoacetonitrile</t>
  </si>
  <si>
    <t>3252-43-5</t>
  </si>
  <si>
    <t>dibromochloromethane</t>
  </si>
  <si>
    <t>124-48-1</t>
  </si>
  <si>
    <t>dibromomethane</t>
  </si>
  <si>
    <t>74-95-3</t>
  </si>
  <si>
    <t>dibutyl 2,2'-oxybisacetate</t>
  </si>
  <si>
    <t>6634-18-0</t>
  </si>
  <si>
    <t>dibutyl adipate</t>
  </si>
  <si>
    <t>105-99-7</t>
  </si>
  <si>
    <t>dibutyl ether</t>
  </si>
  <si>
    <t>142-96-1</t>
  </si>
  <si>
    <t>dibutyl maleate</t>
  </si>
  <si>
    <t>105-76-0</t>
  </si>
  <si>
    <t>dibutyl phenyl phosphate</t>
  </si>
  <si>
    <t>2528-36-1</t>
  </si>
  <si>
    <t>dibutyl phosphate</t>
  </si>
  <si>
    <t>107-66-4</t>
  </si>
  <si>
    <t>dibutyl phosphite</t>
  </si>
  <si>
    <t>1809-19-4</t>
  </si>
  <si>
    <t>dibutyl phthalate</t>
  </si>
  <si>
    <t>84-74-2</t>
  </si>
  <si>
    <t>dibutyl sebacate</t>
  </si>
  <si>
    <t>109-43-3</t>
  </si>
  <si>
    <t>dibutyl sulfide</t>
  </si>
  <si>
    <t>544-40-1</t>
  </si>
  <si>
    <t>dibutyl terephthalate</t>
  </si>
  <si>
    <t>1962-75-0</t>
  </si>
  <si>
    <t>dibutyl tin oxide</t>
  </si>
  <si>
    <t>818-08-6</t>
  </si>
  <si>
    <t>dibutylamine</t>
  </si>
  <si>
    <t>111-92-2</t>
  </si>
  <si>
    <t>dibutyltin bis(2-ethyl-hexyl mercapto-acetate)</t>
  </si>
  <si>
    <t>10584-98-2</t>
  </si>
  <si>
    <t>dibutyltin bis(acetylacetonate)</t>
  </si>
  <si>
    <t>22673-19-4</t>
  </si>
  <si>
    <t>dibutyltin diacetate</t>
  </si>
  <si>
    <t>1067-33-0</t>
  </si>
  <si>
    <t>dibutyltin dilaurate</t>
  </si>
  <si>
    <t>77-58-7</t>
  </si>
  <si>
    <t>dibutyltin dilauryl mercaptide</t>
  </si>
  <si>
    <t>1185-81-5</t>
  </si>
  <si>
    <t>Dicamba</t>
  </si>
  <si>
    <t>1918-00-9</t>
  </si>
  <si>
    <t>Dicamba diglycolamine salt</t>
  </si>
  <si>
    <t>104040-79-1</t>
  </si>
  <si>
    <t>dicamba dimethylamine salt</t>
  </si>
  <si>
    <t>2300-66-5</t>
  </si>
  <si>
    <t>dichloro (chloromethyl) methylsilane</t>
  </si>
  <si>
    <t>1558-33-4</t>
  </si>
  <si>
    <t>dichloroacetaldehyde</t>
  </si>
  <si>
    <t>79-02-7</t>
  </si>
  <si>
    <t>dichloroacetic acid</t>
  </si>
  <si>
    <t>79-43-6</t>
  </si>
  <si>
    <t>dichloroacetic acid, ethyl ester</t>
  </si>
  <si>
    <t>535-15-9</t>
  </si>
  <si>
    <t>dichloroacetonitrile</t>
  </si>
  <si>
    <t>3018-12-0</t>
  </si>
  <si>
    <t>dichloroacetyl chloride</t>
  </si>
  <si>
    <t>79-36-7</t>
  </si>
  <si>
    <t>dichloroacetylene</t>
  </si>
  <si>
    <t>7572-29-4</t>
  </si>
  <si>
    <t>dichlorobenzene, all isomers</t>
  </si>
  <si>
    <t>25321-22-6</t>
  </si>
  <si>
    <t>dichlorodifluoromethane</t>
  </si>
  <si>
    <t>75-71-8</t>
  </si>
  <si>
    <t>dichlorodimethylsilane</t>
  </si>
  <si>
    <t>75-78-5</t>
  </si>
  <si>
    <t>dichloroethyl ether</t>
  </si>
  <si>
    <t>111-44-4</t>
  </si>
  <si>
    <t>dichlorofluoromethane</t>
  </si>
  <si>
    <t>75-43-4</t>
  </si>
  <si>
    <t>dichloroisocyanuric acid sodium salt dihydrate</t>
  </si>
  <si>
    <t>51580-86-0</t>
  </si>
  <si>
    <t>dichloromethylvinylsilane</t>
  </si>
  <si>
    <t>124-70-9</t>
  </si>
  <si>
    <t>dichlorophenoxy acetic acid</t>
  </si>
  <si>
    <t>94-75-7</t>
  </si>
  <si>
    <t>dichlorophenylisocyanate</t>
  </si>
  <si>
    <t>102-36-3</t>
  </si>
  <si>
    <t>dichloropropanes</t>
  </si>
  <si>
    <t>26638-19-7</t>
  </si>
  <si>
    <t>dichlorosilane</t>
  </si>
  <si>
    <t>4109-96-0</t>
  </si>
  <si>
    <t>Dichlorvos</t>
  </si>
  <si>
    <t>62-73-7</t>
  </si>
  <si>
    <t>dicoco alkyl amine</t>
  </si>
  <si>
    <t>61789-76-2</t>
  </si>
  <si>
    <t>dicoco alkylmethyl amine</t>
  </si>
  <si>
    <t>61788-62-3</t>
  </si>
  <si>
    <t>Dicofol</t>
  </si>
  <si>
    <t>115-32-2</t>
  </si>
  <si>
    <t>Dicrotophos</t>
  </si>
  <si>
    <t>141-66-2</t>
  </si>
  <si>
    <t>dicumyl peroxide</t>
  </si>
  <si>
    <t>80-43-3</t>
  </si>
  <si>
    <t>dicyclohexyl peroxide</t>
  </si>
  <si>
    <t>1758-61-8</t>
  </si>
  <si>
    <t>dicyclohexyl phthalate</t>
  </si>
  <si>
    <t>84-61-7</t>
  </si>
  <si>
    <t>dicyclohexylamine</t>
  </si>
  <si>
    <t>101-83-7</t>
  </si>
  <si>
    <t>dicyclopentadiene</t>
  </si>
  <si>
    <t>77-73-6</t>
  </si>
  <si>
    <t>dicyclopentadienyl iron</t>
  </si>
  <si>
    <t>102-54-5</t>
  </si>
  <si>
    <t>didecyl dimethyl ammonium chloride</t>
  </si>
  <si>
    <t>7173-51-5</t>
  </si>
  <si>
    <t>didecyl(methyl)amine oxide</t>
  </si>
  <si>
    <t>100545-50-4</t>
  </si>
  <si>
    <t>didecylmethylamine</t>
  </si>
  <si>
    <t>7396-58-9</t>
  </si>
  <si>
    <t>Dieldrin</t>
  </si>
  <si>
    <t>60-57-1</t>
  </si>
  <si>
    <t>Dienochlor</t>
  </si>
  <si>
    <t>2227-17-0</t>
  </si>
  <si>
    <t>diesel engine exhaust</t>
  </si>
  <si>
    <t>diesel fuel</t>
  </si>
  <si>
    <t>68334-30-5</t>
  </si>
  <si>
    <t>diesel fuel #2</t>
  </si>
  <si>
    <t>68476-34-6</t>
  </si>
  <si>
    <t>diethanolamine</t>
  </si>
  <si>
    <t>111-42-2</t>
  </si>
  <si>
    <t>diethoxymethane</t>
  </si>
  <si>
    <t>462-95-3</t>
  </si>
  <si>
    <t>diethyl aluminum chloride</t>
  </si>
  <si>
    <t>96-10-6</t>
  </si>
  <si>
    <t>diethyl butyral</t>
  </si>
  <si>
    <t>26254-89-7</t>
  </si>
  <si>
    <t>diethyl carbonate</t>
  </si>
  <si>
    <t>105-58-8 (PM)</t>
  </si>
  <si>
    <t>105-58-8 (Vapor)</t>
  </si>
  <si>
    <t>diethyl disulfide</t>
  </si>
  <si>
    <t>110-81-6</t>
  </si>
  <si>
    <t>diethyl ether</t>
  </si>
  <si>
    <t>60-29-7</t>
  </si>
  <si>
    <t>diethyl fumarate</t>
  </si>
  <si>
    <t>623-91-6</t>
  </si>
  <si>
    <t>diethyl maleate</t>
  </si>
  <si>
    <t>141-05-9</t>
  </si>
  <si>
    <t>diethyl malonate</t>
  </si>
  <si>
    <t>105-53-3</t>
  </si>
  <si>
    <t>diethyl naphthalene</t>
  </si>
  <si>
    <t>31831-35-3</t>
  </si>
  <si>
    <t>diethyl oxalate</t>
  </si>
  <si>
    <t>95-92-1</t>
  </si>
  <si>
    <t>diethyl phosphorochlorodithioate</t>
  </si>
  <si>
    <t>2524-04-1</t>
  </si>
  <si>
    <t>diethyl phthalate</t>
  </si>
  <si>
    <t>84-66-2</t>
  </si>
  <si>
    <t>diethyl succinate</t>
  </si>
  <si>
    <t>123-25-1</t>
  </si>
  <si>
    <t>diethyl sulfate</t>
  </si>
  <si>
    <t>64-67-5</t>
  </si>
  <si>
    <t>diethyl sulfide</t>
  </si>
  <si>
    <t>352-93-2</t>
  </si>
  <si>
    <t>diethyl-1,2-dihydro-1-phenyl-2-propylpyridine</t>
  </si>
  <si>
    <t>34562-31-7</t>
  </si>
  <si>
    <t>diethylamine</t>
  </si>
  <si>
    <t>109-89-7</t>
  </si>
  <si>
    <t>diethylaminotrimethylsilane</t>
  </si>
  <si>
    <t>996-50-9</t>
  </si>
  <si>
    <t>diethylammonium phosphate</t>
  </si>
  <si>
    <t>68109-72-8 (Not Defined)</t>
  </si>
  <si>
    <t>68109-72-8 (PM)</t>
  </si>
  <si>
    <t>diethylbenzene, mixed isomers</t>
  </si>
  <si>
    <t>25340-17-4</t>
  </si>
  <si>
    <t>diethylene glycol</t>
  </si>
  <si>
    <t>111-46-6</t>
  </si>
  <si>
    <t>diethylene glycol bis(3-aminopropyl) ether</t>
  </si>
  <si>
    <t>4246-51-9</t>
  </si>
  <si>
    <t>diethylene glycol bis-chloroformate</t>
  </si>
  <si>
    <t>106-75-2</t>
  </si>
  <si>
    <t>diethylene glycol dimethyl ether</t>
  </si>
  <si>
    <t>111-96-6</t>
  </si>
  <si>
    <t>diethylene glycol di-n-butyl ether</t>
  </si>
  <si>
    <t>112-73-2</t>
  </si>
  <si>
    <t>diethylene glycol divinyl ether</t>
  </si>
  <si>
    <t>764-99-8</t>
  </si>
  <si>
    <t>diethylene glycol ethyl ether</t>
  </si>
  <si>
    <t>111-90-0</t>
  </si>
  <si>
    <t>diethylene glycol ethyl methyl ether</t>
  </si>
  <si>
    <t>1002-67-1</t>
  </si>
  <si>
    <t>diethylene glycol ethyl vinyl ether</t>
  </si>
  <si>
    <t>10143-53-0</t>
  </si>
  <si>
    <t>diethylene glycol mono-2-ethylhexyl ether</t>
  </si>
  <si>
    <t>1559-36-0</t>
  </si>
  <si>
    <t>diethylene glycol mono-2-methyl pentyl ether</t>
  </si>
  <si>
    <t>10143-56-3</t>
  </si>
  <si>
    <t>diethylene glycol monobutyl ether</t>
  </si>
  <si>
    <t>112-34-5</t>
  </si>
  <si>
    <t>diethylene glycol monobutyl ether acetate</t>
  </si>
  <si>
    <t>124-17-4</t>
  </si>
  <si>
    <t>diethylene glycol monoethyl ether acetate</t>
  </si>
  <si>
    <t>112-15-2</t>
  </si>
  <si>
    <t>diethylene glycol monohexyl ether</t>
  </si>
  <si>
    <t>112-59-4</t>
  </si>
  <si>
    <t>diethylene glycol monoisobutyl ether</t>
  </si>
  <si>
    <t>18912-80-6</t>
  </si>
  <si>
    <t>diethylene glycol monomethyl ether</t>
  </si>
  <si>
    <t>111-77-3</t>
  </si>
  <si>
    <t>diethylene glycol monophenyl ether</t>
  </si>
  <si>
    <t>104-68-7</t>
  </si>
  <si>
    <t>diethylene glycol monopropyl ether</t>
  </si>
  <si>
    <t>6881-94-3</t>
  </si>
  <si>
    <t>diethylene glycol monovinyl ether</t>
  </si>
  <si>
    <t>929-37-3</t>
  </si>
  <si>
    <t>diethylene glycol phthalic anhydride polymer</t>
  </si>
  <si>
    <t>32472-85-8</t>
  </si>
  <si>
    <t>diethylenetoluenediamine</t>
  </si>
  <si>
    <t>68479-98-1</t>
  </si>
  <si>
    <t>diethylenetriamine</t>
  </si>
  <si>
    <t>111-40-0</t>
  </si>
  <si>
    <t>diethylenetriamine hydrochloride</t>
  </si>
  <si>
    <t>21120-99-0</t>
  </si>
  <si>
    <t>diethylenetriamine penta(methylenephosphonic acid) sodium salt</t>
  </si>
  <si>
    <t>22042-96-2</t>
  </si>
  <si>
    <t>diethylenetriamine pentacetic acid</t>
  </si>
  <si>
    <t>67-43-6</t>
  </si>
  <si>
    <t>diethylthiourea</t>
  </si>
  <si>
    <t>105-55-5</t>
  </si>
  <si>
    <t>diethylzinc</t>
  </si>
  <si>
    <t>557-20-0</t>
  </si>
  <si>
    <t>difluorodibromomethane</t>
  </si>
  <si>
    <t>75-61-6</t>
  </si>
  <si>
    <t>difluoromethane</t>
  </si>
  <si>
    <t>75-10-5</t>
  </si>
  <si>
    <t>diglycidyl bisphenol A ether</t>
  </si>
  <si>
    <t>1675-54-3 (Not Defined)</t>
  </si>
  <si>
    <t>1675-54-3 (PM)</t>
  </si>
  <si>
    <t>diglycidyl ether</t>
  </si>
  <si>
    <t>2238-07-5</t>
  </si>
  <si>
    <t>diglycidyl resorcinol ether</t>
  </si>
  <si>
    <t>101-90-6 (PM)</t>
  </si>
  <si>
    <t>101-90-6 (Vapor)</t>
  </si>
  <si>
    <t>dihexylphosphine</t>
  </si>
  <si>
    <t>24674-43-9</t>
  </si>
  <si>
    <t>dihydro-2,5-furandione, mono-C15-20-alkenyl derivs.</t>
  </si>
  <si>
    <t>68784-12-3</t>
  </si>
  <si>
    <t>dihydro-3,5-dimethyl-2(3H)-furanone</t>
  </si>
  <si>
    <t>5145-01-7</t>
  </si>
  <si>
    <t>dihydro-5-pentyl-2(3H)-furanone</t>
  </si>
  <si>
    <t>104-61-0</t>
  </si>
  <si>
    <t>dihydromyrcenol</t>
  </si>
  <si>
    <t>18479-58-8</t>
  </si>
  <si>
    <t>dihydrosafrole</t>
  </si>
  <si>
    <t>94-58-6</t>
  </si>
  <si>
    <t>dihydroxymethyl furatrizine</t>
  </si>
  <si>
    <t>794-93-4</t>
  </si>
  <si>
    <t>diindolo[3,2-b:3',2'-m]triphenodioxazine,8,18-dichloro-5,15-diethyl-5,15-dihydro-, (5-methyl-1H-imidazol-4-yl)methylderivs</t>
  </si>
  <si>
    <t>128973-76-2</t>
  </si>
  <si>
    <t>diiodomethane</t>
  </si>
  <si>
    <t>75-11-6</t>
  </si>
  <si>
    <t>diisobutyl adipate</t>
  </si>
  <si>
    <t>141-04-8 (Not Defined)</t>
  </si>
  <si>
    <t>141-04-8 (PM)</t>
  </si>
  <si>
    <t>diisobutyl glutarate</t>
  </si>
  <si>
    <t>71195-64-7</t>
  </si>
  <si>
    <t>diisobutyl phthalate</t>
  </si>
  <si>
    <t>84-69-5</t>
  </si>
  <si>
    <t>diisobutyl succinate</t>
  </si>
  <si>
    <t>925-06-4</t>
  </si>
  <si>
    <t>diisobutylamine</t>
  </si>
  <si>
    <t>110-96-3</t>
  </si>
  <si>
    <t>diisobutylene</t>
  </si>
  <si>
    <t>25167-70-8</t>
  </si>
  <si>
    <t>diisodecyl adipate</t>
  </si>
  <si>
    <t>27178-16-1 (Not Defined)</t>
  </si>
  <si>
    <t>27178-16-1 (PM)</t>
  </si>
  <si>
    <t>diisodecyl phenyl phosphate</t>
  </si>
  <si>
    <t>51363-64-5 (Not Defined)</t>
  </si>
  <si>
    <t>51363-64-5 (PM)</t>
  </si>
  <si>
    <t>diisodecyl phthalate</t>
  </si>
  <si>
    <t>26761-40-0</t>
  </si>
  <si>
    <t>diisononyl adipate</t>
  </si>
  <si>
    <t>33703-08-1</t>
  </si>
  <si>
    <t>diisononyl phthalate</t>
  </si>
  <si>
    <t>28553-12-0</t>
  </si>
  <si>
    <t>diisooctyl adipate</t>
  </si>
  <si>
    <t>1330-86-5 (Not Defined)</t>
  </si>
  <si>
    <t>1330-86-5 (PM)</t>
  </si>
  <si>
    <t>diisopropanolamine</t>
  </si>
  <si>
    <t>110-97-4</t>
  </si>
  <si>
    <t>diisopropoxy di(ethoxyacetoacetyl) titanate</t>
  </si>
  <si>
    <t>27858-32-8</t>
  </si>
  <si>
    <t>diisopropyl disulfide</t>
  </si>
  <si>
    <t>4253-89-9</t>
  </si>
  <si>
    <t>diisopropyl ether</t>
  </si>
  <si>
    <t>108-20-3</t>
  </si>
  <si>
    <t>diisopropyl ketone</t>
  </si>
  <si>
    <t>565-80-0</t>
  </si>
  <si>
    <t>diisopropyl phosphonate</t>
  </si>
  <si>
    <t>1809-20-7</t>
  </si>
  <si>
    <t>diisopropyl succinate</t>
  </si>
  <si>
    <t>924-88-9</t>
  </si>
  <si>
    <t>diisopropyl-1,1'-biphenyl</t>
  </si>
  <si>
    <t>69009-90-1</t>
  </si>
  <si>
    <t>diisopropylamine</t>
  </si>
  <si>
    <t>108-18-9</t>
  </si>
  <si>
    <t>diisopropylbenzene, all isomers</t>
  </si>
  <si>
    <t>diisopropylbenzene, mixture of m- and p- isomers</t>
  </si>
  <si>
    <t>25321-09-9</t>
  </si>
  <si>
    <t>diisopropylnaphthalene</t>
  </si>
  <si>
    <t>38640-62-9</t>
  </si>
  <si>
    <t>diisopropylnaphthalenesulphonic acid, compound with cyclohexylamine (1:1)</t>
  </si>
  <si>
    <t>68425-61-6 (Not Defined)</t>
  </si>
  <si>
    <t>68425-61-6 (PM)</t>
  </si>
  <si>
    <t>dilauroyl peroxide</t>
  </si>
  <si>
    <t>105-74-8</t>
  </si>
  <si>
    <t>dimer acid, hydrogenated</t>
  </si>
  <si>
    <t>68783-41-5 (PM)</t>
  </si>
  <si>
    <t>68783-41-5 (Vapor)</t>
  </si>
  <si>
    <t>dimethenamid</t>
  </si>
  <si>
    <t>87674-68-8</t>
  </si>
  <si>
    <t>dimethoxy(dimethyl)silane</t>
  </si>
  <si>
    <t>1112-39-6</t>
  </si>
  <si>
    <t>dimethoxymethane</t>
  </si>
  <si>
    <t>109-87-5</t>
  </si>
  <si>
    <t>dimethyl acetoacetamide</t>
  </si>
  <si>
    <t>2044-64-6</t>
  </si>
  <si>
    <t>dimethyl acetylenedicarboxylate</t>
  </si>
  <si>
    <t>762-42-5</t>
  </si>
  <si>
    <t>dimethyl adipate</t>
  </si>
  <si>
    <t>627-93-0 (Not Defined)</t>
  </si>
  <si>
    <t>627-93-0 (PM)</t>
  </si>
  <si>
    <t>dimethyl aminopropylene</t>
  </si>
  <si>
    <t>2978-60-1</t>
  </si>
  <si>
    <t>dimethyl carbonate</t>
  </si>
  <si>
    <t>616-38-6</t>
  </si>
  <si>
    <t>dimethyl dihydrogen diphosphate</t>
  </si>
  <si>
    <t>26644-00-8</t>
  </si>
  <si>
    <t>dimethyl disulfide</t>
  </si>
  <si>
    <t>624-92-0</t>
  </si>
  <si>
    <t>dimethyl ether</t>
  </si>
  <si>
    <t>115-10-6</t>
  </si>
  <si>
    <t>dimethyl glutarate</t>
  </si>
  <si>
    <t>1119-40-0</t>
  </si>
  <si>
    <t>dimethyl hexynediol</t>
  </si>
  <si>
    <t>142-30-3</t>
  </si>
  <si>
    <t>dimethyl methyl phenyl methoxysiloxane</t>
  </si>
  <si>
    <t>68952-93-2</t>
  </si>
  <si>
    <t>dimethyl oleyl amine</t>
  </si>
  <si>
    <t>28061-69-0</t>
  </si>
  <si>
    <t>dimethyl pentane, all isomers</t>
  </si>
  <si>
    <t>dimethyl phthalate</t>
  </si>
  <si>
    <t>131-11-3</t>
  </si>
  <si>
    <t>dimethyl propanolamine</t>
  </si>
  <si>
    <t>3179-63-3</t>
  </si>
  <si>
    <t>dimethyl sebacate</t>
  </si>
  <si>
    <t>106-79-6</t>
  </si>
  <si>
    <t>dimethyl succinate</t>
  </si>
  <si>
    <t>106-65-0</t>
  </si>
  <si>
    <t>dimethyl sulfate</t>
  </si>
  <si>
    <t>77-78-1</t>
  </si>
  <si>
    <t>dimethyl sulfide</t>
  </si>
  <si>
    <t>75-18-3</t>
  </si>
  <si>
    <t>dimethyl sulfone</t>
  </si>
  <si>
    <t>67-71-0</t>
  </si>
  <si>
    <t>dimethyl sulfoxide</t>
  </si>
  <si>
    <t>67-68-5</t>
  </si>
  <si>
    <t>dimethyl terephthalate</t>
  </si>
  <si>
    <t>120-61-6</t>
  </si>
  <si>
    <t>dimethyl thionates</t>
  </si>
  <si>
    <t>dimethyl zinc</t>
  </si>
  <si>
    <t>544-97-8</t>
  </si>
  <si>
    <t>dimethyl, phenyl siloxane, methoxy-terminated</t>
  </si>
  <si>
    <t>68957-04-0</t>
  </si>
  <si>
    <t>dimethylacetamide</t>
  </si>
  <si>
    <t>127-19-5</t>
  </si>
  <si>
    <t>dimethylacrylamide</t>
  </si>
  <si>
    <t>2680-03-7</t>
  </si>
  <si>
    <t>dimethylacrylamide polymer</t>
  </si>
  <si>
    <t>26793-34-0</t>
  </si>
  <si>
    <t>dimethylamide of organic acid</t>
  </si>
  <si>
    <t>68308-74-7</t>
  </si>
  <si>
    <t>dimethylamine</t>
  </si>
  <si>
    <t>124-40-3</t>
  </si>
  <si>
    <t>dimethylamine borane</t>
  </si>
  <si>
    <t>74-94-2</t>
  </si>
  <si>
    <t>dimethylamino (2S)-2-(4-chloro-2-methyl-phenoxy)propanoate</t>
  </si>
  <si>
    <t>66423-09-4</t>
  </si>
  <si>
    <t>dimethylaminoethoxyethanol</t>
  </si>
  <si>
    <t>1704-62-7</t>
  </si>
  <si>
    <t>dimethylaminoethyl methacrylate</t>
  </si>
  <si>
    <t>2867-47-2</t>
  </si>
  <si>
    <t>dimethylbenzene sulfonic acid, sodium salt</t>
  </si>
  <si>
    <t>39340-93-7 (PM)</t>
  </si>
  <si>
    <t>39340-93-7 (Vapor)</t>
  </si>
  <si>
    <t>dimethylbis[2-[(1-oxooctadecyl)oxy]ethyl]ammonium chloride</t>
  </si>
  <si>
    <t>67846-68-8</t>
  </si>
  <si>
    <t>dimethylcarbamoyl chloride</t>
  </si>
  <si>
    <t>79-44-7</t>
  </si>
  <si>
    <t>dimethylcyclopentane, all isomers</t>
  </si>
  <si>
    <t>dimethyldipropylammonium hydroxide</t>
  </si>
  <si>
    <t>836597-65-0</t>
  </si>
  <si>
    <t>dimethylethoxysilane</t>
  </si>
  <si>
    <t>14857-34-2</t>
  </si>
  <si>
    <t>dimethylethyl benzene</t>
  </si>
  <si>
    <t>98-06-6</t>
  </si>
  <si>
    <t>dimethylformamide</t>
  </si>
  <si>
    <t>68-12-2</t>
  </si>
  <si>
    <t>dimethylisopropylamine</t>
  </si>
  <si>
    <t>598-74-3</t>
  </si>
  <si>
    <t>dimethylnaphthalene (mixed isomers)</t>
  </si>
  <si>
    <t>28804-88-8</t>
  </si>
  <si>
    <t>dimethyloctylamine</t>
  </si>
  <si>
    <t>7378-99-6</t>
  </si>
  <si>
    <t>dimethylolpropionic acid</t>
  </si>
  <si>
    <t>4767-03-7</t>
  </si>
  <si>
    <t>dimethylphenethylamine</t>
  </si>
  <si>
    <t>122-09-8</t>
  </si>
  <si>
    <t>dimethylpiperazine</t>
  </si>
  <si>
    <t>25155-35-5</t>
  </si>
  <si>
    <t>dimethylpropylamine</t>
  </si>
  <si>
    <t>926-63-6</t>
  </si>
  <si>
    <t>dimethylsoya alkyl amine</t>
  </si>
  <si>
    <t>61788-91-8</t>
  </si>
  <si>
    <t>dimethyl-substituted cyclosiloxanes</t>
  </si>
  <si>
    <t>69430-24-6 (PM)</t>
  </si>
  <si>
    <t>69430-24-6 (Vapor)</t>
  </si>
  <si>
    <t>dimethyltallow alkyl amine</t>
  </si>
  <si>
    <t>68814-69-7</t>
  </si>
  <si>
    <t>dimethyltin bis(2-ethylhexylmercaptoacetate)</t>
  </si>
  <si>
    <t>57583-35-4</t>
  </si>
  <si>
    <t>dimethylvinyl chloride</t>
  </si>
  <si>
    <t>513-37-1</t>
  </si>
  <si>
    <t>dinaphtho[1,2,3-cd:1',2',3'-lm]perylene-9,18-dione, lauryl derivs.</t>
  </si>
  <si>
    <t>68411-75-6</t>
  </si>
  <si>
    <t>dinitrobenzene, all isomers</t>
  </si>
  <si>
    <t>dinitrogen tetraoxide</t>
  </si>
  <si>
    <t>10544-72-6</t>
  </si>
  <si>
    <t>dinitrotoluene, mixed isomers</t>
  </si>
  <si>
    <t>25321-14-6</t>
  </si>
  <si>
    <t>di-n-octyl phthalate</t>
  </si>
  <si>
    <t>117-84-0</t>
  </si>
  <si>
    <t>dinonyl phenol</t>
  </si>
  <si>
    <t>1323-65-5</t>
  </si>
  <si>
    <t>dinonyl phenol branched, ethoxylate</t>
  </si>
  <si>
    <t>68891-21-4</t>
  </si>
  <si>
    <t>dinonylnaphthylsulfonic acid</t>
  </si>
  <si>
    <t>25322-17-2 (Not Defined)</t>
  </si>
  <si>
    <t>25322-17-2 (PM)</t>
  </si>
  <si>
    <t>dinoseb</t>
  </si>
  <si>
    <t>88-85-7</t>
  </si>
  <si>
    <t>di-n-undecyl phthalate</t>
  </si>
  <si>
    <t>85507-79-5</t>
  </si>
  <si>
    <t>dioctyl azelate</t>
  </si>
  <si>
    <t>103-24-2</t>
  </si>
  <si>
    <t>dioctyl disulfide</t>
  </si>
  <si>
    <t>822-27-5</t>
  </si>
  <si>
    <t>dioctyl sodium sulfosuccinate</t>
  </si>
  <si>
    <t>577-11-7</t>
  </si>
  <si>
    <t>dioctyl terephthalate</t>
  </si>
  <si>
    <t>6422-86-2</t>
  </si>
  <si>
    <t>dioctyldimethylammonium chloride</t>
  </si>
  <si>
    <t>5538-94-3</t>
  </si>
  <si>
    <t>dioctyldiphenylamine</t>
  </si>
  <si>
    <t>101-67-7</t>
  </si>
  <si>
    <t>Dioxathion</t>
  </si>
  <si>
    <t>78-34-2</t>
  </si>
  <si>
    <t>dioxazine carbozole pigment</t>
  </si>
  <si>
    <t>4378-61-4</t>
  </si>
  <si>
    <t>dipentaerythritol</t>
  </si>
  <si>
    <t>126-58-9</t>
  </si>
  <si>
    <t>dipentaerythritol pentaacrylate</t>
  </si>
  <si>
    <t>60506-81-2</t>
  </si>
  <si>
    <t>dipentene hydrocarbons</t>
  </si>
  <si>
    <t>68956-56-9</t>
  </si>
  <si>
    <t>dipentyl phthalate</t>
  </si>
  <si>
    <t>131-18-0</t>
  </si>
  <si>
    <t>diphenhramine hydrochloride</t>
  </si>
  <si>
    <t>147-24-0</t>
  </si>
  <si>
    <t>diphenyl ether</t>
  </si>
  <si>
    <t>101-84-8</t>
  </si>
  <si>
    <t>diphenyl phosphoric acid</t>
  </si>
  <si>
    <t>838-85-7</t>
  </si>
  <si>
    <t>diphenyl(2,4,6-trimethylbenzoyl)phosphine oxide</t>
  </si>
  <si>
    <t>75980-60-8</t>
  </si>
  <si>
    <t>di-phenyl, methyl-phenyl siloxanes and silicones, polymers with methyl-phenyl silsesquioxanes</t>
  </si>
  <si>
    <t>68037-81-0 (PM)</t>
  </si>
  <si>
    <t>68037-81-0 (Vapor)</t>
  </si>
  <si>
    <t>diphenylamine</t>
  </si>
  <si>
    <t>122-39-4</t>
  </si>
  <si>
    <t>diphenylcarboxylate</t>
  </si>
  <si>
    <t>93-99-2 (Not Defined)</t>
  </si>
  <si>
    <t>93-99-2 (PM)</t>
  </si>
  <si>
    <t>diphenyldimethoxysilane</t>
  </si>
  <si>
    <t>6843-66-9</t>
  </si>
  <si>
    <t>diphenylmethane</t>
  </si>
  <si>
    <t>101-81-5</t>
  </si>
  <si>
    <t>diphenylpropylphosphine</t>
  </si>
  <si>
    <t>7650-84-2</t>
  </si>
  <si>
    <t>diphenylpropylphosphine oxide</t>
  </si>
  <si>
    <t>4252-88-4</t>
  </si>
  <si>
    <t>diphosphoric acid, tetrapotassium salt</t>
  </si>
  <si>
    <t>7320-34-5</t>
  </si>
  <si>
    <t>dipotassium 2-ethylhexyl phosphate</t>
  </si>
  <si>
    <t>67989-97-3</t>
  </si>
  <si>
    <t>dipotassium hydrogen citrate</t>
  </si>
  <si>
    <t>3609-96-9</t>
  </si>
  <si>
    <t>dipotassium phosphite</t>
  </si>
  <si>
    <t>13492-26-7</t>
  </si>
  <si>
    <t>dipropyl disulfide</t>
  </si>
  <si>
    <t>629-19-6</t>
  </si>
  <si>
    <t>dipropyl ether</t>
  </si>
  <si>
    <t>111-43-3</t>
  </si>
  <si>
    <t>dipropyl ketone</t>
  </si>
  <si>
    <t>123-19-3</t>
  </si>
  <si>
    <t>dipropyl sulfide</t>
  </si>
  <si>
    <t>111-47-7</t>
  </si>
  <si>
    <t>dipropylamine</t>
  </si>
  <si>
    <t>142-84-7</t>
  </si>
  <si>
    <t>dipropylbenzene</t>
  </si>
  <si>
    <t>4815-57-0</t>
  </si>
  <si>
    <t>dipropylene glycol</t>
  </si>
  <si>
    <t>25265-71-8</t>
  </si>
  <si>
    <t>dipropylene glycol allyl ether</t>
  </si>
  <si>
    <t>79313-20-5</t>
  </si>
  <si>
    <t>dipropylene glycol dibenzoate</t>
  </si>
  <si>
    <t>94-51-9</t>
  </si>
  <si>
    <t>dipropylene glycol diglycidyl ether</t>
  </si>
  <si>
    <t>41638-13-5 (PM)</t>
  </si>
  <si>
    <t>41638-13-5 (Vapor)</t>
  </si>
  <si>
    <t>dipropylene glycol dimethyl ether</t>
  </si>
  <si>
    <t>111109-77-4</t>
  </si>
  <si>
    <t>dipropylene glycol monobenzoate</t>
  </si>
  <si>
    <t>32686-95-6</t>
  </si>
  <si>
    <t>dipropylene glycol monoethyl ether</t>
  </si>
  <si>
    <t>15764-24-6</t>
  </si>
  <si>
    <t>dipropylene glycol monomethyl ether</t>
  </si>
  <si>
    <t>34590-94-8</t>
  </si>
  <si>
    <t>dipropylene glycol monomethyl ether acetate</t>
  </si>
  <si>
    <t>88917-22-0</t>
  </si>
  <si>
    <t>dipropylene glycol monopropyl ether</t>
  </si>
  <si>
    <t>29911-27-1</t>
  </si>
  <si>
    <t>dipropylene glycol n-butyl ether</t>
  </si>
  <si>
    <t>29911-28-2</t>
  </si>
  <si>
    <t>dipropylene glycol phenyl ether</t>
  </si>
  <si>
    <t>51730-94-0</t>
  </si>
  <si>
    <t>dipyridinylmethane</t>
  </si>
  <si>
    <t>1132-37-2</t>
  </si>
  <si>
    <t>diquat</t>
  </si>
  <si>
    <t>231-36-7</t>
  </si>
  <si>
    <t>diquat dibromide</t>
  </si>
  <si>
    <t>85-00-7</t>
  </si>
  <si>
    <t>diquat dibromide monohydrate</t>
  </si>
  <si>
    <t>6385-62-2</t>
  </si>
  <si>
    <t>di-s-butyl disulfide</t>
  </si>
  <si>
    <t>5943-30-6</t>
  </si>
  <si>
    <t>disilane</t>
  </si>
  <si>
    <t>1590-87-0</t>
  </si>
  <si>
    <t>disiloxane, 1,3-bis(2-bicyclo4.2.0octa-1,3,5-trien-3-ylethenyl)-1,1,3,3-tetramethyl-, homopolymer</t>
  </si>
  <si>
    <t>124221-30-3 (PM)</t>
  </si>
  <si>
    <t>124221-30-3 (Vapor)</t>
  </si>
  <si>
    <t>D-isoascorbic acid</t>
  </si>
  <si>
    <t>89-65-6</t>
  </si>
  <si>
    <t>disodium [{2-[bis(carboxylatomethyl)amino]ethyl}(2-hydroxyethyl)amino]acetate</t>
  </si>
  <si>
    <t>62099-15-4 (PM)</t>
  </si>
  <si>
    <t>62099-15-4 (Vapor)</t>
  </si>
  <si>
    <t>disodium 2,2'-{1,2-ethanediylbis[(carboxymethyl)imino]}diacetate</t>
  </si>
  <si>
    <t>139-33-3</t>
  </si>
  <si>
    <t>disodium distyrybiphenyl disulfonate</t>
  </si>
  <si>
    <t>27344-41-8</t>
  </si>
  <si>
    <t>disodium ethylenediamine diacetate</t>
  </si>
  <si>
    <t>38011-25-5</t>
  </si>
  <si>
    <t>disodium iminodiacetate solution (&lt; 2% sodium hydroxide)</t>
  </si>
  <si>
    <t>928-72-3</t>
  </si>
  <si>
    <t>disodium N-[2-(carboxylatomethoxy)ethyl]-N-[2-[(1-oxododecyl)amino]ethyl]glycinate</t>
  </si>
  <si>
    <t>68298-20-4</t>
  </si>
  <si>
    <t>disodium phosphate</t>
  </si>
  <si>
    <t>7558-79-4</t>
  </si>
  <si>
    <t>disodium tetraborate anhydrous</t>
  </si>
  <si>
    <t>1330-43-4</t>
  </si>
  <si>
    <t>disoya alkyl amine</t>
  </si>
  <si>
    <t>68783-23-3</t>
  </si>
  <si>
    <t>Dispergon LFH</t>
  </si>
  <si>
    <t>114535-82-9 (PM)</t>
  </si>
  <si>
    <t>114535-82-9 (Vapor)</t>
  </si>
  <si>
    <t>dispersing agent, generic, not otherwise specified</t>
  </si>
  <si>
    <t>distearyl pentaerythritol diphosphite</t>
  </si>
  <si>
    <t>3806-34-6</t>
  </si>
  <si>
    <t>Distillate Fuel Cutterstock</t>
  </si>
  <si>
    <t>distillate, middle, sweetened</t>
  </si>
  <si>
    <t>64741-86-2</t>
  </si>
  <si>
    <t>distillates (petroleum) solvent-dewaxed heavy paraffinic</t>
  </si>
  <si>
    <t>64742-65-0</t>
  </si>
  <si>
    <t>distillates (petroleum) solvent-refined heavy paraffinic</t>
  </si>
  <si>
    <t>64741-88-4</t>
  </si>
  <si>
    <t>distillates (petroleum), acid treated, light</t>
  </si>
  <si>
    <t>64742-14-9</t>
  </si>
  <si>
    <t>distillates (petroleum), C3-6, piperylene-rich</t>
  </si>
  <si>
    <t>68477-35-0</t>
  </si>
  <si>
    <t>distillates (petroleum), catalytic reformer fractionator residue, high-boiling</t>
  </si>
  <si>
    <t>68477-29-2</t>
  </si>
  <si>
    <t>distillates (petroleum), crude oil</t>
  </si>
  <si>
    <t>68410-00-4</t>
  </si>
  <si>
    <t>distillates (petroleum), hydrotreated light</t>
  </si>
  <si>
    <t>64742-47-8</t>
  </si>
  <si>
    <t>distillates (petroleum), light catalytic cracked</t>
  </si>
  <si>
    <t>64741-59-9</t>
  </si>
  <si>
    <t>distillates (petroleum), oxidized light, strong acid components, compds. with diethanolamine</t>
  </si>
  <si>
    <t>68602-96-0</t>
  </si>
  <si>
    <t>distillates (petroleum), solvent-dewaxed light naphthenic</t>
  </si>
  <si>
    <t>64742-64-9</t>
  </si>
  <si>
    <t>distillates (petroleum), steam-cracked polymers with light steam-cracked petroleum naphtha</t>
  </si>
  <si>
    <t>68410-16-2</t>
  </si>
  <si>
    <t>distillates (petroleum), steam-cracked, polymers with acid-treated coal solvent naphtha and phenol</t>
  </si>
  <si>
    <t>68131-80-6</t>
  </si>
  <si>
    <t>distillates (petroleum), straight-run middle</t>
  </si>
  <si>
    <t>64741-44-2</t>
  </si>
  <si>
    <t>distillates [petroleum], catalytic reformer fractionator residue</t>
  </si>
  <si>
    <t>68477-31-6</t>
  </si>
  <si>
    <t>distillates, petroleum, clay treated middle</t>
  </si>
  <si>
    <t>64742-38-7</t>
  </si>
  <si>
    <t>distillates, petroleum, oxidized light</t>
  </si>
  <si>
    <t>64742-98-9</t>
  </si>
  <si>
    <t>distillates, petroleum, steam cracked, C8-12 fraction</t>
  </si>
  <si>
    <t>68477-54-3</t>
  </si>
  <si>
    <t>distillates, petroleum, vacuum</t>
  </si>
  <si>
    <t>70592-78-8</t>
  </si>
  <si>
    <t>disulfide oil</t>
  </si>
  <si>
    <t>Disulfiram</t>
  </si>
  <si>
    <t>97-77-8</t>
  </si>
  <si>
    <t>Disulfoton</t>
  </si>
  <si>
    <t>298-04-4</t>
  </si>
  <si>
    <t>di-tert-amyl peroxide</t>
  </si>
  <si>
    <t>10508-09-5</t>
  </si>
  <si>
    <t>di-tert-amyl phenol</t>
  </si>
  <si>
    <t>25231-47-4</t>
  </si>
  <si>
    <t>di-tert-butyl ether</t>
  </si>
  <si>
    <t>109-93-3</t>
  </si>
  <si>
    <t>di-tert-butyldisulfide</t>
  </si>
  <si>
    <t>110-06-5</t>
  </si>
  <si>
    <t>di-tert-nonyl polysulfide</t>
  </si>
  <si>
    <t>68425-16-1</t>
  </si>
  <si>
    <t>di-tert-octyl diphenyl oxide</t>
  </si>
  <si>
    <t>dithiocarbamate</t>
  </si>
  <si>
    <t>4384-82-1</t>
  </si>
  <si>
    <t>ditridecyl phthalate</t>
  </si>
  <si>
    <t>119-06-2</t>
  </si>
  <si>
    <t>Diuron</t>
  </si>
  <si>
    <t>330-54-1</t>
  </si>
  <si>
    <t>Diutan gum</t>
  </si>
  <si>
    <t>125005-87-0</t>
  </si>
  <si>
    <t>divinylbenzene</t>
  </si>
  <si>
    <t>1321-74-0</t>
  </si>
  <si>
    <t>d-limonene</t>
  </si>
  <si>
    <t>5989-27-5</t>
  </si>
  <si>
    <t>docosanamide</t>
  </si>
  <si>
    <t>3061-75-4</t>
  </si>
  <si>
    <t>docosane</t>
  </si>
  <si>
    <t>629-97-0</t>
  </si>
  <si>
    <t>docusate potassium</t>
  </si>
  <si>
    <t>7491-09-0</t>
  </si>
  <si>
    <t>dodecamethylcyclohexasiloxane</t>
  </si>
  <si>
    <t>540-97-6</t>
  </si>
  <si>
    <t>dodecamethylpentasiloxane</t>
  </si>
  <si>
    <t>141-63-9</t>
  </si>
  <si>
    <t>dodecan-1-ol</t>
  </si>
  <si>
    <t>8032-10-8</t>
  </si>
  <si>
    <t>dodecane</t>
  </si>
  <si>
    <t>112-40-3</t>
  </si>
  <si>
    <t>dodecanedioic acid</t>
  </si>
  <si>
    <t>693-23-2</t>
  </si>
  <si>
    <t>dodecanethiols</t>
  </si>
  <si>
    <t>1322-36-7</t>
  </si>
  <si>
    <t>dodecene polymer with butene</t>
  </si>
  <si>
    <t>28208-17-5</t>
  </si>
  <si>
    <t>dodecene polymer with hexene</t>
  </si>
  <si>
    <t>86797-81-1</t>
  </si>
  <si>
    <t>dodecene, predominantly linear</t>
  </si>
  <si>
    <t>25378-22-7</t>
  </si>
  <si>
    <t>dodecene-1-sulfonic acid, sodium salt</t>
  </si>
  <si>
    <t>30965-85-6</t>
  </si>
  <si>
    <t>dodecenylsuccinic anhydride</t>
  </si>
  <si>
    <t>25377-73-5</t>
  </si>
  <si>
    <t>dodecenylsuccinic anhydride, mixture of isomers</t>
  </si>
  <si>
    <t>26544-38-7</t>
  </si>
  <si>
    <t>dodecyl 2-methylacrylate</t>
  </si>
  <si>
    <t>142-90-5</t>
  </si>
  <si>
    <t>dodecyl acetate</t>
  </si>
  <si>
    <t>112-66-3</t>
  </si>
  <si>
    <t>dodecyl alcohol ethoxylates</t>
  </si>
  <si>
    <t>9002-92-0 (PM)</t>
  </si>
  <si>
    <t>9002-92-0 (Vapor)</t>
  </si>
  <si>
    <t>dodecyl aldehyde</t>
  </si>
  <si>
    <t>112-54-9</t>
  </si>
  <si>
    <t>dodecyl cyclohexane (C17 and above)</t>
  </si>
  <si>
    <t>1795-17-1</t>
  </si>
  <si>
    <t>dodecyl methyl sulfide</t>
  </si>
  <si>
    <t>3698-89-3</t>
  </si>
  <si>
    <t>dodecyl sulfide</t>
  </si>
  <si>
    <t>2469-45-6</t>
  </si>
  <si>
    <t>dodecyl(sulfophenoxy)benzenesulfonic acid, sodium salt</t>
  </si>
  <si>
    <t>28519-02-0 (PM)</t>
  </si>
  <si>
    <t>28519-02-0 (Vapor)</t>
  </si>
  <si>
    <t>dodecylamine</t>
  </si>
  <si>
    <t>124-22-1</t>
  </si>
  <si>
    <t>dodecylbenzene sulfonic acid, amine salt</t>
  </si>
  <si>
    <t>29061-63-0 (PM)</t>
  </si>
  <si>
    <t>29061-63-0 (Vapor)</t>
  </si>
  <si>
    <t>dodecylbenzene sulfonic acid, ammonium salt</t>
  </si>
  <si>
    <t>1331-61-9 (PM)</t>
  </si>
  <si>
    <t>1331-61-9 (Vapor)</t>
  </si>
  <si>
    <t>dodecylbenzene sulfonic acid, branched</t>
  </si>
  <si>
    <t>68411-32-5 (PM)</t>
  </si>
  <si>
    <t>68411-32-5 (Vapor)</t>
  </si>
  <si>
    <t>dodecylbenzene sulfonic acid, compound with 2-aminoethanol (1:1)</t>
  </si>
  <si>
    <t>26836-07-7 (PM)</t>
  </si>
  <si>
    <t>26836-07-7 (Vapor)</t>
  </si>
  <si>
    <t>dodecylbenzenesulfonic acid</t>
  </si>
  <si>
    <t>27176-87-0 (PM)</t>
  </si>
  <si>
    <t>27176-87-0 (Vapor)</t>
  </si>
  <si>
    <t>dodecylbenzenesulfonic acid, branched, calcium salts</t>
  </si>
  <si>
    <t>70528-83-5</t>
  </si>
  <si>
    <t>dodecylbenzenesulfonic acid, branched, compd. with 2-propanamine</t>
  </si>
  <si>
    <t>90218-35-2 (PM)</t>
  </si>
  <si>
    <t>90218-35-2 (Vapor)</t>
  </si>
  <si>
    <t>dodecylbenzenesulfonic acid, branched, compds. with ethanolamine</t>
  </si>
  <si>
    <t>68953-98-0</t>
  </si>
  <si>
    <t>dodecylbenzenesulfonic acid, calcium salt</t>
  </si>
  <si>
    <t>26264-06-2 (PM)</t>
  </si>
  <si>
    <t>26264-06-2 (Vapor)</t>
  </si>
  <si>
    <t>dodecylbenzenesulfonic acid, compds. with ammonia-ethylene glycol reaction product morpholine derivs. residues</t>
  </si>
  <si>
    <t>68955-71-5 (Not Defined)</t>
  </si>
  <si>
    <t>68955-71-5 (PM)</t>
  </si>
  <si>
    <t>dodecylbenzenesulfonic acid, compound with 2,2'-iminobis[ethanol]</t>
  </si>
  <si>
    <t>26545-53-9 (PM)</t>
  </si>
  <si>
    <t>26545-53-9 (Vapor)</t>
  </si>
  <si>
    <t>dodecylbenzenesulfonic acid, compound with 2-propanamine (1:1)</t>
  </si>
  <si>
    <t>26264-05-1 (PM)</t>
  </si>
  <si>
    <t>26264-05-1 (Vapor)</t>
  </si>
  <si>
    <t>dotriacontane</t>
  </si>
  <si>
    <t>544-85-4</t>
  </si>
  <si>
    <t>drilling mud oil</t>
  </si>
  <si>
    <t>D-sorbitol</t>
  </si>
  <si>
    <t>50-70-4</t>
  </si>
  <si>
    <t>D-trans Allethrin</t>
  </si>
  <si>
    <t>28057-48-9</t>
  </si>
  <si>
    <t>eicosane</t>
  </si>
  <si>
    <t>112-95-8</t>
  </si>
  <si>
    <t>Empigen BS</t>
  </si>
  <si>
    <t>128770-26-3 (PM)</t>
  </si>
  <si>
    <t>128770-26-3 (Vapor)</t>
  </si>
  <si>
    <t>Endosulfan</t>
  </si>
  <si>
    <t>115-29-7</t>
  </si>
  <si>
    <t>Endrin</t>
  </si>
  <si>
    <t>72-20-8</t>
  </si>
  <si>
    <t>enflurane</t>
  </si>
  <si>
    <t>13838-16-9</t>
  </si>
  <si>
    <t>ENGAGE POLYOLEFIN ELASTOMER (99% copolymer of ethylene + octene-1))</t>
  </si>
  <si>
    <t>26221-73-8</t>
  </si>
  <si>
    <t>Epal fungicide</t>
  </si>
  <si>
    <t>39148-24-8</t>
  </si>
  <si>
    <t>epichlorohydrin</t>
  </si>
  <si>
    <t>106-89-8</t>
  </si>
  <si>
    <t>epichlorohydrin, bisphenol A, methacrylic acid polymer</t>
  </si>
  <si>
    <t>36425-15-7 (PM)</t>
  </si>
  <si>
    <t>36425-15-7 (Vapor)</t>
  </si>
  <si>
    <t>epinephrine</t>
  </si>
  <si>
    <t>51-43-4</t>
  </si>
  <si>
    <t>epoxy copolymer</t>
  </si>
  <si>
    <t>61788-97-4</t>
  </si>
  <si>
    <t>epoxy cylcohexylmethyl 3,4-epoxycycloheane carboxylate</t>
  </si>
  <si>
    <t>2386-87-0</t>
  </si>
  <si>
    <t>epoxy ether of alkylphenol (cashew, nutshell liq glycidyl ethers)</t>
  </si>
  <si>
    <t>171263-25-5</t>
  </si>
  <si>
    <t>epoxy hardener</t>
  </si>
  <si>
    <t>38294-69-8</t>
  </si>
  <si>
    <t>epoxy phenol novolac</t>
  </si>
  <si>
    <t>9003-36-5</t>
  </si>
  <si>
    <t>epoxy polyamine adduct</t>
  </si>
  <si>
    <t>epoxy terminated polysulphide polymer</t>
  </si>
  <si>
    <t>117527-71-6</t>
  </si>
  <si>
    <t>epoxy terminated urethane with diphenyl methane</t>
  </si>
  <si>
    <t>119796-38-2</t>
  </si>
  <si>
    <t>erucic acid</t>
  </si>
  <si>
    <t>112-86-7</t>
  </si>
  <si>
    <t>erythromycin</t>
  </si>
  <si>
    <t>114-07-8</t>
  </si>
  <si>
    <t>ethane</t>
  </si>
  <si>
    <t>74-84-0</t>
  </si>
  <si>
    <t>ethanol</t>
  </si>
  <si>
    <t>64-17-5</t>
  </si>
  <si>
    <t>ethanolamine hydrochloride</t>
  </si>
  <si>
    <t>2002-24-6</t>
  </si>
  <si>
    <t>ethanolamine, borate salt</t>
  </si>
  <si>
    <t>68425-67-2</t>
  </si>
  <si>
    <t>ethanolamine, organic acid salt</t>
  </si>
  <si>
    <t>ethenylbenzene, 2-ethylhexyl 2-propenoate, 2-methylpropyl 2-methyl-2-propenoate, hydroxyethyl 2-methyl-2-propenoate, 2-methyl-2-propenoic acid polymer</t>
  </si>
  <si>
    <t>72252-50-7 (PM)</t>
  </si>
  <si>
    <t>72252-50-7 (Vapor)</t>
  </si>
  <si>
    <t>ethenylbenzene, polymer with (1-methylethenyl)benzene</t>
  </si>
  <si>
    <t>68441-37-2</t>
  </si>
  <si>
    <t>ethenylbenzene, polymer with 1,3-butadiene, hydrogenated</t>
  </si>
  <si>
    <t>66070-58-4</t>
  </si>
  <si>
    <t>Ethion</t>
  </si>
  <si>
    <t>563-12-2</t>
  </si>
  <si>
    <t>Ethoprophos</t>
  </si>
  <si>
    <t>13194-48-4</t>
  </si>
  <si>
    <t>ethoxybenzene</t>
  </si>
  <si>
    <t>103-73-1</t>
  </si>
  <si>
    <t>ethoxylated di-sec-butylphenol</t>
  </si>
  <si>
    <t>53964-94-6</t>
  </si>
  <si>
    <t>ethoxylated glycerine triacrylate</t>
  </si>
  <si>
    <t>101661-95-4</t>
  </si>
  <si>
    <t>ethoxylated oleylamine</t>
  </si>
  <si>
    <t>26635-93-8</t>
  </si>
  <si>
    <t>ethoxylated phosphated nonyl phenol, triethanolamine salt</t>
  </si>
  <si>
    <t>68957-76-6</t>
  </si>
  <si>
    <t>ethoxylated propoxylated C6-10 alcohols</t>
  </si>
  <si>
    <t>68987-81-5</t>
  </si>
  <si>
    <t>ethoxylated tallow alcohols</t>
  </si>
  <si>
    <t>61791-28-4</t>
  </si>
  <si>
    <t>ethoxylated tridecyl alcohol</t>
  </si>
  <si>
    <t>24938-91-8</t>
  </si>
  <si>
    <t>ethoxymethyl polysiloxane</t>
  </si>
  <si>
    <t>67762-97-4 (PM)</t>
  </si>
  <si>
    <t>67762-97-4 (Vapor)</t>
  </si>
  <si>
    <t>ethoxypropyl acetate</t>
  </si>
  <si>
    <t>98516-30-4</t>
  </si>
  <si>
    <t>ethoxyquin</t>
  </si>
  <si>
    <t>91-53-2</t>
  </si>
  <si>
    <t>ethyl (2E)-2-butenoate</t>
  </si>
  <si>
    <t>623-70-1</t>
  </si>
  <si>
    <t>ethyl (2R)-hydroxy(phenyl)acetate</t>
  </si>
  <si>
    <t>10606-72-1 (PM)</t>
  </si>
  <si>
    <t>10606-72-1 (Vapor)</t>
  </si>
  <si>
    <t>ethyl 2-methacrylate</t>
  </si>
  <si>
    <t>97-63-2</t>
  </si>
  <si>
    <t>ethyl 3,3-di-(tert-amylperoxy) butyrate</t>
  </si>
  <si>
    <t>67567-23-1</t>
  </si>
  <si>
    <t>ethyl 3-[4-hydroxy-3,5-bis(2-methyl-2-propanyl)phenyl]propanoate</t>
  </si>
  <si>
    <t>36294-24-3</t>
  </si>
  <si>
    <t>ethyl 3-amino-4,4,4-trifluorocrotonate</t>
  </si>
  <si>
    <t>372-29-2</t>
  </si>
  <si>
    <t>ethyl 4-ethoxybenzoate</t>
  </si>
  <si>
    <t>23676-09-7</t>
  </si>
  <si>
    <t>ethyl 4-methoxybenzoate</t>
  </si>
  <si>
    <t>94-30-4</t>
  </si>
  <si>
    <t>ethyl acetate</t>
  </si>
  <si>
    <t>141-78-6</t>
  </si>
  <si>
    <t>ethyl acetoacetate</t>
  </si>
  <si>
    <t>141-97-9</t>
  </si>
  <si>
    <t>ethyl acetylene</t>
  </si>
  <si>
    <t>107-00-6</t>
  </si>
  <si>
    <t>ethyl acrylate</t>
  </si>
  <si>
    <t>140-88-5</t>
  </si>
  <si>
    <t>ethyl aluminum dichloride</t>
  </si>
  <si>
    <t>563-43-9</t>
  </si>
  <si>
    <t>ethyl aniline</t>
  </si>
  <si>
    <t>103-69-5</t>
  </si>
  <si>
    <t>ethyl benzoate</t>
  </si>
  <si>
    <t>93-89-0</t>
  </si>
  <si>
    <t>ethyl borate</t>
  </si>
  <si>
    <t>34099-73-5</t>
  </si>
  <si>
    <t>ethyl butyrate</t>
  </si>
  <si>
    <t>105-54-4</t>
  </si>
  <si>
    <t>ethyl chloroacetate</t>
  </si>
  <si>
    <t>105-39-5</t>
  </si>
  <si>
    <t>ethyl chloroformate</t>
  </si>
  <si>
    <t>541-41-3</t>
  </si>
  <si>
    <t>ethyl cyanoacetate</t>
  </si>
  <si>
    <t>105-56-6</t>
  </si>
  <si>
    <t>ethyl formate</t>
  </si>
  <si>
    <t>109-94-4</t>
  </si>
  <si>
    <t>ethyl heptanoate</t>
  </si>
  <si>
    <t>106-30-9</t>
  </si>
  <si>
    <t>ethyl hydroxyethyl cellulose</t>
  </si>
  <si>
    <t>9004-58-4</t>
  </si>
  <si>
    <t>ethyl iodide</t>
  </si>
  <si>
    <t>75-03-6</t>
  </si>
  <si>
    <t>ethyl isobutyrate</t>
  </si>
  <si>
    <t>97-62-1</t>
  </si>
  <si>
    <t>ethyl isocyanate</t>
  </si>
  <si>
    <t>542-85-8</t>
  </si>
  <si>
    <t>ethyl isopropyl ether</t>
  </si>
  <si>
    <t>625-54-7</t>
  </si>
  <si>
    <t>ethyl isopropyl ketone</t>
  </si>
  <si>
    <t>565-69-5</t>
  </si>
  <si>
    <t>ethyl isovalerate</t>
  </si>
  <si>
    <t>108-64-5</t>
  </si>
  <si>
    <t>ethyl lactate</t>
  </si>
  <si>
    <t>97-64-3</t>
  </si>
  <si>
    <t>ethyl mercaptan</t>
  </si>
  <si>
    <t>75-08-1</t>
  </si>
  <si>
    <t>ethyl methanesulfonate</t>
  </si>
  <si>
    <t>62-50-0</t>
  </si>
  <si>
    <t>ethyl methyl disulfide</t>
  </si>
  <si>
    <t>20333-39-5</t>
  </si>
  <si>
    <t>ethyl methyl siloxane, 2-phenyl propyl methyl siloxane copolymer</t>
  </si>
  <si>
    <t>68037-77-4 (PM)</t>
  </si>
  <si>
    <t>68037-77-4 (Vapor)</t>
  </si>
  <si>
    <t>ethyl nitrite</t>
  </si>
  <si>
    <t>109-95-5</t>
  </si>
  <si>
    <t>ethyl n-octyl sulfide</t>
  </si>
  <si>
    <t>3698-94-0</t>
  </si>
  <si>
    <t>ethyl nonafluoroisobutyl ether</t>
  </si>
  <si>
    <t>163702-06-5</t>
  </si>
  <si>
    <t>ethyl perfluorobutyl ether</t>
  </si>
  <si>
    <t>163702-05-4</t>
  </si>
  <si>
    <t>ethyl phenylglyoxylic acid</t>
  </si>
  <si>
    <t>1603-79-8 (PM)</t>
  </si>
  <si>
    <t>1603-79-8 (Vapor)</t>
  </si>
  <si>
    <t>ethyl polysilicate</t>
  </si>
  <si>
    <t>11099-06-2 (PM)</t>
  </si>
  <si>
    <t>11099-06-2 (Vapor)</t>
  </si>
  <si>
    <t>ethyl propionate</t>
  </si>
  <si>
    <t>105-37-3</t>
  </si>
  <si>
    <t>ethyl silicate polymer</t>
  </si>
  <si>
    <t>26352-16-9 (PM)</t>
  </si>
  <si>
    <t>26352-16-9 (Vapor)</t>
  </si>
  <si>
    <t>ethyl tert-butyl ether</t>
  </si>
  <si>
    <t>637-92-3</t>
  </si>
  <si>
    <t>ethyl thioacetate</t>
  </si>
  <si>
    <t>59094-77-8</t>
  </si>
  <si>
    <t>ethyl trichloroacetate</t>
  </si>
  <si>
    <t>515-84-4</t>
  </si>
  <si>
    <t>ethyl trimethylcyclopentene butenol</t>
  </si>
  <si>
    <t>28219-61-6</t>
  </si>
  <si>
    <t>ethyl vanillin</t>
  </si>
  <si>
    <t>121-32-4</t>
  </si>
  <si>
    <t>ethyl vinyl alcohol</t>
  </si>
  <si>
    <t>25067-34-9</t>
  </si>
  <si>
    <t>ethyl(triphenyl)phosphonium acetate</t>
  </si>
  <si>
    <t>35835-94-0</t>
  </si>
  <si>
    <t>ethyl-3-ethoxypropionate</t>
  </si>
  <si>
    <t>763-69-9</t>
  </si>
  <si>
    <t>ethylamine</t>
  </si>
  <si>
    <t>75-04-7</t>
  </si>
  <si>
    <t>ethylbenzene</t>
  </si>
  <si>
    <t>100-41-4</t>
  </si>
  <si>
    <t>ethylbenzene hydroperoxide</t>
  </si>
  <si>
    <t>3071-32-7</t>
  </si>
  <si>
    <t>ethylcyanoacrylate</t>
  </si>
  <si>
    <t>7085-85-0</t>
  </si>
  <si>
    <t>ethylcyclohexane</t>
  </si>
  <si>
    <t>1678-91-7</t>
  </si>
  <si>
    <t>ethylcyclohexyl dimercaptan</t>
  </si>
  <si>
    <t>115408-95-2</t>
  </si>
  <si>
    <t>ethylcyclopentane</t>
  </si>
  <si>
    <t>1640-89-7</t>
  </si>
  <si>
    <t>ethyldimethylproylamine</t>
  </si>
  <si>
    <t>2738-06-9</t>
  </si>
  <si>
    <t>ethylene</t>
  </si>
  <si>
    <t>74-85-1</t>
  </si>
  <si>
    <t>ethylene amine</t>
  </si>
  <si>
    <t>593-67-9</t>
  </si>
  <si>
    <t>ethylene bisdithiocarbamate</t>
  </si>
  <si>
    <t>34731-32-3</t>
  </si>
  <si>
    <t>ethylene cyanohydrin</t>
  </si>
  <si>
    <t>109-78-4</t>
  </si>
  <si>
    <t>ethylene dibromide</t>
  </si>
  <si>
    <t>106-93-4</t>
  </si>
  <si>
    <t>ethylene dichloride</t>
  </si>
  <si>
    <t>107-06-2</t>
  </si>
  <si>
    <t>ethylene dimethacrylate</t>
  </si>
  <si>
    <t>97-90-5</t>
  </si>
  <si>
    <t>ethylene glycol</t>
  </si>
  <si>
    <t>107-21-1</t>
  </si>
  <si>
    <t>ethylene glycol bis(2-aminoethyl) ether</t>
  </si>
  <si>
    <t>929-59-9</t>
  </si>
  <si>
    <t>ethylene glycol bis(propylene glycol-b-ethylene glycol) ether</t>
  </si>
  <si>
    <t>53637-25-5</t>
  </si>
  <si>
    <t>ethylene glycol butyl ethyl ether</t>
  </si>
  <si>
    <t>4413-13-2</t>
  </si>
  <si>
    <t>ethylene glycol butyl vinyl ether</t>
  </si>
  <si>
    <t>4223-11-4</t>
  </si>
  <si>
    <t>ethylene glycol carbonate</t>
  </si>
  <si>
    <t>96-49-1 (PM)</t>
  </si>
  <si>
    <t>96-49-1 (Vapor)</t>
  </si>
  <si>
    <t>ethylene glycol diacetate</t>
  </si>
  <si>
    <t>111-55-7</t>
  </si>
  <si>
    <t>ethylene glycol diallyl ether</t>
  </si>
  <si>
    <t>7529-27-3</t>
  </si>
  <si>
    <t>ethylene glycol dibutyl ether</t>
  </si>
  <si>
    <t>112-48-1</t>
  </si>
  <si>
    <t>ethylene glycol diethyl ether</t>
  </si>
  <si>
    <t>629-14-1</t>
  </si>
  <si>
    <t>ethylene glycol dinitrate</t>
  </si>
  <si>
    <t>628-96-6</t>
  </si>
  <si>
    <t>ethylene glycol mono-2-ethylhexyl ether (EEH)</t>
  </si>
  <si>
    <t>1559-35-9</t>
  </si>
  <si>
    <t>ethylene glycol mono-2-methylpentyl ether</t>
  </si>
  <si>
    <t>10137-96-9</t>
  </si>
  <si>
    <t>ethylene glycol monoacetate</t>
  </si>
  <si>
    <t>542-59-6</t>
  </si>
  <si>
    <t>ethylene glycol monohexyl ether</t>
  </si>
  <si>
    <t>112-25-4</t>
  </si>
  <si>
    <t>ethylene glycol monoisobutyl ether</t>
  </si>
  <si>
    <t>4439-24-1</t>
  </si>
  <si>
    <t>ethylene glycol monopropyl ether</t>
  </si>
  <si>
    <t>2807-30-9</t>
  </si>
  <si>
    <t>ethylene glycol monopropyl ether acetate</t>
  </si>
  <si>
    <t>20706-25-6</t>
  </si>
  <si>
    <t>ethylene glycol mono-sec-butyl ether</t>
  </si>
  <si>
    <t>7795-91-7</t>
  </si>
  <si>
    <t>ethylene oxide</t>
  </si>
  <si>
    <t>75-21-8</t>
  </si>
  <si>
    <t>ethylene sulfide</t>
  </si>
  <si>
    <t>420-12-2</t>
  </si>
  <si>
    <t>ethylene thiourea</t>
  </si>
  <si>
    <t>96-45-7</t>
  </si>
  <si>
    <t>ethylenediamine</t>
  </si>
  <si>
    <t>107-15-3</t>
  </si>
  <si>
    <t>ethylenediamine ethoxylate</t>
  </si>
  <si>
    <t>27014-42-2</t>
  </si>
  <si>
    <t>ethylenediamine tetra(methylenephosphonic acid) pentasodium salt</t>
  </si>
  <si>
    <t>7651-99-2</t>
  </si>
  <si>
    <t>ethylenediamine tetrakis(ethoxylate-block-propoxylate) tetrol</t>
  </si>
  <si>
    <t>26316-40-5</t>
  </si>
  <si>
    <t>ethylenediaminetetraacetic acid</t>
  </si>
  <si>
    <t>60-00-4</t>
  </si>
  <si>
    <t>ethylenediaminetetraacetic acid diammonium copper</t>
  </si>
  <si>
    <t>67989-88-2</t>
  </si>
  <si>
    <t>ethylenediaminetetraacetic acid disodium zinc salt tetrahydrate</t>
  </si>
  <si>
    <t>176736-49-5</t>
  </si>
  <si>
    <t>ethylenediaminetetraacetic acid potassium salt</t>
  </si>
  <si>
    <t>7379-27-3</t>
  </si>
  <si>
    <t>ethylenediaminetetraacetic acid tetrapotassium salt</t>
  </si>
  <si>
    <t>5964-35-2</t>
  </si>
  <si>
    <t>ethylenediaminetetraacetic acid tetrasodium salt</t>
  </si>
  <si>
    <t>64-02-8 (PM)</t>
  </si>
  <si>
    <t>64-02-8 (Vapor)</t>
  </si>
  <si>
    <t>ethyleneimine</t>
  </si>
  <si>
    <t>151-56-4</t>
  </si>
  <si>
    <t>ethylhexyl aldehyde</t>
  </si>
  <si>
    <t>123-05-7</t>
  </si>
  <si>
    <t>ethylhexylmethyl terephthalate</t>
  </si>
  <si>
    <t>63468-13-3</t>
  </si>
  <si>
    <t>ethylidene diacetate</t>
  </si>
  <si>
    <t>542-10-9</t>
  </si>
  <si>
    <t>ethyl-n-butyl ether</t>
  </si>
  <si>
    <t>628-81-9</t>
  </si>
  <si>
    <t>ethylphenol</t>
  </si>
  <si>
    <t>25429-37-2</t>
  </si>
  <si>
    <t>ethyltoluene</t>
  </si>
  <si>
    <t>25550-14-5</t>
  </si>
  <si>
    <t>ethyltriacetoxysilane</t>
  </si>
  <si>
    <t>17689-77-9</t>
  </si>
  <si>
    <t>eucalyptol</t>
  </si>
  <si>
    <t>470-82-6</t>
  </si>
  <si>
    <t>eucalyptus citriodora oil</t>
  </si>
  <si>
    <t>129828-24-6</t>
  </si>
  <si>
    <t>eucalyptus extract</t>
  </si>
  <si>
    <t>84625-32-1</t>
  </si>
  <si>
    <t>Eucalyptus oil</t>
  </si>
  <si>
    <t>8000-48-4</t>
  </si>
  <si>
    <t>eugenol</t>
  </si>
  <si>
    <t>97-53-0</t>
  </si>
  <si>
    <t>expanded vermiculite</t>
  </si>
  <si>
    <t>1318-00-9</t>
  </si>
  <si>
    <t>extracts, petroleum, heavy naphtha solvent</t>
  </si>
  <si>
    <t>64741-98-6</t>
  </si>
  <si>
    <t>Famotidine</t>
  </si>
  <si>
    <t>76824-35-6</t>
  </si>
  <si>
    <t>Famphur</t>
  </si>
  <si>
    <t>52-85-7</t>
  </si>
  <si>
    <t>FAR-GO Herbicide</t>
  </si>
  <si>
    <t>2303-17-5</t>
  </si>
  <si>
    <t>fats and glyceridic oils, menhaden, polymd., oxidized</t>
  </si>
  <si>
    <t>68440-42-6</t>
  </si>
  <si>
    <t>fats and oils, generic, not otherwise specified</t>
  </si>
  <si>
    <t>fatty acid polydiethanolamide</t>
  </si>
  <si>
    <t>68603-38-3</t>
  </si>
  <si>
    <t>fatty acid, tall-oil</t>
  </si>
  <si>
    <t>61790-12-3 (PM)</t>
  </si>
  <si>
    <t>61790-12-3 (Vapor)</t>
  </si>
  <si>
    <t>fatty acid, tall-oil, ammonium salts</t>
  </si>
  <si>
    <t>68132-50-3 (PM)</t>
  </si>
  <si>
    <t>68132-50-3 (Vapor)</t>
  </si>
  <si>
    <t>fatty acids, C-12-20 and C12-20-unsatd</t>
  </si>
  <si>
    <t>68334-03-2 (PM)</t>
  </si>
  <si>
    <t>68334-03-2 (Vapor)</t>
  </si>
  <si>
    <t>fatty acids, C14-18 and C16-18-unsatd., 2-ethylhexyl esters</t>
  </si>
  <si>
    <t>84988-77-2 (PM)</t>
  </si>
  <si>
    <t>84988-77-2 (Vapor)</t>
  </si>
  <si>
    <t>fatty acids, C16-18 and C-18-unsatd, Me esters</t>
  </si>
  <si>
    <t>68937-81-5 (PM)</t>
  </si>
  <si>
    <t>68937-81-5 (Vapor)</t>
  </si>
  <si>
    <t>fatty acids, C16-18 and C-18-unsatd, sulfonated, ethoxylated propoxylated</t>
  </si>
  <si>
    <t>68604-43-3 (PM)</t>
  </si>
  <si>
    <t>68604-43-3 (Vapor)</t>
  </si>
  <si>
    <t>fatty acids, C16-18 and C18-unsatd.</t>
  </si>
  <si>
    <t>67701-08-0 (PM)</t>
  </si>
  <si>
    <t>67701-08-0 (Vapor)</t>
  </si>
  <si>
    <t>fatty acids, C16-18 and C18-unsatd., branched and linear</t>
  </si>
  <si>
    <t>68955-98-6 (PM)</t>
  </si>
  <si>
    <t>68955-98-6 (Vapor)</t>
  </si>
  <si>
    <t>fatty acids, C16-18 and C18-unsatd., branched and linear, Bu esters</t>
  </si>
  <si>
    <t>163961-32-8</t>
  </si>
  <si>
    <t>fatty acids, C16-18 and C18-unsatd., polymers with maleic anhydride, pentaerythritol and phthalic anhydride</t>
  </si>
  <si>
    <t>68956-04-7 (PM)</t>
  </si>
  <si>
    <t>68956-04-7 (Vapor)</t>
  </si>
  <si>
    <t>fatty acids, C16-C18-unsatd., Me esters</t>
  </si>
  <si>
    <t>67762-38-3</t>
  </si>
  <si>
    <t>fatty acids, C18-unsatd, dimers</t>
  </si>
  <si>
    <t>61788-89-4 (PM)</t>
  </si>
  <si>
    <t>61788-89-4 (Vapor)</t>
  </si>
  <si>
    <t>fatty acids, C18-unsatd, dimers, compds with 4,5-dihydro-2-nortall oil alkyl-1H-imidazole-1-ethanamine</t>
  </si>
  <si>
    <t>68390-61-4 (PM)</t>
  </si>
  <si>
    <t>68390-61-4 (Vapor)</t>
  </si>
  <si>
    <t>fatty acids, C18-unsatd, dimers, compds with diethylamine</t>
  </si>
  <si>
    <t>68154-46-1</t>
  </si>
  <si>
    <t>fatty acids, C18-unsatd, dimers, compds with ethoxylated N-tallow alkyltrimethylenediamines</t>
  </si>
  <si>
    <t>68154-48-3</t>
  </si>
  <si>
    <t>fatty acids, C18-unsatd, dimers, compds with ethoxylated propoxylated diethylenetriamine</t>
  </si>
  <si>
    <t>68911-14-8 (PM)</t>
  </si>
  <si>
    <t>68911-14-8 (Vapor)</t>
  </si>
  <si>
    <t>fatty acids, C18-unsatd, dimers, compds with N-[2-(4,5-dihydro-2-nortall-oil alkyl-1-H-imidazol-1-y)ethyl] tall-oil fatty amides</t>
  </si>
  <si>
    <t>68911-13-7 (PM)</t>
  </si>
  <si>
    <t>68911-13-7 (Vapor)</t>
  </si>
  <si>
    <t>fatty acids, C18-unsatd, dimers, compds with N-tallow alkyltrimethylenediamines</t>
  </si>
  <si>
    <t>68154-49-4</t>
  </si>
  <si>
    <t>fatty acids, C18-unsatd, dimers, compds with polyethylenepolyamines-tall-oil fatty acid reaction products</t>
  </si>
  <si>
    <t>64754-99-0 (PM)</t>
  </si>
  <si>
    <t>64754-99-0 (Vapor)</t>
  </si>
  <si>
    <t>fatty acids, C18-unsatd, dimers, ethoxylated</t>
  </si>
  <si>
    <t>68551-92-8 (PM)</t>
  </si>
  <si>
    <t>68551-92-8 (Vapor)</t>
  </si>
  <si>
    <t>fatty acids, C18-unsatd, dimers, ethoxylated, propoxylated</t>
  </si>
  <si>
    <t>68308-89-4 (PM)</t>
  </si>
  <si>
    <t>68308-89-4 (Vapor)</t>
  </si>
  <si>
    <t>fatty acids, C18-unsatd, dimers, monoesters with polyethylene glycol hydrogen phthalate, esters with castor oil</t>
  </si>
  <si>
    <t>68410-19-5 (PM)</t>
  </si>
  <si>
    <t>68410-19-5 (Vapor)</t>
  </si>
  <si>
    <t>fatty acids, C18-unsatd, dimers, polymers with bisphenol A and epichlorohydrin</t>
  </si>
  <si>
    <t>67989-52-0 (PM)</t>
  </si>
  <si>
    <t>67989-52-0 (Vapor)</t>
  </si>
  <si>
    <t>fatty acids, C18-unsatd, dimers, polymers with tall oil fatty acids and triethylene tetramine</t>
  </si>
  <si>
    <t>68082-29-1 (PM)</t>
  </si>
  <si>
    <t>68082-29-1 (Vapor)</t>
  </si>
  <si>
    <t>fatty acids, C18-unsatd, trimers</t>
  </si>
  <si>
    <t>68937-90-6 (PM)</t>
  </si>
  <si>
    <t>68937-90-6 (Vapor)</t>
  </si>
  <si>
    <t>fatty acids, C18-unsatd., dimers, compds. with alkylpyridines</t>
  </si>
  <si>
    <t>100816-02-2 (PM)</t>
  </si>
  <si>
    <t>100816-02-2 (Vapor)</t>
  </si>
  <si>
    <t>fatty acids, C18-unsatd., dimers, compds. with diethylenetriamine-tall-oil fatty acid reaction products</t>
  </si>
  <si>
    <t>68647-57-4 (PM)</t>
  </si>
  <si>
    <t>68647-57-4 (Vapor)</t>
  </si>
  <si>
    <t>fatty acids, C18-unsatd., dimers, polymers with benzoic acid, linoleic acid, octadecadienoicacid, pentaerythritol, phthalic anhydride and tall-oil fatty acids</t>
  </si>
  <si>
    <t>150739-79-0 (PM)</t>
  </si>
  <si>
    <t>150739-79-0 (Vapor)</t>
  </si>
  <si>
    <t>fatty acids, C18-unsatd., dimers, polymers with castor oil, phthalic anhydride and polyethylene glycol</t>
  </si>
  <si>
    <t>68551-95-1</t>
  </si>
  <si>
    <t>fatty acids, C18-unsatd., dimers, polymers with diethylenetriamine, ethylenediamine, sebacic acid and tall-oil fatty acids</t>
  </si>
  <si>
    <t>68475-96-7 (PM)</t>
  </si>
  <si>
    <t>68475-96-7 (Vapor)</t>
  </si>
  <si>
    <t>fatty acids, C18-unsatd., dimers, polymers with ethylenediamine</t>
  </si>
  <si>
    <t>68650-50-0 (PM)</t>
  </si>
  <si>
    <t>68650-50-0 (Vapor)</t>
  </si>
  <si>
    <t>fatty acids, C18-unsatd., dimers, polymers with ethylenediamine and tall-oil fatty acids</t>
  </si>
  <si>
    <t>68139-80-0</t>
  </si>
  <si>
    <t>fatty acids, C18-unsatd., dimers, polymers with ethylenediamine, hexamethylenediamine and propionic acid</t>
  </si>
  <si>
    <t>67989-30-4 (PM)</t>
  </si>
  <si>
    <t>67989-30-4 (Vapor)</t>
  </si>
  <si>
    <t>fatty acids, C18-unsatd., dimers, polymers with tall-oil fatty acids, tetraethylenepentamine and triethylenetetramine</t>
  </si>
  <si>
    <t>68071-65-8 (PM)</t>
  </si>
  <si>
    <t>68071-65-8 (Vapor)</t>
  </si>
  <si>
    <t>fatty acids, C18-unsatd., dimers, polymers with triethylenetetramine, reaction products with poly(bisphenol A diglycidyl ether)</t>
  </si>
  <si>
    <t>68424-41-9</t>
  </si>
  <si>
    <t>fatty acids, C18-unsatd., dimers, potassium salts</t>
  </si>
  <si>
    <t>67701-19-3 (PM)</t>
  </si>
  <si>
    <t>67701-19-3 (Vapor)</t>
  </si>
  <si>
    <t>fatty acids, C18-unsatd., dimers, reaction products with N,N-dimethyl-1,3-propanediamine and 1,3-propanediamine</t>
  </si>
  <si>
    <t>162627-17-0 (PM)</t>
  </si>
  <si>
    <t>162627-17-0 (Vapor)</t>
  </si>
  <si>
    <t>fatty acids, C18-unsaturated, dimers, distillation lights</t>
  </si>
  <si>
    <t>68956-12-7 (PM)</t>
  </si>
  <si>
    <t>68956-12-7 (Vapor)</t>
  </si>
  <si>
    <t>fatty acids, C18-unsaturated, dimers, polymers with bisphenol A, epichlorohydrin and soya fatty acids</t>
  </si>
  <si>
    <t>66070-80-2 (PM)</t>
  </si>
  <si>
    <t>66070-80-2 (Vapor)</t>
  </si>
  <si>
    <t>fatty acids, C6-12</t>
  </si>
  <si>
    <t>67762-36-1 (PM)</t>
  </si>
  <si>
    <t>67762-36-1 (Vapor)</t>
  </si>
  <si>
    <t>fatty acids, C6-19-branched, manganese salts</t>
  </si>
  <si>
    <t>68551-42-8</t>
  </si>
  <si>
    <t>fatty acids, C8-18 and C18-unsatd.</t>
  </si>
  <si>
    <t>67701-05-7 (PM)</t>
  </si>
  <si>
    <t>67701-05-7 (Vapor)</t>
  </si>
  <si>
    <t>fatty acids, C8-18 and C18-unsatd., compds. with diisopropanolamine</t>
  </si>
  <si>
    <t>68855-69-6</t>
  </si>
  <si>
    <t>fatty acids, C8-18 and C18-unsatd., sodium salts</t>
  </si>
  <si>
    <t>67701-10-4 (PM)</t>
  </si>
  <si>
    <t>67701-10-4 (Vapor)</t>
  </si>
  <si>
    <t>fatty acids, C8-C18, methyl ester</t>
  </si>
  <si>
    <t>68937-84-8 (PM)</t>
  </si>
  <si>
    <t>68937-84-8 (Vapor)</t>
  </si>
  <si>
    <t>fatty acids, C-9-28-neo-</t>
  </si>
  <si>
    <t>72480-45-6 (PM)</t>
  </si>
  <si>
    <t>72480-45-6 (Vapor)</t>
  </si>
  <si>
    <t>fatty acids, coco, monoesters with sorbitan</t>
  </si>
  <si>
    <t>68154-36-9 (PM)</t>
  </si>
  <si>
    <t>68154-36-9 (Vapor)</t>
  </si>
  <si>
    <t>fatty acids, coco, reaction products with diethylenetriamine and soya fatty acids, ethoxylated, chloromethane-quaternized</t>
  </si>
  <si>
    <t>68604-75-1</t>
  </si>
  <si>
    <t>fatty acids, coco, reaction products with polyethylene polyamines</t>
  </si>
  <si>
    <t>64754-98-9 (PM)</t>
  </si>
  <si>
    <t>64754-98-9 (Vapor)</t>
  </si>
  <si>
    <t>fatty acids, coconut oil, sodium salts</t>
  </si>
  <si>
    <t>61789-31-9</t>
  </si>
  <si>
    <t>fatty acids, linseed-oil, reaction products with 2-amino-2-(hydroxymethyl)-1,3-propanediol and formaldehyde, polymers with Bu methacrylate, 2-(diethylamino)ethyl methacrylate, 2-hydroxyethyl acrylate and Me methacrylate</t>
  </si>
  <si>
    <t>96591-17-2 (PM)</t>
  </si>
  <si>
    <t>96591-17-2 (Vapor)</t>
  </si>
  <si>
    <t>fatty acids, methyl esters</t>
  </si>
  <si>
    <t>67762-39-4</t>
  </si>
  <si>
    <t>fatty acids, mixed tallow and vegetable oil, distn. residues</t>
  </si>
  <si>
    <t>70248-31-6 (PM)</t>
  </si>
  <si>
    <t>70248-31-6 (Vapor)</t>
  </si>
  <si>
    <t>fatty acids, palm-oil</t>
  </si>
  <si>
    <t>68440-15-3 (PM)</t>
  </si>
  <si>
    <t>68440-15-3 (Vapor)</t>
  </si>
  <si>
    <t>fatty acids, soya, polymers with acrylonitrile, crotonic acid, 2-ethylhexyl acrylate, Me methacrylate, pentaerythritol, phthalic anhydride and styrene</t>
  </si>
  <si>
    <t>68938-27-2 (PM)</t>
  </si>
  <si>
    <t>68938-27-2 (Vapor)</t>
  </si>
  <si>
    <t>fatty acids, tall-oil, cobalt salts</t>
  </si>
  <si>
    <t>61789-52-4</t>
  </si>
  <si>
    <t>fatty acids, tall-oil, compds with diethanolamine</t>
  </si>
  <si>
    <t>61790-66-7 (PM)</t>
  </si>
  <si>
    <t>61790-66-7 (Vapor)</t>
  </si>
  <si>
    <t>fatty acids, tall-oil, compds with diethanolamine-tall-oil fatty acid reaction products</t>
  </si>
  <si>
    <t>68526-44-3 (PM)</t>
  </si>
  <si>
    <t>68526-44-3 (Vapor)</t>
  </si>
  <si>
    <t>fatty acids, tall-oil, compds with morpholine</t>
  </si>
  <si>
    <t>68002-77-7 (PM)</t>
  </si>
  <si>
    <t>68002-77-7 (Vapor)</t>
  </si>
  <si>
    <t>fatty acids, tall-oil, compds with N-[2-(4,5-dihydro-2-nortall-oil alkyl-1H-imidazol-1yl)ethyl] tall-oil fatty amides</t>
  </si>
  <si>
    <t>68132-60-5 (PM)</t>
  </si>
  <si>
    <t>68132-60-5 (Vapor)</t>
  </si>
  <si>
    <t>fatty acids, tall-oil, compds with polyethylenepolyamine-tall-oil fatty acid reaction products</t>
  </si>
  <si>
    <t>64754-94-5 (PM)</t>
  </si>
  <si>
    <t>64754-94-5 (Vapor)</t>
  </si>
  <si>
    <t>fatty acids, tall-oil, compds. with ammonia-diethylene glycol reaction products morpholine derivs. residues</t>
  </si>
  <si>
    <t>68956-25-2 (PM)</t>
  </si>
  <si>
    <t>68956-25-2 (Vapor)</t>
  </si>
  <si>
    <t>fatty acids, tall-oil, compds. with oleylamine</t>
  </si>
  <si>
    <t>85711-55-3</t>
  </si>
  <si>
    <t>fatty acids, tall-oil, compds. with tallow alkyl amines</t>
  </si>
  <si>
    <t>68552-48-7 (PM)</t>
  </si>
  <si>
    <t>68552-48-7 (Vapor)</t>
  </si>
  <si>
    <t>fatty acids, tall-oil, dimers, compds. with ethoxylated tallow alkylamines</t>
  </si>
  <si>
    <t>68920-32-1 (PM)</t>
  </si>
  <si>
    <t>68920-32-1 (Vapor)</t>
  </si>
  <si>
    <t>fatty acids, tall-oil, epoxidized, 2-ethylhexyl esters</t>
  </si>
  <si>
    <t>61789-01-3</t>
  </si>
  <si>
    <t>fatty acids, tall-oil, esters with ethoxylated propoxylated formaldehyde p-tert-pentylphenol poly</t>
  </si>
  <si>
    <t>68891-75-8 (PM)</t>
  </si>
  <si>
    <t>68891-75-8 (Vapor)</t>
  </si>
  <si>
    <t>fatty acids, tall-oil, esters with ethoxylated sorbitol</t>
  </si>
  <si>
    <t>68953-01-5 (PM)</t>
  </si>
  <si>
    <t>68953-01-5 (Vapor)</t>
  </si>
  <si>
    <t>fatty acids, tall-oil, ethoxylated</t>
  </si>
  <si>
    <t>61791-00-2 (PM)</t>
  </si>
  <si>
    <t>61791-00-2 (Vapor)</t>
  </si>
  <si>
    <t>fatty acids, tall-oil, hexaesters with sorbitol, ethoxylated</t>
  </si>
  <si>
    <t>61790-90-7 (PM)</t>
  </si>
  <si>
    <t>61790-90-7 (Vapor)</t>
  </si>
  <si>
    <t>fatty acids, tall-oil, low-boiling</t>
  </si>
  <si>
    <t>65997-03-7 (PM)</t>
  </si>
  <si>
    <t>65997-03-7 (Vapor)</t>
  </si>
  <si>
    <t>fatty acids, tall-oil, low-boiling, reaction products with 1-piperazine ethanamine</t>
  </si>
  <si>
    <t>71820-35-4 (PM)</t>
  </si>
  <si>
    <t>71820-35-4 (Vapor)</t>
  </si>
  <si>
    <t>fatty acids, tall-oil, maleated</t>
  </si>
  <si>
    <t>68139-89-9</t>
  </si>
  <si>
    <t>fatty acids, tall-oil, monoesters with sorbitan, ethoxylated</t>
  </si>
  <si>
    <t>61790-86-1 (PM)</t>
  </si>
  <si>
    <t>61790-86-1 (Vapor)</t>
  </si>
  <si>
    <t>fatty acids, tall-oil, polymd</t>
  </si>
  <si>
    <t>73138-54-2 (PM)</t>
  </si>
  <si>
    <t>73138-54-2 (Vapor)</t>
  </si>
  <si>
    <t>fatty acids, tall-oil, polymers with bisphenol A, epichlorohydrin and rosin</t>
  </si>
  <si>
    <t>68038-22-2</t>
  </si>
  <si>
    <t>fatty acids, tall-oil, polymers with glycerol, isophthalic acid and rosin</t>
  </si>
  <si>
    <t>68956-34-3</t>
  </si>
  <si>
    <t>fatty acids, tall-oil, polymers with maleic anhydride</t>
  </si>
  <si>
    <t>68309-24-0 (PM)</t>
  </si>
  <si>
    <t>68309-24-0 (Vapor)</t>
  </si>
  <si>
    <t>fatty acids, tall-oil, polymers with tetraethylenepentamine, acetates, mercaptoacetates</t>
  </si>
  <si>
    <t>176022-77-8</t>
  </si>
  <si>
    <t>fatty acids, tall-oil, potassium salts</t>
  </si>
  <si>
    <t>61790-44-1 (PM)</t>
  </si>
  <si>
    <t>61790-44-1 (Vapor)</t>
  </si>
  <si>
    <t>fatty acids, tall-oil, reaction products with 2-[(2-aminoethyl)amino] ethanol</t>
  </si>
  <si>
    <t>68919-76-6 (PM)</t>
  </si>
  <si>
    <t>68919-76-6 (Vapor)</t>
  </si>
  <si>
    <t>fatty acids, tall-oil, reaction products with 2-amino-2-methyl-1-propanol</t>
  </si>
  <si>
    <t>68956-41-2 (PM)</t>
  </si>
  <si>
    <t>68956-41-2 (Vapor)</t>
  </si>
  <si>
    <t>fatty acids, tall-oil, reaction products with acetophenone, formaldehyde and thiourea, hydrochlorides</t>
  </si>
  <si>
    <t>68188-40-9 (PM)</t>
  </si>
  <si>
    <t>68188-40-9 (Vapor)</t>
  </si>
  <si>
    <t>fatty acids, tall-oil, reaction products with diethanolamine and triethanolamine</t>
  </si>
  <si>
    <t>68648-19-1 (PM)</t>
  </si>
  <si>
    <t>68648-19-1 (Vapor)</t>
  </si>
  <si>
    <t>fatty acids, tall-oil, reaction products with diethylenetriamine</t>
  </si>
  <si>
    <t>61790-69-0 (PM)</t>
  </si>
  <si>
    <t>61790-69-0 (Vapor)</t>
  </si>
  <si>
    <t>fatty acids, tall-oil, reaction products with diethylenetriamine, acetates</t>
  </si>
  <si>
    <t>68153-60-6 (PM)</t>
  </si>
  <si>
    <t>68153-60-6 (Vapor)</t>
  </si>
  <si>
    <t>fatty acids, tall-oil, reaction products with diethylenetriamine, dodecylbenzenesulfonates</t>
  </si>
  <si>
    <t>68956-43-4 (PM)</t>
  </si>
  <si>
    <t>68956-43-4 (Vapor)</t>
  </si>
  <si>
    <t>fatty acids, tall-oil, reaction products with diethylenetriamine, maleic anhydride, tetraethylenepentamine and triethylenetetramine</t>
  </si>
  <si>
    <t>68990-47-6 (PM)</t>
  </si>
  <si>
    <t>68990-47-6 (Vapor)</t>
  </si>
  <si>
    <t>fatty acids, tall-oil, reaction products with ethanolamine, ethoxylated</t>
  </si>
  <si>
    <t>61791-19-3 (PM)</t>
  </si>
  <si>
    <t>61791-19-3 (Vapor)</t>
  </si>
  <si>
    <t>fatty acids, tall-oil, reaction products with polyalkylenepolyamines, compds with tall-oil fatty acids</t>
  </si>
  <si>
    <t>68910-84-9 (PM)</t>
  </si>
  <si>
    <t>68910-84-9 (Vapor)</t>
  </si>
  <si>
    <t>fatty acids, tall-oil, reaction products with polyalkylenepolyamines, dodecylbenzenesulfonates</t>
  </si>
  <si>
    <t>68910-87-2</t>
  </si>
  <si>
    <t>fatty acids, tall-oil, reaction products with polyethylenepolyamines, acetates</t>
  </si>
  <si>
    <t>64754-93-4 (PM)</t>
  </si>
  <si>
    <t>64754-93-4 (Vapor)</t>
  </si>
  <si>
    <t>fatty acids, tall-oil, reaction products with polyethylenepolyamines, compds. with polyethylene glycol decyl ether phosphate</t>
  </si>
  <si>
    <t>68605-92-5 (PM)</t>
  </si>
  <si>
    <t>68605-92-5 (Vapor)</t>
  </si>
  <si>
    <t>fatty acids, tall-oil, reaction products with polyethylenepolyamines, compds. with polyethylene glycol monooctyl ether phosphate</t>
  </si>
  <si>
    <t>68920-41-2 (PM)</t>
  </si>
  <si>
    <t>68920-41-2 (Vapor)</t>
  </si>
  <si>
    <t>fatty acids, tall-oil, reaction products with polyethylenepolyamines, ethoxylated, acetates (salts)</t>
  </si>
  <si>
    <t>68132-39-8 (PM)</t>
  </si>
  <si>
    <t>68132-39-8 (Vapor)</t>
  </si>
  <si>
    <t>fatty acids, tall-oil, reaction products with tetraethylenepentamine</t>
  </si>
  <si>
    <t>68953-36-6 (PM)</t>
  </si>
  <si>
    <t>68953-36-6 (Vapor)</t>
  </si>
  <si>
    <t>fatty acids, tall-oil, reaction products with tetraethylenepentamine, dodecylbenzenesulfonates myristates</t>
  </si>
  <si>
    <t>91051-73-9 (PM)</t>
  </si>
  <si>
    <t>91051-73-9 (Vapor)</t>
  </si>
  <si>
    <t>fatty acids, tall-oil, reaction products with triethanolamine</t>
  </si>
  <si>
    <t>67784-78-5 (PM)</t>
  </si>
  <si>
    <t>67784-78-5 (Vapor)</t>
  </si>
  <si>
    <t>fatty acids, tall-oil, sulfonated</t>
  </si>
  <si>
    <t>68153-61-7 (PM)</t>
  </si>
  <si>
    <t>68153-61-7 (Vapor)</t>
  </si>
  <si>
    <t>fatty acids, tall-oil, sulfurized</t>
  </si>
  <si>
    <t>68440-27-7 (PM)</t>
  </si>
  <si>
    <t>68440-27-7 (Vapor)</t>
  </si>
  <si>
    <t>fatty acids, unsaturated C14-C18</t>
  </si>
  <si>
    <t>67701-06-8 (PM)</t>
  </si>
  <si>
    <t>67701-06-8 (Vapor)</t>
  </si>
  <si>
    <t>fatty alcohol ethoxylates (nonionic surfactant)</t>
  </si>
  <si>
    <t>fatty alcohols C16-C18</t>
  </si>
  <si>
    <t>67762-30-5</t>
  </si>
  <si>
    <t>fatty amines, generic</t>
  </si>
  <si>
    <t>Fenamiphos</t>
  </si>
  <si>
    <t>22224-92-6</t>
  </si>
  <si>
    <t>Fenpropathrin</t>
  </si>
  <si>
    <t>39515-41-8</t>
  </si>
  <si>
    <t>fenpropidine</t>
  </si>
  <si>
    <t>67306-00-7</t>
  </si>
  <si>
    <t>Fensulfothion</t>
  </si>
  <si>
    <t>115-90-2</t>
  </si>
  <si>
    <t>Fenthion</t>
  </si>
  <si>
    <t>55-38-9</t>
  </si>
  <si>
    <t>Fenvalerate</t>
  </si>
  <si>
    <t>51630-58-1</t>
  </si>
  <si>
    <t>Ferbam</t>
  </si>
  <si>
    <t>14484-64-1</t>
  </si>
  <si>
    <t>ferric ammonium EDTA</t>
  </si>
  <si>
    <t>21265-50-9</t>
  </si>
  <si>
    <t>ferric chloride</t>
  </si>
  <si>
    <t>7705-08-0</t>
  </si>
  <si>
    <t>ferric hexacyanoferrate</t>
  </si>
  <si>
    <t>14038-43-8</t>
  </si>
  <si>
    <t>ferric nitrate</t>
  </si>
  <si>
    <t>7782-61-8</t>
  </si>
  <si>
    <t>ferric pyrophosphate</t>
  </si>
  <si>
    <t>10058-44-3</t>
  </si>
  <si>
    <t>Ferrochrome</t>
  </si>
  <si>
    <t>11114-46-8</t>
  </si>
  <si>
    <t>ferromanganese oxide</t>
  </si>
  <si>
    <t>75864-23-2</t>
  </si>
  <si>
    <t>ferrous chloride</t>
  </si>
  <si>
    <t>7758-94-3</t>
  </si>
  <si>
    <t>ferrous disulfide</t>
  </si>
  <si>
    <t>12068-85-8</t>
  </si>
  <si>
    <t>ferrous sulfate hydrate</t>
  </si>
  <si>
    <t>7782-63-0</t>
  </si>
  <si>
    <t>ferrous sulfate solution</t>
  </si>
  <si>
    <t>7720-78-7</t>
  </si>
  <si>
    <t>ferrovanadium dust</t>
  </si>
  <si>
    <t>12604-58-9</t>
  </si>
  <si>
    <t>fiber glass wool</t>
  </si>
  <si>
    <t>65597-17-3</t>
  </si>
  <si>
    <t>fibrous glass dust</t>
  </si>
  <si>
    <t>65997-17-3</t>
  </si>
  <si>
    <t>film formers</t>
  </si>
  <si>
    <t>FIPRONIL</t>
  </si>
  <si>
    <t>120068-37-3</t>
  </si>
  <si>
    <t>flow control agent</t>
  </si>
  <si>
    <t>fluazifop-P-butyl</t>
  </si>
  <si>
    <t>79241-46-6</t>
  </si>
  <si>
    <t>Fluazinam</t>
  </si>
  <si>
    <t>79622-59-6</t>
  </si>
  <si>
    <t>Fludioxonil (fungicide)</t>
  </si>
  <si>
    <t>131341-86-1</t>
  </si>
  <si>
    <t>Fluopyram</t>
  </si>
  <si>
    <t>658066-35-4</t>
  </si>
  <si>
    <t>fluoranthene</t>
  </si>
  <si>
    <t>206-44-0</t>
  </si>
  <si>
    <t>fluorene</t>
  </si>
  <si>
    <t>86-73-7</t>
  </si>
  <si>
    <t>Fluorescein sodium</t>
  </si>
  <si>
    <t>518-47-8</t>
  </si>
  <si>
    <t>fluorinated alkyl alkoxylate (C8) (87-93%)</t>
  </si>
  <si>
    <t>68958-61-2</t>
  </si>
  <si>
    <t>fluorinated alkyl sulfonamide (C8) (4-10%)</t>
  </si>
  <si>
    <t>4151-50-2</t>
  </si>
  <si>
    <t>fluorine</t>
  </si>
  <si>
    <t>7782-41-4</t>
  </si>
  <si>
    <t>fluorobenzene</t>
  </si>
  <si>
    <t>462-06-6</t>
  </si>
  <si>
    <t>fluoroboric acid</t>
  </si>
  <si>
    <t>16872-11-0 (Not Defined)</t>
  </si>
  <si>
    <t>fluoroboric acid | For air permit reviews in agricultural areas</t>
  </si>
  <si>
    <t>fluoroboric acid | For air permit reviews in agricultural areas with cattle</t>
  </si>
  <si>
    <t>fluoroethane</t>
  </si>
  <si>
    <t>353-36-6</t>
  </si>
  <si>
    <t>fluoromethane</t>
  </si>
  <si>
    <t>593-53-3</t>
  </si>
  <si>
    <t>fluorosilicic acid</t>
  </si>
  <si>
    <t>16961-83-4 (Not Defined)</t>
  </si>
  <si>
    <t>fluorosilicic acid | For air permit reviews in agricultural areas</t>
  </si>
  <si>
    <t>fluorosilicic acid | For air permit reviews in agricultural areas with cattle</t>
  </si>
  <si>
    <t>fluorosilicone</t>
  </si>
  <si>
    <t>fluorosulfonic acid</t>
  </si>
  <si>
    <t>7789-21-1 (Not Defined)</t>
  </si>
  <si>
    <t>fluorosulfonic acid | For air permit reviews in agricultural areas</t>
  </si>
  <si>
    <t>fluorosulfonic acid | For air permit reviews in agricultural areas with cattle</t>
  </si>
  <si>
    <t>fluotitanic acid</t>
  </si>
  <si>
    <t>17439-11-1 (Not Defined)</t>
  </si>
  <si>
    <t>fluotitanic acid | For air permit reviews in agricultural areas</t>
  </si>
  <si>
    <t>fluotitanic acid | For air permit reviews in agricultural areas with cattle</t>
  </si>
  <si>
    <t>fluozirconia acid</t>
  </si>
  <si>
    <t>12021-95-3 (Not Defined)</t>
  </si>
  <si>
    <t>fluozirconia acid | For air permit reviews in agricultural areas</t>
  </si>
  <si>
    <t>fluozirconia acid | For air permit reviews in agricultural areas with cattle</t>
  </si>
  <si>
    <t>fluroxene</t>
  </si>
  <si>
    <t>406-90-6</t>
  </si>
  <si>
    <t>fly ash</t>
  </si>
  <si>
    <t>68131-24-8</t>
  </si>
  <si>
    <t>Fonophos</t>
  </si>
  <si>
    <t>944-22-9</t>
  </si>
  <si>
    <t>formaldehyde</t>
  </si>
  <si>
    <t>50-00-0</t>
  </si>
  <si>
    <t>formaldehyde, reaction products with glycerol</t>
  </si>
  <si>
    <t>68442-91-1 (PM)</t>
  </si>
  <si>
    <t>68442-91-1 (Vapor)</t>
  </si>
  <si>
    <t>formaldehyde, reaction products with N-butyl-1-butanamine</t>
  </si>
  <si>
    <t>208852-57-7</t>
  </si>
  <si>
    <t>formalin (37-50% formaldehyde)</t>
  </si>
  <si>
    <t>formamide</t>
  </si>
  <si>
    <t>75-12-7</t>
  </si>
  <si>
    <t>formic acid</t>
  </si>
  <si>
    <t>64-18-6</t>
  </si>
  <si>
    <t>fosamine ammonium (Krenite S brush control agent [herbicide])</t>
  </si>
  <si>
    <t>25954-13-6</t>
  </si>
  <si>
    <t>fractionation bottoms of mono-C12-14-alkylbenzenes</t>
  </si>
  <si>
    <t>68515-32-2</t>
  </si>
  <si>
    <t>fragrance</t>
  </si>
  <si>
    <t>Freon TMS</t>
  </si>
  <si>
    <t>Freon, generic, not otherwise specified</t>
  </si>
  <si>
    <t>fuel oil cutter stock</t>
  </si>
  <si>
    <t>fuel oil No. 2</t>
  </si>
  <si>
    <t>68476-30-2</t>
  </si>
  <si>
    <t>fuel oil No. 4</t>
  </si>
  <si>
    <t>68476-31-3</t>
  </si>
  <si>
    <t>fuel oil, residual</t>
  </si>
  <si>
    <t>68476-33-5</t>
  </si>
  <si>
    <t>fuel oils, generic</t>
  </si>
  <si>
    <t>full range reformate (contains 4-8% benzene)</t>
  </si>
  <si>
    <t>Fuller's earth</t>
  </si>
  <si>
    <t>8031-18-3</t>
  </si>
  <si>
    <t>fumaric acid</t>
  </si>
  <si>
    <t>110-17-8</t>
  </si>
  <si>
    <t>fumaric acid modified rosin</t>
  </si>
  <si>
    <t>65997-04-8</t>
  </si>
  <si>
    <t>fumaronitrile</t>
  </si>
  <si>
    <t>764-42-1</t>
  </si>
  <si>
    <t>fumed silica</t>
  </si>
  <si>
    <t>67256-35-3</t>
  </si>
  <si>
    <t>fumed silica, di-me siloxanes and silicones, reaction products with silica</t>
  </si>
  <si>
    <t>67762-90-7</t>
  </si>
  <si>
    <t>furan</t>
  </si>
  <si>
    <t>110-00-9</t>
  </si>
  <si>
    <t>furfural</t>
  </si>
  <si>
    <t>98-01-1</t>
  </si>
  <si>
    <t>furfuryl alcohol</t>
  </si>
  <si>
    <t>98-00-0</t>
  </si>
  <si>
    <t>Furilazole</t>
  </si>
  <si>
    <t>121776-33-8</t>
  </si>
  <si>
    <t>Galaxolide</t>
  </si>
  <si>
    <t>1222-05-5</t>
  </si>
  <si>
    <t>gallic acid</t>
  </si>
  <si>
    <t>149-91-7</t>
  </si>
  <si>
    <t>gallium arsenide</t>
  </si>
  <si>
    <t>1303-00-0</t>
  </si>
  <si>
    <t>gallium, organic compounds</t>
  </si>
  <si>
    <t>gamma-(mercaptopropyl, 3-) triethoxysilane</t>
  </si>
  <si>
    <t>14814-09-6</t>
  </si>
  <si>
    <t>gamma-(mercaptopropyl, 3-) trimethoxysilane</t>
  </si>
  <si>
    <t>4420-74-0</t>
  </si>
  <si>
    <t>gamma-butyrolactone</t>
  </si>
  <si>
    <t>96-48-0</t>
  </si>
  <si>
    <t>gamma-dodecalactone</t>
  </si>
  <si>
    <t>2305-05-7</t>
  </si>
  <si>
    <t>gamma-heptalactone</t>
  </si>
  <si>
    <t>105-21-5</t>
  </si>
  <si>
    <t>gamma-hydroxybutyric acid</t>
  </si>
  <si>
    <t>591-81-1</t>
  </si>
  <si>
    <t>gamma-octalactone</t>
  </si>
  <si>
    <t>104-50-7</t>
  </si>
  <si>
    <t>gamma-terpinene</t>
  </si>
  <si>
    <t>99-85-4</t>
  </si>
  <si>
    <t>gamma-valerolactone</t>
  </si>
  <si>
    <t>108-29-2</t>
  </si>
  <si>
    <t>Garnet-group minerals</t>
  </si>
  <si>
    <t>12178-41-5</t>
  </si>
  <si>
    <t>gas oils acid treated</t>
  </si>
  <si>
    <t>64742-17-2</t>
  </si>
  <si>
    <t>gasoline</t>
  </si>
  <si>
    <t>8006-61-9</t>
  </si>
  <si>
    <t>gasoline (&gt;C3)</t>
  </si>
  <si>
    <t>86290-81-5</t>
  </si>
  <si>
    <t>gasoline, pyrolysis, debutanizer bottoms</t>
  </si>
  <si>
    <t>68606-10-0</t>
  </si>
  <si>
    <t>gelatin</t>
  </si>
  <si>
    <t>9000-70-8</t>
  </si>
  <si>
    <t>geraniol</t>
  </si>
  <si>
    <t>106-24-1</t>
  </si>
  <si>
    <t>germanium tetrafluoride</t>
  </si>
  <si>
    <t>7783-58-6</t>
  </si>
  <si>
    <t>germanium tetrahydride</t>
  </si>
  <si>
    <t>7782-65-2</t>
  </si>
  <si>
    <t>germanium(IV) oxide</t>
  </si>
  <si>
    <t>1310-53-8</t>
  </si>
  <si>
    <t>Gibberellic acid</t>
  </si>
  <si>
    <t>77-06-5</t>
  </si>
  <si>
    <t>gilsonite</t>
  </si>
  <si>
    <t>12002-43-6</t>
  </si>
  <si>
    <t>gluconic acid</t>
  </si>
  <si>
    <t>526-95-4</t>
  </si>
  <si>
    <t>gluconic acid, monopotassium salt</t>
  </si>
  <si>
    <t>299-27-4</t>
  </si>
  <si>
    <t>glutaraldehyde</t>
  </si>
  <si>
    <t>111-30-8</t>
  </si>
  <si>
    <t>glutaric acid</t>
  </si>
  <si>
    <t>110-94-1</t>
  </si>
  <si>
    <t>glutaric anhydride</t>
  </si>
  <si>
    <t>108-55-4</t>
  </si>
  <si>
    <t>glycerides, tallow, hydrogenated</t>
  </si>
  <si>
    <t>68308-54-3</t>
  </si>
  <si>
    <t>glycerin</t>
  </si>
  <si>
    <t>56-81-5 (PM)</t>
  </si>
  <si>
    <t>56-81-5 (Vapor)</t>
  </si>
  <si>
    <t>glycerol esters of rosin acids</t>
  </si>
  <si>
    <t>8050-31-5</t>
  </si>
  <si>
    <t>glycerol monooleate</t>
  </si>
  <si>
    <t>25496-72-4</t>
  </si>
  <si>
    <t>glycerol propoxylate (1PO/OH) triacrylate</t>
  </si>
  <si>
    <t>52408-84-1</t>
  </si>
  <si>
    <t>glyceryl monostearate</t>
  </si>
  <si>
    <t>31566-31-1</t>
  </si>
  <si>
    <t>glyceryl triacetate</t>
  </si>
  <si>
    <t>102-76-1</t>
  </si>
  <si>
    <t>glycidol</t>
  </si>
  <si>
    <t>556-52-5</t>
  </si>
  <si>
    <t>glycidyl ether, C8-10, oxirane</t>
  </si>
  <si>
    <t>68609-96-1</t>
  </si>
  <si>
    <t>glycine</t>
  </si>
  <si>
    <t>56-40-6 (PM)</t>
  </si>
  <si>
    <t>56-40-6 (Vapor)</t>
  </si>
  <si>
    <t>glycol ether PPH</t>
  </si>
  <si>
    <t>770-35-4</t>
  </si>
  <si>
    <t>glycol ether, generic, not otherwise specified</t>
  </si>
  <si>
    <t>glycol terephthalate esters</t>
  </si>
  <si>
    <t>68987-51-9</t>
  </si>
  <si>
    <t>glycolaldehyde</t>
  </si>
  <si>
    <t>141-46-8</t>
  </si>
  <si>
    <t>glycolic acid</t>
  </si>
  <si>
    <t>79-14-1</t>
  </si>
  <si>
    <t>glycolonitrile</t>
  </si>
  <si>
    <t>107-16-4</t>
  </si>
  <si>
    <t>glyoxal</t>
  </si>
  <si>
    <t>107-22-2</t>
  </si>
  <si>
    <t>glyoxylic acid</t>
  </si>
  <si>
    <t>298-12-4</t>
  </si>
  <si>
    <t>glyphosate</t>
  </si>
  <si>
    <t>1071-83-6 (PM)</t>
  </si>
  <si>
    <t>1071-83-6 (Vapor)</t>
  </si>
  <si>
    <t>glyphosate, isopropylamine salt</t>
  </si>
  <si>
    <t>38641-94-0</t>
  </si>
  <si>
    <t>gold</t>
  </si>
  <si>
    <t>7440-57-5</t>
  </si>
  <si>
    <t>grain dust, total (oats, wheat, barley)</t>
  </si>
  <si>
    <t>grapefruit terpenes</t>
  </si>
  <si>
    <t>68917-32-8</t>
  </si>
  <si>
    <t>graphite, natural or synthetic</t>
  </si>
  <si>
    <t>7782-42-5</t>
  </si>
  <si>
    <t>Guaifenesin</t>
  </si>
  <si>
    <t>93-14-1</t>
  </si>
  <si>
    <t>Guar Gum</t>
  </si>
  <si>
    <t>9000-30-0</t>
  </si>
  <si>
    <t>guaraprolose</t>
  </si>
  <si>
    <t>39421-75-5</t>
  </si>
  <si>
    <t>gylcidyl methacrylate</t>
  </si>
  <si>
    <t>106-91-2</t>
  </si>
  <si>
    <t>gypsum</t>
  </si>
  <si>
    <t>7778-18-9</t>
  </si>
  <si>
    <t>hafnium</t>
  </si>
  <si>
    <t>7440-58-6</t>
  </si>
  <si>
    <t>hafnium(IV) oxide</t>
  </si>
  <si>
    <t>12055-23-1</t>
  </si>
  <si>
    <t>halothane</t>
  </si>
  <si>
    <t>151-67-7</t>
  </si>
  <si>
    <t>HDMA</t>
  </si>
  <si>
    <t>958029-37-3 (Not Defined)</t>
  </si>
  <si>
    <t>HDMA | For air permit reviews in agricultural areas</t>
  </si>
  <si>
    <t>HDMA | For air permit reviews in agricultural areas with cattle</t>
  </si>
  <si>
    <t>heavy aliphatic solvent naphtha</t>
  </si>
  <si>
    <t>64742-96-7</t>
  </si>
  <si>
    <t>heavy coker gas oil</t>
  </si>
  <si>
    <t>64741-81-7</t>
  </si>
  <si>
    <t>heavy ends of polyethylbenzene residue</t>
  </si>
  <si>
    <t>212210-96-3</t>
  </si>
  <si>
    <t>heavy paraffinic distillate solvent extract</t>
  </si>
  <si>
    <t>64742-04-7</t>
  </si>
  <si>
    <t>heavy paraffinic hydrotreated distillate</t>
  </si>
  <si>
    <t>64742-54-7</t>
  </si>
  <si>
    <t>heavy reformate (contains up to 1% benzene)</t>
  </si>
  <si>
    <t>heavy vacuum gas oils (petroleum)</t>
  </si>
  <si>
    <t>64741-57-7</t>
  </si>
  <si>
    <t>hectorite</t>
  </si>
  <si>
    <t>12173-47-6</t>
  </si>
  <si>
    <t>heneicosane</t>
  </si>
  <si>
    <t>629-94-7</t>
  </si>
  <si>
    <t>heptachlor</t>
  </si>
  <si>
    <t>76-44-8</t>
  </si>
  <si>
    <t>heptachlor epoxide</t>
  </si>
  <si>
    <t>1024-57-3</t>
  </si>
  <si>
    <t>heptadecane</t>
  </si>
  <si>
    <t>629-78-7</t>
  </si>
  <si>
    <t>heptaldehyde</t>
  </si>
  <si>
    <t>111-71-7</t>
  </si>
  <si>
    <t>heptane, branched, cyclic and linear</t>
  </si>
  <si>
    <t>426260-76-6</t>
  </si>
  <si>
    <t>heptanoic acid</t>
  </si>
  <si>
    <t>111-14-8</t>
  </si>
  <si>
    <t>heptyl acetate</t>
  </si>
  <si>
    <t>112-06-1</t>
  </si>
  <si>
    <t>heptyl alcohol</t>
  </si>
  <si>
    <t>111-70-6</t>
  </si>
  <si>
    <t>heptyl formate</t>
  </si>
  <si>
    <t>112-23-2</t>
  </si>
  <si>
    <t>heptylmercaptan</t>
  </si>
  <si>
    <t>1639-09-4</t>
  </si>
  <si>
    <t>hexachlorobenzene</t>
  </si>
  <si>
    <t>118-74-1</t>
  </si>
  <si>
    <t>hexachlorobutadiene</t>
  </si>
  <si>
    <t>87-68-3</t>
  </si>
  <si>
    <t>hexachlorocyclopentadiene</t>
  </si>
  <si>
    <t>77-47-4</t>
  </si>
  <si>
    <t>hexachloroethane</t>
  </si>
  <si>
    <t>67-72-1</t>
  </si>
  <si>
    <t>hexachloronaphthalene</t>
  </si>
  <si>
    <t>1335-87-1</t>
  </si>
  <si>
    <t>hexachloropropene</t>
  </si>
  <si>
    <t>1888-71-7</t>
  </si>
  <si>
    <t>hexacosane</t>
  </si>
  <si>
    <t>630-01-3</t>
  </si>
  <si>
    <t>hexadecane</t>
  </si>
  <si>
    <t>544-76-3</t>
  </si>
  <si>
    <t>hexadecenylsuccinic anhydride</t>
  </si>
  <si>
    <t>32072-96-1</t>
  </si>
  <si>
    <t>hexadecyl trimethyl ammonium chloride</t>
  </si>
  <si>
    <t>112-02-7</t>
  </si>
  <si>
    <t>hexadecylamine</t>
  </si>
  <si>
    <t>143-27-1</t>
  </si>
  <si>
    <t>hexadecyldimethylamine</t>
  </si>
  <si>
    <t>112-69-6</t>
  </si>
  <si>
    <t>hexafluoro-1,3-butadiene</t>
  </si>
  <si>
    <t>685-63-2</t>
  </si>
  <si>
    <t>hexafluoroacetone</t>
  </si>
  <si>
    <t>684-16-2</t>
  </si>
  <si>
    <t>hexafluorobenzene</t>
  </si>
  <si>
    <t>392-56-3</t>
  </si>
  <si>
    <t>hexafluoro-diammonium titanate(2)</t>
  </si>
  <si>
    <t>16962-40-6</t>
  </si>
  <si>
    <t>hexafluoroethane</t>
  </si>
  <si>
    <t>76-16-4</t>
  </si>
  <si>
    <t>hexafluoroisobutylene</t>
  </si>
  <si>
    <t>382-10-5</t>
  </si>
  <si>
    <t>hexafluoroisopropanol</t>
  </si>
  <si>
    <t>920-66-1</t>
  </si>
  <si>
    <t>hexafluoropropene</t>
  </si>
  <si>
    <t>116-15-4</t>
  </si>
  <si>
    <t>hexafluoropropene tetrafluoroethene polymer</t>
  </si>
  <si>
    <t>25067-11-2</t>
  </si>
  <si>
    <t>hexahydro-4-methylazopin-2-one</t>
  </si>
  <si>
    <t>3623-05-0</t>
  </si>
  <si>
    <t>hexahydrophthalic anhydride</t>
  </si>
  <si>
    <t>85-42-7</t>
  </si>
  <si>
    <t>hexamethonium chloride</t>
  </si>
  <si>
    <t>60-25-3</t>
  </si>
  <si>
    <t>hexamethoxymethyl melamine</t>
  </si>
  <si>
    <t>3089-11-0</t>
  </si>
  <si>
    <t>hexamethyl disilizane</t>
  </si>
  <si>
    <t>999-97-3</t>
  </si>
  <si>
    <t>hexamethylcyclotrisiloxane</t>
  </si>
  <si>
    <t>541-05-9 (PM)</t>
  </si>
  <si>
    <t>541-05-9 (Vapor)</t>
  </si>
  <si>
    <t>hexamethyldisiloxane</t>
  </si>
  <si>
    <t>107-46-0</t>
  </si>
  <si>
    <t>hexamethylene diisocyanate</t>
  </si>
  <si>
    <t>822-06-0</t>
  </si>
  <si>
    <t>hexamethylene diisocyanate biuret</t>
  </si>
  <si>
    <t>4035-89-6</t>
  </si>
  <si>
    <t>hexamethylene diisocyanate polymer</t>
  </si>
  <si>
    <t>28182-81-2</t>
  </si>
  <si>
    <t>hexamethylene glycol</t>
  </si>
  <si>
    <t>629-11-8</t>
  </si>
  <si>
    <t>hexamethylenediamine</t>
  </si>
  <si>
    <t>124-09-4</t>
  </si>
  <si>
    <t>hexamethylenetetramine</t>
  </si>
  <si>
    <t>100-97-0</t>
  </si>
  <si>
    <t>hexamethylenimine</t>
  </si>
  <si>
    <t>111-49-9</t>
  </si>
  <si>
    <t>hexanaldehyde</t>
  </si>
  <si>
    <t>66-25-1</t>
  </si>
  <si>
    <t>hexane, mixed isomers</t>
  </si>
  <si>
    <t>92112-69-1</t>
  </si>
  <si>
    <t>hexanedioic acid, 1,6-ditridecyl ester</t>
  </si>
  <si>
    <t>16958-92-2 (Not Defined)</t>
  </si>
  <si>
    <t>16958-92-2 (PM)</t>
  </si>
  <si>
    <t>hexanedioic acid, di-C7-9-branched and linear alkyl esters</t>
  </si>
  <si>
    <t>68515-75-3 (Not Defined)</t>
  </si>
  <si>
    <t>68515-75-3 (PM)</t>
  </si>
  <si>
    <t>hexanedioic acid, dimethyl ester, mixt. with dimethyl butandedioate and dimethyl pentanedioate</t>
  </si>
  <si>
    <t>95481-62-2</t>
  </si>
  <si>
    <t>hexanedioic acid, polymer with 1,2-ethanediol and 1,3-isobenzofurandione, benzoate</t>
  </si>
  <si>
    <t>64296-27-1</t>
  </si>
  <si>
    <t>hexanedioic acid, polymer with 1,4-butanediol and 1,1'-methylenebis[4-isocyanatobenzene]</t>
  </si>
  <si>
    <t>26375-23-5</t>
  </si>
  <si>
    <t>hexanedioic acid, polymer with 2,2-dimethyl-1,3-propanediol, 2-ethyl-2-(hydroxymethyl)-1,3-propanediol and hexahydro-1,3-isobenzofurandione</t>
  </si>
  <si>
    <t>69153-52-2</t>
  </si>
  <si>
    <t>hexanitrostilbene</t>
  </si>
  <si>
    <t>20062-22-0</t>
  </si>
  <si>
    <t>hexanoic acid</t>
  </si>
  <si>
    <t>142-62-1</t>
  </si>
  <si>
    <t>hexanols</t>
  </si>
  <si>
    <t>25917-35-5</t>
  </si>
  <si>
    <t>hexastearic acid, hexaester with 2,2-bis[[3-hydroxy-2,2-bis(hydroxymethyl)propoxy]methyl]propane-1,3-diol (polystearate ester)</t>
  </si>
  <si>
    <t>68785-03-5</t>
  </si>
  <si>
    <t>hexavalent chromium</t>
  </si>
  <si>
    <t>18540-29-9</t>
  </si>
  <si>
    <t>hexazinone</t>
  </si>
  <si>
    <t>51235-04-2</t>
  </si>
  <si>
    <t>hexene, hydroformylation products</t>
  </si>
  <si>
    <t>70955-11-2 (PM)</t>
  </si>
  <si>
    <t>70955-11-2 (Vapor)</t>
  </si>
  <si>
    <t>hexene, mixed isomers</t>
  </si>
  <si>
    <t>25264-93-1</t>
  </si>
  <si>
    <t>hexenes, alkenes C6</t>
  </si>
  <si>
    <t>68526-52-3</t>
  </si>
  <si>
    <t>hexyl acrylate</t>
  </si>
  <si>
    <t>2499-95-8</t>
  </si>
  <si>
    <t>hexyl bromide</t>
  </si>
  <si>
    <t>111-25-1</t>
  </si>
  <si>
    <t>hexyl cinnamaldehyde</t>
  </si>
  <si>
    <t>101-86-0</t>
  </si>
  <si>
    <t>hexyl formate</t>
  </si>
  <si>
    <t>629-33-4</t>
  </si>
  <si>
    <t>hexyl mercaptan</t>
  </si>
  <si>
    <t>111-31-9</t>
  </si>
  <si>
    <t>hexyl sulfide</t>
  </si>
  <si>
    <t>6294-31-1</t>
  </si>
  <si>
    <t>hexylamine</t>
  </si>
  <si>
    <t>111-26-2</t>
  </si>
  <si>
    <t>hexylbenzene</t>
  </si>
  <si>
    <t>1077-16-3</t>
  </si>
  <si>
    <t>hexylcyclohexane</t>
  </si>
  <si>
    <t>4292-75-5</t>
  </si>
  <si>
    <t>hexylene glycol</t>
  </si>
  <si>
    <t>107-41-5</t>
  </si>
  <si>
    <t>hexylene glycol diacetate</t>
  </si>
  <si>
    <t>6222-17-9</t>
  </si>
  <si>
    <t>high-boiling distillation residue</t>
  </si>
  <si>
    <t>high-boiling fraction from the manufacture of 2-ethyl-1-hexanol</t>
  </si>
  <si>
    <t>68609-68-7</t>
  </si>
  <si>
    <t>hindered amine derivative</t>
  </si>
  <si>
    <t>79720-19-7</t>
  </si>
  <si>
    <t>hydrated ferric oxide</t>
  </si>
  <si>
    <t>20344-49-4</t>
  </si>
  <si>
    <t>hydraulic oil</t>
  </si>
  <si>
    <t>hydrazine</t>
  </si>
  <si>
    <t>302-01-2</t>
  </si>
  <si>
    <t>hydrazine carboxamide hydrochloride</t>
  </si>
  <si>
    <t>563-41-7</t>
  </si>
  <si>
    <t>hydrazine dihydrochloride</t>
  </si>
  <si>
    <t>5341-61-7</t>
  </si>
  <si>
    <t>hydrazine hydrate 100%</t>
  </si>
  <si>
    <t>7803-57-8</t>
  </si>
  <si>
    <t>hydrazinecarboxamide</t>
  </si>
  <si>
    <t>57-56-7</t>
  </si>
  <si>
    <t>hydrazoic acid</t>
  </si>
  <si>
    <t>7782-79-8</t>
  </si>
  <si>
    <t>hydrocarbon wax</t>
  </si>
  <si>
    <t>hydrocarbons C8-C11</t>
  </si>
  <si>
    <t>68553-14-0</t>
  </si>
  <si>
    <t>hydrocarbons, C4, 1,3-butadiene-free, polymd., triisobutylene fraction</t>
  </si>
  <si>
    <t>91053-01-9</t>
  </si>
  <si>
    <t>hydrocarbons, C6-20, polymers, hydrogenated</t>
  </si>
  <si>
    <t>69430-35-9</t>
  </si>
  <si>
    <t>hydrocarbons, C6-7, naphtha-cracking, solvent-refined</t>
  </si>
  <si>
    <t>92045-64-2</t>
  </si>
  <si>
    <t>hydrocarbons, C9-unsatd., polymd.</t>
  </si>
  <si>
    <t>71302-83-5</t>
  </si>
  <si>
    <t>hydrodesulfurized kerosene (petroleum)</t>
  </si>
  <si>
    <t>64742-81-0</t>
  </si>
  <si>
    <t>hydrodesulfurized middle distillate (petroleum)</t>
  </si>
  <si>
    <t>64742-80-9</t>
  </si>
  <si>
    <t>hydrogen bromide</t>
  </si>
  <si>
    <t>10035-10-6</t>
  </si>
  <si>
    <t>hydrogen chloride</t>
  </si>
  <si>
    <t>7647-01-0</t>
  </si>
  <si>
    <t>hydrogen cyanide</t>
  </si>
  <si>
    <t>74-90-8</t>
  </si>
  <si>
    <t>hydrogen fluoride</t>
  </si>
  <si>
    <t>7664-39-3 (Not Defined)</t>
  </si>
  <si>
    <t>hydrogen fluoride | For air permit reviews in agricultural areas</t>
  </si>
  <si>
    <t>hydrogen fluoride | For air permit reviews in agricultural areas with cattle</t>
  </si>
  <si>
    <t>hydrogen iodide</t>
  </si>
  <si>
    <t>10034-85-2</t>
  </si>
  <si>
    <t>hydrogen peroxide</t>
  </si>
  <si>
    <t>7722-84-1</t>
  </si>
  <si>
    <t>hydrogen selenide</t>
  </si>
  <si>
    <t>7783-07-5</t>
  </si>
  <si>
    <t>hydrogen sulfide</t>
  </si>
  <si>
    <t>7783-06-4</t>
  </si>
  <si>
    <t>Must Meet TCEQ Regulatory Standard</t>
  </si>
  <si>
    <t>hydrogenated bisphenol A diglycidyl ether</t>
  </si>
  <si>
    <t>30583-72-3</t>
  </si>
  <si>
    <t>hydrogenated castor oil</t>
  </si>
  <si>
    <t>8001-78-3 (PM)</t>
  </si>
  <si>
    <t>8001-78-3 (Vapor)</t>
  </si>
  <si>
    <t>hydrogenated formaldehyde polymer with benzeneamine</t>
  </si>
  <si>
    <t>135108-88-2</t>
  </si>
  <si>
    <t>hydrogenated tallow</t>
  </si>
  <si>
    <t>8030-12-4</t>
  </si>
  <si>
    <t>hydrogenated terphenyls</t>
  </si>
  <si>
    <t>61788-32-7</t>
  </si>
  <si>
    <t>hydroisomerized middle distillates (Fischer-Tropsch), C10-13-branched alkane fraction</t>
  </si>
  <si>
    <t>642928-30-1</t>
  </si>
  <si>
    <t>Hydrolyzed tetraethyl orthosilicate</t>
  </si>
  <si>
    <t>68412-37-3</t>
  </si>
  <si>
    <t>hydrophobic amorphous fumed silica</t>
  </si>
  <si>
    <t>68909-20-6</t>
  </si>
  <si>
    <t>hydroquinone</t>
  </si>
  <si>
    <t>123-31-9</t>
  </si>
  <si>
    <t>hydrotreated (severe) heavy naphthenic distillates (petroleum)</t>
  </si>
  <si>
    <t>64742-52-5</t>
  </si>
  <si>
    <t>hydrotreated light distillate</t>
  </si>
  <si>
    <t>68410-97-9</t>
  </si>
  <si>
    <t>hydrotreated light naphthenic petroleum distillates</t>
  </si>
  <si>
    <t>64742-53-6</t>
  </si>
  <si>
    <t>hydrotreated light paraffinic distillate</t>
  </si>
  <si>
    <t>64742-55-8</t>
  </si>
  <si>
    <t>hydrotreated middle distillate (petroleum)</t>
  </si>
  <si>
    <t>64742-46-7</t>
  </si>
  <si>
    <t>hydrotreated residual oil</t>
  </si>
  <si>
    <t>64742-57-0</t>
  </si>
  <si>
    <t>hydrotreated soybean oil</t>
  </si>
  <si>
    <t>693217-63-9 (PM)</t>
  </si>
  <si>
    <t>693217-63-9 (Vapor)</t>
  </si>
  <si>
    <t>hydrotreater separator, tail gas (petroleum), cracked distillate</t>
  </si>
  <si>
    <t>68478-29-5</t>
  </si>
  <si>
    <t>hydroxy terminated 1,3-butadiene homopolymer</t>
  </si>
  <si>
    <t>69102-90-5</t>
  </si>
  <si>
    <t>hydroxy(oxo)iron</t>
  </si>
  <si>
    <t>1310-14-1</t>
  </si>
  <si>
    <t>hydroxy-1-dodecanesulfonic acid sodium salt</t>
  </si>
  <si>
    <t>128824-30-6</t>
  </si>
  <si>
    <t>hydroxyaluminum distearate</t>
  </si>
  <si>
    <t>300-92-5</t>
  </si>
  <si>
    <t>hydroxybenzenesulfonic acid</t>
  </si>
  <si>
    <t>1333-39-7</t>
  </si>
  <si>
    <t>hydroxybutanoic acid ion(1-)</t>
  </si>
  <si>
    <t>1320-61-2</t>
  </si>
  <si>
    <t>hydroxyethylethylene urea</t>
  </si>
  <si>
    <t>3699-54-5</t>
  </si>
  <si>
    <t>hydroxylamine</t>
  </si>
  <si>
    <t>7803-49-8</t>
  </si>
  <si>
    <t>hydroxylamine sulfate</t>
  </si>
  <si>
    <t>10039-54-0</t>
  </si>
  <si>
    <t>hydroxyphosphonoacetic acid</t>
  </si>
  <si>
    <t>23783-26-8</t>
  </si>
  <si>
    <t>hydroxypivaldehyde</t>
  </si>
  <si>
    <t>597-31-9</t>
  </si>
  <si>
    <t>hydroxypivalyl hydroxypivalate</t>
  </si>
  <si>
    <t>1115-20-4 (PM)</t>
  </si>
  <si>
    <t>1115-20-4 (Vapor)</t>
  </si>
  <si>
    <t>hydroxypropionic acid</t>
  </si>
  <si>
    <t>503-66-2</t>
  </si>
  <si>
    <t>hydroxypropyl acrylate</t>
  </si>
  <si>
    <t>25584-83-2</t>
  </si>
  <si>
    <t>hydroxypropyl methacrylate</t>
  </si>
  <si>
    <t>27813-02-1</t>
  </si>
  <si>
    <t>hydroxypropyl methacrylate mixture</t>
  </si>
  <si>
    <t>hydroxypropylcellulose</t>
  </si>
  <si>
    <t>9004-64-2</t>
  </si>
  <si>
    <t>hypobromous acid</t>
  </si>
  <si>
    <t>13517-11-8</t>
  </si>
  <si>
    <t>hypochlorous acid</t>
  </si>
  <si>
    <t>7790-92-3</t>
  </si>
  <si>
    <t>hypophosphorous acid</t>
  </si>
  <si>
    <t>6303-21-5</t>
  </si>
  <si>
    <t>Ibuprofen</t>
  </si>
  <si>
    <t>15687-27-1</t>
  </si>
  <si>
    <t>Imidacloprid</t>
  </si>
  <si>
    <t>138261-41-3</t>
  </si>
  <si>
    <t>iminodiacetic acid</t>
  </si>
  <si>
    <t>142-73-4</t>
  </si>
  <si>
    <t>iminodiacetonitrile</t>
  </si>
  <si>
    <t>628-87-5</t>
  </si>
  <si>
    <t>indane</t>
  </si>
  <si>
    <t>496-11-7</t>
  </si>
  <si>
    <t>indanthrone</t>
  </si>
  <si>
    <t>81-77-6</t>
  </si>
  <si>
    <t>indene</t>
  </si>
  <si>
    <t>95-13-6</t>
  </si>
  <si>
    <t>indeno[1,2,3-cd]pyrene</t>
  </si>
  <si>
    <t>193-39-5</t>
  </si>
  <si>
    <t>indium</t>
  </si>
  <si>
    <t>7440-74-6</t>
  </si>
  <si>
    <t>indofast violet</t>
  </si>
  <si>
    <t>93820-66-7</t>
  </si>
  <si>
    <t>indole</t>
  </si>
  <si>
    <t>120-72-9</t>
  </si>
  <si>
    <t>industrial garnet abrasive (&lt; 0.1% free silica)</t>
  </si>
  <si>
    <t>1302-62-1</t>
  </si>
  <si>
    <t>iodine</t>
  </si>
  <si>
    <t>7553-56-2</t>
  </si>
  <si>
    <t>iodobenzene</t>
  </si>
  <si>
    <t>591-50-4</t>
  </si>
  <si>
    <t>iodoform</t>
  </si>
  <si>
    <t>75-47-8</t>
  </si>
  <si>
    <t>iprodione</t>
  </si>
  <si>
    <t>36734-19-7</t>
  </si>
  <si>
    <t>iron</t>
  </si>
  <si>
    <t>7439-89-6</t>
  </si>
  <si>
    <t>iron aluminum titanate</t>
  </si>
  <si>
    <t>68187-02-0</t>
  </si>
  <si>
    <t>iron chromite brown spinel</t>
  </si>
  <si>
    <t>12737-27-8</t>
  </si>
  <si>
    <t>iron cobalt black spinel</t>
  </si>
  <si>
    <t>68187-50-8</t>
  </si>
  <si>
    <t>iron manganese oxide</t>
  </si>
  <si>
    <t>11115-91-6</t>
  </si>
  <si>
    <t>iron oxide</t>
  </si>
  <si>
    <t>1332-37-2</t>
  </si>
  <si>
    <t>iron oxide (yellow)</t>
  </si>
  <si>
    <t>51724-00-1</t>
  </si>
  <si>
    <t>iron oxide black</t>
  </si>
  <si>
    <t>1309-38-2</t>
  </si>
  <si>
    <t>iron oxide pigment</t>
  </si>
  <si>
    <t>12063-19-3</t>
  </si>
  <si>
    <t>iron pentacarbonyl</t>
  </si>
  <si>
    <t>13463-40-6</t>
  </si>
  <si>
    <t>iron phosphide</t>
  </si>
  <si>
    <t>12751-22-3</t>
  </si>
  <si>
    <t>iron phosphide (Fe2P)</t>
  </si>
  <si>
    <t>1310-43-6</t>
  </si>
  <si>
    <t>iron phosphide (FeP)</t>
  </si>
  <si>
    <t>26508-33-8</t>
  </si>
  <si>
    <t>iron salts, soluble</t>
  </si>
  <si>
    <t>iron silicide (FeSi)</t>
  </si>
  <si>
    <t>12022-95-6</t>
  </si>
  <si>
    <t>iron zinc chromite pigment</t>
  </si>
  <si>
    <t>68186-88-9</t>
  </si>
  <si>
    <t>iron(II) oxide</t>
  </si>
  <si>
    <t>1345-25-1</t>
  </si>
  <si>
    <t>iron(II,III) oxide</t>
  </si>
  <si>
    <t>1317-61-9</t>
  </si>
  <si>
    <t>iron(III) hydroxide</t>
  </si>
  <si>
    <t>1309-33-7</t>
  </si>
  <si>
    <t>iron(III) oxide</t>
  </si>
  <si>
    <t>1309-37-1</t>
  </si>
  <si>
    <t>iron(III) oxide pigment yellow</t>
  </si>
  <si>
    <t>51274-00-1</t>
  </si>
  <si>
    <t>iron(III) sulfate</t>
  </si>
  <si>
    <t>10028-22-5</t>
  </si>
  <si>
    <t>isatoic anhydride</t>
  </si>
  <si>
    <t>118-48-9</t>
  </si>
  <si>
    <t>isoalcohols, C7-C9, C8 rich</t>
  </si>
  <si>
    <t>68526-83-0</t>
  </si>
  <si>
    <t>isoalcohols, C9-11, C10 rich</t>
  </si>
  <si>
    <t>68526-85-2</t>
  </si>
  <si>
    <t>isoalkanes, C10-C13</t>
  </si>
  <si>
    <t>68551-17-7</t>
  </si>
  <si>
    <t>isoalkanes, C12-C14</t>
  </si>
  <si>
    <t>68551-19-9</t>
  </si>
  <si>
    <t>isoalkanes, C13-C16</t>
  </si>
  <si>
    <t>68551-20-2</t>
  </si>
  <si>
    <t>isoalkanes, C7-C8</t>
  </si>
  <si>
    <t>70024-92-9</t>
  </si>
  <si>
    <t>isoalkanes, C8-C10</t>
  </si>
  <si>
    <t>68551-15-5</t>
  </si>
  <si>
    <t>isoalkanes, C9-C11</t>
  </si>
  <si>
    <t>68551-16-6</t>
  </si>
  <si>
    <t>isoamyl acetate</t>
  </si>
  <si>
    <t>123-92-2</t>
  </si>
  <si>
    <t>isoamyl alcohol</t>
  </si>
  <si>
    <t>123-51-3</t>
  </si>
  <si>
    <t>isoamyl ether</t>
  </si>
  <si>
    <t>544-01-4</t>
  </si>
  <si>
    <t>isoamyl salicylate</t>
  </si>
  <si>
    <t>87-20-7</t>
  </si>
  <si>
    <t>isobenzofurandione polymer with aminophenyl indene amine</t>
  </si>
  <si>
    <t>62929-02-6</t>
  </si>
  <si>
    <t>isobornyl acetate</t>
  </si>
  <si>
    <t>125-12-2</t>
  </si>
  <si>
    <t>isobornyl ester acrylic acid</t>
  </si>
  <si>
    <t>5888-33-5</t>
  </si>
  <si>
    <t>isobornyl methacrylate</t>
  </si>
  <si>
    <t>7534-94-3</t>
  </si>
  <si>
    <t>isobutane</t>
  </si>
  <si>
    <t>75-28-5</t>
  </si>
  <si>
    <t>isobutene</t>
  </si>
  <si>
    <t>115-11-7</t>
  </si>
  <si>
    <t>isobutyl acetate</t>
  </si>
  <si>
    <t>110-19-0</t>
  </si>
  <si>
    <t>isobutyl acetophenone</t>
  </si>
  <si>
    <t>38861-78-8</t>
  </si>
  <si>
    <t>isobutyl acrylate</t>
  </si>
  <si>
    <t>106-63-8</t>
  </si>
  <si>
    <t>isobutyl alcohol</t>
  </si>
  <si>
    <t>78-83-1</t>
  </si>
  <si>
    <t>isobutyl benzene</t>
  </si>
  <si>
    <t>538-93-2</t>
  </si>
  <si>
    <t>isobutyl butyrate</t>
  </si>
  <si>
    <t>539-90-2</t>
  </si>
  <si>
    <t>isobutyl carbonate</t>
  </si>
  <si>
    <t>539-92-4 (PM)</t>
  </si>
  <si>
    <t>539-92-4 (Vapor)</t>
  </si>
  <si>
    <t>isobutyl chloroformate</t>
  </si>
  <si>
    <t>543-27-1</t>
  </si>
  <si>
    <t>isobutyl ether</t>
  </si>
  <si>
    <t>628-55-7</t>
  </si>
  <si>
    <t>isobutyl formate</t>
  </si>
  <si>
    <t>542-55-2</t>
  </si>
  <si>
    <t>isobutyl heptyl ketone</t>
  </si>
  <si>
    <t>19594-40-2</t>
  </si>
  <si>
    <t>isobutyl isovalerate</t>
  </si>
  <si>
    <t>589-59-3</t>
  </si>
  <si>
    <t>isobutyl methacrylate</t>
  </si>
  <si>
    <t>97-86-9</t>
  </si>
  <si>
    <t>isobutyl nitrite</t>
  </si>
  <si>
    <t>542-56-3</t>
  </si>
  <si>
    <t>isobutyl propionate</t>
  </si>
  <si>
    <t>540-42-1</t>
  </si>
  <si>
    <t>isobutyl vinyl ether</t>
  </si>
  <si>
    <t>109-53-5</t>
  </si>
  <si>
    <t>isobutylamine</t>
  </si>
  <si>
    <t>78-81-9</t>
  </si>
  <si>
    <t>isobutylene oxide</t>
  </si>
  <si>
    <t>558-30-5</t>
  </si>
  <si>
    <t>isobutyraldehyde</t>
  </si>
  <si>
    <t>78-84-2</t>
  </si>
  <si>
    <t>isobutyric acid</t>
  </si>
  <si>
    <t>79-31-2</t>
  </si>
  <si>
    <t>isobutyric acid anhydride</t>
  </si>
  <si>
    <t>97-72-3</t>
  </si>
  <si>
    <t>isobutyrol chloride</t>
  </si>
  <si>
    <t>79-30-1</t>
  </si>
  <si>
    <t>isobutyronitrile</t>
  </si>
  <si>
    <t>78-82-0</t>
  </si>
  <si>
    <t>isocyanate terminated polyester prepolymer</t>
  </si>
  <si>
    <t>58675-12-0</t>
  </si>
  <si>
    <t>isocyanobenzotrifluoride</t>
  </si>
  <si>
    <t>71121-36-3</t>
  </si>
  <si>
    <t>isocyanuric acid</t>
  </si>
  <si>
    <t>108-80-5</t>
  </si>
  <si>
    <t>isodecaldehyde</t>
  </si>
  <si>
    <t>1321-89-7</t>
  </si>
  <si>
    <t>isodecane</t>
  </si>
  <si>
    <t>34464-38-5</t>
  </si>
  <si>
    <t>isodecyl acrylate</t>
  </si>
  <si>
    <t>1330-61-6</t>
  </si>
  <si>
    <t>isodecyl alcohol</t>
  </si>
  <si>
    <t>25339-17-7</t>
  </si>
  <si>
    <t>isodecyl benzoate</t>
  </si>
  <si>
    <t>120657-54-7 (PM)</t>
  </si>
  <si>
    <t>120657-54-7 (Vapor)</t>
  </si>
  <si>
    <t>isodecyl diphenyl phosphate</t>
  </si>
  <si>
    <t>29761-21-5</t>
  </si>
  <si>
    <t>isodecyl methacrylate</t>
  </si>
  <si>
    <t>29964-84-9</t>
  </si>
  <si>
    <t>isodecyloxypropylamine</t>
  </si>
  <si>
    <t>61789-79-5</t>
  </si>
  <si>
    <t>isodecyloxypropyliminodipropionic acid</t>
  </si>
  <si>
    <t>64972-19-6</t>
  </si>
  <si>
    <t>isododecane</t>
  </si>
  <si>
    <t>13475-82-6</t>
  </si>
  <si>
    <t>Isodrin</t>
  </si>
  <si>
    <t>465-73-6</t>
  </si>
  <si>
    <t>isoflurane</t>
  </si>
  <si>
    <t>26675-46-7</t>
  </si>
  <si>
    <t>isoheptanol</t>
  </si>
  <si>
    <t>51774-11-9</t>
  </si>
  <si>
    <t>isohexadecanol</t>
  </si>
  <si>
    <t>36311-34-9</t>
  </si>
  <si>
    <t>isoindoline yellow 109</t>
  </si>
  <si>
    <t>106276-79-3</t>
  </si>
  <si>
    <t>isomerized C16 alpha-alkenes</t>
  </si>
  <si>
    <t>148617-57-6</t>
  </si>
  <si>
    <t>isononanoic acid</t>
  </si>
  <si>
    <t>3302-10-1</t>
  </si>
  <si>
    <t>isononanoyl chloride</t>
  </si>
  <si>
    <t>36727-29-4</t>
  </si>
  <si>
    <t>isononyl alcohol</t>
  </si>
  <si>
    <t>27458-94-2</t>
  </si>
  <si>
    <t>isononyl alcohols</t>
  </si>
  <si>
    <t>68515-81-1</t>
  </si>
  <si>
    <t>isononylamine</t>
  </si>
  <si>
    <t>27775-00-4</t>
  </si>
  <si>
    <t>Isooctadecanoic acid</t>
  </si>
  <si>
    <t>2724-58-5</t>
  </si>
  <si>
    <t>isooctane</t>
  </si>
  <si>
    <t>26635-64-3</t>
  </si>
  <si>
    <t>isooctyl acrylate</t>
  </si>
  <si>
    <t>29590-42-9</t>
  </si>
  <si>
    <t>isooctyl alcohol</t>
  </si>
  <si>
    <t>26952-21-6</t>
  </si>
  <si>
    <t>isooctyl thioglycolate</t>
  </si>
  <si>
    <t>25103-09-7</t>
  </si>
  <si>
    <t>isooctyltrimethoxysilane</t>
  </si>
  <si>
    <t>34396-03-7</t>
  </si>
  <si>
    <t>isopentane</t>
  </si>
  <si>
    <t>78-78-4</t>
  </si>
  <si>
    <t>isopentyl isovalerate</t>
  </si>
  <si>
    <t>659-70-1</t>
  </si>
  <si>
    <t>isopentyl nitrite</t>
  </si>
  <si>
    <t>110-46-3</t>
  </si>
  <si>
    <t>isophorone</t>
  </si>
  <si>
    <t>78-59-1</t>
  </si>
  <si>
    <t>isophorone diisocyanate</t>
  </si>
  <si>
    <t>isophorone diisocyanate trimer</t>
  </si>
  <si>
    <t>53895-32-2</t>
  </si>
  <si>
    <t>isophthalic acid</t>
  </si>
  <si>
    <t>121-91-5</t>
  </si>
  <si>
    <t>isoprene</t>
  </si>
  <si>
    <t>78-79-5</t>
  </si>
  <si>
    <t>isopropanol</t>
  </si>
  <si>
    <t>67-63-0</t>
  </si>
  <si>
    <t>isopropanolamine</t>
  </si>
  <si>
    <t>78-96-6</t>
  </si>
  <si>
    <t>isopropenyl acetate</t>
  </si>
  <si>
    <t>108-22-5</t>
  </si>
  <si>
    <t>isopropenyl acetone</t>
  </si>
  <si>
    <t>3744-02-3</t>
  </si>
  <si>
    <t>isopropyl acetate</t>
  </si>
  <si>
    <t>108-21-4</t>
  </si>
  <si>
    <t>isopropyl butyrate</t>
  </si>
  <si>
    <t>638-11-9</t>
  </si>
  <si>
    <t>isopropyl chloroformate</t>
  </si>
  <si>
    <t>108-23-6</t>
  </si>
  <si>
    <t>isopropyl formate</t>
  </si>
  <si>
    <t>625-55-8</t>
  </si>
  <si>
    <t>isopropyl glycidyl ether</t>
  </si>
  <si>
    <t>4016-14-2</t>
  </si>
  <si>
    <t>isopropyl iodide</t>
  </si>
  <si>
    <t>75-30-9</t>
  </si>
  <si>
    <t>isopropyl isobutyrate</t>
  </si>
  <si>
    <t>617-50-5</t>
  </si>
  <si>
    <t>isopropyl mercaptan</t>
  </si>
  <si>
    <t>75-33-2</t>
  </si>
  <si>
    <t>isopropyl methacrylate</t>
  </si>
  <si>
    <t>4655-34-9</t>
  </si>
  <si>
    <t>isopropyl methylthionocarbamate</t>
  </si>
  <si>
    <t>20753-31-5</t>
  </si>
  <si>
    <t>isopropyl myristate</t>
  </si>
  <si>
    <t>110-27-0 (PM)</t>
  </si>
  <si>
    <t>110-27-0 (Vapor)</t>
  </si>
  <si>
    <t>isopropyl palmitate</t>
  </si>
  <si>
    <t>142-91-6 (PM)</t>
  </si>
  <si>
    <t>142-91-6 (Vapor)</t>
  </si>
  <si>
    <t>isopropyl propionate</t>
  </si>
  <si>
    <t>637-78-5</t>
  </si>
  <si>
    <t>isopropyl sulfide</t>
  </si>
  <si>
    <t>625-80-9</t>
  </si>
  <si>
    <t>isopropyl(S)-(-)-lactate</t>
  </si>
  <si>
    <t>63697-00-7</t>
  </si>
  <si>
    <t>isopropyl-1H-imidazole</t>
  </si>
  <si>
    <t>36947-68-9</t>
  </si>
  <si>
    <t>isopropyl-9H-thioxanthen-9-one</t>
  </si>
  <si>
    <t>83846-86-0</t>
  </si>
  <si>
    <t>isopropylamine</t>
  </si>
  <si>
    <t>75-31-0</t>
  </si>
  <si>
    <t>isopropylaniline</t>
  </si>
  <si>
    <t>768-52-5</t>
  </si>
  <si>
    <t>isopropylated phenol phosphate (3-1)</t>
  </si>
  <si>
    <t>68937-41-7</t>
  </si>
  <si>
    <t>Isopropyldiethanolamine</t>
  </si>
  <si>
    <t>121-93-7</t>
  </si>
  <si>
    <t>isopropylmorpholine</t>
  </si>
  <si>
    <t>1004-14-4</t>
  </si>
  <si>
    <t>isopropyl-tert-butyl ether</t>
  </si>
  <si>
    <t>17348-59-3</t>
  </si>
  <si>
    <t>isoquinoline</t>
  </si>
  <si>
    <t>119-65-3</t>
  </si>
  <si>
    <t>isosafrole, mixture of cis and trans</t>
  </si>
  <si>
    <t>120-58-1</t>
  </si>
  <si>
    <t>Isostearic acid</t>
  </si>
  <si>
    <t>30399-84-9</t>
  </si>
  <si>
    <t>isothiocyanate</t>
  </si>
  <si>
    <t>isotridecyl alcohol, isomers</t>
  </si>
  <si>
    <t>27458-92-0</t>
  </si>
  <si>
    <t>isotridecyl alcohol, mixed isomers</t>
  </si>
  <si>
    <t>68526-86-3</t>
  </si>
  <si>
    <t>isovaleraldehyde</t>
  </si>
  <si>
    <t>590-86-3</t>
  </si>
  <si>
    <t>isovaleric acid</t>
  </si>
  <si>
    <t>503-74-2</t>
  </si>
  <si>
    <t>jet fuel</t>
  </si>
  <si>
    <t>kaolin</t>
  </si>
  <si>
    <t>1332-58-7</t>
  </si>
  <si>
    <t>kaolin, calcined</t>
  </si>
  <si>
    <t>92704-41-1</t>
  </si>
  <si>
    <t>kaolinite</t>
  </si>
  <si>
    <t>1318-74-7</t>
  </si>
  <si>
    <t>kerosene</t>
  </si>
  <si>
    <t>8008-20-6</t>
  </si>
  <si>
    <t>ketene</t>
  </si>
  <si>
    <t>463-51-4</t>
  </si>
  <si>
    <t>ketone, generic, not otherwise specified</t>
  </si>
  <si>
    <t>ketones, C11</t>
  </si>
  <si>
    <t>71808-49-6</t>
  </si>
  <si>
    <t>L-(+)-tartaric acid diammonium salt</t>
  </si>
  <si>
    <t>3164-29-2</t>
  </si>
  <si>
    <t>lactic acid</t>
  </si>
  <si>
    <t>50-21-5</t>
  </si>
  <si>
    <t>lactic acid butyl ester</t>
  </si>
  <si>
    <t>34451-19-9</t>
  </si>
  <si>
    <t>lactic acid propyl ester</t>
  </si>
  <si>
    <t>616-09-1</t>
  </si>
  <si>
    <t>lactonitrile</t>
  </si>
  <si>
    <t>78-97-7</t>
  </si>
  <si>
    <t>lactose, anhydrous</t>
  </si>
  <si>
    <t>63-42-3 (PM)</t>
  </si>
  <si>
    <t>63-42-3 (Vapor)</t>
  </si>
  <si>
    <t>L-alpha-lecithin, soybean</t>
  </si>
  <si>
    <t>8002-02-5</t>
  </si>
  <si>
    <t>lambda-cyhalothrin</t>
  </si>
  <si>
    <t>91465-08-6 (PM)</t>
  </si>
  <si>
    <t>91465-08-6 (Vapor)</t>
  </si>
  <si>
    <t>lanoline, anhydrous</t>
  </si>
  <si>
    <t>8006-54-0 (PM)</t>
  </si>
  <si>
    <t>8006-54-0 (Vapor)</t>
  </si>
  <si>
    <t>lanthanum chloride</t>
  </si>
  <si>
    <t>10099-58-8</t>
  </si>
  <si>
    <t>lanthanum nitrate</t>
  </si>
  <si>
    <t>10277-43-7</t>
  </si>
  <si>
    <t>lanthanum oxide</t>
  </si>
  <si>
    <t>1312-81-8</t>
  </si>
  <si>
    <t>lard oil</t>
  </si>
  <si>
    <t>8016-28-2</t>
  </si>
  <si>
    <t>L-ascorbic acid</t>
  </si>
  <si>
    <t>50-81-7</t>
  </si>
  <si>
    <t>lasiocarpine</t>
  </si>
  <si>
    <t>303-34-4</t>
  </si>
  <si>
    <t>lauric acid</t>
  </si>
  <si>
    <t>143-07-7</t>
  </si>
  <si>
    <t>lauric acid monoethanolamine</t>
  </si>
  <si>
    <t>142-78-9</t>
  </si>
  <si>
    <t>lauric nitrile</t>
  </si>
  <si>
    <t>2437-25-4</t>
  </si>
  <si>
    <t>lauroamide propyl betaine</t>
  </si>
  <si>
    <t>61789-40-0 (PM)</t>
  </si>
  <si>
    <t>61789-40-0 (Vapor)</t>
  </si>
  <si>
    <t>lauryl alcohol</t>
  </si>
  <si>
    <t>112-53-8</t>
  </si>
  <si>
    <t>lauryl bromide</t>
  </si>
  <si>
    <t>143-15-7</t>
  </si>
  <si>
    <t>lauryl hydroxyethyl imidazoline</t>
  </si>
  <si>
    <t>136-99-2</t>
  </si>
  <si>
    <t>lauryl hydroxysultaine</t>
  </si>
  <si>
    <t>13197-79-1 (PM)</t>
  </si>
  <si>
    <t>13197-79-1 (Vapor)</t>
  </si>
  <si>
    <t>lead</t>
  </si>
  <si>
    <t>7439-92-1</t>
  </si>
  <si>
    <t>lead arsenate</t>
  </si>
  <si>
    <t>7784-40-9</t>
  </si>
  <si>
    <t>lead borate glass</t>
  </si>
  <si>
    <t>65997-18-4</t>
  </si>
  <si>
    <t>lead chromate</t>
  </si>
  <si>
    <t>7758-97-6</t>
  </si>
  <si>
    <t>lead chromate oxide</t>
  </si>
  <si>
    <t>18454-12-1</t>
  </si>
  <si>
    <t>lead dioxide</t>
  </si>
  <si>
    <t>1309-60-0</t>
  </si>
  <si>
    <t>lead monooxide</t>
  </si>
  <si>
    <t>1317-36-8</t>
  </si>
  <si>
    <t>lead nitrate</t>
  </si>
  <si>
    <t>10099-74-8</t>
  </si>
  <si>
    <t>lead oxide phosphonate</t>
  </si>
  <si>
    <t>12141-20-7</t>
  </si>
  <si>
    <t>lead sulfochromate yellow</t>
  </si>
  <si>
    <t>1344-37-2</t>
  </si>
  <si>
    <t>lead(II) hypophosphite</t>
  </si>
  <si>
    <t>10294-58-3</t>
  </si>
  <si>
    <t>lead(IV) chloride</t>
  </si>
  <si>
    <t>13463-30-4</t>
  </si>
  <si>
    <t>leavo-menthol</t>
  </si>
  <si>
    <t>2216-51-5 (PM)</t>
  </si>
  <si>
    <t>2216-51-5 (Vapor)</t>
  </si>
  <si>
    <t>lecithin</t>
  </si>
  <si>
    <t>8002-43-5</t>
  </si>
  <si>
    <t>lemon extract</t>
  </si>
  <si>
    <t>84929-31-7</t>
  </si>
  <si>
    <t>lemon oil</t>
  </si>
  <si>
    <t>8008-56-8</t>
  </si>
  <si>
    <t>lemon terpenes</t>
  </si>
  <si>
    <t>68917-33-9</t>
  </si>
  <si>
    <t>lemongrass oil</t>
  </si>
  <si>
    <t>8007-02-1</t>
  </si>
  <si>
    <t>lemonile</t>
  </si>
  <si>
    <t>61792-11-8</t>
  </si>
  <si>
    <t>levulinic acid</t>
  </si>
  <si>
    <t>123-76-2</t>
  </si>
  <si>
    <t>L-histidinol phosphate</t>
  </si>
  <si>
    <t>25679-93-0</t>
  </si>
  <si>
    <t>light aliphatic solvent naphtha</t>
  </si>
  <si>
    <t>64742-89-8</t>
  </si>
  <si>
    <t>light aromatic distillate</t>
  </si>
  <si>
    <t>67891-80-9</t>
  </si>
  <si>
    <t>light cat cracked gasoline</t>
  </si>
  <si>
    <t>64741-55-5</t>
  </si>
  <si>
    <t>light reformate (contains 8-12% benzene)</t>
  </si>
  <si>
    <t>light vacuum gas oils (petroleum)</t>
  </si>
  <si>
    <t>64741-58-8</t>
  </si>
  <si>
    <t>lignin sulfate</t>
  </si>
  <si>
    <t>8068-05-1</t>
  </si>
  <si>
    <t>lignin, alkali, reaction products with dimethylamine and formaldehyde</t>
  </si>
  <si>
    <t>110152-58-4</t>
  </si>
  <si>
    <t>lily aldehyde</t>
  </si>
  <si>
    <t>80-54-6</t>
  </si>
  <si>
    <t>lime terpenes</t>
  </si>
  <si>
    <t>68917-71-5</t>
  </si>
  <si>
    <t>limonene</t>
  </si>
  <si>
    <t>138-86-3</t>
  </si>
  <si>
    <t>lindane</t>
  </si>
  <si>
    <t>58-89-9</t>
  </si>
  <si>
    <t>linear alkyl benzenesulphonate</t>
  </si>
  <si>
    <t>42615-29-2 (PM)</t>
  </si>
  <si>
    <t>42615-29-2 (Vapor)</t>
  </si>
  <si>
    <t>linear alkyl sulfonic acid</t>
  </si>
  <si>
    <t>linear alkylbenzene sulfonic acid</t>
  </si>
  <si>
    <t>linear alkylbenzenesulfonic acid</t>
  </si>
  <si>
    <t>linoleic acid</t>
  </si>
  <si>
    <t>60-33-3 (PM)</t>
  </si>
  <si>
    <t>60-33-3 (Vapor)</t>
  </si>
  <si>
    <t>linoleic betaine</t>
  </si>
  <si>
    <t>linseed oil</t>
  </si>
  <si>
    <t>8001-26-1</t>
  </si>
  <si>
    <t>linseed oil fatty acid</t>
  </si>
  <si>
    <t>20761-33-4</t>
  </si>
  <si>
    <t>linseed oil polymerized</t>
  </si>
  <si>
    <t>67746-08-1</t>
  </si>
  <si>
    <t>linseed oil, glycerin, pentaerythritol, gum rosin, maleic anhydride, phthalic anhydride polymer (alkyd oil)</t>
  </si>
  <si>
    <t>68512-98-1 (PM)</t>
  </si>
  <si>
    <t>68512-98-1 (Vapor)</t>
  </si>
  <si>
    <t>Linuron</t>
  </si>
  <si>
    <t>330-55-2</t>
  </si>
  <si>
    <t>lithium</t>
  </si>
  <si>
    <t>7439-93-2</t>
  </si>
  <si>
    <t>lithium 12-hydroxystearate</t>
  </si>
  <si>
    <t>7620-77-1</t>
  </si>
  <si>
    <t>lithium carbonate</t>
  </si>
  <si>
    <t>554-13-2</t>
  </si>
  <si>
    <t>lithium chloride</t>
  </si>
  <si>
    <t>7447-41-8</t>
  </si>
  <si>
    <t>lithium hexafluorophosphate</t>
  </si>
  <si>
    <t>21324-40-3</t>
  </si>
  <si>
    <t>lithium hydride</t>
  </si>
  <si>
    <t>7580-67-8</t>
  </si>
  <si>
    <t>lithium hydroxide</t>
  </si>
  <si>
    <t>1310-65-2</t>
  </si>
  <si>
    <t>lithium oxide</t>
  </si>
  <si>
    <t>12057-24-8</t>
  </si>
  <si>
    <t>lithium silicate</t>
  </si>
  <si>
    <t>12627-14-4</t>
  </si>
  <si>
    <t>lithium, inorganic compounds</t>
  </si>
  <si>
    <t>litsea cubeba oil</t>
  </si>
  <si>
    <t>68855-99-2</t>
  </si>
  <si>
    <t>l-lysine</t>
  </si>
  <si>
    <t>56-87-1</t>
  </si>
  <si>
    <t>Longifolene</t>
  </si>
  <si>
    <t>475-20-7</t>
  </si>
  <si>
    <t>low condensate of terephthalic acid</t>
  </si>
  <si>
    <t>lubricating oils (petroleum), C&gt;25, hydrotreated bright stock-based</t>
  </si>
  <si>
    <t>72623-83-7</t>
  </si>
  <si>
    <t>lubricating oils, petroleum, hydrotreated, spent</t>
  </si>
  <si>
    <t>64742-58-1</t>
  </si>
  <si>
    <t>lupinine acrylate</t>
  </si>
  <si>
    <t>60537-74-8</t>
  </si>
  <si>
    <t>m/p-tolualdehyde</t>
  </si>
  <si>
    <t>m/p-xylene</t>
  </si>
  <si>
    <t>179601-23-1</t>
  </si>
  <si>
    <t>magnesite</t>
  </si>
  <si>
    <t>546-93-0</t>
  </si>
  <si>
    <t>magnesium aluminum silicate</t>
  </si>
  <si>
    <t>1318-59-8</t>
  </si>
  <si>
    <t>magnesium bis(2-dodecylbenzenesulfonate)</t>
  </si>
  <si>
    <t>27479-45-4</t>
  </si>
  <si>
    <t>magnesium bis(2-ethylhexanoate)</t>
  </si>
  <si>
    <t>15602-15-0</t>
  </si>
  <si>
    <t>magnesium calcium silicate</t>
  </si>
  <si>
    <t>14483-19-3</t>
  </si>
  <si>
    <t>magnesium chloride</t>
  </si>
  <si>
    <t>7786-30-3</t>
  </si>
  <si>
    <t>magnesium chromate</t>
  </si>
  <si>
    <t>13423-61-5</t>
  </si>
  <si>
    <t>magnesium ferrite</t>
  </si>
  <si>
    <t>12068-86-9</t>
  </si>
  <si>
    <t>magnesium fluoride</t>
  </si>
  <si>
    <t>7783-40-6</t>
  </si>
  <si>
    <t>magnesium hexafluorosilicate</t>
  </si>
  <si>
    <t>16949-65-8 (Not Defined)</t>
  </si>
  <si>
    <t>magnesium hexafluorosilicate | For air permit reviews in agricultural areas</t>
  </si>
  <si>
    <t>magnesium hexafluorosilicate | For air permit reviews in agricultural areas with cattle</t>
  </si>
  <si>
    <t>magnesium hydroxide</t>
  </si>
  <si>
    <t>1309-42-8</t>
  </si>
  <si>
    <t>magnesium nitrate</t>
  </si>
  <si>
    <t>10377-60-3</t>
  </si>
  <si>
    <t>magnesium oxide</t>
  </si>
  <si>
    <t>1309-48-4</t>
  </si>
  <si>
    <t>magnesium petroleum sulfonate</t>
  </si>
  <si>
    <t>61789-87-5</t>
  </si>
  <si>
    <t>magnesium resinate</t>
  </si>
  <si>
    <t>68611-24-5</t>
  </si>
  <si>
    <t>magnesium salt of dodecylbenzene succinic anhydride</t>
  </si>
  <si>
    <t>71786-47-5</t>
  </si>
  <si>
    <t>magnesium silica hydrate</t>
  </si>
  <si>
    <t>1343-90-4</t>
  </si>
  <si>
    <t>magnesium stearate</t>
  </si>
  <si>
    <t>557-04-0</t>
  </si>
  <si>
    <t>magnesium sulfate</t>
  </si>
  <si>
    <t>7487-88-9</t>
  </si>
  <si>
    <t>magnesium sulfate, heptahydrate</t>
  </si>
  <si>
    <t>10034-99-8</t>
  </si>
  <si>
    <t>magnesium, elemental</t>
  </si>
  <si>
    <t>7439-95-4</t>
  </si>
  <si>
    <t>malachite green</t>
  </si>
  <si>
    <t>569-64-2</t>
  </si>
  <si>
    <t>Malathion</t>
  </si>
  <si>
    <t>121-75-5</t>
  </si>
  <si>
    <t>maleic acid</t>
  </si>
  <si>
    <t>110-16-7</t>
  </si>
  <si>
    <t>maleic anhydride</t>
  </si>
  <si>
    <t>108-31-6</t>
  </si>
  <si>
    <t>maleic hydrazide</t>
  </si>
  <si>
    <t>123-33-1</t>
  </si>
  <si>
    <t>malic acid</t>
  </si>
  <si>
    <t>6915-15-7</t>
  </si>
  <si>
    <t>malonic acid</t>
  </si>
  <si>
    <t>141-82-2</t>
  </si>
  <si>
    <t>malononitrile</t>
  </si>
  <si>
    <t>109-77-3</t>
  </si>
  <si>
    <t>Mancozeb</t>
  </si>
  <si>
    <t>8018-01-7</t>
  </si>
  <si>
    <t>maneb</t>
  </si>
  <si>
    <t>12427-38-2</t>
  </si>
  <si>
    <t>manganese</t>
  </si>
  <si>
    <t>7439-96-5</t>
  </si>
  <si>
    <t>manganese carboxylate</t>
  </si>
  <si>
    <t>27253-32-3</t>
  </si>
  <si>
    <t>manganese cyclopentadienyl tricarbonyl</t>
  </si>
  <si>
    <t>12079-65-1</t>
  </si>
  <si>
    <t>manganese dihydrogen phosphate</t>
  </si>
  <si>
    <t>18718-07-5</t>
  </si>
  <si>
    <t>manganese drier (50% Mn decanoate)</t>
  </si>
  <si>
    <t>23250-73-9</t>
  </si>
  <si>
    <t>manganese naphthenate</t>
  </si>
  <si>
    <t>61788-57-6</t>
  </si>
  <si>
    <t>manganese octoate</t>
  </si>
  <si>
    <t>15956-58-8</t>
  </si>
  <si>
    <t>manganese salt with synthetic acids</t>
  </si>
  <si>
    <t>68443-00-5</t>
  </si>
  <si>
    <t>manganese(II) acetate</t>
  </si>
  <si>
    <t>638-38-0</t>
  </si>
  <si>
    <t>manganese(II) carbonate</t>
  </si>
  <si>
    <t>598-62-9</t>
  </si>
  <si>
    <t>manganese(II) chloride</t>
  </si>
  <si>
    <t>7773-01-5</t>
  </si>
  <si>
    <t>manganese(II) nitrate</t>
  </si>
  <si>
    <t>10377-66-9</t>
  </si>
  <si>
    <t>manganese(II) oxide</t>
  </si>
  <si>
    <t>1344-43-0</t>
  </si>
  <si>
    <t>manganese(II) phosphate</t>
  </si>
  <si>
    <t>14154-09-7</t>
  </si>
  <si>
    <t>manganese(II) silicate</t>
  </si>
  <si>
    <t>7759-00-4</t>
  </si>
  <si>
    <t>manganese(II) sulfate</t>
  </si>
  <si>
    <t>7785-87-7</t>
  </si>
  <si>
    <t>manganese(II,III) oxide</t>
  </si>
  <si>
    <t>1317-35-7</t>
  </si>
  <si>
    <t>manganese(III) oxide</t>
  </si>
  <si>
    <t>1317-34-6</t>
  </si>
  <si>
    <t>manganese(IV) oxide</t>
  </si>
  <si>
    <t>1313-13-9</t>
  </si>
  <si>
    <t>manganese, inorganic compounds</t>
  </si>
  <si>
    <t>mannitol</t>
  </si>
  <si>
    <t>87-78-5</t>
  </si>
  <si>
    <t>mannose</t>
  </si>
  <si>
    <t>3458-28-4</t>
  </si>
  <si>
    <t>m-chloroaniline</t>
  </si>
  <si>
    <t>108-42-9</t>
  </si>
  <si>
    <t>m-chlorophenol</t>
  </si>
  <si>
    <t>108-43-0</t>
  </si>
  <si>
    <t>m-cresol</t>
  </si>
  <si>
    <t>108-39-4</t>
  </si>
  <si>
    <t>m-cresoxyethanol</t>
  </si>
  <si>
    <t>37281-57-5 (PM)</t>
  </si>
  <si>
    <t>37281-57-5 (Vapor)</t>
  </si>
  <si>
    <t>m-diethylbenzene</t>
  </si>
  <si>
    <t>141-93-5</t>
  </si>
  <si>
    <t>medium aliphatic solvent naphtha (petroleum)</t>
  </si>
  <si>
    <t>64742-88-7</t>
  </si>
  <si>
    <t>medium reformate (contains 13.38% benzene)</t>
  </si>
  <si>
    <t>Mefenoxam</t>
  </si>
  <si>
    <t>70630-17-0</t>
  </si>
  <si>
    <t>melamine</t>
  </si>
  <si>
    <t>108-78-1</t>
  </si>
  <si>
    <t>Melphalan</t>
  </si>
  <si>
    <t>148-82-3</t>
  </si>
  <si>
    <t>menthol</t>
  </si>
  <si>
    <t>89-78-1</t>
  </si>
  <si>
    <t>Mepiquat chloride</t>
  </si>
  <si>
    <t>24307-26-4</t>
  </si>
  <si>
    <t>mercaptanized vinyl norbornene</t>
  </si>
  <si>
    <t>mercaptobenzothiazole</t>
  </si>
  <si>
    <t>149-30-4</t>
  </si>
  <si>
    <t>mercuric (II) nitrate</t>
  </si>
  <si>
    <t>10045-94-0</t>
  </si>
  <si>
    <t>mercury</t>
  </si>
  <si>
    <t>7439-97-6</t>
  </si>
  <si>
    <t>mercury, alkyls</t>
  </si>
  <si>
    <t>mercury, aryl compounds</t>
  </si>
  <si>
    <t>mercury, inorganic compounds</t>
  </si>
  <si>
    <t>mesityl oxide</t>
  </si>
  <si>
    <t>141-79-7</t>
  </si>
  <si>
    <t>meso-2,3-dimethylsuccinic acid</t>
  </si>
  <si>
    <t>608-40-2</t>
  </si>
  <si>
    <t>meta-cymene</t>
  </si>
  <si>
    <t>535-77-3</t>
  </si>
  <si>
    <t>Metalaxyl</t>
  </si>
  <si>
    <t>57837-19-1</t>
  </si>
  <si>
    <t>metallurgical coke (86-91% carbon)</t>
  </si>
  <si>
    <t>Metanil Yellow</t>
  </si>
  <si>
    <t>587-98-4</t>
  </si>
  <si>
    <t>methacrolein</t>
  </si>
  <si>
    <t>78-85-3</t>
  </si>
  <si>
    <t>methacrylamide</t>
  </si>
  <si>
    <t>79-39-0</t>
  </si>
  <si>
    <t>methacrylic acid</t>
  </si>
  <si>
    <t>79-41-4</t>
  </si>
  <si>
    <t>methacrylic acid ethyl acrylate polymer</t>
  </si>
  <si>
    <t>25212-88-8</t>
  </si>
  <si>
    <t>methacrylic acid triethylenetetramine epichlorhydrine Bisphenol A N-oleyl-1,3-propanediamine polymer</t>
  </si>
  <si>
    <t>67846-33-7</t>
  </si>
  <si>
    <t>methacrylonitrile</t>
  </si>
  <si>
    <t>126-98-7</t>
  </si>
  <si>
    <t>methacryloxyethyl ethylene urea</t>
  </si>
  <si>
    <t>86261-90-7</t>
  </si>
  <si>
    <t>methane sulfonyl chloride</t>
  </si>
  <si>
    <t>124-63-0</t>
  </si>
  <si>
    <t>methanediol dipropanoate</t>
  </si>
  <si>
    <t>7044-96-4 (PM)</t>
  </si>
  <si>
    <t>7044-96-4 (Vapor)</t>
  </si>
  <si>
    <t>methanesulfonic acid</t>
  </si>
  <si>
    <t>75-75-2</t>
  </si>
  <si>
    <t>methanol</t>
  </si>
  <si>
    <t>67-56-1</t>
  </si>
  <si>
    <t>methapyrilene</t>
  </si>
  <si>
    <t>91-80-5</t>
  </si>
  <si>
    <t>methidathion</t>
  </si>
  <si>
    <t>950-37-8</t>
  </si>
  <si>
    <t>Methiocarb (Mesurol)</t>
  </si>
  <si>
    <t>2032-65-7</t>
  </si>
  <si>
    <t>methomyl</t>
  </si>
  <si>
    <t>16752-77-5</t>
  </si>
  <si>
    <t>methomyl oxime</t>
  </si>
  <si>
    <t>13749-94-5</t>
  </si>
  <si>
    <t>methoxy-3-propoxypropanol dipropylglycomethyl ether</t>
  </si>
  <si>
    <t>20324-32-7</t>
  </si>
  <si>
    <t>methoxyacetic acid</t>
  </si>
  <si>
    <t>625-45-6</t>
  </si>
  <si>
    <t>methoxybenzene</t>
  </si>
  <si>
    <t>100-66-3</t>
  </si>
  <si>
    <t>Methoxychlor</t>
  </si>
  <si>
    <t>72-43-5</t>
  </si>
  <si>
    <t>methoxyflurane</t>
  </si>
  <si>
    <t>76-38-0</t>
  </si>
  <si>
    <t>methoxyisopropylamine</t>
  </si>
  <si>
    <t>37143-54-7</t>
  </si>
  <si>
    <t>methoxyphenyl glycidyl ether</t>
  </si>
  <si>
    <t>2210-74-4 (PM)</t>
  </si>
  <si>
    <t>2210-74-4 (Vapor)</t>
  </si>
  <si>
    <t>methoxypoly[oxyethylene/oxypropylene]-2-propylamine</t>
  </si>
  <si>
    <t>83713-01-3</t>
  </si>
  <si>
    <t>methyl 1H-benzimidazol-2-ylcarbamate</t>
  </si>
  <si>
    <t>10605-21-7</t>
  </si>
  <si>
    <t>methyl 2-cyanoacrylate</t>
  </si>
  <si>
    <t>137-05-3</t>
  </si>
  <si>
    <t>methyl 2-hydroxyethyl cellulose</t>
  </si>
  <si>
    <t>9032-42-2</t>
  </si>
  <si>
    <t>methyl 3,5-di-tert-butyl-4-hydroxyhydrocinnamate</t>
  </si>
  <si>
    <t>6386-38-5</t>
  </si>
  <si>
    <t>methyl 4-ethoxybenzoate</t>
  </si>
  <si>
    <t>23676-08-6</t>
  </si>
  <si>
    <t>methyl 4-methylcyclohexanecarboxylate</t>
  </si>
  <si>
    <t>51181-40-9</t>
  </si>
  <si>
    <t>methyl 9-decenoate</t>
  </si>
  <si>
    <t>25601-41-6 (PM)</t>
  </si>
  <si>
    <t>25601-41-6 (Vapor)</t>
  </si>
  <si>
    <t>methyl acetate</t>
  </si>
  <si>
    <t>79-20-9</t>
  </si>
  <si>
    <t>methyl acetoacetate</t>
  </si>
  <si>
    <t>105-45-3</t>
  </si>
  <si>
    <t>methyl acetylene-propadiene mixture</t>
  </si>
  <si>
    <t>59355-75-8</t>
  </si>
  <si>
    <t>methyl acrylate</t>
  </si>
  <si>
    <t>96-33-3</t>
  </si>
  <si>
    <t>methyl aniline</t>
  </si>
  <si>
    <t>100-61-8</t>
  </si>
  <si>
    <t>methyl benzoate</t>
  </si>
  <si>
    <t>93-58-3</t>
  </si>
  <si>
    <t>methyl bis(tallowamido ethyl-2-hydroxyethyl ammonium methyl sulfate</t>
  </si>
  <si>
    <t>68410-69-5</t>
  </si>
  <si>
    <t>methyl butyl ketone</t>
  </si>
  <si>
    <t>591-78-6</t>
  </si>
  <si>
    <t>methyl butyrate</t>
  </si>
  <si>
    <t>623-42-7</t>
  </si>
  <si>
    <t>methyl caprylate</t>
  </si>
  <si>
    <t>111-11-5</t>
  </si>
  <si>
    <t>methyl carbamate</t>
  </si>
  <si>
    <t>598-55-0</t>
  </si>
  <si>
    <t>methyl chlorodifluoroacetate</t>
  </si>
  <si>
    <t>1514-87-0</t>
  </si>
  <si>
    <t>methyl chloroformate</t>
  </si>
  <si>
    <t>79-22-1</t>
  </si>
  <si>
    <t>methyl coconate</t>
  </si>
  <si>
    <t>67762-37-2</t>
  </si>
  <si>
    <t>methyl cyanoacetate</t>
  </si>
  <si>
    <t>105-34-0</t>
  </si>
  <si>
    <t>methyl cyclohexene</t>
  </si>
  <si>
    <t>1335-86-0</t>
  </si>
  <si>
    <t>methyl cyclopentadienyl manganese tricarbonyl</t>
  </si>
  <si>
    <t>12108-13-3</t>
  </si>
  <si>
    <t>methyl decanoate</t>
  </si>
  <si>
    <t>110-42-9</t>
  </si>
  <si>
    <t>methyl dichlorosilane</t>
  </si>
  <si>
    <t>75-54-7</t>
  </si>
  <si>
    <t>methyl ethyl aniline</t>
  </si>
  <si>
    <t>24549-06-2</t>
  </si>
  <si>
    <t>methyl ethyl benzene, all isomers</t>
  </si>
  <si>
    <t>methyl ethyl ketone</t>
  </si>
  <si>
    <t>78-93-3</t>
  </si>
  <si>
    <t>methyl ethyl ketone oxime</t>
  </si>
  <si>
    <t>96-29-7</t>
  </si>
  <si>
    <t>methyl ethyl ketone peroxide</t>
  </si>
  <si>
    <t>1338-23-4</t>
  </si>
  <si>
    <t>methyl ethyl succinate</t>
  </si>
  <si>
    <t>627-73-6</t>
  </si>
  <si>
    <t>methyl formamide</t>
  </si>
  <si>
    <t>123-39-7</t>
  </si>
  <si>
    <t>methyl formate</t>
  </si>
  <si>
    <t>107-31-3</t>
  </si>
  <si>
    <t>methyl glutaronitrile</t>
  </si>
  <si>
    <t>4553-62-2</t>
  </si>
  <si>
    <t>methyl glycolate</t>
  </si>
  <si>
    <t>96-35-5</t>
  </si>
  <si>
    <t>methyl hexahydrophthalic anhydride</t>
  </si>
  <si>
    <t>25550-51-0</t>
  </si>
  <si>
    <t>methyl hydrazine</t>
  </si>
  <si>
    <t>60-34-4</t>
  </si>
  <si>
    <t>methyl iodide</t>
  </si>
  <si>
    <t>74-88-4</t>
  </si>
  <si>
    <t>methyl isoamyl ketone</t>
  </si>
  <si>
    <t>110-12-3</t>
  </si>
  <si>
    <t>methyl isobutyl ketone</t>
  </si>
  <si>
    <t>108-10-1</t>
  </si>
  <si>
    <t>methyl isobutyrate</t>
  </si>
  <si>
    <t>547-63-7</t>
  </si>
  <si>
    <t>methyl isocyanate</t>
  </si>
  <si>
    <t>624-83-9</t>
  </si>
  <si>
    <t>methyl isopropyl ether</t>
  </si>
  <si>
    <t>598-53-8</t>
  </si>
  <si>
    <t>methyl isopropyl ketone</t>
  </si>
  <si>
    <t>563-80-4</t>
  </si>
  <si>
    <t>methyl isothiocyanate</t>
  </si>
  <si>
    <t>556-61-6</t>
  </si>
  <si>
    <t>methyl isovalerate</t>
  </si>
  <si>
    <t>556-24-1</t>
  </si>
  <si>
    <t>methyl laurate</t>
  </si>
  <si>
    <t>111-82-0</t>
  </si>
  <si>
    <t>methyl mercaptan</t>
  </si>
  <si>
    <t>74-93-1</t>
  </si>
  <si>
    <t>methyl mercaptopropianamide</t>
  </si>
  <si>
    <t>52334-99-3</t>
  </si>
  <si>
    <t>methyl methacrylate</t>
  </si>
  <si>
    <t>80-62-6</t>
  </si>
  <si>
    <t>methyl methanesulfonate</t>
  </si>
  <si>
    <t>66-27-3</t>
  </si>
  <si>
    <t>methyl methoxyacetate</t>
  </si>
  <si>
    <t>6290-49-9</t>
  </si>
  <si>
    <t>methyl n-amyl ketone</t>
  </si>
  <si>
    <t>110-43-0</t>
  </si>
  <si>
    <t>methyl nonafluorobutyl ether</t>
  </si>
  <si>
    <t>163702-07-6</t>
  </si>
  <si>
    <t>methyl octyl ketone</t>
  </si>
  <si>
    <t>693-54-9</t>
  </si>
  <si>
    <t>methyl oleate</t>
  </si>
  <si>
    <t>112-62-9 (PM)</t>
  </si>
  <si>
    <t>112-62-9 (Vapor)</t>
  </si>
  <si>
    <t>methyl orange</t>
  </si>
  <si>
    <t>547-58-0</t>
  </si>
  <si>
    <t>methyl palmitate</t>
  </si>
  <si>
    <t>112-39-0 (PM)</t>
  </si>
  <si>
    <t>112-39-0 (Vapor)</t>
  </si>
  <si>
    <t>methyl parathion</t>
  </si>
  <si>
    <t>298-00-0</t>
  </si>
  <si>
    <t>methyl phenyl silsesquioxanes-dimethyl, diphenyl siloxane polymers</t>
  </si>
  <si>
    <t>68440-64-2 (PM)</t>
  </si>
  <si>
    <t>68440-64-2 (Vapor)</t>
  </si>
  <si>
    <t>methyl phenylglyoxylic acid</t>
  </si>
  <si>
    <t>15206-55-0 (PM)</t>
  </si>
  <si>
    <t>15206-55-0 (Vapor)</t>
  </si>
  <si>
    <t>methyl propandiol</t>
  </si>
  <si>
    <t>2163-42-0</t>
  </si>
  <si>
    <t>methyl propionate</t>
  </si>
  <si>
    <t>554-12-1</t>
  </si>
  <si>
    <t>methyl propyl ether</t>
  </si>
  <si>
    <t>557-17-5</t>
  </si>
  <si>
    <t>methyl p-toluate</t>
  </si>
  <si>
    <t>99-75-2</t>
  </si>
  <si>
    <t>methyl salicylate</t>
  </si>
  <si>
    <t>119-36-8</t>
  </si>
  <si>
    <t>methyl sec-butyl ketone</t>
  </si>
  <si>
    <t>565-61-7</t>
  </si>
  <si>
    <t>methyl silane</t>
  </si>
  <si>
    <t>992-94-9</t>
  </si>
  <si>
    <t>methyl stearate</t>
  </si>
  <si>
    <t>112-61-8</t>
  </si>
  <si>
    <t>methyl tert-butyl ether</t>
  </si>
  <si>
    <t>1634-04-4</t>
  </si>
  <si>
    <t>methyl trimethylacetate</t>
  </si>
  <si>
    <t>598-98-1 (PM)</t>
  </si>
  <si>
    <t>598-98-1 (Vapor)</t>
  </si>
  <si>
    <t>methyl vinyl acetate</t>
  </si>
  <si>
    <t>3724-55-8</t>
  </si>
  <si>
    <t>methyl vinyl ether</t>
  </si>
  <si>
    <t>107-25-5</t>
  </si>
  <si>
    <t>methyl vinyl ketone</t>
  </si>
  <si>
    <t>78-94-4</t>
  </si>
  <si>
    <t>methyl-2-hydroxyisobutyrate</t>
  </si>
  <si>
    <t>2110-78-3</t>
  </si>
  <si>
    <t>methyl-3-mercaptopropionate</t>
  </si>
  <si>
    <t>2935-90-2</t>
  </si>
  <si>
    <t>methyl-3-methoxy proprionate</t>
  </si>
  <si>
    <t>3852-09-3</t>
  </si>
  <si>
    <t>methyl-5-norbornene-2,3-dicarboxylic anhydride</t>
  </si>
  <si>
    <t>25134-21-8</t>
  </si>
  <si>
    <t>methylacetaldehyde</t>
  </si>
  <si>
    <t>534-15-6</t>
  </si>
  <si>
    <t>methylaluminoxane</t>
  </si>
  <si>
    <t>120144-90-3</t>
  </si>
  <si>
    <t>methylamine</t>
  </si>
  <si>
    <t>74-89-5</t>
  </si>
  <si>
    <t>methylbiphenyl</t>
  </si>
  <si>
    <t>28652-72-4</t>
  </si>
  <si>
    <t>methylbis (phenylmethyl) benzene</t>
  </si>
  <si>
    <t>26898-17-9</t>
  </si>
  <si>
    <t>methylbutene (mixed isomers)</t>
  </si>
  <si>
    <t>26760-64-5</t>
  </si>
  <si>
    <t>methylcyclohexane</t>
  </si>
  <si>
    <t>108-87-2</t>
  </si>
  <si>
    <t>methylcyclohexanol</t>
  </si>
  <si>
    <t>25639-42-3</t>
  </si>
  <si>
    <t>methylcyclopentadiene</t>
  </si>
  <si>
    <t>26472-00-4</t>
  </si>
  <si>
    <t>methylcyclopentane</t>
  </si>
  <si>
    <t>96-37-7</t>
  </si>
  <si>
    <t>methylcyclopropane</t>
  </si>
  <si>
    <t>594-11-6</t>
  </si>
  <si>
    <t>methyldibutylamine</t>
  </si>
  <si>
    <t>3405-45-6</t>
  </si>
  <si>
    <t>methyldiethoxysilane</t>
  </si>
  <si>
    <t>2031-62-1</t>
  </si>
  <si>
    <t>methyldiethylamine</t>
  </si>
  <si>
    <t>616-39-7</t>
  </si>
  <si>
    <t>methylene bis(2-chloroaniline)</t>
  </si>
  <si>
    <t>101-14-4</t>
  </si>
  <si>
    <t>methylene bis(4-cyclohexylisocyanate)</t>
  </si>
  <si>
    <t>methylene bis(thiocyanate)</t>
  </si>
  <si>
    <t>6317-18-6</t>
  </si>
  <si>
    <t>methylene chloride</t>
  </si>
  <si>
    <t>75-09-2</t>
  </si>
  <si>
    <t>methylene diphenyl diisocyanate, mixed isomers</t>
  </si>
  <si>
    <t>methylene disalicylic acid</t>
  </si>
  <si>
    <t>27496-82-8</t>
  </si>
  <si>
    <t>methylethanolamine</t>
  </si>
  <si>
    <t>109-83-1</t>
  </si>
  <si>
    <t>methylhydroquinone</t>
  </si>
  <si>
    <t>95-71-6</t>
  </si>
  <si>
    <t>methylmercaptopropionaldehyde</t>
  </si>
  <si>
    <t>3268-49-3</t>
  </si>
  <si>
    <t>methylol dimethylhydantoin</t>
  </si>
  <si>
    <t>116-25-6</t>
  </si>
  <si>
    <t>methyloxirane polymer with oxirane, ether with (chloromethyl)oxirane polymer with 4,4'-(1-methylethylidene)bis[phenol]</t>
  </si>
  <si>
    <t>68036-95-3 (PM)</t>
  </si>
  <si>
    <t>68036-95-3 (Vapor)</t>
  </si>
  <si>
    <t>methyl-oxirane polymer with oxirane, mono-2-propenyl ether</t>
  </si>
  <si>
    <t>9041-33-2</t>
  </si>
  <si>
    <t>methyloxirane, polymer with oxirane ether with 2-ethyl-2-(hydroxymethyl)-1,3-propanediol</t>
  </si>
  <si>
    <t>52624-57-4 (PM)</t>
  </si>
  <si>
    <t>52624-57-4 (Vapor)</t>
  </si>
  <si>
    <t>methyloxirane, polymer with oxirane, (E)-2-butenedioate</t>
  </si>
  <si>
    <t>68186-54-9 (PM)</t>
  </si>
  <si>
    <t>68186-54-9 (Vapor)</t>
  </si>
  <si>
    <t>methyloxirane, polymer with oxirane, didodecylbenzenesulfonate</t>
  </si>
  <si>
    <t>68332-78-5 (PM)</t>
  </si>
  <si>
    <t>68332-78-5 (Vapor)</t>
  </si>
  <si>
    <t>methyloxirane, polymer with oxirane, ether with 1,2,3-propanetriol</t>
  </si>
  <si>
    <t>9082-00-2 (PM)</t>
  </si>
  <si>
    <t>9082-00-2 (Vapor)</t>
  </si>
  <si>
    <t>methyloxirane, polymer with oxirane, ether with 1,2,3-propanetriol (3:1), ether with (chloromethyl)oxirane polymer with 4,4'-(1-methylethylidene)bis[phenol]</t>
  </si>
  <si>
    <t>68036-92-0 (PM)</t>
  </si>
  <si>
    <t>68036-92-0 (Vapor)</t>
  </si>
  <si>
    <t>methyl-oxirane, polymer with oxirane, mono[2-(2-butoxyethoxy)ethyl]ether</t>
  </si>
  <si>
    <t>85637-75-8 (PM)</t>
  </si>
  <si>
    <t>85637-75-8 (Vapor)</t>
  </si>
  <si>
    <t>methyloxirane, polymer with oxirane, mono2,4,6-tris(1-phenylethyl)phenyl ether</t>
  </si>
  <si>
    <t>70880-56-7 (PM)</t>
  </si>
  <si>
    <t>70880-56-7 (Vapor)</t>
  </si>
  <si>
    <t>methyloxirane, polymer with oxirane, monoalkyl ethers</t>
  </si>
  <si>
    <t>37251-67-5 (PM)</t>
  </si>
  <si>
    <t>37251-67-5 (Vapor)</t>
  </si>
  <si>
    <t>methyloxirane, polymer with oxirane, monobutyl ether (polyalkylene glycol)</t>
  </si>
  <si>
    <t>9038-95-3</t>
  </si>
  <si>
    <t>m-ethylphenol</t>
  </si>
  <si>
    <t>620-17-7</t>
  </si>
  <si>
    <t>methyl-phenol compd with 2-aminoethanol (1:1)</t>
  </si>
  <si>
    <t>67786-08-7</t>
  </si>
  <si>
    <t>methylphosphonic dichloride</t>
  </si>
  <si>
    <t>676-97-1</t>
  </si>
  <si>
    <t>methylquinoline, unspecified</t>
  </si>
  <si>
    <t>27601-00-9</t>
  </si>
  <si>
    <t>methylstyrenated phenol</t>
  </si>
  <si>
    <t>68512-30-1</t>
  </si>
  <si>
    <t>methyltetralin</t>
  </si>
  <si>
    <t>1559-81-5</t>
  </si>
  <si>
    <t>methyltin tris(isooctyl thioglycollate)</t>
  </si>
  <si>
    <t>57583-34-3</t>
  </si>
  <si>
    <t>m-ethyltoluene</t>
  </si>
  <si>
    <t>620-14-4</t>
  </si>
  <si>
    <t>methyltri (ethylmethylketoxime) silane</t>
  </si>
  <si>
    <t>22984-54-9</t>
  </si>
  <si>
    <t>methyltriacetoxysilane</t>
  </si>
  <si>
    <t>4253-34-3</t>
  </si>
  <si>
    <t>methyltrichlorosilane</t>
  </si>
  <si>
    <t>75-79-6</t>
  </si>
  <si>
    <t>methyltriethoxysilane</t>
  </si>
  <si>
    <t>2031-67-6</t>
  </si>
  <si>
    <t>methyltrimethoxysilane</t>
  </si>
  <si>
    <t>1185-55-3</t>
  </si>
  <si>
    <t>methylundec-10-enoate</t>
  </si>
  <si>
    <t>111-81-9</t>
  </si>
  <si>
    <t>Metolachlor</t>
  </si>
  <si>
    <t>51218-45-2</t>
  </si>
  <si>
    <t>metoprolol</t>
  </si>
  <si>
    <t>83-43-2</t>
  </si>
  <si>
    <t>metoprolol succinate</t>
  </si>
  <si>
    <t>98418-47-4</t>
  </si>
  <si>
    <t>metoprolol tartrate</t>
  </si>
  <si>
    <t>56392-17-7</t>
  </si>
  <si>
    <t>Metribuzin</t>
  </si>
  <si>
    <t>21087-64-9</t>
  </si>
  <si>
    <t>metrifonate</t>
  </si>
  <si>
    <t>52-68-6</t>
  </si>
  <si>
    <t>Mevinphos</t>
  </si>
  <si>
    <t>7786-34-7</t>
  </si>
  <si>
    <t>mica</t>
  </si>
  <si>
    <t>12001-26-2</t>
  </si>
  <si>
    <t>microcrystalline wax</t>
  </si>
  <si>
    <t>63231-60-7</t>
  </si>
  <si>
    <t>microcrystalline wax food grade</t>
  </si>
  <si>
    <t>Mimic insecticide</t>
  </si>
  <si>
    <t>112410-23-8</t>
  </si>
  <si>
    <t>mineral spirits</t>
  </si>
  <si>
    <t>64475-85-0</t>
  </si>
  <si>
    <t>mineral wool fibers</t>
  </si>
  <si>
    <t>Mirex</t>
  </si>
  <si>
    <t>2385-85-5</t>
  </si>
  <si>
    <t>m-methylstyrene</t>
  </si>
  <si>
    <t>100-80-1</t>
  </si>
  <si>
    <t>m-nitrochlorobenzene</t>
  </si>
  <si>
    <t>121-73-3</t>
  </si>
  <si>
    <t>m-nitrophenol</t>
  </si>
  <si>
    <t>554-84-7</t>
  </si>
  <si>
    <t>m-nitrotoluene</t>
  </si>
  <si>
    <t>99-08-1</t>
  </si>
  <si>
    <t>moclobemide</t>
  </si>
  <si>
    <t>71320-77-9</t>
  </si>
  <si>
    <t>modified ammonium diphosphate (cyclohexyldimethylammonium dihydrogen phosphate)</t>
  </si>
  <si>
    <t>85099-25-8</t>
  </si>
  <si>
    <t>modified bisphenol polyglycidyl ether</t>
  </si>
  <si>
    <t>modified epoxy phenolic resin</t>
  </si>
  <si>
    <t>69898-58-4</t>
  </si>
  <si>
    <t>modified methylene diisocyanate</t>
  </si>
  <si>
    <t>modified polyethoxylated alcohol</t>
  </si>
  <si>
    <t>68603-25-8</t>
  </si>
  <si>
    <t>modified polyglycol diamines</t>
  </si>
  <si>
    <t>molasses</t>
  </si>
  <si>
    <t>68476-78-8</t>
  </si>
  <si>
    <t>molecular sieves</t>
  </si>
  <si>
    <t>molybdate orange</t>
  </si>
  <si>
    <t>12656-85-8</t>
  </si>
  <si>
    <t>molybdenum</t>
  </si>
  <si>
    <t>7439-98-7</t>
  </si>
  <si>
    <t>molybdenum disulfide</t>
  </si>
  <si>
    <t>1317-33-5</t>
  </si>
  <si>
    <t>molybdenum sodium oxide</t>
  </si>
  <si>
    <t>12680-49-8</t>
  </si>
  <si>
    <t>molybdenum trioxide</t>
  </si>
  <si>
    <t>1313-27-5</t>
  </si>
  <si>
    <t>molybdenum zinc oxide</t>
  </si>
  <si>
    <t>61583-60-6</t>
  </si>
  <si>
    <t>molybdenum, insoluble compounds</t>
  </si>
  <si>
    <t>molybdenum, soluble compounds</t>
  </si>
  <si>
    <t>Monitor Technical</t>
  </si>
  <si>
    <t>10265-92-6</t>
  </si>
  <si>
    <t>mono-(1,1,3,3-tetramethylbutylphenyl) ether polyethylene glycols</t>
  </si>
  <si>
    <t>9036-19-5</t>
  </si>
  <si>
    <t>mono[(C10-16-alkyloxy)methyl] oxirane derivs</t>
  </si>
  <si>
    <t>68081-84-5 (PM)</t>
  </si>
  <si>
    <t>68081-84-5 (Vapor)</t>
  </si>
  <si>
    <t>monoacryloyloxyethyl succinate</t>
  </si>
  <si>
    <t>50940-49-3</t>
  </si>
  <si>
    <t>monoammonium phosphate</t>
  </si>
  <si>
    <t>7722-76-1</t>
  </si>
  <si>
    <t>monoazo yellow 2512</t>
  </si>
  <si>
    <t>2512-29-0</t>
  </si>
  <si>
    <t>monobromo-3-nitrilopropionamide</t>
  </si>
  <si>
    <t>1113-55-9</t>
  </si>
  <si>
    <t>monochloropinacolone</t>
  </si>
  <si>
    <t>13547-70-1</t>
  </si>
  <si>
    <t>monochlorosilane</t>
  </si>
  <si>
    <t>13465-78-6</t>
  </si>
  <si>
    <t>monocrotophos</t>
  </si>
  <si>
    <t>6923-22-4</t>
  </si>
  <si>
    <t>monoethanolamine</t>
  </si>
  <si>
    <t>141-43-5</t>
  </si>
  <si>
    <t>monoethanolamine borate</t>
  </si>
  <si>
    <t>10377-81-8</t>
  </si>
  <si>
    <t>monoethanolamine thioglycolate</t>
  </si>
  <si>
    <t>126-97-6</t>
  </si>
  <si>
    <t>monofluoro phosphoric acid</t>
  </si>
  <si>
    <t>13537-32-1</t>
  </si>
  <si>
    <t>monopotassium phosphite</t>
  </si>
  <si>
    <t>13977-65-6</t>
  </si>
  <si>
    <t>monosodium phosphate</t>
  </si>
  <si>
    <t>7558-80-7</t>
  </si>
  <si>
    <t>Montmorillonite</t>
  </si>
  <si>
    <t>12141-46-7</t>
  </si>
  <si>
    <t>morpholine</t>
  </si>
  <si>
    <t>110-91-8</t>
  </si>
  <si>
    <t>motor oil (all viscosities)</t>
  </si>
  <si>
    <t>Motorcraft Synthetic Blend, API SM, ILSAC GF-4, SAE 5W-30 motor oil</t>
  </si>
  <si>
    <t>m-phthalodinitrile</t>
  </si>
  <si>
    <t>626-17-5</t>
  </si>
  <si>
    <t>m-tolidine</t>
  </si>
  <si>
    <t>84-67-3</t>
  </si>
  <si>
    <t>m-tolualdehyde</t>
  </si>
  <si>
    <t>620-23-5</t>
  </si>
  <si>
    <t>m-toluidine</t>
  </si>
  <si>
    <t>108-44-1</t>
  </si>
  <si>
    <t>m-tolunitrile</t>
  </si>
  <si>
    <t>620-22-4</t>
  </si>
  <si>
    <t>muscovite</t>
  </si>
  <si>
    <t>1318-94-1</t>
  </si>
  <si>
    <t>m-xylene</t>
  </si>
  <si>
    <t>108-38-3</t>
  </si>
  <si>
    <t>m-xylene-a,a'-diamine</t>
  </si>
  <si>
    <t>1477-55-0</t>
  </si>
  <si>
    <t>myrcene</t>
  </si>
  <si>
    <t>123-35-3</t>
  </si>
  <si>
    <t>myristamine oxide</t>
  </si>
  <si>
    <t>3332-27-2</t>
  </si>
  <si>
    <t>Myristic Acid</t>
  </si>
  <si>
    <t>544-63-8 (PM)</t>
  </si>
  <si>
    <t>544-63-8 (Vapor)</t>
  </si>
  <si>
    <t>N-(1,3-dimethylbutyl)-N'-phenyl-p-phenylenediamine</t>
  </si>
  <si>
    <t>793-24-8</t>
  </si>
  <si>
    <t>N-(1,3-dimethylbutylidene)-N'-(2-((1,3-dimethylbutylidene)amino)ethyl)-1,2-ethanediamine</t>
  </si>
  <si>
    <t>10595-60-5</t>
  </si>
  <si>
    <t>N-(2,3-dihydro-2-oxo-1H-benzimidazol-5-yl)-2-[(4-nitrophenyl)azo]-3-oxobutyramide</t>
  </si>
  <si>
    <t>52846-56-7</t>
  </si>
  <si>
    <t>N-(2-aminoethyl)-N'-(2-(1-piperazinyl)ethyl)ethylenediamine</t>
  </si>
  <si>
    <t>31295-49-5</t>
  </si>
  <si>
    <t>N-(2-carboxyethyl)-N-(2-ethylhexyl)-beta-alanine, sodium salt (1:1)</t>
  </si>
  <si>
    <t>94441-92-6</t>
  </si>
  <si>
    <t>N-(2-ethoxyphenyl)-N'-(2-ethylphenyl)ethanediamide</t>
  </si>
  <si>
    <t>23949-66-8 (PM)</t>
  </si>
  <si>
    <t>23949-66-8 (Vapor)</t>
  </si>
  <si>
    <t>N-(2-hydroxyethyl)-hexadecanamide</t>
  </si>
  <si>
    <t>544-31-0</t>
  </si>
  <si>
    <t>N-(2-hydroxyethyl)-octadecanamide</t>
  </si>
  <si>
    <t>111-57-9</t>
  </si>
  <si>
    <t>N-(3-(dibutylamino)propyl)cocoamides</t>
  </si>
  <si>
    <t>851544-20-2</t>
  </si>
  <si>
    <t>N-(3-dimethylaminopropyl)-N,N-diisopropanolamine</t>
  </si>
  <si>
    <t>63469-23-8</t>
  </si>
  <si>
    <t>N-(3-tridecyloxypropyl)-1,3-propanediamine, branched</t>
  </si>
  <si>
    <t>68479-04-9</t>
  </si>
  <si>
    <t>N-(4-butyl-2-nitrophenyl)acetamide</t>
  </si>
  <si>
    <t>3663-21-6</t>
  </si>
  <si>
    <t>N-(4-butylphenyl)acetamide</t>
  </si>
  <si>
    <t>3663-20-5</t>
  </si>
  <si>
    <t>n-(4-chloro-2,5-dimethoxyphenyl)-2-[(2,5-dimethoxy-4-[(phenylamino)sulfonyl)phenyl)azobutanamide</t>
  </si>
  <si>
    <t>12225-18-2</t>
  </si>
  <si>
    <t>N-(4-methylphenyl)-acetamide</t>
  </si>
  <si>
    <t>103-89-9 (PM)</t>
  </si>
  <si>
    <t>103-89-9 (Vapor)</t>
  </si>
  <si>
    <t>N-(5-(1,1-dimethylethyl)-1,3,4-thiadiazol-2-yl)-N,N'-dimethylurea</t>
  </si>
  <si>
    <t>34014-18-1</t>
  </si>
  <si>
    <t>N-(carboxymethyl)-N-(2-((2-((carboxymethyl)amino)ethyl)amino)ethyl)-glycine, trisodium salt</t>
  </si>
  <si>
    <t>75348-61-7</t>
  </si>
  <si>
    <t>N-(carboxymethyl)-N-[2-[(carboxymethyl)amino]ethyl]-glycine, trisodium salt</t>
  </si>
  <si>
    <t>19019-43-3 (PM)</t>
  </si>
  <si>
    <t>19019-43-3 (Vapor)</t>
  </si>
  <si>
    <t>N-(N,N-dimethylaminoethyl)-aminoethanol</t>
  </si>
  <si>
    <t>38361-86-3</t>
  </si>
  <si>
    <t>N-(n-butyl)thiophosphoric triamide</t>
  </si>
  <si>
    <t>94317-64-3</t>
  </si>
  <si>
    <t>N-(oxiranylmethyl)-morpholine</t>
  </si>
  <si>
    <t>6270-19-5</t>
  </si>
  <si>
    <t>N-(phosphonomethyl)-glycine potassium salt</t>
  </si>
  <si>
    <t>70901-12-1</t>
  </si>
  <si>
    <t>N,N"-methylenediurea</t>
  </si>
  <si>
    <t>13547-17-6</t>
  </si>
  <si>
    <t>N,N'-(iminodi-2,1-ethanediyl)bis(N-(carboxymethyl)-glycine, tetrasodium salt</t>
  </si>
  <si>
    <t>75348-60-6</t>
  </si>
  <si>
    <t>N,N'-(iminodi-2,1-ethanediyl)bis-tall oil fatty amide</t>
  </si>
  <si>
    <t>68911-66-0</t>
  </si>
  <si>
    <t>N,N'-(iminodi-2,1-ethanediyl)bis-tall oil fatty amide, ethoxylated</t>
  </si>
  <si>
    <t>68413-41-2</t>
  </si>
  <si>
    <t>N,N'-(iminodi-2,1-ethanediyl)bis-tall oil fatty amide, phosphates</t>
  </si>
  <si>
    <t>85711-34-8</t>
  </si>
  <si>
    <t>N,N'-(methyl-1,3-phenylene) bis (N',N'-dimethylurea)</t>
  </si>
  <si>
    <t>17526-94-2</t>
  </si>
  <si>
    <t>N,N-(methylenedi-4,1-cyclohexanediyl)bis-aspartic acid tetraethyl ester</t>
  </si>
  <si>
    <t>136210-30-5</t>
  </si>
  <si>
    <t>N,N''-(methylenedi-4,1-phenylene)bis(N',N'-dimethylurea</t>
  </si>
  <si>
    <t>10097-09-3</t>
  </si>
  <si>
    <t>N,N'-(m-phenylenedimaleimide)</t>
  </si>
  <si>
    <t>3006-93-7</t>
  </si>
  <si>
    <t>N,N,2,4-tetramethyl-4-penten-1-amine</t>
  </si>
  <si>
    <t>68893-08-3</t>
  </si>
  <si>
    <t>N,N,N,N',N',N'-hexamethyl-1,6-hexanediaminium dibromide</t>
  </si>
  <si>
    <t>55-97-0</t>
  </si>
  <si>
    <t>N,N,N',N'',N''-pentamethyl-dipropylenetriamine</t>
  </si>
  <si>
    <t>66537-05-1</t>
  </si>
  <si>
    <t>N,N,N',N'-tetrakis(2-hydroxypropyl)ethylenediamine</t>
  </si>
  <si>
    <t>102-60-3</t>
  </si>
  <si>
    <t>N,N,N',N'-tetramethyl-1,3-butanediamine</t>
  </si>
  <si>
    <t>97-84-7</t>
  </si>
  <si>
    <t>N,N,N',N'-tetramethyl-1,3-propanediamine</t>
  </si>
  <si>
    <t>110-95-2</t>
  </si>
  <si>
    <t>N,N,N',N'-tetramethyl-1,4-butanediamine</t>
  </si>
  <si>
    <t>111-51-3</t>
  </si>
  <si>
    <t>N,N,N,N-tetramethyl-1,6-hexanediamine</t>
  </si>
  <si>
    <t>111-18-2</t>
  </si>
  <si>
    <t>N,N,N,N-tetramethylethylenediamine</t>
  </si>
  <si>
    <t>110-18-9</t>
  </si>
  <si>
    <t>N,N,N-trimethyl-1-dodecanaminium chloride</t>
  </si>
  <si>
    <t>112-00-5</t>
  </si>
  <si>
    <t>N,N,N-trimethyl-2-((1-oxo-2-propenyl)oxy)-ethanaminium chloride, homopolymer</t>
  </si>
  <si>
    <t>54076-97-0</t>
  </si>
  <si>
    <t>N,N,N-trimethyl-2-((1-oxo-2-propenyl)oxy)-ethanaminium chloride, polymer with 2-propenamide chlorine</t>
  </si>
  <si>
    <t>69418-26-4</t>
  </si>
  <si>
    <t>N,N,N-trimethyl-2-[(1-oxo-propenyl)oxy]-ethanaminium, chloride, polymer with 2-propenamide</t>
  </si>
  <si>
    <t>84593-51-1</t>
  </si>
  <si>
    <t>N,N,N-trimethyl-3-[(2-methyl-1-oxo-2-propen-1-yl)amino]-1-Propanaminium chloride (1:1), homopolymer</t>
  </si>
  <si>
    <t>68039-13-4</t>
  </si>
  <si>
    <t>N,N,N-trimethylmethanaminium bromide</t>
  </si>
  <si>
    <t>64-20-0</t>
  </si>
  <si>
    <t>N,N,N-trimethylmethanaminium hydroxide hydrate (1:1)</t>
  </si>
  <si>
    <t>75-59-2</t>
  </si>
  <si>
    <t>N,N,N'-tris(1-methylpropyl)-1,4-benzenediamine</t>
  </si>
  <si>
    <t>64381-97-1</t>
  </si>
  <si>
    <t>N,N'-[methylenebis(2-methyl-4,1-cyclohexanediyl)]bisaspartic acid, 1,1',4,4'-tetraethyl ester</t>
  </si>
  <si>
    <t>136210-32-7</t>
  </si>
  <si>
    <t>N,N'-[phenylenebis(methylene)] bis[12-hydroxy-octadecanamide</t>
  </si>
  <si>
    <t>55348-62-4</t>
  </si>
  <si>
    <t>N,N'-1,6-hexanediylbis(12-hydroxyoctadecanamide)</t>
  </si>
  <si>
    <t>55349-01-4 (PM)</t>
  </si>
  <si>
    <t>55349-01-4 (Vapor)</t>
  </si>
  <si>
    <t>N,N'-bis(1,3-dimethylbutylidene)ethylenediamine</t>
  </si>
  <si>
    <t>25707-70-4</t>
  </si>
  <si>
    <t>N,N'-bis(2,2,6,6-tetramethyl-4-piperidinyl)-1,6-hexanediamine</t>
  </si>
  <si>
    <t>61260-55-7</t>
  </si>
  <si>
    <t>N,N'-bis(2,2,6,6-tetramethyl-4-piperidinyl)-1,6-hexanediamine, polymer with morpholine-2,4,6-trichloro-1,3,5-triazine</t>
  </si>
  <si>
    <t>193098-40-7</t>
  </si>
  <si>
    <t>N,N'-bis(2-aminoethyl)-1,2-ethanediamine, polymer with methyloxirane</t>
  </si>
  <si>
    <t>26950-63-0</t>
  </si>
  <si>
    <t>N,N'-bis(2-aminoethyl)-1,2-ethanediamine, polymer with methyloxirane and oxirane</t>
  </si>
  <si>
    <t>67939-72-4</t>
  </si>
  <si>
    <t>N,N-bis(2-hydroxyethyl)-C12-18-alkylamine</t>
  </si>
  <si>
    <t>71786-60-2</t>
  </si>
  <si>
    <t>N,N-bis(2-hydroxypropyl)aniline</t>
  </si>
  <si>
    <t>3077-13-2 (PM)</t>
  </si>
  <si>
    <t>3077-13-2 (Vapor)</t>
  </si>
  <si>
    <t>N,N-bis(3-(dimethylamino)propyl)-N',N'-dimethyl-1,3-propanediamine</t>
  </si>
  <si>
    <t>33329-35-0</t>
  </si>
  <si>
    <t>N,N-bis(3-aminopropyl)methylamine</t>
  </si>
  <si>
    <t>105-83-9</t>
  </si>
  <si>
    <t>N,N-bis(carboxymethyl)-glycine, trisodium salt</t>
  </si>
  <si>
    <t>5064-31-3 (PM)</t>
  </si>
  <si>
    <t>5064-31-3 (Vapor)</t>
  </si>
  <si>
    <t>N,N'-bis(gamma-aminopropyl)diaminoethane</t>
  </si>
  <si>
    <t>10563-26-5</t>
  </si>
  <si>
    <t>N,N-bis(hydroxyethyl) amide, C8-C18 unsaturated</t>
  </si>
  <si>
    <t>68155-07-7</t>
  </si>
  <si>
    <t>N,N'-bis[3-(dimethylamino)propyl]-urea, polymer with 1,1'-oxybis[2-chloroethane]</t>
  </si>
  <si>
    <t>68555-36-2</t>
  </si>
  <si>
    <t>N,N-di(2-hydroxyethyl)lauramide</t>
  </si>
  <si>
    <t>120-40-1</t>
  </si>
  <si>
    <t>n,n-dialkyl toluidine</t>
  </si>
  <si>
    <t>613-48-9</t>
  </si>
  <si>
    <t>N,N-diallyl-2,2-dichloroacetamide</t>
  </si>
  <si>
    <t>37764-25-3</t>
  </si>
  <si>
    <t>N,N-diethylaniline</t>
  </si>
  <si>
    <t>91-66-7</t>
  </si>
  <si>
    <t>N,N'-diethylhydroxylamine</t>
  </si>
  <si>
    <t>3710-84-7</t>
  </si>
  <si>
    <t>N,N-diethyl-m-toluamide</t>
  </si>
  <si>
    <t>134-62-3</t>
  </si>
  <si>
    <t>n,n-diglycidyl-4-glycidyloxyaniline</t>
  </si>
  <si>
    <t>5026-74-4</t>
  </si>
  <si>
    <t>N,N-diglycidylaniline</t>
  </si>
  <si>
    <t>2095-06-9</t>
  </si>
  <si>
    <t>N,N'-diisopropyl-2-methyl-1,5-pentanediamine</t>
  </si>
  <si>
    <t>121255-03-6</t>
  </si>
  <si>
    <t>n,n-diisopropylethylamine</t>
  </si>
  <si>
    <t>7087-68-5</t>
  </si>
  <si>
    <t>N,N-dimethyl ethyl amine</t>
  </si>
  <si>
    <t>598-56-1</t>
  </si>
  <si>
    <t>N,N-dimethyl-1-dodecanamine</t>
  </si>
  <si>
    <t>112-18-5</t>
  </si>
  <si>
    <t>N,N-dimethyl-1-octadecanamine</t>
  </si>
  <si>
    <t>124-28-7</t>
  </si>
  <si>
    <t>N,N-dimethyl-2-[2-(methylamino)ethoxy]-ethanamine</t>
  </si>
  <si>
    <t>93240-93-8</t>
  </si>
  <si>
    <t>N,N-dimethylaniline</t>
  </si>
  <si>
    <t>121-69-7</t>
  </si>
  <si>
    <t>N,N-dimethylbenzylamine</t>
  </si>
  <si>
    <t>103-83-3</t>
  </si>
  <si>
    <t>N,N-dimethylcyclohexylamine</t>
  </si>
  <si>
    <t>98-94-2</t>
  </si>
  <si>
    <t>N,N-dimethyldecanamide</t>
  </si>
  <si>
    <t>14433-76-2</t>
  </si>
  <si>
    <t>N,N-dimethyldodecylamine-n-oxide</t>
  </si>
  <si>
    <t>1643-20-5</t>
  </si>
  <si>
    <t>N,N-dimethyl-N'-(2,2,6,6-tetramethyl-4-piperidinyl)-1,3-propanediamine</t>
  </si>
  <si>
    <t>78014-16-1</t>
  </si>
  <si>
    <t>N,N-dimethyl-N-octadecyl-1-octadecanaminium-(Sp-4-2)-[29H,31H-phthalocyanine-2- sulfonato-N29,N30,N31,N32]cuprate</t>
  </si>
  <si>
    <t>70750-63-9</t>
  </si>
  <si>
    <t>N,N-dimethyl-N-octyl-1-decanaminium chloride</t>
  </si>
  <si>
    <t>32426-11-2</t>
  </si>
  <si>
    <t>N,N-dimethyl-N-propyl-1-propanaminium bromide</t>
  </si>
  <si>
    <t>52509-52-1</t>
  </si>
  <si>
    <t>N,N-dimethyloctanamide</t>
  </si>
  <si>
    <t>1118-92-9</t>
  </si>
  <si>
    <t>N,N-dimethyloctylamine-N-oxide</t>
  </si>
  <si>
    <t>2605-78-9</t>
  </si>
  <si>
    <t>n,n-dimethyl-p-toluidine</t>
  </si>
  <si>
    <t>99-97-8</t>
  </si>
  <si>
    <t>N,N-dimethyltetradecanamine</t>
  </si>
  <si>
    <t>112-75-4</t>
  </si>
  <si>
    <t>n,n'-di-n-butylthiourea</t>
  </si>
  <si>
    <t>109-46-6</t>
  </si>
  <si>
    <t>N,N'-disalicylidene-1,2-diaminopropane</t>
  </si>
  <si>
    <t>94-91-7</t>
  </si>
  <si>
    <t>N,N'-di-sec-butyl-p-phenylenediamine</t>
  </si>
  <si>
    <t>101-96-2</t>
  </si>
  <si>
    <t>N,N'-di-tert-butyl ethylenediamine</t>
  </si>
  <si>
    <t>4062-60-6</t>
  </si>
  <si>
    <t>N,N''-ethylene bis(12-hydroxystearamide)</t>
  </si>
  <si>
    <t>123-26-2 (PM)</t>
  </si>
  <si>
    <t>123-26-2 (Vapor)</t>
  </si>
  <si>
    <t>N,N'-ethylenebis(stearamide)</t>
  </si>
  <si>
    <t>110-30-5 (PM)</t>
  </si>
  <si>
    <t>110-30-5 (Vapor)</t>
  </si>
  <si>
    <t>n,n'-methylene bis-(2-propenamide)</t>
  </si>
  <si>
    <t>110-26-9</t>
  </si>
  <si>
    <t>N-[2-(1-imidazolininyl)ethyl]-1,2-ethanediamine</t>
  </si>
  <si>
    <t>68758-73-6</t>
  </si>
  <si>
    <t>N-[3-(dibutylamino)propyl] coco amides, acrylates</t>
  </si>
  <si>
    <t>851545-09-0</t>
  </si>
  <si>
    <t>n-[3-(dimethylamino)propyl] coco amide</t>
  </si>
  <si>
    <t>68140-01-2</t>
  </si>
  <si>
    <t>N-[3-(dimethylamino)propyl] coco amides, N-oxides</t>
  </si>
  <si>
    <t>68155-09-9</t>
  </si>
  <si>
    <t>N-[3-(dimethylamino)propyl]-2-methylacrylamide</t>
  </si>
  <si>
    <t>5205-93-6</t>
  </si>
  <si>
    <t>N-[3-(oxiranylmethoxy)phenyl]-N-(oxiranylmethyl)-2-oxiranemethanamine</t>
  </si>
  <si>
    <t>71604-74-5 (PM)</t>
  </si>
  <si>
    <t>71604-74-5 (Vapor)</t>
  </si>
  <si>
    <t>N-[3-(trimethoxysilyl)propyl]ethylenediamine</t>
  </si>
  <si>
    <t>1750-24-3</t>
  </si>
  <si>
    <t>N-2-hydroxypropylammonium diazabicyclo [2.2.2] octane-2-ethylhexanoate</t>
  </si>
  <si>
    <t>103969-79-5</t>
  </si>
  <si>
    <t>N-acetylbenzamide</t>
  </si>
  <si>
    <t>1575-95-7 (PM)</t>
  </si>
  <si>
    <t>1575-95-7 (Vapor)</t>
  </si>
  <si>
    <t>N-alkyl-N-benzylpyridinium chloride</t>
  </si>
  <si>
    <t>100765-57-9</t>
  </si>
  <si>
    <t>N-aminoethylpiperazine</t>
  </si>
  <si>
    <t>140-31-8</t>
  </si>
  <si>
    <t>n-amyl acetate</t>
  </si>
  <si>
    <t>628-63-7</t>
  </si>
  <si>
    <t>n-amyl amine</t>
  </si>
  <si>
    <t>110-58-7</t>
  </si>
  <si>
    <t>n-amyl propionate</t>
  </si>
  <si>
    <t>624-54-4</t>
  </si>
  <si>
    <t>naphtha (petroleum), full-range straight-run</t>
  </si>
  <si>
    <t>64741-42-0</t>
  </si>
  <si>
    <t>naphtha (petroleum), hydrodesulfurized light, dearomatized</t>
  </si>
  <si>
    <t>92045-53-9</t>
  </si>
  <si>
    <t>naphtha (petroleum), hydrosulfurized heavy</t>
  </si>
  <si>
    <t>64742-82-1</t>
  </si>
  <si>
    <t>naphtha (petroleum), light steam-cracked arom., polymer with light steam-cracked arom. petroleum naphtha piperylene conc. and medium steam-cracked arom. petroleum naphtha</t>
  </si>
  <si>
    <t>68527-25-3</t>
  </si>
  <si>
    <t>naphtha (petroleum), solvent-refined light</t>
  </si>
  <si>
    <t>64741-84-0</t>
  </si>
  <si>
    <t>naphtha [petroleum], hydrotreated light</t>
  </si>
  <si>
    <t>64742-49-0</t>
  </si>
  <si>
    <t>naphtha petroleum heavy catalytic reformed</t>
  </si>
  <si>
    <t>64741-68-0</t>
  </si>
  <si>
    <t>naphtha, coal tar, desulfurized or sweet</t>
  </si>
  <si>
    <t>8030-30-6</t>
  </si>
  <si>
    <t>naphtha, petroleum, arom-contg</t>
  </si>
  <si>
    <t>68603-08-7</t>
  </si>
  <si>
    <t>naphtha, petroleum, heavy alkylate</t>
  </si>
  <si>
    <t>64741-65-7</t>
  </si>
  <si>
    <t>naphtha, petroleum, hydrotreated, heavy</t>
  </si>
  <si>
    <t>64742-48-9</t>
  </si>
  <si>
    <t>naphtha, petroleum, light alkylate</t>
  </si>
  <si>
    <t>64741-66-8</t>
  </si>
  <si>
    <t>naphtha, petroleum, light catalytic reformed</t>
  </si>
  <si>
    <t>64741-63-5</t>
  </si>
  <si>
    <t>naphtha, petroleum, light steam-cracked arom, piperylene conc, polymd</t>
  </si>
  <si>
    <t>68478-07-9</t>
  </si>
  <si>
    <t>naphthalene</t>
  </si>
  <si>
    <t>91-20-3</t>
  </si>
  <si>
    <t>naphthalene diisocyanate</t>
  </si>
  <si>
    <t>25551-28-4</t>
  </si>
  <si>
    <t>naphthalene oils, distillates (coal tar)</t>
  </si>
  <si>
    <t>84650-04-4</t>
  </si>
  <si>
    <t>naphthenic acid</t>
  </si>
  <si>
    <t>1338-24-5</t>
  </si>
  <si>
    <t>naphthenic acids, reaction products with diethylenetriamine</t>
  </si>
  <si>
    <t>68131-13-5 (Not Defined)</t>
  </si>
  <si>
    <t>68131-13-5 (PM)</t>
  </si>
  <si>
    <t>naphthenic distillate, heavy, solvent extract</t>
  </si>
  <si>
    <t>64742-11-6</t>
  </si>
  <si>
    <t>naphthenic mineral oil</t>
  </si>
  <si>
    <t>64742-03-6</t>
  </si>
  <si>
    <t>naphthol red</t>
  </si>
  <si>
    <t>6535-46-2</t>
  </si>
  <si>
    <t>naphtholite</t>
  </si>
  <si>
    <t>64742-06-9</t>
  </si>
  <si>
    <t>natural gas condensates, petroleum</t>
  </si>
  <si>
    <t>64741-47-5</t>
  </si>
  <si>
    <t>natural gas condensates, sweet</t>
  </si>
  <si>
    <t>68919-39-1</t>
  </si>
  <si>
    <t>natural gas, dried</t>
  </si>
  <si>
    <t>68410-63-9</t>
  </si>
  <si>
    <t>natural gasoline</t>
  </si>
  <si>
    <t>68425-31-0</t>
  </si>
  <si>
    <t>n-butane</t>
  </si>
  <si>
    <t>106-97-8</t>
  </si>
  <si>
    <t>n-butyl acetate</t>
  </si>
  <si>
    <t>123-86-4</t>
  </si>
  <si>
    <t>n-butyl benzoate</t>
  </si>
  <si>
    <t>136-60-7</t>
  </si>
  <si>
    <t>n-butyl chloride</t>
  </si>
  <si>
    <t>109-69-3</t>
  </si>
  <si>
    <t>n-butyl chloroformate</t>
  </si>
  <si>
    <t>592-34-7</t>
  </si>
  <si>
    <t>n-butyl ethyl magnesium</t>
  </si>
  <si>
    <t>62202-86-2</t>
  </si>
  <si>
    <t>n-butyl levulinate</t>
  </si>
  <si>
    <t>2052-15-5</t>
  </si>
  <si>
    <t>n-butyl methacrylate copolymer</t>
  </si>
  <si>
    <t>28262-63-7</t>
  </si>
  <si>
    <t>n-butyl propionate</t>
  </si>
  <si>
    <t>590-01-2</t>
  </si>
  <si>
    <t>N-butyl-2,2,6,6-tetramethylpiperidin-4-amine</t>
  </si>
  <si>
    <t>36177-92-1</t>
  </si>
  <si>
    <t>n-butyl-4,4-di(t-butylperoxy) valerate</t>
  </si>
  <si>
    <t>995-33-5</t>
  </si>
  <si>
    <t>n-butylamine</t>
  </si>
  <si>
    <t>109-73-9</t>
  </si>
  <si>
    <t>N-butylaniline</t>
  </si>
  <si>
    <t>1126-78-9</t>
  </si>
  <si>
    <t>N-butylbenzenesulfonamide</t>
  </si>
  <si>
    <t>3622-84-2</t>
  </si>
  <si>
    <t>N-butyldiethanolamine</t>
  </si>
  <si>
    <t>102-79-4</t>
  </si>
  <si>
    <t>n-butyllithium</t>
  </si>
  <si>
    <t>109-72-8</t>
  </si>
  <si>
    <t>n-butyronitrile</t>
  </si>
  <si>
    <t>109-74-0</t>
  </si>
  <si>
    <t>N-coco alkyltrimethylenediamines</t>
  </si>
  <si>
    <t>61791-63-7</t>
  </si>
  <si>
    <t>N-coco alkyltrimethylenediamines, acetates</t>
  </si>
  <si>
    <t>61791-64-8</t>
  </si>
  <si>
    <t>N-coco alkyltrimethylenediamines, diglycolates</t>
  </si>
  <si>
    <t>68911-70-6</t>
  </si>
  <si>
    <t>n-decane</t>
  </si>
  <si>
    <t>124-18-5</t>
  </si>
  <si>
    <t>N-decyl-1-decanamine</t>
  </si>
  <si>
    <t>1120-49-6</t>
  </si>
  <si>
    <t>n-dodecyl benzene</t>
  </si>
  <si>
    <t>123-01-3</t>
  </si>
  <si>
    <t>N-dodecyl-1-dodecanamine</t>
  </si>
  <si>
    <t>3007-31-6</t>
  </si>
  <si>
    <t>n-dodecyl-3-mercaptopropionate</t>
  </si>
  <si>
    <t>6380-71-8</t>
  </si>
  <si>
    <t>n-dodecylbenzene sulfonic acid</t>
  </si>
  <si>
    <t>1886-81-3 (PM)</t>
  </si>
  <si>
    <t>1886-81-3 (Vapor)</t>
  </si>
  <si>
    <t>N-dodecyl-N-methyl-1-dodecanamine</t>
  </si>
  <si>
    <t>2915-90-4</t>
  </si>
  <si>
    <t>neodecanoic acid</t>
  </si>
  <si>
    <t>26896-20-8 (PM)</t>
  </si>
  <si>
    <t>26896-20-8 (Vapor)</t>
  </si>
  <si>
    <t>neodecanoic acid, ethenyl ester</t>
  </si>
  <si>
    <t>51000-52-3</t>
  </si>
  <si>
    <t>neodecanoyl chloride</t>
  </si>
  <si>
    <t>40292-82-8</t>
  </si>
  <si>
    <t>neodymium chloride</t>
  </si>
  <si>
    <t>10024-93-8</t>
  </si>
  <si>
    <t>neodymium tris(7,7-dimethyloctanoate)</t>
  </si>
  <si>
    <t>106726-11-8</t>
  </si>
  <si>
    <t>neoheptanoic acid</t>
  </si>
  <si>
    <t>33113-10-9</t>
  </si>
  <si>
    <t>neoheptanoyl chloride</t>
  </si>
  <si>
    <t>15721-22-9</t>
  </si>
  <si>
    <t>neopentane</t>
  </si>
  <si>
    <t>463-82-1</t>
  </si>
  <si>
    <t>neopentyl glycol</t>
  </si>
  <si>
    <t>126-30-7 (PM)</t>
  </si>
  <si>
    <t>126-30-7 (Vapor)</t>
  </si>
  <si>
    <t>neopentyl glycol diacrylate</t>
  </si>
  <si>
    <t>2223-82-7</t>
  </si>
  <si>
    <t>neopentyl glycol diglycidyl ether</t>
  </si>
  <si>
    <t>17557-23-2</t>
  </si>
  <si>
    <t>neopentyl glycol monoisobutyrate</t>
  </si>
  <si>
    <t>5919-84-6</t>
  </si>
  <si>
    <t>nephelene syenite</t>
  </si>
  <si>
    <t>nepheline syenite</t>
  </si>
  <si>
    <t>37244-96-5</t>
  </si>
  <si>
    <t>nerol</t>
  </si>
  <si>
    <t>106-25-2</t>
  </si>
  <si>
    <t>N-ethyl-2-hydroxy-N,N-bis(2-hydroxyethyl)-ethanaminium, diesters with tall-oil fatty acids Et sulfates (salts)</t>
  </si>
  <si>
    <t>69669-41-6</t>
  </si>
  <si>
    <t>N-ethyl-2-methylallylamine</t>
  </si>
  <si>
    <t>18328-90-0</t>
  </si>
  <si>
    <t>N-ethyl-2-methylbenzene sulfonamide</t>
  </si>
  <si>
    <t>1077-56-1</t>
  </si>
  <si>
    <t>N-ethylethanaminium acetate</t>
  </si>
  <si>
    <t>20726-63-0</t>
  </si>
  <si>
    <t>n-ethyl-o-toluidine</t>
  </si>
  <si>
    <t>94-68-8</t>
  </si>
  <si>
    <t>N-ethyl-p-toluenesulfonamide</t>
  </si>
  <si>
    <t>80-39-7</t>
  </si>
  <si>
    <t>n-ethyltoluene sulfonamide</t>
  </si>
  <si>
    <t>8047-99-2</t>
  </si>
  <si>
    <t>n-formyl morpholine</t>
  </si>
  <si>
    <t>4394-85-8</t>
  </si>
  <si>
    <t>n-heptane</t>
  </si>
  <si>
    <t>142-82-5</t>
  </si>
  <si>
    <t>n-heptyl benzene</t>
  </si>
  <si>
    <t>1078-71-3</t>
  </si>
  <si>
    <t>n-hexane</t>
  </si>
  <si>
    <t>110-54-3</t>
  </si>
  <si>
    <t>n-hexyl acetate</t>
  </si>
  <si>
    <t>142-92-7</t>
  </si>
  <si>
    <t>nickel</t>
  </si>
  <si>
    <t>7440-02-0</t>
  </si>
  <si>
    <t>nickel antimony titanium dioxide rutile</t>
  </si>
  <si>
    <t>8007-18-9</t>
  </si>
  <si>
    <t>nickel carbonate hydroxide</t>
  </si>
  <si>
    <t>12607-70-4</t>
  </si>
  <si>
    <t>nickel carbonyl</t>
  </si>
  <si>
    <t>13463-39-3</t>
  </si>
  <si>
    <t>nickel chloride</t>
  </si>
  <si>
    <t>7718-54-9</t>
  </si>
  <si>
    <t>nickel dihydrogen phosphate</t>
  </si>
  <si>
    <t>10381-36-9</t>
  </si>
  <si>
    <t>nickel oxide</t>
  </si>
  <si>
    <t>1313-99-1</t>
  </si>
  <si>
    <t>nickel slag abrasive</t>
  </si>
  <si>
    <t>nickel subsulfide</t>
  </si>
  <si>
    <t>12035-72-2</t>
  </si>
  <si>
    <t>nickel sulfate</t>
  </si>
  <si>
    <t>7786-81-4</t>
  </si>
  <si>
    <t>nickel sulfide</t>
  </si>
  <si>
    <t>11113-75-0</t>
  </si>
  <si>
    <t>nickel titanate</t>
  </si>
  <si>
    <t>12653-76-8</t>
  </si>
  <si>
    <t>nickel(II) carbonate hydroxide tetrahydrate</t>
  </si>
  <si>
    <t>12244-51-8</t>
  </si>
  <si>
    <t>nickel, inorganic compounds</t>
  </si>
  <si>
    <t>nicotine</t>
  </si>
  <si>
    <t>54-11-5</t>
  </si>
  <si>
    <t>niobium</t>
  </si>
  <si>
    <t>7440-03-1</t>
  </si>
  <si>
    <t>N-isopropylhydroxylamine</t>
  </si>
  <si>
    <t>5080-22-8 (PM)</t>
  </si>
  <si>
    <t>5080-22-8 (Vapor)</t>
  </si>
  <si>
    <t>N-isopropylimidazole</t>
  </si>
  <si>
    <t>4532-96-1</t>
  </si>
  <si>
    <t>nitric acid</t>
  </si>
  <si>
    <t>7697-37-2</t>
  </si>
  <si>
    <t>nitric oxide</t>
  </si>
  <si>
    <t>10102-43-9</t>
  </si>
  <si>
    <t>nitrilotriacetic acid</t>
  </si>
  <si>
    <t>139-13-9</t>
  </si>
  <si>
    <t>nitrilotriacetonitrile</t>
  </si>
  <si>
    <t>7327-60-8</t>
  </si>
  <si>
    <t>nitrobenzene</t>
  </si>
  <si>
    <t>98-95-3</t>
  </si>
  <si>
    <t>nitrocellulose</t>
  </si>
  <si>
    <t>9004-70-0</t>
  </si>
  <si>
    <t>nitroethane</t>
  </si>
  <si>
    <t>79-24-3</t>
  </si>
  <si>
    <t>nitroethanol</t>
  </si>
  <si>
    <t>625-48-9</t>
  </si>
  <si>
    <t>nitrogen dioxide</t>
  </si>
  <si>
    <t>10102-44-0</t>
  </si>
  <si>
    <t>nitrogen trifluoride</t>
  </si>
  <si>
    <t>7783-54-2</t>
  </si>
  <si>
    <t>nitroglycerin</t>
  </si>
  <si>
    <t>55-63-0</t>
  </si>
  <si>
    <t>nitromethane</t>
  </si>
  <si>
    <t>75-52-5</t>
  </si>
  <si>
    <t>nitrosodiethanolamine</t>
  </si>
  <si>
    <t>1116-54-7</t>
  </si>
  <si>
    <t>nitrosoguanidine</t>
  </si>
  <si>
    <t>70-25-7</t>
  </si>
  <si>
    <t>nitrosomethylvinylamine</t>
  </si>
  <si>
    <t>4549-40-0</t>
  </si>
  <si>
    <t>nitrous oxide</t>
  </si>
  <si>
    <t>10024-97-2</t>
  </si>
  <si>
    <t>nitroxylene</t>
  </si>
  <si>
    <t>25168-04-1</t>
  </si>
  <si>
    <t>N-methyl pyrrolidine</t>
  </si>
  <si>
    <t>120-94-5</t>
  </si>
  <si>
    <t>N-methyl-2-pyrrolidone</t>
  </si>
  <si>
    <t>872-50-4</t>
  </si>
  <si>
    <t>n-methylacetamide</t>
  </si>
  <si>
    <t>79-16-3</t>
  </si>
  <si>
    <t>N-methylcyclohexanamine</t>
  </si>
  <si>
    <t>100-60-7</t>
  </si>
  <si>
    <t>N-methyldiethanolamine</t>
  </si>
  <si>
    <t>105-59-9</t>
  </si>
  <si>
    <t>N-methylglycine, N-(C12-18-alkylsulfonyl) derivs., sodium salts</t>
  </si>
  <si>
    <t>68411-99-4</t>
  </si>
  <si>
    <t>N-methyl-methanamine polymer with (chloromethyl)oxirane</t>
  </si>
  <si>
    <t>25988-97-0</t>
  </si>
  <si>
    <t>N-methylmethanaminium N-[(hydroxyphosphinato)methyl]glycine</t>
  </si>
  <si>
    <t>34494-04-7</t>
  </si>
  <si>
    <t>N-methyl-N,2,4,6-tetranitroaniline</t>
  </si>
  <si>
    <t>479-45-8</t>
  </si>
  <si>
    <t>N-methyl-N-hydroxyethyl-N-hydroxyethoxyethylamine</t>
  </si>
  <si>
    <t>68213-98-9</t>
  </si>
  <si>
    <t>n-nitrosodiethylamine</t>
  </si>
  <si>
    <t>55-18-5</t>
  </si>
  <si>
    <t>n-nitrosodimethylamine</t>
  </si>
  <si>
    <t>62-75-9</t>
  </si>
  <si>
    <t>N-nitrosodi-n-butylamine</t>
  </si>
  <si>
    <t>924-16-3</t>
  </si>
  <si>
    <t>N-nitrosodi-n-propylamine</t>
  </si>
  <si>
    <t>621-64-7</t>
  </si>
  <si>
    <t>n-nitrosodiphenylamine</t>
  </si>
  <si>
    <t>86-30-6</t>
  </si>
  <si>
    <t>N-nitrosomethylethylamine</t>
  </si>
  <si>
    <t>10595-95-6</t>
  </si>
  <si>
    <t>N-nitrosomorpholine</t>
  </si>
  <si>
    <t>59-89-2</t>
  </si>
  <si>
    <t>n-nitrosopiperidine</t>
  </si>
  <si>
    <t>100-75-4</t>
  </si>
  <si>
    <t>n-nitrosopyrrolidine</t>
  </si>
  <si>
    <t>930-55-2</t>
  </si>
  <si>
    <t>n-nonane</t>
  </si>
  <si>
    <t>111-84-2</t>
  </si>
  <si>
    <t>n-nonenes</t>
  </si>
  <si>
    <t>27215-95-8</t>
  </si>
  <si>
    <t>n-nonyl benzene</t>
  </si>
  <si>
    <t>79554-39-5</t>
  </si>
  <si>
    <t>n-octane</t>
  </si>
  <si>
    <t>111-65-9</t>
  </si>
  <si>
    <t>n-octyl benzene</t>
  </si>
  <si>
    <t>2189-60-8</t>
  </si>
  <si>
    <t>N-octyl pyrrolidone</t>
  </si>
  <si>
    <t>2687-94-7</t>
  </si>
  <si>
    <t>N-octylbicycloheptenedicarboximide</t>
  </si>
  <si>
    <t>113-48-4</t>
  </si>
  <si>
    <t>nonacosane</t>
  </si>
  <si>
    <t>630-03-5</t>
  </si>
  <si>
    <t>nonadecane</t>
  </si>
  <si>
    <t>629-92-5</t>
  </si>
  <si>
    <t>nonanal</t>
  </si>
  <si>
    <t>124-19-6</t>
  </si>
  <si>
    <t>nonanoic acid</t>
  </si>
  <si>
    <t>112-05-0</t>
  </si>
  <si>
    <t>nonanol</t>
  </si>
  <si>
    <t>143-08-8</t>
  </si>
  <si>
    <t>nonanoyl chloride</t>
  </si>
  <si>
    <t>764-85-2</t>
  </si>
  <si>
    <t>non-metallic coating pigment, not otherwise specified</t>
  </si>
  <si>
    <t>nonyl octanoate</t>
  </si>
  <si>
    <t>7786-48-3</t>
  </si>
  <si>
    <t>nonylphenol ethoxylate, branched</t>
  </si>
  <si>
    <t>68412-54-4</t>
  </si>
  <si>
    <t>nonylphenol, ethoxylated, phosphated, ethanolamine salt</t>
  </si>
  <si>
    <t>59139-23-0 (Not Defined)</t>
  </si>
  <si>
    <t>59139-23-0 (PM)</t>
  </si>
  <si>
    <t>nonylphenol, mixed isomers</t>
  </si>
  <si>
    <t>25154-52-3</t>
  </si>
  <si>
    <t>nonylphenoxypoly(ethyleneoxy)ethanol</t>
  </si>
  <si>
    <t>9016-45-9 (PM)</t>
  </si>
  <si>
    <t>9016-45-9 (Vapor)</t>
  </si>
  <si>
    <t>Norflurazon</t>
  </si>
  <si>
    <t>27314-13-2</t>
  </si>
  <si>
    <t>n-pentane</t>
  </si>
  <si>
    <t>109-66-0</t>
  </si>
  <si>
    <t>N-phenyl-1-naphthylamine</t>
  </si>
  <si>
    <t>90-30-2</t>
  </si>
  <si>
    <t>N-phenyl-benzenamine, reaction product with 2,4,4-trimethylpentene</t>
  </si>
  <si>
    <t>68411-46-1</t>
  </si>
  <si>
    <t>n-phosphomethyliminodiacetic acid</t>
  </si>
  <si>
    <t>5994-61-6</t>
  </si>
  <si>
    <t>n-propyl acetate</t>
  </si>
  <si>
    <t>109-60-4</t>
  </si>
  <si>
    <t>n-propyl butyrate</t>
  </si>
  <si>
    <t>105-66-8</t>
  </si>
  <si>
    <t>n-propyl carbonate</t>
  </si>
  <si>
    <t>37226-36-1 (PM)</t>
  </si>
  <si>
    <t>37226-36-1 (Vapor)</t>
  </si>
  <si>
    <t>n-propyl chloride</t>
  </si>
  <si>
    <t>540-54-5</t>
  </si>
  <si>
    <t>n-propyl chloroformate</t>
  </si>
  <si>
    <t>109-61-5</t>
  </si>
  <si>
    <t>n-propyl mercaptan</t>
  </si>
  <si>
    <t>107-03-9</t>
  </si>
  <si>
    <t>n-propyl n-valerate</t>
  </si>
  <si>
    <t>141-06-0</t>
  </si>
  <si>
    <t>n-propylbenzene</t>
  </si>
  <si>
    <t>103-65-1</t>
  </si>
  <si>
    <t>n-propyltrichlorosilane</t>
  </si>
  <si>
    <t>141-57-1</t>
  </si>
  <si>
    <t>N-sec-butyl-1,4-benzenediamine</t>
  </si>
  <si>
    <t>10029-30-8 (Not Defined)</t>
  </si>
  <si>
    <t>10029-30-8 (PM)</t>
  </si>
  <si>
    <t>n-tallow alkyl-1,1'-iminobis-2-propanol</t>
  </si>
  <si>
    <t>68951-72-4</t>
  </si>
  <si>
    <t>N-tallow alkyldipropylenetriamines</t>
  </si>
  <si>
    <t>61791-57-9</t>
  </si>
  <si>
    <t>N-tallow alkyltrimethylenediamine acetates, ethoxylated</t>
  </si>
  <si>
    <t>68603-73-6</t>
  </si>
  <si>
    <t>N-tallow alkyltrimethylenediamines</t>
  </si>
  <si>
    <t>61791-55-7</t>
  </si>
  <si>
    <t>N-tallow alkyltrimethylenediamines dioleates</t>
  </si>
  <si>
    <t>68153-99-1</t>
  </si>
  <si>
    <t>N-tallow alkyltrimethylenediamines dodecylbenzene sulfonates</t>
  </si>
  <si>
    <t>68154-00-7</t>
  </si>
  <si>
    <t>N-tallow alkyltrimethylenediamines oleates</t>
  </si>
  <si>
    <t>61791-53-5</t>
  </si>
  <si>
    <t>N-tallow alkyltrimethylenediamines, ethoxylated</t>
  </si>
  <si>
    <t>61790-85-0</t>
  </si>
  <si>
    <t>N-tallow alkyltrimethylenediamines, ethoxylated, compds, with oxidized light petroleum distillate</t>
  </si>
  <si>
    <t>68037-51-4</t>
  </si>
  <si>
    <t>N-tallow alkyltrimethylenediamines, polymers with epichlorohydrin</t>
  </si>
  <si>
    <t>149084-66-2</t>
  </si>
  <si>
    <t>N-tallow alkyltris (trimethylene) tetra-amines</t>
  </si>
  <si>
    <t>151661-99-3</t>
  </si>
  <si>
    <t>n-tolyldiethanol amine</t>
  </si>
  <si>
    <t>91-99-6</t>
  </si>
  <si>
    <t>nuisance dust, not otherwise specified</t>
  </si>
  <si>
    <t>n-undecane</t>
  </si>
  <si>
    <t>1120-21-4</t>
  </si>
  <si>
    <t>N-vinyl-2-pyrrolidone</t>
  </si>
  <si>
    <t>88-12-0</t>
  </si>
  <si>
    <t>nylon 11</t>
  </si>
  <si>
    <t>25587-80-8</t>
  </si>
  <si>
    <t>nylon 12</t>
  </si>
  <si>
    <t>25038-74-8</t>
  </si>
  <si>
    <t>nylon 6</t>
  </si>
  <si>
    <t>25038-54-4</t>
  </si>
  <si>
    <t>nylon 6:66:610</t>
  </si>
  <si>
    <t>25191-90-6</t>
  </si>
  <si>
    <t>O,O'-bis(2-aminopropyl) polypropylene glycol-block-polyethylene glycol-block-polypropylene glycol</t>
  </si>
  <si>
    <t>65605-36-9</t>
  </si>
  <si>
    <t>O,O'-diethyl dithiophosphate</t>
  </si>
  <si>
    <t>298-06-6</t>
  </si>
  <si>
    <t>O,O-diisopropyl dithiophosphoric acid</t>
  </si>
  <si>
    <t>107-56-2</t>
  </si>
  <si>
    <t>O,O-dimethylphosphorochloridothioate</t>
  </si>
  <si>
    <t>2524-03-0</t>
  </si>
  <si>
    <t>o-anisidine</t>
  </si>
  <si>
    <t>90-04-0</t>
  </si>
  <si>
    <t>o-chloroaniline</t>
  </si>
  <si>
    <t>95-51-2</t>
  </si>
  <si>
    <t>o-chlorobenzylidene malononitrile</t>
  </si>
  <si>
    <t>2698-41-1</t>
  </si>
  <si>
    <t>o-chlorophenol</t>
  </si>
  <si>
    <t>95-57-8</t>
  </si>
  <si>
    <t>o-chlorostyrene</t>
  </si>
  <si>
    <t>2039-87-4</t>
  </si>
  <si>
    <t>o-coumaric acid</t>
  </si>
  <si>
    <t>614-60-8</t>
  </si>
  <si>
    <t>o-cresol</t>
  </si>
  <si>
    <t>95-48-7</t>
  </si>
  <si>
    <t>octabenzone</t>
  </si>
  <si>
    <t>1843-05-6</t>
  </si>
  <si>
    <t>octachloronaphthalene</t>
  </si>
  <si>
    <t>2234-13-1</t>
  </si>
  <si>
    <t>octacosane</t>
  </si>
  <si>
    <t>630-02-4</t>
  </si>
  <si>
    <t>octadecanamide</t>
  </si>
  <si>
    <t>124-26-5 (PM)</t>
  </si>
  <si>
    <t>124-26-5 (Vapor)</t>
  </si>
  <si>
    <t>octadecane</t>
  </si>
  <si>
    <t>593-45-3</t>
  </si>
  <si>
    <t>octadecanedioic acid, methyl ester</t>
  </si>
  <si>
    <t>1472-93-1</t>
  </si>
  <si>
    <t>octadecenylamine</t>
  </si>
  <si>
    <t>112-90-3</t>
  </si>
  <si>
    <t>octadecenylsuccinic anhydride (ODSA-T)</t>
  </si>
  <si>
    <t>28777-98-2</t>
  </si>
  <si>
    <t>octadecyl 3-(3,5-di-tert-butyl-4-hydroxyphenyl)propionate</t>
  </si>
  <si>
    <t>2082-79-3</t>
  </si>
  <si>
    <t>octaethyleneglycol octyl ether</t>
  </si>
  <si>
    <t>26468-86-0</t>
  </si>
  <si>
    <t>octafluorocyclobutane</t>
  </si>
  <si>
    <t>115-25-3</t>
  </si>
  <si>
    <t>octafluoropropane</t>
  </si>
  <si>
    <t>76-19-7</t>
  </si>
  <si>
    <t>octamethyl pyrophosphoramide</t>
  </si>
  <si>
    <t>152-16-9</t>
  </si>
  <si>
    <t>octamethylcyclotetrasiloxane</t>
  </si>
  <si>
    <t>556-67-2</t>
  </si>
  <si>
    <t>octamethyltrisiloxane</t>
  </si>
  <si>
    <t>107-51-7</t>
  </si>
  <si>
    <t>octanal</t>
  </si>
  <si>
    <t>124-13-0</t>
  </si>
  <si>
    <t>octane-1,2-diol</t>
  </si>
  <si>
    <t>1117-86-8</t>
  </si>
  <si>
    <t>octanoic acid</t>
  </si>
  <si>
    <t>124-07-2</t>
  </si>
  <si>
    <t>octanoyl chloride</t>
  </si>
  <si>
    <t>111-64-8</t>
  </si>
  <si>
    <t>octatrienes</t>
  </si>
  <si>
    <t>octene</t>
  </si>
  <si>
    <t>25377-83-7</t>
  </si>
  <si>
    <t>octyl formate</t>
  </si>
  <si>
    <t>112-32-3</t>
  </si>
  <si>
    <t>octyl mercaptan</t>
  </si>
  <si>
    <t>111-88-6</t>
  </si>
  <si>
    <t>octyl sulfide</t>
  </si>
  <si>
    <t>2690-08-6</t>
  </si>
  <si>
    <t>octylamidopropyl betaine</t>
  </si>
  <si>
    <t>73772-46-0 (PM)</t>
  </si>
  <si>
    <t>73772-46-0 (Vapor)</t>
  </si>
  <si>
    <t>octylamine</t>
  </si>
  <si>
    <t>111-86-4</t>
  </si>
  <si>
    <t>octylphenol</t>
  </si>
  <si>
    <t>27193-28-8</t>
  </si>
  <si>
    <t>o-diethylbenzene</t>
  </si>
  <si>
    <t>135-01-3</t>
  </si>
  <si>
    <t>O-ethyl O-(4-nitrophenyl) phenylphosphonothioate</t>
  </si>
  <si>
    <t>2104-64-5</t>
  </si>
  <si>
    <t>o-ethyltoluene</t>
  </si>
  <si>
    <t>611-14-3</t>
  </si>
  <si>
    <t>oil distillate</t>
  </si>
  <si>
    <t>64742-63-8</t>
  </si>
  <si>
    <t>oil of sassafras</t>
  </si>
  <si>
    <t>8006-80-2</t>
  </si>
  <si>
    <t>oils, fuel</t>
  </si>
  <si>
    <t>77650-28-3</t>
  </si>
  <si>
    <t>O-isopropyl ethylcarbamothioate</t>
  </si>
  <si>
    <t>141-98-0</t>
  </si>
  <si>
    <t>Oleamide</t>
  </si>
  <si>
    <t>301-02-0</t>
  </si>
  <si>
    <t>olefin sulfides</t>
  </si>
  <si>
    <t>oleic acid</t>
  </si>
  <si>
    <t>112-80-1</t>
  </si>
  <si>
    <t>oleic acid polymer</t>
  </si>
  <si>
    <t>70321-87-8</t>
  </si>
  <si>
    <t>oleic acid, sodium salt</t>
  </si>
  <si>
    <t>143-19-1</t>
  </si>
  <si>
    <t>oleic diethanol amide</t>
  </si>
  <si>
    <t>93-83-4</t>
  </si>
  <si>
    <t>oleoyl sarcosine</t>
  </si>
  <si>
    <t>110-25-8 (PM)</t>
  </si>
  <si>
    <t>110-25-8 (Vapor)</t>
  </si>
  <si>
    <t>oleyl alcohol</t>
  </si>
  <si>
    <t>143-28-2 (Not Defined)</t>
  </si>
  <si>
    <t>143-28-2 (PM)</t>
  </si>
  <si>
    <t>oleyl betaine</t>
  </si>
  <si>
    <t>871-37-4</t>
  </si>
  <si>
    <t>oleyl diamine</t>
  </si>
  <si>
    <t>31017-53-5</t>
  </si>
  <si>
    <t>oligomers of polyethylene terephthalate mixture</t>
  </si>
  <si>
    <t>o-methyl cyclohexanone</t>
  </si>
  <si>
    <t>583-60-8</t>
  </si>
  <si>
    <t>o-methylstyrene</t>
  </si>
  <si>
    <t>611-15-4</t>
  </si>
  <si>
    <t>o-nitrochlorobenzene</t>
  </si>
  <si>
    <t>88-73-3</t>
  </si>
  <si>
    <t>o-nitrophenol</t>
  </si>
  <si>
    <t>88-75-5</t>
  </si>
  <si>
    <t>o-nitrotoluene</t>
  </si>
  <si>
    <t>88-72-2</t>
  </si>
  <si>
    <t>o-phenylene diamine</t>
  </si>
  <si>
    <t>95-54-5</t>
  </si>
  <si>
    <t>O-phosphorylethanolamine</t>
  </si>
  <si>
    <t>1071-23-4 (PM)</t>
  </si>
  <si>
    <t>1071-23-4 (Vapor)</t>
  </si>
  <si>
    <t>o-phthalodinitrile</t>
  </si>
  <si>
    <t>91-15-6</t>
  </si>
  <si>
    <t>orange 5 pigment</t>
  </si>
  <si>
    <t>3468-63-1</t>
  </si>
  <si>
    <t>Orange II sodium salt</t>
  </si>
  <si>
    <t>633-96-5</t>
  </si>
  <si>
    <t>orange oil</t>
  </si>
  <si>
    <t>8008-57-9</t>
  </si>
  <si>
    <t>organic peroxide</t>
  </si>
  <si>
    <t>organo clay (modified bentonite)</t>
  </si>
  <si>
    <t>68953-58-2</t>
  </si>
  <si>
    <t>organophilic clay</t>
  </si>
  <si>
    <t>71011-26-2</t>
  </si>
  <si>
    <t>organosilane</t>
  </si>
  <si>
    <t>organosiloxane</t>
  </si>
  <si>
    <t>organosulfur compound, generic, not otherwise specified</t>
  </si>
  <si>
    <t>Orthene</t>
  </si>
  <si>
    <t>30560-19-1</t>
  </si>
  <si>
    <t>orthoboric acid, sodium salt</t>
  </si>
  <si>
    <t>13840-56-7</t>
  </si>
  <si>
    <t>ortho-cresyl glycidyl ether</t>
  </si>
  <si>
    <t>2210-79-9</t>
  </si>
  <si>
    <t>ortho-cymene</t>
  </si>
  <si>
    <t>527-84-4</t>
  </si>
  <si>
    <t>o-sec-butyl phenol</t>
  </si>
  <si>
    <t>89-72-5</t>
  </si>
  <si>
    <t>osmium tetroxide</t>
  </si>
  <si>
    <t>20816-12-0</t>
  </si>
  <si>
    <t>o-tert-amyl phenol</t>
  </si>
  <si>
    <t>3279-27-4</t>
  </si>
  <si>
    <t>o-tert-butyl phenol</t>
  </si>
  <si>
    <t>88-18-6</t>
  </si>
  <si>
    <t>o-tolualdehyde</t>
  </si>
  <si>
    <t>529-20-4</t>
  </si>
  <si>
    <t>o-toluic acid</t>
  </si>
  <si>
    <t>118-90-1</t>
  </si>
  <si>
    <t>o-toluidine</t>
  </si>
  <si>
    <t>95-53-4</t>
  </si>
  <si>
    <t>o-toluidine, n-ethyl-m-toluidine, 50/50% mixture</t>
  </si>
  <si>
    <t>o-tolunitrile</t>
  </si>
  <si>
    <t>529-19-1</t>
  </si>
  <si>
    <t>o-toluoyl chloride</t>
  </si>
  <si>
    <t>933-88-0</t>
  </si>
  <si>
    <t>overbased calcium sulfonate</t>
  </si>
  <si>
    <t>oxacycloheptane</t>
  </si>
  <si>
    <t>592-90-5</t>
  </si>
  <si>
    <t>oxalic acid</t>
  </si>
  <si>
    <t>144-62-7</t>
  </si>
  <si>
    <t>oxalic acid, dihydrate</t>
  </si>
  <si>
    <t>6153-56-6</t>
  </si>
  <si>
    <t>oxalyl chloride</t>
  </si>
  <si>
    <t>79-37-8</t>
  </si>
  <si>
    <t>Oxamyl</t>
  </si>
  <si>
    <t>23135-22-0</t>
  </si>
  <si>
    <t>oxazole</t>
  </si>
  <si>
    <t>288-42-6</t>
  </si>
  <si>
    <t>oxirane, reaction products with ammonium, distn residues</t>
  </si>
  <si>
    <t>68953-70-8 (PM)</t>
  </si>
  <si>
    <t>68953-70-8 (Vapor)</t>
  </si>
  <si>
    <t>oxoaluminum benzonate/stearate</t>
  </si>
  <si>
    <t>151911-66-9</t>
  </si>
  <si>
    <t>oxo-decyl acetate</t>
  </si>
  <si>
    <t>108419-34-7</t>
  </si>
  <si>
    <t>oxo-hexyl acetate</t>
  </si>
  <si>
    <t>88230-35-7</t>
  </si>
  <si>
    <t>oxo-methyl acetate</t>
  </si>
  <si>
    <t>oxotellane oxide</t>
  </si>
  <si>
    <t>7446-07-3</t>
  </si>
  <si>
    <t>oxo-tridecyl acetate</t>
  </si>
  <si>
    <t>108419-35-8</t>
  </si>
  <si>
    <t>oxybis[dodecylbenzenesulfonic acid], disodium salt</t>
  </si>
  <si>
    <t>25167-32-2 (PM)</t>
  </si>
  <si>
    <t>25167-32-2 (Vapor)</t>
  </si>
  <si>
    <t>Oxydiazon</t>
  </si>
  <si>
    <t>19666-30-9</t>
  </si>
  <si>
    <t>Oxyfluorfen</t>
  </si>
  <si>
    <t>42874-03-3</t>
  </si>
  <si>
    <t>oxygen difluoride</t>
  </si>
  <si>
    <t>7783-41-7</t>
  </si>
  <si>
    <t>o-xylene</t>
  </si>
  <si>
    <t>95-47-6</t>
  </si>
  <si>
    <t>P,P'-(iminobis(2,1-ethanediyliminomethylene))bis-phosphonic acid, N,N-bis(phosphonomethyl) derivative, sodium salt</t>
  </si>
  <si>
    <t>68399-68-8</t>
  </si>
  <si>
    <t>P,P',P'',P'''-(((phosphonomethyl)imino)bis(2,1-ethanediylnitrilobis(methylene)))tetrakis-phosphonic acid, ammonium salt</t>
  </si>
  <si>
    <t>70714-66-8</t>
  </si>
  <si>
    <t>P,P',P'',P'''-(((phosphonomethyl)imino)bis(6,1-hexanediylnitrilobis(methylene)))tetrakis-phosphonic acid, reaction products with ammonia-diethylene glycol reaction product morpholine derivs. residues</t>
  </si>
  <si>
    <t>87396-22-3</t>
  </si>
  <si>
    <t>p,p'-oxybis[benzenesulfonylhydrazide]</t>
  </si>
  <si>
    <t>80-51-3 (PM)</t>
  </si>
  <si>
    <t>80-51-3 (Vapor)</t>
  </si>
  <si>
    <t>palladium</t>
  </si>
  <si>
    <t>7440-05-3</t>
  </si>
  <si>
    <t>palladium chloride</t>
  </si>
  <si>
    <t>7647-10-1</t>
  </si>
  <si>
    <t>palladium nitrate</t>
  </si>
  <si>
    <t>10102-05-3</t>
  </si>
  <si>
    <t>palm oil, methyl esters</t>
  </si>
  <si>
    <t>91051-32-0 (PM)</t>
  </si>
  <si>
    <t>91051-32-0 (Vapor)</t>
  </si>
  <si>
    <t>palmitic acid</t>
  </si>
  <si>
    <t>57-10-3</t>
  </si>
  <si>
    <t>p-aminobenzoic acid</t>
  </si>
  <si>
    <t>150-13-0</t>
  </si>
  <si>
    <t>p-aminodiphenylamine</t>
  </si>
  <si>
    <t>101-54-2</t>
  </si>
  <si>
    <t>p-anisidine</t>
  </si>
  <si>
    <t>104-94-9</t>
  </si>
  <si>
    <t>para-cymene</t>
  </si>
  <si>
    <t>99-87-6</t>
  </si>
  <si>
    <t>para-dodecylphenol</t>
  </si>
  <si>
    <t>210555-94-5</t>
  </si>
  <si>
    <t>paraffin hydrocarbon, not otherwise specified</t>
  </si>
  <si>
    <t>paraffin oil</t>
  </si>
  <si>
    <t>8012-95-1 (PM)</t>
  </si>
  <si>
    <t>8012-95-1 (Vapor)</t>
  </si>
  <si>
    <t>paraffin wax (fume)</t>
  </si>
  <si>
    <t>8002-74-2 (PM)</t>
  </si>
  <si>
    <t>8002-74-2 (Vapor)</t>
  </si>
  <si>
    <t>paraffin wax, petroleum, clay treated</t>
  </si>
  <si>
    <t>64742-43-4 (PM)</t>
  </si>
  <si>
    <t>64742-43-4 (Vapor)</t>
  </si>
  <si>
    <t>paraffin waxes and hydrocarbon waxes, oxidized, lithium salts</t>
  </si>
  <si>
    <t>68649-48-9 (PM)</t>
  </si>
  <si>
    <t>68649-48-9 (Vapor)</t>
  </si>
  <si>
    <t>paraffinic distillate</t>
  </si>
  <si>
    <t>64741-89-5</t>
  </si>
  <si>
    <t>paraffinic mineral oil</t>
  </si>
  <si>
    <t>64742-62-7</t>
  </si>
  <si>
    <t>paraffins (petroleum), normal C5-20</t>
  </si>
  <si>
    <t>64771-72-8</t>
  </si>
  <si>
    <t>paraformaldehyde</t>
  </si>
  <si>
    <t>30525-89-4</t>
  </si>
  <si>
    <t>paraldehyde</t>
  </si>
  <si>
    <t>123-63-7</t>
  </si>
  <si>
    <t>Paraquat</t>
  </si>
  <si>
    <t>4685-14-7</t>
  </si>
  <si>
    <t>paraquat dichloride</t>
  </si>
  <si>
    <t>1910-42-5</t>
  </si>
  <si>
    <t>Parathion</t>
  </si>
  <si>
    <t>56-38-2</t>
  </si>
  <si>
    <t>partially hydrogenated polyphenyls, quaterphenyls and higher</t>
  </si>
  <si>
    <t>68956-74-1</t>
  </si>
  <si>
    <t>particulate matter</t>
  </si>
  <si>
    <t>p-benzoquinone dioxime</t>
  </si>
  <si>
    <t>105-11-3</t>
  </si>
  <si>
    <t>p-chloroaniline</t>
  </si>
  <si>
    <t>106-47-8</t>
  </si>
  <si>
    <t>p-chlorobenzaldehyde</t>
  </si>
  <si>
    <t>104-88-1</t>
  </si>
  <si>
    <t>p-chlorophenol</t>
  </si>
  <si>
    <t>106-48-9</t>
  </si>
  <si>
    <t>p-chlorophenyl-dimethylurea</t>
  </si>
  <si>
    <t>150-68-5</t>
  </si>
  <si>
    <t>p-cresol</t>
  </si>
  <si>
    <t>106-44-5</t>
  </si>
  <si>
    <t>PD4016 Dispersant</t>
  </si>
  <si>
    <t>86753-82-4</t>
  </si>
  <si>
    <t>p-diethylbenzene</t>
  </si>
  <si>
    <t>105-05-5</t>
  </si>
  <si>
    <t>p-diisobutylbenzene</t>
  </si>
  <si>
    <t>17171-78-7</t>
  </si>
  <si>
    <t>PEG-12 ditallate</t>
  </si>
  <si>
    <t>61791-01-3</t>
  </si>
  <si>
    <t>Pendimethalin</t>
  </si>
  <si>
    <t>40487-42-1</t>
  </si>
  <si>
    <t>pentaborane</t>
  </si>
  <si>
    <t>19624-22-7</t>
  </si>
  <si>
    <t>pentachlorobenzene</t>
  </si>
  <si>
    <t>608-93-5</t>
  </si>
  <si>
    <t>pentachloroethane</t>
  </si>
  <si>
    <t>76-01-7</t>
  </si>
  <si>
    <t>pentachloronaphthalene</t>
  </si>
  <si>
    <t>1321-64-8</t>
  </si>
  <si>
    <t>pentachloronitrobenzene</t>
  </si>
  <si>
    <t>82-68-8</t>
  </si>
  <si>
    <t>pentachlorophenol</t>
  </si>
  <si>
    <t>87-86-5</t>
  </si>
  <si>
    <t>pentachloropyridine</t>
  </si>
  <si>
    <t>2176-62-7</t>
  </si>
  <si>
    <t>pentadecanoic acid</t>
  </si>
  <si>
    <t>1002-84-2</t>
  </si>
  <si>
    <t>pentadiene, all isomers</t>
  </si>
  <si>
    <t>pentaerythritol</t>
  </si>
  <si>
    <t>115-77-5</t>
  </si>
  <si>
    <t>pentaerythritol distearate</t>
  </si>
  <si>
    <t>13081-97-5</t>
  </si>
  <si>
    <t>pentaerythritol monooleate</t>
  </si>
  <si>
    <t>10332-32-8</t>
  </si>
  <si>
    <t>pentaerythritol tetraacrylate</t>
  </si>
  <si>
    <t>4986-89-4</t>
  </si>
  <si>
    <t>pentaerythritol tetrakis(3-(3,5-di-tert-butyl-4-hydroxyphenyl)propionate)</t>
  </si>
  <si>
    <t>6683-19-8</t>
  </si>
  <si>
    <t>pentaerythritol tetranitrate</t>
  </si>
  <si>
    <t>78-11-5</t>
  </si>
  <si>
    <t>pentaerythritol triacrylate</t>
  </si>
  <si>
    <t>3524-68-3</t>
  </si>
  <si>
    <t>pentaerythrityl tetrakis(3-mercaptopropionate)</t>
  </si>
  <si>
    <t>7575-23-7</t>
  </si>
  <si>
    <t>pentaethyl benzene</t>
  </si>
  <si>
    <t>605-01-6</t>
  </si>
  <si>
    <t>pentaethylene glycol</t>
  </si>
  <si>
    <t>4792-15-8 (PM)</t>
  </si>
  <si>
    <t>4792-15-8 (Vapor)</t>
  </si>
  <si>
    <t>pentaethylene glycol monomethyl ether</t>
  </si>
  <si>
    <t>23778-52-1</t>
  </si>
  <si>
    <t>pentaethylene glycol, monobutyl ether</t>
  </si>
  <si>
    <t>23601-39-0 (PM)</t>
  </si>
  <si>
    <t>23601-39-0 (Vapor)</t>
  </si>
  <si>
    <t>pentaethylenehexamine</t>
  </si>
  <si>
    <t>4067-16-7</t>
  </si>
  <si>
    <t>pentafluorobenzene</t>
  </si>
  <si>
    <t>363-72-4</t>
  </si>
  <si>
    <t>pentamethylbenzene</t>
  </si>
  <si>
    <t>700-12-9</t>
  </si>
  <si>
    <t>pentamethylene diamine</t>
  </si>
  <si>
    <t>462-94-2</t>
  </si>
  <si>
    <t>pentamine</t>
  </si>
  <si>
    <t>306-53-6</t>
  </si>
  <si>
    <t>pentane, all isomers</t>
  </si>
  <si>
    <t>92046-46-3</t>
  </si>
  <si>
    <t>pentanedinitrile</t>
  </si>
  <si>
    <t>544-13-8</t>
  </si>
  <si>
    <t>pentanol, mixture of isomers</t>
  </si>
  <si>
    <t>30899-19-5</t>
  </si>
  <si>
    <t>pentasodium diethylenetriamine pentacetate</t>
  </si>
  <si>
    <t>140-01-2</t>
  </si>
  <si>
    <t>pentasodium thiosulfate</t>
  </si>
  <si>
    <t>10102-17-7</t>
  </si>
  <si>
    <t>Pentazocine</t>
  </si>
  <si>
    <t>359-83-1</t>
  </si>
  <si>
    <t>pentyl benzene</t>
  </si>
  <si>
    <t>538-68-1</t>
  </si>
  <si>
    <t>pentyl dihydrogen phosphate</t>
  </si>
  <si>
    <t>2382-76-5</t>
  </si>
  <si>
    <t>pentyl ether</t>
  </si>
  <si>
    <t>693-65-2</t>
  </si>
  <si>
    <t>pentyl formate</t>
  </si>
  <si>
    <t>638-49-3</t>
  </si>
  <si>
    <t>peracetic acid</t>
  </si>
  <si>
    <t>79-21-0</t>
  </si>
  <si>
    <t>perchloric acid</t>
  </si>
  <si>
    <t>7601-90-3</t>
  </si>
  <si>
    <t>perchloromethyl mercaptan</t>
  </si>
  <si>
    <t>594-42-3</t>
  </si>
  <si>
    <t>perchloryl fluoride</t>
  </si>
  <si>
    <t>7616-94-6 (Not Defined)</t>
  </si>
  <si>
    <t>perchloryl fluoride | For air permit reviews in agricultural areas</t>
  </si>
  <si>
    <t>perchloryl fluoride | For air permit reviews in agricultural areas with cattle</t>
  </si>
  <si>
    <t>perfluorinated compounds</t>
  </si>
  <si>
    <t>perfluoro(isobutyl) methyl ether</t>
  </si>
  <si>
    <t>163702-08-7</t>
  </si>
  <si>
    <t>perfluoro(propyl vinyl ether)</t>
  </si>
  <si>
    <t>1623-05-8 (Not Defined)</t>
  </si>
  <si>
    <t>1623-05-8 (PM)</t>
  </si>
  <si>
    <t>perfluorobutyl ethylene</t>
  </si>
  <si>
    <t>19430-93-4</t>
  </si>
  <si>
    <t>perfluoroisobutylene</t>
  </si>
  <si>
    <t>382-21-8</t>
  </si>
  <si>
    <t>perfluorooctanesulfonic acid (PFOS)</t>
  </si>
  <si>
    <t>1763-23-1</t>
  </si>
  <si>
    <t>perfluorooctanoic acid and its inorganic salts</t>
  </si>
  <si>
    <t>335-67-1</t>
  </si>
  <si>
    <t>perfluorotri-n-butylamine</t>
  </si>
  <si>
    <t>86508-42-1</t>
  </si>
  <si>
    <t>periodic acid</t>
  </si>
  <si>
    <t>10450-60-9</t>
  </si>
  <si>
    <t>perlite</t>
  </si>
  <si>
    <t>93763-70-3</t>
  </si>
  <si>
    <t>Permethrin</t>
  </si>
  <si>
    <t>52645-53-1</t>
  </si>
  <si>
    <t>peroxydisulfuric acid</t>
  </si>
  <si>
    <t>13445-49-3</t>
  </si>
  <si>
    <t>peroxymonosulfuric acid</t>
  </si>
  <si>
    <t>7722-86-3</t>
  </si>
  <si>
    <t>Perrindo Maroon 179</t>
  </si>
  <si>
    <t>5521-31-3</t>
  </si>
  <si>
    <t>persulfate</t>
  </si>
  <si>
    <t>perylene</t>
  </si>
  <si>
    <t>198-55-0</t>
  </si>
  <si>
    <t>perylene pigment</t>
  </si>
  <si>
    <t>128-69-8</t>
  </si>
  <si>
    <t>pesticide, generic, not otherwise specified</t>
  </si>
  <si>
    <t>p-ethylphenol</t>
  </si>
  <si>
    <t>123-07-9</t>
  </si>
  <si>
    <t>p-ethyltoluene</t>
  </si>
  <si>
    <t>622-96-8</t>
  </si>
  <si>
    <t>petroleum coke, calcined</t>
  </si>
  <si>
    <t>64743-05-1</t>
  </si>
  <si>
    <t>petroleum coke, unclacined</t>
  </si>
  <si>
    <t>64741-79-3</t>
  </si>
  <si>
    <t>petroleum distillates</t>
  </si>
  <si>
    <t>8002-05-9</t>
  </si>
  <si>
    <t>petroleum distillates, intermediate catalytic cracked</t>
  </si>
  <si>
    <t>64741-60-2</t>
  </si>
  <si>
    <t>petroleum distillates, light vacuum</t>
  </si>
  <si>
    <t>70592-77-7</t>
  </si>
  <si>
    <t>petroleum distillates, solvent-refined middle</t>
  </si>
  <si>
    <t>64741-91-9</t>
  </si>
  <si>
    <t>petroleum ether</t>
  </si>
  <si>
    <t>8032-32-4</t>
  </si>
  <si>
    <t>petroleum extracts, light paraffinic distillate solvent</t>
  </si>
  <si>
    <t>64742-05-8</t>
  </si>
  <si>
    <t>petroleum jelly</t>
  </si>
  <si>
    <t>8009-03-8 (PM)</t>
  </si>
  <si>
    <t>8009-03-8 (Vapor)</t>
  </si>
  <si>
    <t>petroleum naphtha, catalytic reformed</t>
  </si>
  <si>
    <t>68955-35-1</t>
  </si>
  <si>
    <t>petroleum naphtha, light steam-cracked debenzenized polymers hydrogenated</t>
  </si>
  <si>
    <t>68132-00-3</t>
  </si>
  <si>
    <t>petroleum naphtha, light steam-cracked, C5-fraction, oligomer</t>
  </si>
  <si>
    <t>68478-08-0</t>
  </si>
  <si>
    <t>petroleum polymers, viscous</t>
  </si>
  <si>
    <t>64741-71-5</t>
  </si>
  <si>
    <t>petroleum products, hydrofiner-powerformer reformates (contains benzene)</t>
  </si>
  <si>
    <t>68514-79-4</t>
  </si>
  <si>
    <t>petroleum residues, vaccum distillates</t>
  </si>
  <si>
    <t>68955-27-1 (Not Defined)</t>
  </si>
  <si>
    <t>68955-27-1 (PM)</t>
  </si>
  <si>
    <t>petroleum sulfonic acids, sodium salts</t>
  </si>
  <si>
    <t>68608-26-4</t>
  </si>
  <si>
    <t>phenacetin</t>
  </si>
  <si>
    <t>62-44-2</t>
  </si>
  <si>
    <t>phenalene</t>
  </si>
  <si>
    <t>203-80-5</t>
  </si>
  <si>
    <t>phenanthrene</t>
  </si>
  <si>
    <t>85-01-8</t>
  </si>
  <si>
    <t>phenethyl acetate</t>
  </si>
  <si>
    <t>103-45-7</t>
  </si>
  <si>
    <t>phenethyl butyrate</t>
  </si>
  <si>
    <t>103-52-6</t>
  </si>
  <si>
    <t>phenethyl isobutyrate</t>
  </si>
  <si>
    <t>103-48-0</t>
  </si>
  <si>
    <t>phenethyl propionate</t>
  </si>
  <si>
    <t>122-70-3</t>
  </si>
  <si>
    <t>phenethyl salicylate</t>
  </si>
  <si>
    <t>87-22-9</t>
  </si>
  <si>
    <t>phenidone</t>
  </si>
  <si>
    <t>92-43-3 (PM)</t>
  </si>
  <si>
    <t>92-43-3 (Vapor)</t>
  </si>
  <si>
    <t>phenol</t>
  </si>
  <si>
    <t>108-95-2</t>
  </si>
  <si>
    <t>phenol mixed oils (mixture)</t>
  </si>
  <si>
    <t>phenol red, sodium salt</t>
  </si>
  <si>
    <t>34487-61-1</t>
  </si>
  <si>
    <t>phenothiazine</t>
  </si>
  <si>
    <t>92-84-2</t>
  </si>
  <si>
    <t>phenyl acetate</t>
  </si>
  <si>
    <t>122-79-2</t>
  </si>
  <si>
    <t>phenyl butyl phosphoric acid</t>
  </si>
  <si>
    <t>46438-39-5</t>
  </si>
  <si>
    <t>phenyl chloroformate</t>
  </si>
  <si>
    <t>1885-14-9</t>
  </si>
  <si>
    <t>phenyl formate</t>
  </si>
  <si>
    <t>1864-94-4</t>
  </si>
  <si>
    <t>phenyl glycidyl ether</t>
  </si>
  <si>
    <t>122-60-1</t>
  </si>
  <si>
    <t>phenyl glycidyl ether adduct 2,2-bis(4-hydroxyphenyl)propane</t>
  </si>
  <si>
    <t>71230-68-7</t>
  </si>
  <si>
    <t>phenyl hydrazine</t>
  </si>
  <si>
    <t>100-63-0</t>
  </si>
  <si>
    <t>phenyl isocyanate</t>
  </si>
  <si>
    <t>103-71-9</t>
  </si>
  <si>
    <t>phenyl isothiocyanate</t>
  </si>
  <si>
    <t>103-72-0</t>
  </si>
  <si>
    <t>phenyl mercaptan</t>
  </si>
  <si>
    <t>108-98-5</t>
  </si>
  <si>
    <t>phenyl vinyl ether</t>
  </si>
  <si>
    <t>766-94-9</t>
  </si>
  <si>
    <t>phenyl xylyl ethane</t>
  </si>
  <si>
    <t>6196-95-8</t>
  </si>
  <si>
    <t>phenylacetic acid</t>
  </si>
  <si>
    <t>103-82-2 (PM)</t>
  </si>
  <si>
    <t>103-82-2 (Vapor)</t>
  </si>
  <si>
    <t>phenylethyl alcohol</t>
  </si>
  <si>
    <t>60-12-8</t>
  </si>
  <si>
    <t>phenylglyoxylic acid</t>
  </si>
  <si>
    <t>611-73-4 (PM)</t>
  </si>
  <si>
    <t>611-73-4 (Vapor)</t>
  </si>
  <si>
    <t>phenylphosphine</t>
  </si>
  <si>
    <t>638-21-1</t>
  </si>
  <si>
    <t>phenylphosphoric acid</t>
  </si>
  <si>
    <t>701-64-4</t>
  </si>
  <si>
    <t>phenylpropanolamine hydrochloride</t>
  </si>
  <si>
    <t>154-41-6</t>
  </si>
  <si>
    <t>phenylpropyl alcohol</t>
  </si>
  <si>
    <t>122-97-4</t>
  </si>
  <si>
    <t>phenyltriethoxysilane</t>
  </si>
  <si>
    <t>780-69-8</t>
  </si>
  <si>
    <t>phenyltrimethoxysilane</t>
  </si>
  <si>
    <t>2996-92-1</t>
  </si>
  <si>
    <t>Phorate</t>
  </si>
  <si>
    <t>298-02-2</t>
  </si>
  <si>
    <t>Phosalone</t>
  </si>
  <si>
    <t>2310-17-0</t>
  </si>
  <si>
    <t>phosgene</t>
  </si>
  <si>
    <t>75-44-5</t>
  </si>
  <si>
    <t>Phosmet</t>
  </si>
  <si>
    <t>732-11-6</t>
  </si>
  <si>
    <t>phosphate, generic, not otherwise specified</t>
  </si>
  <si>
    <t>phosphated alkyl ethoxylate, potassium salt</t>
  </si>
  <si>
    <t>154518-40-8</t>
  </si>
  <si>
    <t>phosphine</t>
  </si>
  <si>
    <t>7803-51-2</t>
  </si>
  <si>
    <t>phosphonate</t>
  </si>
  <si>
    <t>phosphonic acid</t>
  </si>
  <si>
    <t>10294-56-1</t>
  </si>
  <si>
    <t>phosphonic acid [1,6-hexane diylbis (methylene)] tetrakis potassium salt</t>
  </si>
  <si>
    <t>38820-59-6</t>
  </si>
  <si>
    <t>phosphoric acid</t>
  </si>
  <si>
    <t>7664-38-2</t>
  </si>
  <si>
    <t>phosphoric acid 2-hydroxyethyl methacrylate ester</t>
  </si>
  <si>
    <t>52628-03-2</t>
  </si>
  <si>
    <t>phosphoric acid, ammonium salt</t>
  </si>
  <si>
    <t>10124-31-9</t>
  </si>
  <si>
    <t>phosphoric acid, decyl octyl ester</t>
  </si>
  <si>
    <t>68186-45-8</t>
  </si>
  <si>
    <t>phosphoric acid, diisooctyl ester</t>
  </si>
  <si>
    <t>27215-10-7</t>
  </si>
  <si>
    <t>phosphoric acid, dipotassium salt</t>
  </si>
  <si>
    <t>7758-11-4</t>
  </si>
  <si>
    <t>phosphoric acid, isodecyl ester</t>
  </si>
  <si>
    <t>56572-86-2</t>
  </si>
  <si>
    <t>phosphoric acid, mono(2-ethylhexyl) ester</t>
  </si>
  <si>
    <t>1070-03-7</t>
  </si>
  <si>
    <t>phosphoric acid, mono-C10-12-alkyl esters, ethoxylated</t>
  </si>
  <si>
    <t>68908-64-5</t>
  </si>
  <si>
    <t>phosphoric acid, monoisooctyl ester</t>
  </si>
  <si>
    <t>26403-12-3</t>
  </si>
  <si>
    <t>phosphoric acid, reaction products with aluminum hydroxide and chromium oxide</t>
  </si>
  <si>
    <t>92203-02-6</t>
  </si>
  <si>
    <t>phosphoric acid, sodium salt</t>
  </si>
  <si>
    <t>7632-05-5</t>
  </si>
  <si>
    <t>phosphoric acid, trisodium salt (chlorinated)</t>
  </si>
  <si>
    <t>56802-99-4</t>
  </si>
  <si>
    <t>phosphorochloridothioic acid, O-ethyl O-(1-methylethyl) ester</t>
  </si>
  <si>
    <t>51162-51-7</t>
  </si>
  <si>
    <t>phosphorodithioic acid ester, zinc salt</t>
  </si>
  <si>
    <t>2929-95-5 (PM)</t>
  </si>
  <si>
    <t>2929-95-5 (Vapor)</t>
  </si>
  <si>
    <t>phosphorous acid</t>
  </si>
  <si>
    <t>13598-36-2</t>
  </si>
  <si>
    <t>phosphorus</t>
  </si>
  <si>
    <t>7723-14-0</t>
  </si>
  <si>
    <t>phosphorus acid, isodecyl diphenyl ester</t>
  </si>
  <si>
    <t>26544-23-0</t>
  </si>
  <si>
    <t>phosphorus fertilizer</t>
  </si>
  <si>
    <t>phosphorus oxychloride</t>
  </si>
  <si>
    <t>10025-87-3</t>
  </si>
  <si>
    <t>phosphorus pentafluoride</t>
  </si>
  <si>
    <t>7647-19-0 (Not Defined)</t>
  </si>
  <si>
    <t>phosphorus pentafluoride | For air permit reviews in agricultural areas</t>
  </si>
  <si>
    <t>phosphorus pentafluoride | For air permit reviews in agricultural areas with cattle</t>
  </si>
  <si>
    <t>phosphorus pentasulfide</t>
  </si>
  <si>
    <t>1314-80-3</t>
  </si>
  <si>
    <t>phosphorus pentoxide</t>
  </si>
  <si>
    <t>1314-56-3</t>
  </si>
  <si>
    <t>phosphorus trichloride</t>
  </si>
  <si>
    <t>7719-12-2</t>
  </si>
  <si>
    <t>phthalate ester</t>
  </si>
  <si>
    <t>phthalate ester 37</t>
  </si>
  <si>
    <t>63515-48-0</t>
  </si>
  <si>
    <t>phthalic acid</t>
  </si>
  <si>
    <t>88-99-3</t>
  </si>
  <si>
    <t>phthalic acid, benzyl alkyl (C7-C8) ester</t>
  </si>
  <si>
    <t>68515-40-2</t>
  </si>
  <si>
    <t>phthalic acid, diundecyl ester</t>
  </si>
  <si>
    <t>3648-20-2</t>
  </si>
  <si>
    <t>phthalic anhydride</t>
  </si>
  <si>
    <t>85-44-9</t>
  </si>
  <si>
    <t>phthalo blue</t>
  </si>
  <si>
    <t>12239-87-1</t>
  </si>
  <si>
    <t>phthaloyl chloride</t>
  </si>
  <si>
    <t>88-95-9</t>
  </si>
  <si>
    <t>p-hydroxybenzoic acid, methyl ester</t>
  </si>
  <si>
    <t>99-76-3 (PM)</t>
  </si>
  <si>
    <t>99-76-3 (Vapor)</t>
  </si>
  <si>
    <t>Picloram</t>
  </si>
  <si>
    <t>1918-02-1</t>
  </si>
  <si>
    <t>picric acid</t>
  </si>
  <si>
    <t>88-89-1</t>
  </si>
  <si>
    <t>Pigment Blue 29</t>
  </si>
  <si>
    <t>57455-37-5</t>
  </si>
  <si>
    <t>Pigment Orange 64</t>
  </si>
  <si>
    <t>72102-84-2</t>
  </si>
  <si>
    <t>Pigment Orange 72</t>
  </si>
  <si>
    <t>78245-94-0</t>
  </si>
  <si>
    <t>Pigment Orange 74</t>
  </si>
  <si>
    <t>85776-14-3</t>
  </si>
  <si>
    <t>pigment red 12 (lead free)</t>
  </si>
  <si>
    <t>6410-32-8</t>
  </si>
  <si>
    <t>pigment red 122</t>
  </si>
  <si>
    <t>980-26-7</t>
  </si>
  <si>
    <t>Pigment Red 166</t>
  </si>
  <si>
    <t>3905-19-9</t>
  </si>
  <si>
    <t>Pigment Red 176</t>
  </si>
  <si>
    <t>12225-06-8</t>
  </si>
  <si>
    <t>Pigment Red 177</t>
  </si>
  <si>
    <t>4051-63-2</t>
  </si>
  <si>
    <t>Pigment Red 184</t>
  </si>
  <si>
    <t>99402-80-9</t>
  </si>
  <si>
    <t>Pigment Red 185</t>
  </si>
  <si>
    <t>51920-12-8</t>
  </si>
  <si>
    <t>Pigment Red 188</t>
  </si>
  <si>
    <t>61847-48-1</t>
  </si>
  <si>
    <t>Pigment Red 202</t>
  </si>
  <si>
    <t>3089-17-6</t>
  </si>
  <si>
    <t>Pigment Red 220</t>
  </si>
  <si>
    <t>68259-05-2</t>
  </si>
  <si>
    <t>Pigment Red 254</t>
  </si>
  <si>
    <t>84632-65-5</t>
  </si>
  <si>
    <t>Pigment Red 264</t>
  </si>
  <si>
    <t>88949-33-1</t>
  </si>
  <si>
    <t>pigment Red 48:1</t>
  </si>
  <si>
    <t>7585-41-3</t>
  </si>
  <si>
    <t>pigment red 49:1</t>
  </si>
  <si>
    <t>1103-38-4</t>
  </si>
  <si>
    <t>pigment red 49:2</t>
  </si>
  <si>
    <t>1103-39-5</t>
  </si>
  <si>
    <t>Pigment Red 52:1</t>
  </si>
  <si>
    <t>17852-99-2</t>
  </si>
  <si>
    <t>Pigment Red 53:1</t>
  </si>
  <si>
    <t>5160-02-1</t>
  </si>
  <si>
    <t>Pigment Red 81:1</t>
  </si>
  <si>
    <t>80083-40-5</t>
  </si>
  <si>
    <t>Pigment Violet 2</t>
  </si>
  <si>
    <t>1326-04-1</t>
  </si>
  <si>
    <t>pigment violet 23</t>
  </si>
  <si>
    <t>6358-30-1</t>
  </si>
  <si>
    <t>pigment yellow</t>
  </si>
  <si>
    <t>6358-31-2</t>
  </si>
  <si>
    <t>Pigment Yellow 110</t>
  </si>
  <si>
    <t>5590-18-1</t>
  </si>
  <si>
    <t>Pigment Yellow 138</t>
  </si>
  <si>
    <t>30125-47-4</t>
  </si>
  <si>
    <t>Pigment Yellow 139</t>
  </si>
  <si>
    <t>36888-99-0</t>
  </si>
  <si>
    <t>Pigment Yellow 151</t>
  </si>
  <si>
    <t>31837-42-0</t>
  </si>
  <si>
    <t>Pigment Yellow 155</t>
  </si>
  <si>
    <t>68516-73-4</t>
  </si>
  <si>
    <t>Pigment Yellow 17</t>
  </si>
  <si>
    <t>4531-49-1</t>
  </si>
  <si>
    <t>Pigment Yellow 170</t>
  </si>
  <si>
    <t>31775-16-3</t>
  </si>
  <si>
    <t>Pigment yellow 180</t>
  </si>
  <si>
    <t>77804-81-0</t>
  </si>
  <si>
    <t>pigment yellow 65</t>
  </si>
  <si>
    <t>6528-34-3</t>
  </si>
  <si>
    <t>pimelic acid</t>
  </si>
  <si>
    <t>111-16-0</t>
  </si>
  <si>
    <t>pine extract</t>
  </si>
  <si>
    <t>94266-48-5</t>
  </si>
  <si>
    <t>pine oil</t>
  </si>
  <si>
    <t>8002-09-3</t>
  </si>
  <si>
    <t>piperazine</t>
  </si>
  <si>
    <t>110-85-0</t>
  </si>
  <si>
    <t>piperazine dihydrochloride</t>
  </si>
  <si>
    <t>142-64-3</t>
  </si>
  <si>
    <t>piperidine</t>
  </si>
  <si>
    <t>110-89-4</t>
  </si>
  <si>
    <t>piperonal</t>
  </si>
  <si>
    <t>120-57-0</t>
  </si>
  <si>
    <t>piperonyl butoxide</t>
  </si>
  <si>
    <t>51-03-6</t>
  </si>
  <si>
    <t>piperonyl sulfoxide</t>
  </si>
  <si>
    <t>120-62-7</t>
  </si>
  <si>
    <t>pitch, coal tar-petroleum</t>
  </si>
  <si>
    <t>68187-57-5</t>
  </si>
  <si>
    <t>pivalic acid</t>
  </si>
  <si>
    <t>75-98-9 (PM)</t>
  </si>
  <si>
    <t>75-98-9 (Vapor)</t>
  </si>
  <si>
    <t>pivaloyl chloride</t>
  </si>
  <si>
    <t>3282-30-2</t>
  </si>
  <si>
    <t>plastic dust</t>
  </si>
  <si>
    <t>platinum</t>
  </si>
  <si>
    <t>7440-06-4</t>
  </si>
  <si>
    <t>platinum dicarbonyl dichloride</t>
  </si>
  <si>
    <t>73018-55-0</t>
  </si>
  <si>
    <t>platinum nitrate</t>
  </si>
  <si>
    <t>18496-40-7</t>
  </si>
  <si>
    <t>platinum(0)-1,3-divinyl-1,1,3,3-tetramethyldisiloxane</t>
  </si>
  <si>
    <t>68478-92-2</t>
  </si>
  <si>
    <t>platinum, insoluble compounds</t>
  </si>
  <si>
    <t>platinum, soluble compounds</t>
  </si>
  <si>
    <t>Pluronic 10R-5, 25R2, 31R1, L-101</t>
  </si>
  <si>
    <t>9003-11-6</t>
  </si>
  <si>
    <t>p-mentha-1,5-diene</t>
  </si>
  <si>
    <t>99-83-2</t>
  </si>
  <si>
    <t>p-menthane</t>
  </si>
  <si>
    <t>99-82-1</t>
  </si>
  <si>
    <t>p-menthane-1,8-diamine</t>
  </si>
  <si>
    <t>80-52-4</t>
  </si>
  <si>
    <t>p-methylbenzyl alcohol</t>
  </si>
  <si>
    <t>589-18-4</t>
  </si>
  <si>
    <t>p-methylstyrene</t>
  </si>
  <si>
    <t>622-97-9</t>
  </si>
  <si>
    <t>p-nitroaniline</t>
  </si>
  <si>
    <t>100-01-6</t>
  </si>
  <si>
    <t>p-nitrophenol</t>
  </si>
  <si>
    <t>100-02-7</t>
  </si>
  <si>
    <t>p-nitrotoluene</t>
  </si>
  <si>
    <t>99-99-0</t>
  </si>
  <si>
    <t>poly(1,4-butanediol), tolylene 2,4-diisocyanate terminated</t>
  </si>
  <si>
    <t>9069-50-5</t>
  </si>
  <si>
    <t>poly(1-butene)</t>
  </si>
  <si>
    <t>9003-28-5</t>
  </si>
  <si>
    <t>poly(2-chloro-1,3 /2,3 dichloro-1,3-butadiene)</t>
  </si>
  <si>
    <t>25067-95-2</t>
  </si>
  <si>
    <t>poly(alpha-methylstyrene)</t>
  </si>
  <si>
    <t>25014-31-7</t>
  </si>
  <si>
    <t>poly(bisphenol A carbonate)</t>
  </si>
  <si>
    <t>103598-77-2 (PM)</t>
  </si>
  <si>
    <t>103598-77-2 (Vapor)</t>
  </si>
  <si>
    <t>poly(bisphenol A-co-epichlorohydrin), glycidyl end-capped</t>
  </si>
  <si>
    <t>25036-25-3 (PM)</t>
  </si>
  <si>
    <t>25036-25-3 (Vapor)</t>
  </si>
  <si>
    <t>poly(dicyclopentadiene-co-p-cresol)</t>
  </si>
  <si>
    <t>68610-51-5</t>
  </si>
  <si>
    <t>poly(dimethylamine-co-epichlorohydrin-co-ethylenediamine)</t>
  </si>
  <si>
    <t>42751-79-1</t>
  </si>
  <si>
    <t>poly(dimethylaminoethyl methacrylate)</t>
  </si>
  <si>
    <t>25154-86-3 (PM)</t>
  </si>
  <si>
    <t>25154-86-3 (Vapor)</t>
  </si>
  <si>
    <t>poly(dimethylsiloxane), vinyl terminated</t>
  </si>
  <si>
    <t>68083-19-2</t>
  </si>
  <si>
    <t>poly(di-n-butoxy) titanoxane</t>
  </si>
  <si>
    <t>9022-96-2</t>
  </si>
  <si>
    <t>poly(ethylene glycol)</t>
  </si>
  <si>
    <t>25322-68-3 (PM)</t>
  </si>
  <si>
    <t>25322-68-3 (Vapor)</t>
  </si>
  <si>
    <t>poly(ethylene glycol) dibenzoate</t>
  </si>
  <si>
    <t>9004-86-8</t>
  </si>
  <si>
    <t>poly(ethylene glycol) monolaurate</t>
  </si>
  <si>
    <t>9004-81-3</t>
  </si>
  <si>
    <t>poly(ethylene glycol) monomethyl ether</t>
  </si>
  <si>
    <t>9004-74-4</t>
  </si>
  <si>
    <t>poly(ethylene-co-1-butene)</t>
  </si>
  <si>
    <t>25087-34-7</t>
  </si>
  <si>
    <t>poly(isobutyl methacrylate)</t>
  </si>
  <si>
    <t>9011-15-8</t>
  </si>
  <si>
    <t>poly(lactic acid)</t>
  </si>
  <si>
    <t>26100-51-6 (PM)</t>
  </si>
  <si>
    <t>26100-51-6 (Vapor)</t>
  </si>
  <si>
    <t>poly(methyl methacrylate)</t>
  </si>
  <si>
    <t>9011-14-7 (PM)</t>
  </si>
  <si>
    <t>9011-14-7 (Vapor)</t>
  </si>
  <si>
    <t>poly(methyl methacrylate-co-butyl methacrylate)</t>
  </si>
  <si>
    <t>25608-33-7</t>
  </si>
  <si>
    <t>poly(methyl methacrylate-co-ethyl acrylate)</t>
  </si>
  <si>
    <t>9010-88-2</t>
  </si>
  <si>
    <t>poly(methylhydrosiloxane)</t>
  </si>
  <si>
    <t>63148-57-2</t>
  </si>
  <si>
    <t>poly(methylphenylsiloxane)</t>
  </si>
  <si>
    <t>63148-58-3</t>
  </si>
  <si>
    <t>poly(neopentyl glycol adipate)</t>
  </si>
  <si>
    <t>27925-07-1 (Not Defined)</t>
  </si>
  <si>
    <t>27925-07-1 (PM)</t>
  </si>
  <si>
    <t>poly(oxy-1,2-ethanediyl), .alpha.-tridecyl-.omega.-hydroxy-, phosphate, ammonium salt</t>
  </si>
  <si>
    <t>69029-43-2</t>
  </si>
  <si>
    <t>poly(oxy-1,2-ethanediyl), alpha-(nonylphenyl)-omega-hydroxy-, phosphate, ammonium salt</t>
  </si>
  <si>
    <t>68511-21-7</t>
  </si>
  <si>
    <t>poly(oxy-1,2-ethanediyl),alpha,alpha'-[[methyl[3-(tridecyloxy)propyl]iminio]di-2,1-ethanediyl]bis[omega-hydroxy-, branched, chlorides</t>
  </si>
  <si>
    <t>68610-19-5</t>
  </si>
  <si>
    <t>poly(oxypropylene) glycerol adipate</t>
  </si>
  <si>
    <t>68439-20-3</t>
  </si>
  <si>
    <t>poly(propylene glycol)</t>
  </si>
  <si>
    <t>25322-69-4 (PM)</t>
  </si>
  <si>
    <t>25322-69-4 (Vapor)</t>
  </si>
  <si>
    <t>poly(propylene glycol) diglycidyl ether</t>
  </si>
  <si>
    <t>26142-30-3</t>
  </si>
  <si>
    <t>poly(propylene glycol) methacrylate</t>
  </si>
  <si>
    <t>39420-45-6 (PM)</t>
  </si>
  <si>
    <t>39420-45-6 (Vapor)</t>
  </si>
  <si>
    <t>poly(propylene glycol), tolylene 2,4-diisocyanate terminated</t>
  </si>
  <si>
    <t>9057-91-4</t>
  </si>
  <si>
    <t>poly(propylene oxide)</t>
  </si>
  <si>
    <t>25322-62-7</t>
  </si>
  <si>
    <t>poly(styrene-co-alpha-methylstyrene)</t>
  </si>
  <si>
    <t>9011-11-4</t>
  </si>
  <si>
    <t>poly(vinyl chloride-co-isobutyl vinyl ether)</t>
  </si>
  <si>
    <t>25154-85-2</t>
  </si>
  <si>
    <t>poly-(vinyl chloride-co-vinyl acetate-co-hydroxypropyl acrylate)</t>
  </si>
  <si>
    <t>39317-41-4</t>
  </si>
  <si>
    <t>poly(vinyl chloride-co-vinyl acetate-co-vinyl alcohol)</t>
  </si>
  <si>
    <t>25086-48-0</t>
  </si>
  <si>
    <t>poly(vinyl fluoride)</t>
  </si>
  <si>
    <t>24981-14-4</t>
  </si>
  <si>
    <t>poly[oxy{methyl-1,2-ethanediyl},alpha-[2-{aminocarbonyl}amino]methylethyl]-omega-[2-aminocarbonyl]amino]methylethoxy]-</t>
  </si>
  <si>
    <t>65605-54-1</t>
  </si>
  <si>
    <t>polyacrylamide</t>
  </si>
  <si>
    <t>9003-05-8</t>
  </si>
  <si>
    <t>polyacrylic acid</t>
  </si>
  <si>
    <t>9003-01-4</t>
  </si>
  <si>
    <t>polyalkylene glycol lubricant</t>
  </si>
  <si>
    <t>polyalkylene polydimethylsiloxane</t>
  </si>
  <si>
    <t>68938-54-5 (PM)</t>
  </si>
  <si>
    <t>68938-54-5 (Vapor)</t>
  </si>
  <si>
    <t>polyaluminum chloride</t>
  </si>
  <si>
    <t>1327-41-9</t>
  </si>
  <si>
    <t>polyalyldiglycol carbonate, polymeric abrasive</t>
  </si>
  <si>
    <t>25656-90-0 (PM)</t>
  </si>
  <si>
    <t>25656-90-0 (Vapor)</t>
  </si>
  <si>
    <t>polyamide</t>
  </si>
  <si>
    <t>polyamide/polyolefin thixotrope</t>
  </si>
  <si>
    <t>polyamidoamide adduct</t>
  </si>
  <si>
    <t>polyamidoamines</t>
  </si>
  <si>
    <t>106906-26-7</t>
  </si>
  <si>
    <t>polyamine, generic, not otherwise specified</t>
  </si>
  <si>
    <t>polyaminoimidazoline, fatty acid amido amine</t>
  </si>
  <si>
    <t>polybutene</t>
  </si>
  <si>
    <t>9003-29-6</t>
  </si>
  <si>
    <t>polybutoxyethanol</t>
  </si>
  <si>
    <t>9004-77-7</t>
  </si>
  <si>
    <t>polychlorinated biphenyls</t>
  </si>
  <si>
    <t>1336-36-3</t>
  </si>
  <si>
    <t>polychlorinated dibenzodioxins (all congeners)</t>
  </si>
  <si>
    <t>polycyclic aromatic hydrocarbons</t>
  </si>
  <si>
    <t>130498-29-2</t>
  </si>
  <si>
    <t>polycyclic aromatic hydrocarbons, &lt; 10% b[a]p, not otherwise specified</t>
  </si>
  <si>
    <t>polydextrose</t>
  </si>
  <si>
    <t>68424-04-4</t>
  </si>
  <si>
    <t>polydimethylsiloxane</t>
  </si>
  <si>
    <t>9016-00-6 (PM)</t>
  </si>
  <si>
    <t>9016-00-6 (Vapor)</t>
  </si>
  <si>
    <t>polydimethylsiloxane, hydroxy terminated</t>
  </si>
  <si>
    <t>70131-67-8 (PM)</t>
  </si>
  <si>
    <t>70131-67-8 (Vapor)</t>
  </si>
  <si>
    <t>polyester with acid functionality</t>
  </si>
  <si>
    <t>polyetherether ketone</t>
  </si>
  <si>
    <t>29658-26-2</t>
  </si>
  <si>
    <t>polyethlene glycol phenyl ether phosphate</t>
  </si>
  <si>
    <t>39464-70-5 (PM)</t>
  </si>
  <si>
    <t>39464-70-5 (Vapor)</t>
  </si>
  <si>
    <t>polyethylene</t>
  </si>
  <si>
    <t>9002-88-4</t>
  </si>
  <si>
    <t>polyethylene glycol alkylphenyl ether</t>
  </si>
  <si>
    <t>9041-29-6</t>
  </si>
  <si>
    <t>polyethylene glycol dimethyl ether</t>
  </si>
  <si>
    <t>polyethylene glycol mono(3-(tetramethyl-1-(trimethylsiloxy)disiloxanyl)propyl)ether</t>
  </si>
  <si>
    <t>27306-78-1 (PM)</t>
  </si>
  <si>
    <t>27306-78-1 (Vapor)</t>
  </si>
  <si>
    <t>polyethylene glycol mono(distyrylphenyl)ether</t>
  </si>
  <si>
    <t>104376-75-2</t>
  </si>
  <si>
    <t>polyethylene glycol mono-4-nonylphenyl ether</t>
  </si>
  <si>
    <t>26027-38-3</t>
  </si>
  <si>
    <t>polyethylene glycol monoalkyl ether</t>
  </si>
  <si>
    <t>9043-30-5</t>
  </si>
  <si>
    <t>polyethylene glycol monomethyl ether</t>
  </si>
  <si>
    <t>95507-80-5</t>
  </si>
  <si>
    <t>polyethylene glycol monooleate</t>
  </si>
  <si>
    <t>9004-96-0</t>
  </si>
  <si>
    <t>polyethylene glycol monooleyl ether</t>
  </si>
  <si>
    <t>9004-98-2</t>
  </si>
  <si>
    <t>polyethylene imine</t>
  </si>
  <si>
    <t>9002-98-6</t>
  </si>
  <si>
    <t>polyethylene terephthalate</t>
  </si>
  <si>
    <t>25038-59-9</t>
  </si>
  <si>
    <t>polyethyleneimine</t>
  </si>
  <si>
    <t>26913-06-4</t>
  </si>
  <si>
    <t>polyethylenepolyamine acetates</t>
  </si>
  <si>
    <t>68333-87-9</t>
  </si>
  <si>
    <t>polyethylenepolyamine-fatty acids, C18-unsaturated, dimer condensate</t>
  </si>
  <si>
    <t>68410-23-1 (PM)</t>
  </si>
  <si>
    <t>68410-23-1 (Vapor)</t>
  </si>
  <si>
    <t>polyethylenepolyamines</t>
  </si>
  <si>
    <t>68131-73-7</t>
  </si>
  <si>
    <t>polyethylenepolyamines, ethoxylated, phosphonomethylated</t>
  </si>
  <si>
    <t>68966-36-9</t>
  </si>
  <si>
    <t>polyethylenepolyamines, ethoxylated, phosphonomethylated, sodium salt</t>
  </si>
  <si>
    <t>70900-16-2</t>
  </si>
  <si>
    <t>polyethylenepolyamines, reaction products with succinic anhydride polyisobutenyl derivs.</t>
  </si>
  <si>
    <t>84605-20-9 (PM)</t>
  </si>
  <si>
    <t>84605-20-9 (Vapor)</t>
  </si>
  <si>
    <t>polyethylenimine polyamide salts</t>
  </si>
  <si>
    <t>polyglycerine</t>
  </si>
  <si>
    <t>25618-55-7</t>
  </si>
  <si>
    <t>polyglycol, generic</t>
  </si>
  <si>
    <t>polyisobutenyl substituted succinic anhydrides AEEA</t>
  </si>
  <si>
    <t>185630-94-8</t>
  </si>
  <si>
    <t>polyisobutenyl substituted succinic anhydrides DMAPA</t>
  </si>
  <si>
    <t>118685-27-3</t>
  </si>
  <si>
    <t>polyisobutylenes</t>
  </si>
  <si>
    <t>9003-27-4</t>
  </si>
  <si>
    <t>polyisoprene</t>
  </si>
  <si>
    <t>9003-31-0</t>
  </si>
  <si>
    <t>polyketimine curing agent</t>
  </si>
  <si>
    <t>polylactide resin</t>
  </si>
  <si>
    <t>9051-89-2</t>
  </si>
  <si>
    <t>polymethoxy bicyclic oxazolidine</t>
  </si>
  <si>
    <t>56709-13-8</t>
  </si>
  <si>
    <t>polymethylene polyphenyl and polyalkylphenyl amine</t>
  </si>
  <si>
    <t>69178-40-1</t>
  </si>
  <si>
    <t>polymethylene polyphenyl isocyanate</t>
  </si>
  <si>
    <t>9016-87-9</t>
  </si>
  <si>
    <t>polymethylenepolyphenylisocyanate, propoxylated glycerin polymer</t>
  </si>
  <si>
    <t>57029-46-6</t>
  </si>
  <si>
    <t>polymethylphenyl siloxanes</t>
  </si>
  <si>
    <t>63148-52-7 (PM)</t>
  </si>
  <si>
    <t>63148-52-7 (Vapor)</t>
  </si>
  <si>
    <t>polymethylsiloxane</t>
  </si>
  <si>
    <t>68440-84-6 (PM)</t>
  </si>
  <si>
    <t>68440-84-6 (Vapor)</t>
  </si>
  <si>
    <t>polyolefin alkyl phenol alkyl amine</t>
  </si>
  <si>
    <t>polyolefin amide alkeneamine</t>
  </si>
  <si>
    <t>polyoxyalkylene sulfate</t>
  </si>
  <si>
    <t>polyoxyethylene (23) lauryl ether</t>
  </si>
  <si>
    <t>9006-65-9</t>
  </si>
  <si>
    <t>polyoxyethylene sorbitan monolaurate</t>
  </si>
  <si>
    <t>9005-64-5 (PM)</t>
  </si>
  <si>
    <t>9005-64-5 (Vapor)</t>
  </si>
  <si>
    <t>polyoxyethylene sorbitan trioleate</t>
  </si>
  <si>
    <t>9005-70-3</t>
  </si>
  <si>
    <t>polyoxymethylene</t>
  </si>
  <si>
    <t>9002-81-7</t>
  </si>
  <si>
    <t>polyoxypropylenediamine</t>
  </si>
  <si>
    <t>9046-10-0</t>
  </si>
  <si>
    <t>poly-pale ester 10</t>
  </si>
  <si>
    <t>68475-37-6</t>
  </si>
  <si>
    <t>polyphosphoric acid</t>
  </si>
  <si>
    <t>8017-16-1</t>
  </si>
  <si>
    <t>polyphosphoric acids, compds with ethoxylated coco alkylamines</t>
  </si>
  <si>
    <t>68132-19-4 (PM)</t>
  </si>
  <si>
    <t>68132-19-4 (Vapor)</t>
  </si>
  <si>
    <t>polyphosphoric acids, esters with triethanolamine, sodium salts</t>
  </si>
  <si>
    <t>68131-72-6</t>
  </si>
  <si>
    <t>polyphosphoric acids, sodium salts</t>
  </si>
  <si>
    <t>68915-31-1</t>
  </si>
  <si>
    <t>polypropylene</t>
  </si>
  <si>
    <t>9003-07-0 (PM)</t>
  </si>
  <si>
    <t>9003-07-0 (Vapor)</t>
  </si>
  <si>
    <t>polypropylene glycol monomethyl ether</t>
  </si>
  <si>
    <t>37286-64-9</t>
  </si>
  <si>
    <t>polypropylene polyoxyethylene monooctadecyl ether</t>
  </si>
  <si>
    <t>9038-43-1</t>
  </si>
  <si>
    <t>polyquaternary amine chloride</t>
  </si>
  <si>
    <t>polyquaternium 6</t>
  </si>
  <si>
    <t>93357-85-8</t>
  </si>
  <si>
    <t>polysaccharides</t>
  </si>
  <si>
    <t>polysilicic acid, ethyl ester</t>
  </si>
  <si>
    <t>9044-80-8</t>
  </si>
  <si>
    <t>polysiloxanes, di-Me, hydroxy-terminated, ethoxylated propoxylated</t>
  </si>
  <si>
    <t>64365-23-7 (PM)</t>
  </si>
  <si>
    <t>64365-23-7 (Vapor)</t>
  </si>
  <si>
    <t>polysiloxanes, di-Me,3-[3-[(3-coco amidopropyl)dimethylammonio]-2-hydroxypropoxy]propylgroup-terminated, acetates, salts</t>
  </si>
  <si>
    <t>134737-05-6 (PM)</t>
  </si>
  <si>
    <t>134737-05-6 (Vapor)</t>
  </si>
  <si>
    <t>polysiloxanes, di-Me,di-Ph, hydroxy-terminated</t>
  </si>
  <si>
    <t>68951-93-9 (PM)</t>
  </si>
  <si>
    <t>68951-93-9 (Vapor)</t>
  </si>
  <si>
    <t>Polysorbate 80</t>
  </si>
  <si>
    <t>9005-65-6</t>
  </si>
  <si>
    <t>polystyrene</t>
  </si>
  <si>
    <t>9003-53-6</t>
  </si>
  <si>
    <t>polytetrafluoroethylene</t>
  </si>
  <si>
    <t>9002-84-0</t>
  </si>
  <si>
    <t>polytetramethylene glycols</t>
  </si>
  <si>
    <t>25190-06-1 (PM)</t>
  </si>
  <si>
    <t>25190-06-1 (Vapor)</t>
  </si>
  <si>
    <t>polyurethane</t>
  </si>
  <si>
    <t>9009-54-5</t>
  </si>
  <si>
    <t>polyvinyl alcohol</t>
  </si>
  <si>
    <t>9002-89-5 (PM)</t>
  </si>
  <si>
    <t>9002-89-5 (Vapor)</t>
  </si>
  <si>
    <t>polyvinyl chloride</t>
  </si>
  <si>
    <t>9002-86-2</t>
  </si>
  <si>
    <t>polyvinyl terpolymer</t>
  </si>
  <si>
    <t>Portland cement</t>
  </si>
  <si>
    <t>65997-15-1</t>
  </si>
  <si>
    <t>potassium</t>
  </si>
  <si>
    <t>7440-09-7</t>
  </si>
  <si>
    <t>potassium acetate</t>
  </si>
  <si>
    <t>127-08-2</t>
  </si>
  <si>
    <t>potassium acrylate</t>
  </si>
  <si>
    <t>10192-85-5</t>
  </si>
  <si>
    <t>potassium aluminosilicate</t>
  </si>
  <si>
    <t>12269-78-2</t>
  </si>
  <si>
    <t>potassium aluminum silicate</t>
  </si>
  <si>
    <t>68476-25-5</t>
  </si>
  <si>
    <t>potassium borates</t>
  </si>
  <si>
    <t>20786-60-1</t>
  </si>
  <si>
    <t>potassium borohydride</t>
  </si>
  <si>
    <t>13762-51-1</t>
  </si>
  <si>
    <t>potassium bromate</t>
  </si>
  <si>
    <t>7758-01-2</t>
  </si>
  <si>
    <t>potassium bromide</t>
  </si>
  <si>
    <t>7758-02-3</t>
  </si>
  <si>
    <t>potassium carbonate</t>
  </si>
  <si>
    <t>584-08-7</t>
  </si>
  <si>
    <t>potassium chloride</t>
  </si>
  <si>
    <t>7447-40-7</t>
  </si>
  <si>
    <t>potassium chromate</t>
  </si>
  <si>
    <t>7789-00-6</t>
  </si>
  <si>
    <t>potassium citrate</t>
  </si>
  <si>
    <t>866-84-2</t>
  </si>
  <si>
    <t>potassium dichromate</t>
  </si>
  <si>
    <t>7778-50-9</t>
  </si>
  <si>
    <t>potassium dicyanoaurate(I)</t>
  </si>
  <si>
    <t>13967-50-5</t>
  </si>
  <si>
    <t>potassium dihydrogen phosphate</t>
  </si>
  <si>
    <t>7778-77-0</t>
  </si>
  <si>
    <t>potassium dodecylbenzenesulfonic acid</t>
  </si>
  <si>
    <t>27177-77-1</t>
  </si>
  <si>
    <t>potassium ferricyanide</t>
  </si>
  <si>
    <t>13746-66-2</t>
  </si>
  <si>
    <t>potassium fluoborate</t>
  </si>
  <si>
    <t>14075-53-7</t>
  </si>
  <si>
    <t>potassium fluoride</t>
  </si>
  <si>
    <t>7789-23-3 (Not Defined)</t>
  </si>
  <si>
    <t>potassium fluoride | For air permit reviews in agricultural areas</t>
  </si>
  <si>
    <t>potassium fluoride | For air permit reviews in agricultural areas with cattle</t>
  </si>
  <si>
    <t>potassium fluoroalkyl carboxylate</t>
  </si>
  <si>
    <t>2991-51-7 (Not Defined)</t>
  </si>
  <si>
    <t>potassium fluoroalkyl carboxylate | For air permit reviews in agricultural areas</t>
  </si>
  <si>
    <t>potassium fluoroalkyl carboxylate | For air permit reviews in agricultural areas with cattle</t>
  </si>
  <si>
    <t>potassium fluozirconate</t>
  </si>
  <si>
    <t>16923-95-8</t>
  </si>
  <si>
    <t>potassium formate</t>
  </si>
  <si>
    <t>590-29-4</t>
  </si>
  <si>
    <t>potassium glycolate</t>
  </si>
  <si>
    <t>1932-50-9</t>
  </si>
  <si>
    <t>potassium humate</t>
  </si>
  <si>
    <t>68514-28-3</t>
  </si>
  <si>
    <t>potassium hydrogen diacetate</t>
  </si>
  <si>
    <t>4251-29-0</t>
  </si>
  <si>
    <t>potassium hydroxide</t>
  </si>
  <si>
    <t>1310-58-3</t>
  </si>
  <si>
    <t>potassium hydroxyacetate</t>
  </si>
  <si>
    <t>25904-89-6</t>
  </si>
  <si>
    <t>potassium iodide</t>
  </si>
  <si>
    <t>7681-11-0</t>
  </si>
  <si>
    <t>potassium laurate</t>
  </si>
  <si>
    <t>10124-65-9</t>
  </si>
  <si>
    <t>potassium nitrate</t>
  </si>
  <si>
    <t>7757-79-1</t>
  </si>
  <si>
    <t>potassium n-methyldithiocarbamate solution</t>
  </si>
  <si>
    <t>137-41-7</t>
  </si>
  <si>
    <t>potassium oleate</t>
  </si>
  <si>
    <t>143-18-0</t>
  </si>
  <si>
    <t>potassium oxide</t>
  </si>
  <si>
    <t>12136-45-7</t>
  </si>
  <si>
    <t>potassium permanganate</t>
  </si>
  <si>
    <t>7722-64-7</t>
  </si>
  <si>
    <t>potassium persulfate</t>
  </si>
  <si>
    <t>7727-21-1</t>
  </si>
  <si>
    <t>potassium phosphate tribasic</t>
  </si>
  <si>
    <t>7778-53-2</t>
  </si>
  <si>
    <t>potassium silicate</t>
  </si>
  <si>
    <t>1312-76-1</t>
  </si>
  <si>
    <t>potassium sorbate</t>
  </si>
  <si>
    <t>24634-61-5</t>
  </si>
  <si>
    <t>potassium stannate</t>
  </si>
  <si>
    <t>12142-33-5</t>
  </si>
  <si>
    <t>potassium sulfate (2:1)</t>
  </si>
  <si>
    <t>7778-80-5</t>
  </si>
  <si>
    <t>potassium sulfite</t>
  </si>
  <si>
    <t>10117-38-1</t>
  </si>
  <si>
    <t>potassium thiosulfate</t>
  </si>
  <si>
    <t>10294-66-3</t>
  </si>
  <si>
    <t>potassium titanate</t>
  </si>
  <si>
    <t>59766-31-3</t>
  </si>
  <si>
    <t>potassium tripolyphosphate</t>
  </si>
  <si>
    <t>13845-36-8</t>
  </si>
  <si>
    <t>potassium vanadate</t>
  </si>
  <si>
    <t>13769-43-2</t>
  </si>
  <si>
    <t>potassium zinc chromate</t>
  </si>
  <si>
    <t>11103-86-9</t>
  </si>
  <si>
    <t>p-phenetidine</t>
  </si>
  <si>
    <t>156-43-4</t>
  </si>
  <si>
    <t>p-phenylenediamine</t>
  </si>
  <si>
    <t>106-50-3</t>
  </si>
  <si>
    <t>p-Propionylphenol</t>
  </si>
  <si>
    <t>70-70-2</t>
  </si>
  <si>
    <t>p-quinone</t>
  </si>
  <si>
    <t>106-51-4</t>
  </si>
  <si>
    <t>praseodymium chloride</t>
  </si>
  <si>
    <t>10361-79-2</t>
  </si>
  <si>
    <t>praseodymium oxide (Pr2O3)</t>
  </si>
  <si>
    <t>12036-32-7</t>
  </si>
  <si>
    <t>praseodymium(III) nitrate hexahydrate</t>
  </si>
  <si>
    <t>10361-80-5</t>
  </si>
  <si>
    <t>Pronamide</t>
  </si>
  <si>
    <t>23950-58-5</t>
  </si>
  <si>
    <t>Propachlor</t>
  </si>
  <si>
    <t>1918-16-7</t>
  </si>
  <si>
    <t>propamocarb hydrochloride</t>
  </si>
  <si>
    <t>25606-41-1</t>
  </si>
  <si>
    <t>propane</t>
  </si>
  <si>
    <t>74-98-6</t>
  </si>
  <si>
    <t>propane-1,2-diol, propoxylated</t>
  </si>
  <si>
    <t>29434-03-5 (PM)</t>
  </si>
  <si>
    <t>29434-03-5 (Vapor)</t>
  </si>
  <si>
    <t>Propanil</t>
  </si>
  <si>
    <t>709-98-8</t>
  </si>
  <si>
    <t>propargyl alcohol</t>
  </si>
  <si>
    <t>107-19-7</t>
  </si>
  <si>
    <t>propargyl butylcarbamate</t>
  </si>
  <si>
    <t>76114-73-3</t>
  </si>
  <si>
    <t>propazine</t>
  </si>
  <si>
    <t>139-40-2</t>
  </si>
  <si>
    <t>propenamide, homopolymer</t>
  </si>
  <si>
    <t>25038-45-3</t>
  </si>
  <si>
    <t>propenyl propyl benzoate</t>
  </si>
  <si>
    <t>197178-94-2</t>
  </si>
  <si>
    <t>propiconazole</t>
  </si>
  <si>
    <t>60207-90-1</t>
  </si>
  <si>
    <t>propionaldehyde</t>
  </si>
  <si>
    <t>123-38-6</t>
  </si>
  <si>
    <t>propionaldehyde dipropyl acetal</t>
  </si>
  <si>
    <t>4744-11-0</t>
  </si>
  <si>
    <t>propionamide</t>
  </si>
  <si>
    <t>79-05-0</t>
  </si>
  <si>
    <t>propionic acid</t>
  </si>
  <si>
    <t>79-09-4</t>
  </si>
  <si>
    <t>propionic anhydride</t>
  </si>
  <si>
    <t>123-62-6</t>
  </si>
  <si>
    <t>propionitrile</t>
  </si>
  <si>
    <t>107-12-0</t>
  </si>
  <si>
    <t>propiophenone</t>
  </si>
  <si>
    <t>93-55-0</t>
  </si>
  <si>
    <t>Propoxur</t>
  </si>
  <si>
    <t>114-26-1</t>
  </si>
  <si>
    <t>propoxylated alcohol - polyether polyol</t>
  </si>
  <si>
    <t>propoxylated C9-11 alcohols</t>
  </si>
  <si>
    <t>68920-69-4</t>
  </si>
  <si>
    <t>propoxylated neopentyl glycol diacrylate</t>
  </si>
  <si>
    <t>84170-74-1</t>
  </si>
  <si>
    <t>propoxylated tallow diamine</t>
  </si>
  <si>
    <t>propyl acrylate</t>
  </si>
  <si>
    <t>925-60-0</t>
  </si>
  <si>
    <t>propyl butylethylthiocarbamate</t>
  </si>
  <si>
    <t>1114-71-2</t>
  </si>
  <si>
    <t>propyl formate</t>
  </si>
  <si>
    <t>110-74-7</t>
  </si>
  <si>
    <t>propyl nitrate</t>
  </si>
  <si>
    <t>627-13-4</t>
  </si>
  <si>
    <t>propyl propionate</t>
  </si>
  <si>
    <t>106-36-5</t>
  </si>
  <si>
    <t>propyl-2,2,6,6-tetramethylpiperidin-4-amine</t>
  </si>
  <si>
    <t>propylamine</t>
  </si>
  <si>
    <t>107-10-8</t>
  </si>
  <si>
    <t>propylcyclohexane</t>
  </si>
  <si>
    <t>1678-92-8</t>
  </si>
  <si>
    <t>propylcyclopentane</t>
  </si>
  <si>
    <t>2040-96-2</t>
  </si>
  <si>
    <t>propylene</t>
  </si>
  <si>
    <t>115-07-1</t>
  </si>
  <si>
    <t>propylene carbonate</t>
  </si>
  <si>
    <t>108-32-7</t>
  </si>
  <si>
    <t>propylene diamine</t>
  </si>
  <si>
    <t>78-90-0</t>
  </si>
  <si>
    <t>propylene dichloride still bottoms</t>
  </si>
  <si>
    <t>propylene glycol</t>
  </si>
  <si>
    <t>57-55-6</t>
  </si>
  <si>
    <t>propylene glycol allyl ether</t>
  </si>
  <si>
    <t>1331-17-5</t>
  </si>
  <si>
    <t>propylene glycol butyl ether</t>
  </si>
  <si>
    <t>29387-86-8</t>
  </si>
  <si>
    <t>propylene glycol dibenzoate</t>
  </si>
  <si>
    <t>19224-26-1</t>
  </si>
  <si>
    <t>propylene glycol dinitrate</t>
  </si>
  <si>
    <t>6423-43-4</t>
  </si>
  <si>
    <t>propylene glycol isobutyl ether</t>
  </si>
  <si>
    <t>23436-19-3</t>
  </si>
  <si>
    <t>propylene glycol isopropyl ether</t>
  </si>
  <si>
    <t>110-48-5</t>
  </si>
  <si>
    <t>propylene glycol monoethyl ether</t>
  </si>
  <si>
    <t>1569-02-4</t>
  </si>
  <si>
    <t>propylene glycol mono-n-butyl ether</t>
  </si>
  <si>
    <t>10215-33-5</t>
  </si>
  <si>
    <t>propylene glycol monopropyl ether</t>
  </si>
  <si>
    <t>30136-13-1</t>
  </si>
  <si>
    <t>propylene glycol mono-t-butyl ether</t>
  </si>
  <si>
    <t>57018-52-7</t>
  </si>
  <si>
    <t>propylene glycol phenyl ether</t>
  </si>
  <si>
    <t>4169-04-4</t>
  </si>
  <si>
    <t>propylene oxide</t>
  </si>
  <si>
    <t>75-56-9</t>
  </si>
  <si>
    <t>propylene oxide/styrene monomer</t>
  </si>
  <si>
    <t>propylparaben</t>
  </si>
  <si>
    <t>94-13-3</t>
  </si>
  <si>
    <t>propyltriethoxysilane</t>
  </si>
  <si>
    <t>2550-02-9</t>
  </si>
  <si>
    <t>propyltrimethoxysilane</t>
  </si>
  <si>
    <t>1067-25-0</t>
  </si>
  <si>
    <t>propyne</t>
  </si>
  <si>
    <t>74-99-7</t>
  </si>
  <si>
    <t>protein hydrolysate</t>
  </si>
  <si>
    <t>9015-54-7</t>
  </si>
  <si>
    <t>proteinase</t>
  </si>
  <si>
    <t>9001-92-7</t>
  </si>
  <si>
    <t>Prothioconazole</t>
  </si>
  <si>
    <t>178928-70-6</t>
  </si>
  <si>
    <t>p-sec-butyl phenol</t>
  </si>
  <si>
    <t>99-71-8</t>
  </si>
  <si>
    <t>p-tert-amyl phenol</t>
  </si>
  <si>
    <t>80-46-6 (PM)</t>
  </si>
  <si>
    <t>80-46-6 (Vapor)</t>
  </si>
  <si>
    <t>p-tert-butylphenol</t>
  </si>
  <si>
    <t>98-54-4</t>
  </si>
  <si>
    <t>p-tert-butylphenyl glycidyl ether</t>
  </si>
  <si>
    <t>3101-60-8 (PM)</t>
  </si>
  <si>
    <t>3101-60-8 (Vapor)</t>
  </si>
  <si>
    <t>p-tolualdehyde</t>
  </si>
  <si>
    <t>104-87-0</t>
  </si>
  <si>
    <t>p-toluene sulfonyl chloride</t>
  </si>
  <si>
    <t>98-59-9</t>
  </si>
  <si>
    <t>p-toluenesulfonic acid</t>
  </si>
  <si>
    <t>104-15-4</t>
  </si>
  <si>
    <t>p-toluenesulfonic acid monohydrate</t>
  </si>
  <si>
    <t>6192-52-5</t>
  </si>
  <si>
    <t>p-toluenesulfonyl isocyanate</t>
  </si>
  <si>
    <t>4083-64-1</t>
  </si>
  <si>
    <t>p-toluidine</t>
  </si>
  <si>
    <t>106-49-0</t>
  </si>
  <si>
    <t>p-toluidine, ethoxylated</t>
  </si>
  <si>
    <t>103671-44-9</t>
  </si>
  <si>
    <t>p-tolunitrile</t>
  </si>
  <si>
    <t>104-85-8 (Not Defined)</t>
  </si>
  <si>
    <t>104-85-8 (PM)</t>
  </si>
  <si>
    <t>pumice</t>
  </si>
  <si>
    <t>1332-09-8</t>
  </si>
  <si>
    <t>p-xylene</t>
  </si>
  <si>
    <t>106-42-3</t>
  </si>
  <si>
    <t>pyrene</t>
  </si>
  <si>
    <t>129-00-0</t>
  </si>
  <si>
    <t>Pyrethrum</t>
  </si>
  <si>
    <t>8003-34-7</t>
  </si>
  <si>
    <t>pyridine</t>
  </si>
  <si>
    <t>110-86-1</t>
  </si>
  <si>
    <t>pyridine, alkyl derivs., acetates</t>
  </si>
  <si>
    <t>168612-09-7</t>
  </si>
  <si>
    <t>pyridine, alkyl derivs., hydrochlorides</t>
  </si>
  <si>
    <t>68607-19-2</t>
  </si>
  <si>
    <t>pyridine, C1-13-alkyl derivs</t>
  </si>
  <si>
    <t>71077-16-2</t>
  </si>
  <si>
    <t>pyridines, alkyl</t>
  </si>
  <si>
    <t>68391-11-7</t>
  </si>
  <si>
    <t>pyridinium p-toluenesulfonate</t>
  </si>
  <si>
    <t>24057-28-1</t>
  </si>
  <si>
    <t>pyrimidines, not otherwise specified</t>
  </si>
  <si>
    <t>pyrogallic acid</t>
  </si>
  <si>
    <t>87-66-1</t>
  </si>
  <si>
    <t>pyrolysis fuel oil (&lt; 25% benzene)</t>
  </si>
  <si>
    <t>69013-21-4</t>
  </si>
  <si>
    <t>pyrolysis gasoline (&lt; 40% benzene)</t>
  </si>
  <si>
    <t>pyrolysis gasoline (&lt; 70% benzene)</t>
  </si>
  <si>
    <t>68921-67-5</t>
  </si>
  <si>
    <t>pyromellitic acid</t>
  </si>
  <si>
    <t>89-05-4</t>
  </si>
  <si>
    <t>pyromellitic dianhydride</t>
  </si>
  <si>
    <t>89-32-7</t>
  </si>
  <si>
    <t>pyrrole</t>
  </si>
  <si>
    <t>109-97-7</t>
  </si>
  <si>
    <t>pyrroles, undefined</t>
  </si>
  <si>
    <t>pyruvic acid</t>
  </si>
  <si>
    <t>127-17-3</t>
  </si>
  <si>
    <t>quaternary amines</t>
  </si>
  <si>
    <t>quaternary amines in isopropyl alcohol</t>
  </si>
  <si>
    <t>68603-70-3</t>
  </si>
  <si>
    <t>quaternary ammonium chloride (dimethyl ammonium chloride and dimethyl benzyl ammonium chloride)</t>
  </si>
  <si>
    <t>quaternary ammonium compds, (oxydi-2,1-ethanediyl)bis(coco alkyldimethyl, dichlorides)</t>
  </si>
  <si>
    <t>68607-28-3</t>
  </si>
  <si>
    <t>quaternary ammonium compds, benzylbis(hydroxyethyl)rosin alkyl, chlorides</t>
  </si>
  <si>
    <t>68410-70-8</t>
  </si>
  <si>
    <t>quaternary ammonium compds, benzyl-C10-16-alkyldimethyl, chlorides</t>
  </si>
  <si>
    <t>68989-00-4</t>
  </si>
  <si>
    <t>quaternary ammonium compds, benzyl-C12-16-alkyldimethyl, chlorides</t>
  </si>
  <si>
    <t>68424-85-1</t>
  </si>
  <si>
    <t>quaternary ammonium compds, benzyl-C12-18-alkyldimethyl, chlorides</t>
  </si>
  <si>
    <t>68391-01-5</t>
  </si>
  <si>
    <t>quaternary ammonium compds, benzylcoco alkyldimethyl, chlorides</t>
  </si>
  <si>
    <t>61789-71-7</t>
  </si>
  <si>
    <t>quaternary ammonium compds, bis(hydrogenated tallow alkyl)dimethyl salts with montmorillonite</t>
  </si>
  <si>
    <t>68911-87-5</t>
  </si>
  <si>
    <t>quaternary ammonium compds, trimethylsoya alkyl, chlorides</t>
  </si>
  <si>
    <t>61790-41-8</t>
  </si>
  <si>
    <t>quaternary ammonium compds, trimethyltallow alkyl, chlorides</t>
  </si>
  <si>
    <t>8030-78-2</t>
  </si>
  <si>
    <t>quaternary ammonium compounds</t>
  </si>
  <si>
    <t>quaternary ammonium compounds, benzyl (hydrotreated tallowalkyl) dimethyl, chloride compds with hectorite</t>
  </si>
  <si>
    <t>71011-25-1</t>
  </si>
  <si>
    <t>quaternary ammonium compounds, benzyl(hydrogenated tallow alkyl)dimethyl, chlorides</t>
  </si>
  <si>
    <t>61789-72-8</t>
  </si>
  <si>
    <t>quaternary ammonium compounds, benzyl(hydrogenated tallow alkyl)dimethyl, salts with bentonite</t>
  </si>
  <si>
    <t>71011-24-0</t>
  </si>
  <si>
    <t>quaternary ammonium compounds, benzyl(hydrogenated tallow alkyl)dimethyl, stearates, salts with bentonite</t>
  </si>
  <si>
    <t>121888-68-4</t>
  </si>
  <si>
    <t>quaternary ammonium compounds, benzylcoco alkylbis(hydroxyethyl), chlorides</t>
  </si>
  <si>
    <t>61789-68-2 (PM)</t>
  </si>
  <si>
    <t>61789-68-2 (Vapor)</t>
  </si>
  <si>
    <t>quaternary ammonium compounds, bis(hydrogenated tallow alkyl)dimethyl, chlorides</t>
  </si>
  <si>
    <t>61789-80-8</t>
  </si>
  <si>
    <t>quaternary ammonium compounds, bis(hydrogenated tallow alkyl)dimethyl, salts with hectorite</t>
  </si>
  <si>
    <t>71011-27-3</t>
  </si>
  <si>
    <t>quaternary ammonium compounds, C12-18-alkyl[(ethylphenyl)methyl]dimethyl, chlorides</t>
  </si>
  <si>
    <t>68956-79-6</t>
  </si>
  <si>
    <t>quaternary ammonium compounds, di-C8-10-alkyldimethyl, chlorides</t>
  </si>
  <si>
    <t>68424-95-3</t>
  </si>
  <si>
    <t>quaternary ammonium compounds, dicoco alkyldimethyl, chlorides</t>
  </si>
  <si>
    <t>61789-77-3</t>
  </si>
  <si>
    <t>quaternary ammonium compounds, tri-C(sub 8-10)-alkylmethyl-, chlorides (Aliquat 336)</t>
  </si>
  <si>
    <t>63393-96-4</t>
  </si>
  <si>
    <t>quinacridone</t>
  </si>
  <si>
    <t>1047-16-1</t>
  </si>
  <si>
    <t>quinacridone quinone gold</t>
  </si>
  <si>
    <t>1503-48-6</t>
  </si>
  <si>
    <t>quinoline</t>
  </si>
  <si>
    <t>91-22-5</t>
  </si>
  <si>
    <t>raffinates (petroleum), sorption process</t>
  </si>
  <si>
    <t>64741-85-1</t>
  </si>
  <si>
    <t>rapeseed oil, methyl esters</t>
  </si>
  <si>
    <t>73891-99-3 (PM)</t>
  </si>
  <si>
    <t>73891-99-3 (Vapor)</t>
  </si>
  <si>
    <t>rare earth oxides</t>
  </si>
  <si>
    <t>68188-83-0</t>
  </si>
  <si>
    <t>reaction product of acetephenone, formaldehyde, methanol, acetic acid, cyclohexylamine</t>
  </si>
  <si>
    <t>224635-63-6</t>
  </si>
  <si>
    <t>reclaimed petroleum waste oil</t>
  </si>
  <si>
    <t>68476-53-9</t>
  </si>
  <si>
    <t>Red 3 Pigment</t>
  </si>
  <si>
    <t>2425-85-6</t>
  </si>
  <si>
    <t>Red 52:1 Pigment</t>
  </si>
  <si>
    <t>52202-90-1</t>
  </si>
  <si>
    <t>refined soybean oil</t>
  </si>
  <si>
    <t>8001-22-7</t>
  </si>
  <si>
    <t>residual oils (petroleum), clay-treated</t>
  </si>
  <si>
    <t>64742-41-2</t>
  </si>
  <si>
    <t>residual oils (petroleum), solvent deasphalted</t>
  </si>
  <si>
    <t>64741-95-3</t>
  </si>
  <si>
    <t>residues (petroleum) vaccum</t>
  </si>
  <si>
    <t>64741-56-6</t>
  </si>
  <si>
    <t>residues (petroleum), atm. tower</t>
  </si>
  <si>
    <t>64741-45-3</t>
  </si>
  <si>
    <t>residues (petroleum), catalytic reformer fractionator</t>
  </si>
  <si>
    <t>64741-67-9</t>
  </si>
  <si>
    <t>resin acids and rosin acids, barium salts</t>
  </si>
  <si>
    <t>68188-14-7</t>
  </si>
  <si>
    <t>Resmethrin</t>
  </si>
  <si>
    <t>10453-86-8</t>
  </si>
  <si>
    <t>resorcinol</t>
  </si>
  <si>
    <t>108-46-3</t>
  </si>
  <si>
    <t>RFA Gasoline (&lt; 1% benzene)</t>
  </si>
  <si>
    <t>rheological additive (flow agent)</t>
  </si>
  <si>
    <t>rhodium</t>
  </si>
  <si>
    <t>7440-16-6</t>
  </si>
  <si>
    <t>rhodium, insoluble compounds</t>
  </si>
  <si>
    <t>rhodium, soluble compounds</t>
  </si>
  <si>
    <t>RHT base oils</t>
  </si>
  <si>
    <t>ROL Feedstock</t>
  </si>
  <si>
    <t>64741-97-5</t>
  </si>
  <si>
    <t>Ronnel</t>
  </si>
  <si>
    <t>299-84-3</t>
  </si>
  <si>
    <t>rosin</t>
  </si>
  <si>
    <t>8050-09-7</t>
  </si>
  <si>
    <t>rosin amine D acetate</t>
  </si>
  <si>
    <t>54842-64-7</t>
  </si>
  <si>
    <t>rosin core solder, decomposition products</t>
  </si>
  <si>
    <t>rosin ester</t>
  </si>
  <si>
    <t>65997-13-9</t>
  </si>
  <si>
    <t>rosin, distillation overheads</t>
  </si>
  <si>
    <t>68425-08-1</t>
  </si>
  <si>
    <t>rosin, hydrogenated</t>
  </si>
  <si>
    <t>65997-06-0</t>
  </si>
  <si>
    <t>Rotenone</t>
  </si>
  <si>
    <t>83-79-4</t>
  </si>
  <si>
    <t>rubber</t>
  </si>
  <si>
    <t>9006-04-6</t>
  </si>
  <si>
    <t>rubber, synthetic, acrylic</t>
  </si>
  <si>
    <t>67254-76-6</t>
  </si>
  <si>
    <t>rubidium</t>
  </si>
  <si>
    <t>7440-17-7</t>
  </si>
  <si>
    <t>ruthenium</t>
  </si>
  <si>
    <t>7440-18-8</t>
  </si>
  <si>
    <t>saccharin sodium</t>
  </si>
  <si>
    <t>128-44-9</t>
  </si>
  <si>
    <t>Saccharine</t>
  </si>
  <si>
    <t>81-07-2</t>
  </si>
  <si>
    <t>safflower oil</t>
  </si>
  <si>
    <t>8001-23-8</t>
  </si>
  <si>
    <t>safrole</t>
  </si>
  <si>
    <t>94-59-7</t>
  </si>
  <si>
    <t>salicylaldehyde</t>
  </si>
  <si>
    <t>90-02-8</t>
  </si>
  <si>
    <t>salicylic acid</t>
  </si>
  <si>
    <t>69-72-7</t>
  </si>
  <si>
    <t>S-allyl O-pentyl dithiocarbonate</t>
  </si>
  <si>
    <t>2956-12-9</t>
  </si>
  <si>
    <t>samarium chloride</t>
  </si>
  <si>
    <t>10361-82-7</t>
  </si>
  <si>
    <t>Sandalore</t>
  </si>
  <si>
    <t>65113-99-7</t>
  </si>
  <si>
    <t>sarcosine</t>
  </si>
  <si>
    <t>107-97-1</t>
  </si>
  <si>
    <t>sec-amyl acetate</t>
  </si>
  <si>
    <t>626-38-0</t>
  </si>
  <si>
    <t>sec-butyl acetate</t>
  </si>
  <si>
    <t>105-46-4</t>
  </si>
  <si>
    <t>sec-butyl alcohol</t>
  </si>
  <si>
    <t>78-92-2</t>
  </si>
  <si>
    <t>sec-butyl chloride</t>
  </si>
  <si>
    <t>78-86-4</t>
  </si>
  <si>
    <t>sec-butyl chloroformate</t>
  </si>
  <si>
    <t>17462-58-7</t>
  </si>
  <si>
    <t>sec-butyl mercaptan</t>
  </si>
  <si>
    <t>513-53-1</t>
  </si>
  <si>
    <t>sec-butyl methyl ether</t>
  </si>
  <si>
    <t>6795-87-5</t>
  </si>
  <si>
    <t>sec-butylamine</t>
  </si>
  <si>
    <t>13952-84-6</t>
  </si>
  <si>
    <t>sec-butylcyclohexane</t>
  </si>
  <si>
    <t>7058-01-7</t>
  </si>
  <si>
    <t>sec-dodecyl mercaptan</t>
  </si>
  <si>
    <t>94903-61-4</t>
  </si>
  <si>
    <t>secondary alcohol (C12-14) ethoxylates</t>
  </si>
  <si>
    <t>84133-50-6</t>
  </si>
  <si>
    <t>sec-pentanol</t>
  </si>
  <si>
    <t>6032-29-7</t>
  </si>
  <si>
    <t>selenious acid</t>
  </si>
  <si>
    <t>7783-00-8</t>
  </si>
  <si>
    <t>selenium</t>
  </si>
  <si>
    <t>7782-49-2</t>
  </si>
  <si>
    <t>selenium hexafluoride</t>
  </si>
  <si>
    <t>7783-79-1</t>
  </si>
  <si>
    <t>selenium oxide</t>
  </si>
  <si>
    <t>7446-08-4</t>
  </si>
  <si>
    <t>Sepiolite</t>
  </si>
  <si>
    <t>63800-37-3</t>
  </si>
  <si>
    <t>S-ethyl dipropylthiocarbamate</t>
  </si>
  <si>
    <t>759-94-4</t>
  </si>
  <si>
    <t>severely solvent refined heavy naphthenic distillate</t>
  </si>
  <si>
    <t>64741-96-4</t>
  </si>
  <si>
    <t>silane</t>
  </si>
  <si>
    <t>7803-62-5</t>
  </si>
  <si>
    <t>silica gel</t>
  </si>
  <si>
    <t>63231-67-4</t>
  </si>
  <si>
    <t>silica, (ethenyldimethylsilyl)oxy- and (trimethylsilyl)oxy-, modified</t>
  </si>
  <si>
    <t>68988-89-6</t>
  </si>
  <si>
    <t>silica, amorphous (fume)</t>
  </si>
  <si>
    <t>69012-64-2</t>
  </si>
  <si>
    <t>silica, amorphous (fused)</t>
  </si>
  <si>
    <t>60676-86-0</t>
  </si>
  <si>
    <t>silica, amorphous (precipitated silica and silica gel)</t>
  </si>
  <si>
    <t>112926-00-8</t>
  </si>
  <si>
    <t>silica, amorphous (pyrogenic colloidal silica)</t>
  </si>
  <si>
    <t>112945-52-5</t>
  </si>
  <si>
    <t>silica, amorphous (synthetic amorphous)</t>
  </si>
  <si>
    <t>7631-86-9</t>
  </si>
  <si>
    <t>silica, amorphous (uncalcined diatomaceous earth)</t>
  </si>
  <si>
    <t>61790-53-2</t>
  </si>
  <si>
    <t>silica, amorphous and non-crystalline forms</t>
  </si>
  <si>
    <t>silica, crystalline (cristobalite)</t>
  </si>
  <si>
    <t>14464-46-1 (PM)</t>
  </si>
  <si>
    <t>14464-46-1 (PM4)</t>
  </si>
  <si>
    <t>silica, crystalline (quartz)</t>
  </si>
  <si>
    <t>14808-60-7 (PM)</t>
  </si>
  <si>
    <t>14808-60-7 (PM4)</t>
  </si>
  <si>
    <t>silica, crystalline (tridymite)</t>
  </si>
  <si>
    <t>15468-32-3 (PM)</t>
  </si>
  <si>
    <t>15468-32-3 (PM4)</t>
  </si>
  <si>
    <t>silica, crystalline (tripoli)</t>
  </si>
  <si>
    <t>1317-95-9 (PM)</t>
  </si>
  <si>
    <t>1317-95-9 (PM4)</t>
  </si>
  <si>
    <t>silica, gel</t>
  </si>
  <si>
    <t>7699-41-4</t>
  </si>
  <si>
    <t>silicate, alkyl or inorganic</t>
  </si>
  <si>
    <t>silicic acid</t>
  </si>
  <si>
    <t>1343-98-2</t>
  </si>
  <si>
    <t>silicic acid (H4SiO4), tetrakis(2-butoxyethyl) ester</t>
  </si>
  <si>
    <t>18765-38-3 (PM)</t>
  </si>
  <si>
    <t>18765-38-3 (Vapor)</t>
  </si>
  <si>
    <t>silicic acid, aluminum magnesium sodium salt</t>
  </si>
  <si>
    <t>12040-43-6</t>
  </si>
  <si>
    <t>silicic acid, aluminum potassium sodium salt</t>
  </si>
  <si>
    <t>12736-96-8</t>
  </si>
  <si>
    <t>silicic acid, aluminum salt</t>
  </si>
  <si>
    <t>1335-30-4</t>
  </si>
  <si>
    <t>silicon</t>
  </si>
  <si>
    <t>7440-21-3</t>
  </si>
  <si>
    <t>silicon carbide</t>
  </si>
  <si>
    <t>409-21-2</t>
  </si>
  <si>
    <t>silicon difluoride</t>
  </si>
  <si>
    <t>39384-00-4 (Not Defined)</t>
  </si>
  <si>
    <t>silicon difluoride | For air permit reviews in agricultural areas</t>
  </si>
  <si>
    <t>silicon difluoride | For air permit reviews in agricultural areas with cattle</t>
  </si>
  <si>
    <t>silicon fluoride</t>
  </si>
  <si>
    <t>13966-66-0 (Not Defined)</t>
  </si>
  <si>
    <t>silicon fluoride | For air permit reviews in agricultural areas</t>
  </si>
  <si>
    <t>silicon fluoride | For air permit reviews in agricultural areas with cattle</t>
  </si>
  <si>
    <t>silicon monoxide</t>
  </si>
  <si>
    <t>10097-28-6</t>
  </si>
  <si>
    <t>silicon nitride</t>
  </si>
  <si>
    <t>12033-89-5</t>
  </si>
  <si>
    <t>silicon tetrabromide</t>
  </si>
  <si>
    <t>7789-66-4</t>
  </si>
  <si>
    <t>Silicon tetrachloride</t>
  </si>
  <si>
    <t>10026-04-7</t>
  </si>
  <si>
    <t>silicon tetrafluoride</t>
  </si>
  <si>
    <t>7783-61-1 (Not Defined)</t>
  </si>
  <si>
    <t>silicon tetrafluoride | For air permit reviews in agricultural areas</t>
  </si>
  <si>
    <t>silicon tetrafluoride | For air permit reviews in agricultural areas with cattle</t>
  </si>
  <si>
    <t>silicon tetraiodide</t>
  </si>
  <si>
    <t>13465-84-4</t>
  </si>
  <si>
    <t>silicone oil</t>
  </si>
  <si>
    <t>63148-62-9 (PM)</t>
  </si>
  <si>
    <t>63148-62-9 (Vapor)</t>
  </si>
  <si>
    <t>silicone soya alkyd polymer</t>
  </si>
  <si>
    <t>71251-07-5</t>
  </si>
  <si>
    <t>silicone, generic</t>
  </si>
  <si>
    <t>siloxanes and silicones, di-Me, (dimethylamino)-terminated</t>
  </si>
  <si>
    <t>67762-92-9 (PM)</t>
  </si>
  <si>
    <t>67762-92-9 (Vapor)</t>
  </si>
  <si>
    <t>siloxanes and silicones, di-Me, 3-hydroxypropyl group-terminated, ethers with polyethylene-polypropylene glycol mono-Me ether</t>
  </si>
  <si>
    <t>157479-55-5 (PM)</t>
  </si>
  <si>
    <t>157479-55-5 (Vapor)</t>
  </si>
  <si>
    <t>siloxanes and Silicones, di-Me, 3-hydroxypropyl group-terminated, ethoxylated</t>
  </si>
  <si>
    <t>102783-01-7 (PM)</t>
  </si>
  <si>
    <t>102783-01-7 (Vapor)</t>
  </si>
  <si>
    <t>siloxanes and silicones, di-Me, 3-hydroxypropyl Me, ethers with polyethylene-polypropylene glycol mono-Me ether</t>
  </si>
  <si>
    <t>67762-85-0 (PM)</t>
  </si>
  <si>
    <t>67762-85-0 (Vapor)</t>
  </si>
  <si>
    <t>siloxanes and silicones, di-Me, 3-hydroxypropyl Me, ethoxylated propoxylated</t>
  </si>
  <si>
    <t>68937-55-3 (PM)</t>
  </si>
  <si>
    <t>68937-55-3 (Vapor)</t>
  </si>
  <si>
    <t>siloxanes and silicones, di-Me, acetate-terminated</t>
  </si>
  <si>
    <t>68440-60-8 (PM)</t>
  </si>
  <si>
    <t>68440-60-8 (Vapor)</t>
  </si>
  <si>
    <t>siloxanes and silicones, di-Me, hydrogen-terminated, reaction products with 2,2-bis(((1-oxo-2-propen-1-yl)oxy)methyl)-1,3-propanediyl diacrylate</t>
  </si>
  <si>
    <t>157811-87-5 (PM)</t>
  </si>
  <si>
    <t>157811-87-5 (Vapor)</t>
  </si>
  <si>
    <t>siloxanes and silicones, di-Me, hydroxy-terminated, ethers with polyethylene-polypropylene glycol mono-Bu ether and polypropylene glycol</t>
  </si>
  <si>
    <t>189354-72-1 (PM)</t>
  </si>
  <si>
    <t>189354-72-1 (Vapor)</t>
  </si>
  <si>
    <t>siloxanes and silicones, di-Me, reaction products with 1,1,1,3,3,3-hexamethyldisiloxane and Me hydrogen siloxanes</t>
  </si>
  <si>
    <t>69430-46-2 (PM)</t>
  </si>
  <si>
    <t>69430-46-2 (Vapor)</t>
  </si>
  <si>
    <t>siloxanes and silicones, dimethyl, methyl hydrogen</t>
  </si>
  <si>
    <t>68037-59-2 (PM)</t>
  </si>
  <si>
    <t>68037-59-2 (Vapor)</t>
  </si>
  <si>
    <t>siloxanes and silicones, Me 3,3,3-trifluoropropyl, hydroxy-terminated</t>
  </si>
  <si>
    <t>68607-77-2 (PM)</t>
  </si>
  <si>
    <t>68607-77-2 (Vapor)</t>
  </si>
  <si>
    <t>siloxanes and silicones, methyl methoxy, polymers with methyl silsesquioxanes</t>
  </si>
  <si>
    <t>68037-85-4</t>
  </si>
  <si>
    <t>silver</t>
  </si>
  <si>
    <t>7440-22-4</t>
  </si>
  <si>
    <t>silver chloride</t>
  </si>
  <si>
    <t>7783-90-6</t>
  </si>
  <si>
    <t>silver cyanide</t>
  </si>
  <si>
    <t>506-64-9</t>
  </si>
  <si>
    <t>silver nitrate</t>
  </si>
  <si>
    <t>7761-88-8</t>
  </si>
  <si>
    <t>silver plated aluminum</t>
  </si>
  <si>
    <t>Simethicone</t>
  </si>
  <si>
    <t>8050-81-5 (PM)</t>
  </si>
  <si>
    <t>8050-81-5 (Vapor)</t>
  </si>
  <si>
    <t>slurry oil, clarified</t>
  </si>
  <si>
    <t>64741-62-4</t>
  </si>
  <si>
    <t>smectite clay</t>
  </si>
  <si>
    <t>12199-37-0</t>
  </si>
  <si>
    <t>soda lime glass</t>
  </si>
  <si>
    <t>soda lime glass microbeads</t>
  </si>
  <si>
    <t>sodium</t>
  </si>
  <si>
    <t>7440-23-5</t>
  </si>
  <si>
    <t>sodium (ethylenediamine)tetramethylenephosphonate</t>
  </si>
  <si>
    <t>22036-77-7</t>
  </si>
  <si>
    <t>sodium 2,3-dinonyl-1-naphthalenesulfonate</t>
  </si>
  <si>
    <t>26834-28-6</t>
  </si>
  <si>
    <t>sodium 2-ethylhexanoate</t>
  </si>
  <si>
    <t>19766-89-3</t>
  </si>
  <si>
    <t>sodium 2-mercaptobenzothiazole</t>
  </si>
  <si>
    <t>2492-26-4</t>
  </si>
  <si>
    <t>sodium 2-naphthalenesulfonate</t>
  </si>
  <si>
    <t>532-02-5</t>
  </si>
  <si>
    <t>sodium 3-[(2-carboxyethyl)(dodecyl)amino]propanoate</t>
  </si>
  <si>
    <t>14960-06-6</t>
  </si>
  <si>
    <t>sodium acetate, anhydrous</t>
  </si>
  <si>
    <t>127-09-3</t>
  </si>
  <si>
    <t>sodium alkyl sulfate</t>
  </si>
  <si>
    <t>sodium aluminate</t>
  </si>
  <si>
    <t>1302-42-7</t>
  </si>
  <si>
    <t>sodium alumino silicate hydrate</t>
  </si>
  <si>
    <t>1344-00-9</t>
  </si>
  <si>
    <t>sodium aluminum hydride</t>
  </si>
  <si>
    <t>13770-96-2</t>
  </si>
  <si>
    <t>sodium azide</t>
  </si>
  <si>
    <t>26628-22-8</t>
  </si>
  <si>
    <t>sodium benzoate</t>
  </si>
  <si>
    <t>532-32-1</t>
  </si>
  <si>
    <t>sodium bicarbonate</t>
  </si>
  <si>
    <t>144-55-8</t>
  </si>
  <si>
    <t>sodium bifluoride</t>
  </si>
  <si>
    <t>1333-83-1 (Not Defined)</t>
  </si>
  <si>
    <t>sodium bifluoride | For air permit reviews in agricultural areas</t>
  </si>
  <si>
    <t>sodium bifluoride | For air permit reviews in agricultural areas with cattle</t>
  </si>
  <si>
    <t>sodium bis(2-methoxyethoxy)aluminumhydride</t>
  </si>
  <si>
    <t>22722-98-1</t>
  </si>
  <si>
    <t>sodium bisulfate</t>
  </si>
  <si>
    <t>7681-38-1</t>
  </si>
  <si>
    <t>sodium bisulfite</t>
  </si>
  <si>
    <t>7631-90-5</t>
  </si>
  <si>
    <t>sodium borate decahydrate</t>
  </si>
  <si>
    <t>1303-96-4</t>
  </si>
  <si>
    <t>sodium borohydride</t>
  </si>
  <si>
    <t>16940-66-2</t>
  </si>
  <si>
    <t>sodium borosilicate</t>
  </si>
  <si>
    <t>50815-87-7</t>
  </si>
  <si>
    <t>sodium bromide</t>
  </si>
  <si>
    <t>7647-15-6</t>
  </si>
  <si>
    <t>sodium C14-16 olefin sulfonate</t>
  </si>
  <si>
    <t>68439-57-6 (PM)</t>
  </si>
  <si>
    <t>68439-57-6 (Vapor)</t>
  </si>
  <si>
    <t>sodium calcium pentaborate octahydrate</t>
  </si>
  <si>
    <t>1319-33-1</t>
  </si>
  <si>
    <t>sodium carbonate</t>
  </si>
  <si>
    <t>497-19-8</t>
  </si>
  <si>
    <t>sodium chlorate</t>
  </si>
  <si>
    <t>7775-09-9</t>
  </si>
  <si>
    <t>sodium chloride</t>
  </si>
  <si>
    <t>7647-14-5</t>
  </si>
  <si>
    <t>sodium chlorite 25%</t>
  </si>
  <si>
    <t>7758-19-2</t>
  </si>
  <si>
    <t>sodium chloroacetate</t>
  </si>
  <si>
    <t>3926-62-3</t>
  </si>
  <si>
    <t>sodium chromate</t>
  </si>
  <si>
    <t>7775-11-3</t>
  </si>
  <si>
    <t>Sodium chromite</t>
  </si>
  <si>
    <t>12314-42-0</t>
  </si>
  <si>
    <t>sodium citrate</t>
  </si>
  <si>
    <t>68-04-2</t>
  </si>
  <si>
    <t>sodium citrate dihydrate</t>
  </si>
  <si>
    <t>6132-04-3</t>
  </si>
  <si>
    <t>sodium cocoyl isethionate</t>
  </si>
  <si>
    <t>61789-32-0 (PM)</t>
  </si>
  <si>
    <t>61789-32-0 (Vapor)</t>
  </si>
  <si>
    <t>sodium cocoyl sarcosinate</t>
  </si>
  <si>
    <t>61791-59-1</t>
  </si>
  <si>
    <t>sodium cresylate</t>
  </si>
  <si>
    <t>34689-46-8</t>
  </si>
  <si>
    <t>sodium cyanide</t>
  </si>
  <si>
    <t>143-33-9</t>
  </si>
  <si>
    <t>sodium decanoate</t>
  </si>
  <si>
    <t>1002-62-6</t>
  </si>
  <si>
    <t>sodium D-glycero-D-gulo-heptonate</t>
  </si>
  <si>
    <t>13007-85-7</t>
  </si>
  <si>
    <t>sodium dichromate</t>
  </si>
  <si>
    <t>10588-01-9</t>
  </si>
  <si>
    <t>sodium dichromate, dihydrate</t>
  </si>
  <si>
    <t>7789-12-0</t>
  </si>
  <si>
    <t>sodium diethyldithiocarbamate</t>
  </si>
  <si>
    <t>148-18-5</t>
  </si>
  <si>
    <t>sodium dihydrogen phosphate monohydrate</t>
  </si>
  <si>
    <t>10049-21-5</t>
  </si>
  <si>
    <t>sodium diphenylamine-4-sulfonate</t>
  </si>
  <si>
    <t>6152-67-6</t>
  </si>
  <si>
    <t>sodium DL-malate</t>
  </si>
  <si>
    <t>676-46-0</t>
  </si>
  <si>
    <t>sodium dodecyl sulfate</t>
  </si>
  <si>
    <t>151-21-3</t>
  </si>
  <si>
    <t>sodium dodecylbenzenesulfonate</t>
  </si>
  <si>
    <t>25155-30-0</t>
  </si>
  <si>
    <t>sodium erythorbate</t>
  </si>
  <si>
    <t>6381-77-7</t>
  </si>
  <si>
    <t>sodium ethoxide</t>
  </si>
  <si>
    <t>141-52-6</t>
  </si>
  <si>
    <t>sodium fluoborate</t>
  </si>
  <si>
    <t>13755-29-8 (Not Defined)</t>
  </si>
  <si>
    <t>sodium fluoborate | For air permit reviews in agricultural areas</t>
  </si>
  <si>
    <t>sodium fluoborate | For air permit reviews in agricultural areas with cattle</t>
  </si>
  <si>
    <t>sodium fluoride</t>
  </si>
  <si>
    <t>7681-49-4 (Not Defined)</t>
  </si>
  <si>
    <t>sodium fluoride | For air permit reviews in agricultural areas</t>
  </si>
  <si>
    <t>sodium fluoride | For air permit reviews in agricultural areas with cattle</t>
  </si>
  <si>
    <t>sodium fluoroacetate</t>
  </si>
  <si>
    <t>62-74-8</t>
  </si>
  <si>
    <t>sodium formaldehyde bisulfite</t>
  </si>
  <si>
    <t>870-72-4 (PM)</t>
  </si>
  <si>
    <t>870-72-4 (Vapor)</t>
  </si>
  <si>
    <t>sodium formate</t>
  </si>
  <si>
    <t>141-53-7</t>
  </si>
  <si>
    <t>sodium gluconate</t>
  </si>
  <si>
    <t>527-07-1</t>
  </si>
  <si>
    <t>sodium glycolate</t>
  </si>
  <si>
    <t>2836-32-0</t>
  </si>
  <si>
    <t>sodium hexametaphosphate</t>
  </si>
  <si>
    <t>10124-56-8</t>
  </si>
  <si>
    <t>sodium hexyl sulfate</t>
  </si>
  <si>
    <t>2207-98-9</t>
  </si>
  <si>
    <t>sodium hydrosulfide</t>
  </si>
  <si>
    <t>16721-80-5</t>
  </si>
  <si>
    <t>sodium hydrosulfite</t>
  </si>
  <si>
    <t>7775-14-6</t>
  </si>
  <si>
    <t>sodium hydroxide</t>
  </si>
  <si>
    <t>1310-73-2</t>
  </si>
  <si>
    <t>sodium hypochlorite</t>
  </si>
  <si>
    <t>7681-52-9</t>
  </si>
  <si>
    <t>sodium hypophosphite monohydride</t>
  </si>
  <si>
    <t>10039-56-2</t>
  </si>
  <si>
    <t>sodium iodide</t>
  </si>
  <si>
    <t>7681-82-5</t>
  </si>
  <si>
    <t>sodium isononanoate</t>
  </si>
  <si>
    <t>84501-72-4</t>
  </si>
  <si>
    <t>sodium lauryl ether sulfate</t>
  </si>
  <si>
    <t>68585-34-2</t>
  </si>
  <si>
    <t>sodium lauryl sulfate</t>
  </si>
  <si>
    <t>9004-82-4</t>
  </si>
  <si>
    <t>sodium lignosulfonate</t>
  </si>
  <si>
    <t>8061-51-6</t>
  </si>
  <si>
    <t>sodium lithium magnesium silicate</t>
  </si>
  <si>
    <t>53320-86-8</t>
  </si>
  <si>
    <t>sodium metabisulfite</t>
  </si>
  <si>
    <t>7681-57-4</t>
  </si>
  <si>
    <t>sodium metaborate</t>
  </si>
  <si>
    <t>7775-19-1</t>
  </si>
  <si>
    <t>sodium metasilicate</t>
  </si>
  <si>
    <t>6834-92-0</t>
  </si>
  <si>
    <t>sodium metasilicate, pentahydrate</t>
  </si>
  <si>
    <t>10213-79-3</t>
  </si>
  <si>
    <t>sodium methyl mercaptide</t>
  </si>
  <si>
    <t>5188-07-8</t>
  </si>
  <si>
    <t>sodium methylate</t>
  </si>
  <si>
    <t>124-41-4</t>
  </si>
  <si>
    <t>sodium methyldithiocarbamate</t>
  </si>
  <si>
    <t>137-42-8</t>
  </si>
  <si>
    <t>sodium molybdate</t>
  </si>
  <si>
    <t>7631-95-0</t>
  </si>
  <si>
    <t>sodium monoxide</t>
  </si>
  <si>
    <t>12401-86-4</t>
  </si>
  <si>
    <t>sodium naphthalenide</t>
  </si>
  <si>
    <t>3481-12-7</t>
  </si>
  <si>
    <t>sodium nitrate</t>
  </si>
  <si>
    <t>7631-99-4</t>
  </si>
  <si>
    <t>sodium nitrite</t>
  </si>
  <si>
    <t>7632-00-0</t>
  </si>
  <si>
    <t>sodium oxalate</t>
  </si>
  <si>
    <t>62-76-0</t>
  </si>
  <si>
    <t>sodium oxide</t>
  </si>
  <si>
    <t>1313-59-3</t>
  </si>
  <si>
    <t>sodium perborate anhydrous</t>
  </si>
  <si>
    <t>7632-04-4</t>
  </si>
  <si>
    <t>sodium perborate monohydrate</t>
  </si>
  <si>
    <t>10332-33-9</t>
  </si>
  <si>
    <t>sodium perborate tetrahydrate</t>
  </si>
  <si>
    <t>10486-00-7</t>
  </si>
  <si>
    <t>sodium persulfate</t>
  </si>
  <si>
    <t>7775-27-1</t>
  </si>
  <si>
    <t>sodium phenylacetate</t>
  </si>
  <si>
    <t>114-70-5</t>
  </si>
  <si>
    <t>sodium phosphate, ester salt</t>
  </si>
  <si>
    <t>sodium phosphate, tribasic, 12-hydrate</t>
  </si>
  <si>
    <t>10101-89-0</t>
  </si>
  <si>
    <t>sodium phosphonate</t>
  </si>
  <si>
    <t>2235-09-8</t>
  </si>
  <si>
    <t>sodium polyacrylate</t>
  </si>
  <si>
    <t>9003-04-7</t>
  </si>
  <si>
    <t>sodium polynaphthalenesulfonate polymer with formaldehyde</t>
  </si>
  <si>
    <t>9084-06-4</t>
  </si>
  <si>
    <t>sodium polyoxyethylene fatty alcohol sulfate</t>
  </si>
  <si>
    <t>68891-38-3</t>
  </si>
  <si>
    <t>sodium potassium cumene sulfonate</t>
  </si>
  <si>
    <t>sodium propionate</t>
  </si>
  <si>
    <t>137-40-6</t>
  </si>
  <si>
    <t>sodium p-toluenesulfonate</t>
  </si>
  <si>
    <t>657-84-1</t>
  </si>
  <si>
    <t>sodium pyrithione</t>
  </si>
  <si>
    <t>3811-73-2</t>
  </si>
  <si>
    <t>sodium salt, butyl hydroperoxide</t>
  </si>
  <si>
    <t>30039-52-2</t>
  </si>
  <si>
    <t>sodium sesquicarbonate</t>
  </si>
  <si>
    <t>533-96-0</t>
  </si>
  <si>
    <t>sodium silicate</t>
  </si>
  <si>
    <t>1344-09-8</t>
  </si>
  <si>
    <t>sodium silicofluoride</t>
  </si>
  <si>
    <t>16893-85-9 (Not Defined)</t>
  </si>
  <si>
    <t>sodium silicofluoride | For air permit reviews in agricultural areas</t>
  </si>
  <si>
    <t>sodium silicofluoride | For air permit reviews in agricultural areas with cattle</t>
  </si>
  <si>
    <t>sodium sulfanilate</t>
  </si>
  <si>
    <t>515-74-2</t>
  </si>
  <si>
    <t>sodium sulfate</t>
  </si>
  <si>
    <t>7757-82-6</t>
  </si>
  <si>
    <t>sodium sulfide</t>
  </si>
  <si>
    <t>1313-82-2</t>
  </si>
  <si>
    <t>sodium sulfite</t>
  </si>
  <si>
    <t>7757-83-7</t>
  </si>
  <si>
    <t>sodium tetrasulfide</t>
  </si>
  <si>
    <t>12034-39-8</t>
  </si>
  <si>
    <t>sodium thiooctanoate</t>
  </si>
  <si>
    <t>2207-90-1</t>
  </si>
  <si>
    <t>sodium thiosulfate</t>
  </si>
  <si>
    <t>7772-98-7</t>
  </si>
  <si>
    <t>sodium tolyltriazole (NALCO 2826)</t>
  </si>
  <si>
    <t>64665-57-2</t>
  </si>
  <si>
    <t>sodium trichloroacetate</t>
  </si>
  <si>
    <t>650-51-1</t>
  </si>
  <si>
    <t>sodium trimetaphosphate</t>
  </si>
  <si>
    <t>7785-84-4</t>
  </si>
  <si>
    <t>sodium tripolyphosphate</t>
  </si>
  <si>
    <t>7758-29-4</t>
  </si>
  <si>
    <t>sodium tungstate</t>
  </si>
  <si>
    <t>13472-45-2</t>
  </si>
  <si>
    <t>sodium xylenesulfonate</t>
  </si>
  <si>
    <t>1300-72-7 (PM)</t>
  </si>
  <si>
    <t>1300-72-7 (Vapor)</t>
  </si>
  <si>
    <t>soluble inorganic fluorides</t>
  </si>
  <si>
    <t>soluble inorganic fluorides | For air permit reviews in agricultural areas</t>
  </si>
  <si>
    <t>soluble inorganic fluorides | For air permit reviews in agricultural areas with cattle</t>
  </si>
  <si>
    <t>solvent naphtha (coal), polymer with methylstyrene</t>
  </si>
  <si>
    <t>68132-04-7</t>
  </si>
  <si>
    <t>solvent naphtha (petroleum), light aromatic</t>
  </si>
  <si>
    <t>64742-95-6</t>
  </si>
  <si>
    <t>Solvent Red 26</t>
  </si>
  <si>
    <t>4477-79-6</t>
  </si>
  <si>
    <t>solvent refined residuum</t>
  </si>
  <si>
    <t>64742-01-4</t>
  </si>
  <si>
    <t>Solvent Yellow 29</t>
  </si>
  <si>
    <t>6706-82-7</t>
  </si>
  <si>
    <t>Solvent Yellow 82</t>
  </si>
  <si>
    <t>12227-67-7</t>
  </si>
  <si>
    <t>solvent-dewaxed light paraffinic distillates (petroleum)</t>
  </si>
  <si>
    <t>64742-56-9</t>
  </si>
  <si>
    <t>Solvesso 100</t>
  </si>
  <si>
    <t>63231-51-6</t>
  </si>
  <si>
    <t>sorbic acid</t>
  </si>
  <si>
    <t>sorbitan isostearate</t>
  </si>
  <si>
    <t>54392-26-6</t>
  </si>
  <si>
    <t>sorbitan monolaurate</t>
  </si>
  <si>
    <t>1338-39-2</t>
  </si>
  <si>
    <t>sorbitan monooleate</t>
  </si>
  <si>
    <t>1338-43-8</t>
  </si>
  <si>
    <t>sorbitan monostearate</t>
  </si>
  <si>
    <t>1338-41-6</t>
  </si>
  <si>
    <t>sorbitan monotallate</t>
  </si>
  <si>
    <t>61791-48-8</t>
  </si>
  <si>
    <t>sorbitan trioleate</t>
  </si>
  <si>
    <t>26266-58-0</t>
  </si>
  <si>
    <t>sorbitan tritallate</t>
  </si>
  <si>
    <t>9005-71-4</t>
  </si>
  <si>
    <t>sorbitol propoxylated ethoxylated polymer</t>
  </si>
  <si>
    <t>56449-05-9 (PM)</t>
  </si>
  <si>
    <t>56449-05-9 (Vapor)</t>
  </si>
  <si>
    <t>soya alkyl amine ethoxylated</t>
  </si>
  <si>
    <t>61791-24-0</t>
  </si>
  <si>
    <t>soya alkyl amines</t>
  </si>
  <si>
    <t>61790-18-9</t>
  </si>
  <si>
    <t>soya N-(3-(dimethyl amino)propyl) amides</t>
  </si>
  <si>
    <t>68188-30-7</t>
  </si>
  <si>
    <t>soybean lecithin</t>
  </si>
  <si>
    <t>8030-76-0</t>
  </si>
  <si>
    <t>soybean oil epoxide</t>
  </si>
  <si>
    <t>8013-07-8</t>
  </si>
  <si>
    <t>soybean oil, epoxidized</t>
  </si>
  <si>
    <t>91722-14-4</t>
  </si>
  <si>
    <t>soybean oil, methyl esters</t>
  </si>
  <si>
    <t>67784-80-9</t>
  </si>
  <si>
    <t>soybean oil, polymer with benzoic acid, pentaerythritol and phthalic anhydride</t>
  </si>
  <si>
    <t>67922-66-1</t>
  </si>
  <si>
    <t>soybean oil, polymer with glycerol, maleic anhydride, Me methacrylate, pentaerythritol and phthalic anhydride</t>
  </si>
  <si>
    <t>68038-47-1</t>
  </si>
  <si>
    <t>soybean oil, polymer with isophthalic acid and pentaerythritolhydrogenated rosin</t>
  </si>
  <si>
    <t>66071-86-1</t>
  </si>
  <si>
    <t>soybean oil, polymer with isophthalic acid, pentaerythritol and terephthalic acid</t>
  </si>
  <si>
    <t>68072-22-0</t>
  </si>
  <si>
    <t>soybean oil, polymer with pentaerythritol and phthalic anhydride</t>
  </si>
  <si>
    <t>66070-60-8</t>
  </si>
  <si>
    <t>soybean oil, polymer with pentaerythritol, phthalic anhydride and vinyltoluene</t>
  </si>
  <si>
    <t>68413-18-3</t>
  </si>
  <si>
    <t>soyethyldimonium ethosulfate</t>
  </si>
  <si>
    <t>68308-67-8</t>
  </si>
  <si>
    <t>spinels, cobalt, titanium green</t>
  </si>
  <si>
    <t>68186-85-6</t>
  </si>
  <si>
    <t>Spirotetramat, insecticide</t>
  </si>
  <si>
    <t>203313-25-1</t>
  </si>
  <si>
    <t>Spiroxamine, fungicide</t>
  </si>
  <si>
    <t>118134-30-8</t>
  </si>
  <si>
    <t>Squalene</t>
  </si>
  <si>
    <t>7683-64-9</t>
  </si>
  <si>
    <t>stannous 2-ethylhexoate</t>
  </si>
  <si>
    <t>301-10-0</t>
  </si>
  <si>
    <t>starch</t>
  </si>
  <si>
    <t>9005-25-8</t>
  </si>
  <si>
    <t>Staurolite</t>
  </si>
  <si>
    <t>12182-56-8</t>
  </si>
  <si>
    <t>steam-cracked light petroleum residues</t>
  </si>
  <si>
    <t>68513-69-9</t>
  </si>
  <si>
    <t>stearic acid</t>
  </si>
  <si>
    <t>57-11-4 (PM)</t>
  </si>
  <si>
    <t>57-11-4 (Vapor)</t>
  </si>
  <si>
    <t>stearoyl chloride</t>
  </si>
  <si>
    <t>stearyl alcohol ethoxylates (C18)</t>
  </si>
  <si>
    <t>9005-00-9</t>
  </si>
  <si>
    <t>stearyl betaine</t>
  </si>
  <si>
    <t>820-66-6</t>
  </si>
  <si>
    <t>stearyl methacrylate</t>
  </si>
  <si>
    <t>32360-05-7</t>
  </si>
  <si>
    <t>stearylamine</t>
  </si>
  <si>
    <t>124-30-1</t>
  </si>
  <si>
    <t>steel flake, grit abrasive</t>
  </si>
  <si>
    <t>Steptozotocin</t>
  </si>
  <si>
    <t>18883-66-4</t>
  </si>
  <si>
    <t>stibine</t>
  </si>
  <si>
    <t>7803-52-3</t>
  </si>
  <si>
    <t>stilbene</t>
  </si>
  <si>
    <t>588-59-0</t>
  </si>
  <si>
    <t>Stoddard solvent</t>
  </si>
  <si>
    <t>8052-41-3</t>
  </si>
  <si>
    <t>straight-run gas oils (petroleum)</t>
  </si>
  <si>
    <t>64741-43-1</t>
  </si>
  <si>
    <t>S-triazine-1,3,5(2H, 4H, 6H)-triethanol</t>
  </si>
  <si>
    <t>4719-04-4</t>
  </si>
  <si>
    <t>strontium</t>
  </si>
  <si>
    <t>7440-24-6</t>
  </si>
  <si>
    <t>strontium chromate</t>
  </si>
  <si>
    <t>7789-06-2</t>
  </si>
  <si>
    <t>strontium dichloride</t>
  </si>
  <si>
    <t>10476-85-4</t>
  </si>
  <si>
    <t>strontium hydrogenphosphate</t>
  </si>
  <si>
    <t>13450-99-2</t>
  </si>
  <si>
    <t>strontium zinc phosphosilicate, calcium</t>
  </si>
  <si>
    <t>strychnine</t>
  </si>
  <si>
    <t>57-24-9</t>
  </si>
  <si>
    <t>styrallyl acetate</t>
  </si>
  <si>
    <t>93-92-5</t>
  </si>
  <si>
    <t>styrenated alkyd solution</t>
  </si>
  <si>
    <t>styrenated diphenylamine</t>
  </si>
  <si>
    <t>68442-68-2</t>
  </si>
  <si>
    <t>styrenated phenol</t>
  </si>
  <si>
    <t>61788-44-1</t>
  </si>
  <si>
    <t>styrene</t>
  </si>
  <si>
    <t>100-42-5</t>
  </si>
  <si>
    <t>styrene butylmethacrylate polymer</t>
  </si>
  <si>
    <t>25213-39-2</t>
  </si>
  <si>
    <t>styrene glycol</t>
  </si>
  <si>
    <t>93-56-1 (Not Defined)</t>
  </si>
  <si>
    <t>93-56-1 (PM)</t>
  </si>
  <si>
    <t>styrene oxide</t>
  </si>
  <si>
    <t>96-09-3</t>
  </si>
  <si>
    <t>styrene-acrylic latex</t>
  </si>
  <si>
    <t>25085-34-1</t>
  </si>
  <si>
    <t>styrene-acrylonitrile polymer</t>
  </si>
  <si>
    <t>57913-80-1</t>
  </si>
  <si>
    <t>subtilisin</t>
  </si>
  <si>
    <t>1395-21-7</t>
  </si>
  <si>
    <t>succinic acid</t>
  </si>
  <si>
    <t>110-15-6</t>
  </si>
  <si>
    <t>succinic anhydride</t>
  </si>
  <si>
    <t>108-30-5</t>
  </si>
  <si>
    <t>succinonitrile</t>
  </si>
  <si>
    <t>110-61-2</t>
  </si>
  <si>
    <t>sucrose benzoate</t>
  </si>
  <si>
    <t>12738-64-6</t>
  </si>
  <si>
    <t>sucrose polyether, toluene diisocyanate polymer</t>
  </si>
  <si>
    <t>59154-64-2</t>
  </si>
  <si>
    <t>sulfamic acid</t>
  </si>
  <si>
    <t>5329-14-6</t>
  </si>
  <si>
    <t>sulfanilic acid</t>
  </si>
  <si>
    <t>121-57-3</t>
  </si>
  <si>
    <t>sulfated castor oil sodium salt</t>
  </si>
  <si>
    <t>68187-76-8</t>
  </si>
  <si>
    <t>sulfide, generic, not otherwise specified</t>
  </si>
  <si>
    <t>sulfite liquors and cooking liquors, spent</t>
  </si>
  <si>
    <t>66071-92-9</t>
  </si>
  <si>
    <t>sulfolane</t>
  </si>
  <si>
    <t>126-33-0</t>
  </si>
  <si>
    <t>sulfometuron methyl</t>
  </si>
  <si>
    <t>74222-97-2</t>
  </si>
  <si>
    <t>sulfonated styrene/maleic anhydride copolymer</t>
  </si>
  <si>
    <t>sulfonic acids, C10-18-alkane, sodium salts</t>
  </si>
  <si>
    <t>68037-49-0 (PM)</t>
  </si>
  <si>
    <t>68037-49-0 (Vapor)</t>
  </si>
  <si>
    <t>sulfonic acids, C14-16-1-alkene, sodium salts</t>
  </si>
  <si>
    <t>95371-16-7</t>
  </si>
  <si>
    <t>sulfonic acids, petroleum, calcium salts</t>
  </si>
  <si>
    <t>61789-86-4</t>
  </si>
  <si>
    <t>sulfonic acids, petroleum, calcium salts, overbased</t>
  </si>
  <si>
    <t>68783-96-0</t>
  </si>
  <si>
    <t>sulfosate trimesium technical</t>
  </si>
  <si>
    <t>81591-81-3</t>
  </si>
  <si>
    <t>Sulfotep</t>
  </si>
  <si>
    <t>3689-24-5</t>
  </si>
  <si>
    <t>Sulfoxaflor</t>
  </si>
  <si>
    <t>946578-00-3</t>
  </si>
  <si>
    <t>sulfur</t>
  </si>
  <si>
    <t>7704-34-9</t>
  </si>
  <si>
    <t>sulfur dichloride</t>
  </si>
  <si>
    <t>10545-99-0</t>
  </si>
  <si>
    <t>sulfur dioxide</t>
  </si>
  <si>
    <t>7446-09-5</t>
  </si>
  <si>
    <t>sulfur hexafluoride</t>
  </si>
  <si>
    <t>2551-62-4</t>
  </si>
  <si>
    <t>sulfur monochloride</t>
  </si>
  <si>
    <t>10025-67-9</t>
  </si>
  <si>
    <t>sulfur pentafluoride</t>
  </si>
  <si>
    <t>5714-22-7 (Not Defined)</t>
  </si>
  <si>
    <t>sulfur pentafluoride | For air permit reviews in agricultural areas</t>
  </si>
  <si>
    <t>sulfur pentafluoride | For air permit reviews in agricultural areas with cattle</t>
  </si>
  <si>
    <t>sulfur tetrafluoride</t>
  </si>
  <si>
    <t>7783-60-0 (Not Defined)</t>
  </si>
  <si>
    <t>sulfur tetrafluoride | For air permit reviews in agricultural areas</t>
  </si>
  <si>
    <t>sulfur tetrafluoride | For air permit reviews in agricultural areas with cattle</t>
  </si>
  <si>
    <t>sulfur trioxide</t>
  </si>
  <si>
    <t>7446-11-9</t>
  </si>
  <si>
    <t>sulfuric acid</t>
  </si>
  <si>
    <t>7664-93-9</t>
  </si>
  <si>
    <t>sulfuric acid, cobalt(2+) salt (1:1), hydrate (9CI)</t>
  </si>
  <si>
    <t>60459-08-7</t>
  </si>
  <si>
    <t>sulfuric acid, mono-C10-16-alkyl esters, compds. with triethanolamine</t>
  </si>
  <si>
    <t>117875-77-1</t>
  </si>
  <si>
    <t>sulfuric acid, mono-C10-16-alkyl esters, sodium salts</t>
  </si>
  <si>
    <t>68585-47-7 (PM)</t>
  </si>
  <si>
    <t>68585-47-7 (Vapor)</t>
  </si>
  <si>
    <t>sulfuric acid, monodecyl ester, sodium salt</t>
  </si>
  <si>
    <t>142-87-0</t>
  </si>
  <si>
    <t>sulfuric acid, monooctyl ester, sodium salt</t>
  </si>
  <si>
    <t>142-31-4</t>
  </si>
  <si>
    <t>sulfurized isobutylene</t>
  </si>
  <si>
    <t>68511-50-2</t>
  </si>
  <si>
    <t>sulfuryl chloride</t>
  </si>
  <si>
    <t>7791-25-5</t>
  </si>
  <si>
    <t>sulfuryl fluoride</t>
  </si>
  <si>
    <t>2699-79-8</t>
  </si>
  <si>
    <t>sulphurous acid, monosodium salt polymer with formaldehyde and acetone</t>
  </si>
  <si>
    <t>40104-76-5</t>
  </si>
  <si>
    <t>Sulprofos</t>
  </si>
  <si>
    <t>35400-43-2</t>
  </si>
  <si>
    <t>sunflower seed oil</t>
  </si>
  <si>
    <t>8001-21-6</t>
  </si>
  <si>
    <t>Sunset Yellow FCF</t>
  </si>
  <si>
    <t>2783-94-0</t>
  </si>
  <si>
    <t>synthetic mineral fiber</t>
  </si>
  <si>
    <t>synthetic pine oil</t>
  </si>
  <si>
    <t>talc (no asbestos)</t>
  </si>
  <si>
    <t>14807-96-6</t>
  </si>
  <si>
    <t>tall oil</t>
  </si>
  <si>
    <t>8002-26-4</t>
  </si>
  <si>
    <t>tall oil acids, triethylenetetramine condensate</t>
  </si>
  <si>
    <t>68919-79-9</t>
  </si>
  <si>
    <t>tall oil fatty acids, iron salt</t>
  </si>
  <si>
    <t>61788-81-6</t>
  </si>
  <si>
    <t>tall oil fatty acids, iron salts, basic</t>
  </si>
  <si>
    <t>68648-06-6</t>
  </si>
  <si>
    <t>tall oil fatty acids, magnesium salts, basic</t>
  </si>
  <si>
    <t>68648-08-8</t>
  </si>
  <si>
    <t>tall oil fatty acids, reaction product with diethylenetriamine, trimer acid salt</t>
  </si>
  <si>
    <t>1203451-13-1 (PM)</t>
  </si>
  <si>
    <t>1203451-13-1 (Vapor)</t>
  </si>
  <si>
    <t>tall oil fatty acids, reaction products with diethylenetriamine and acrylic acid</t>
  </si>
  <si>
    <t>163206-24-4</t>
  </si>
  <si>
    <t>tall oil rosin</t>
  </si>
  <si>
    <t>8052-10-6 (PM)</t>
  </si>
  <si>
    <t>8052-10-6 (Vapor)</t>
  </si>
  <si>
    <t>tall oil sodium salt</t>
  </si>
  <si>
    <t>65997-01-5</t>
  </si>
  <si>
    <t>tall oil, ethoxylated</t>
  </si>
  <si>
    <t>65071-95-6 (PM)</t>
  </si>
  <si>
    <t>65071-95-6 (Vapor)</t>
  </si>
  <si>
    <t>tall oil, polymd, oxidized (brown tall oil)</t>
  </si>
  <si>
    <t>68815-17-8</t>
  </si>
  <si>
    <t>tall-oil fatty acids, polymers with glycerol, pentaerythritol and phthalic anhydride</t>
  </si>
  <si>
    <t>66070-62-0</t>
  </si>
  <si>
    <t>tall-oil fatty acids, reaction products with polyalkylenepolyamines</t>
  </si>
  <si>
    <t>68910-93-0 (PM)</t>
  </si>
  <si>
    <t>68910-93-0 (Vapor)</t>
  </si>
  <si>
    <t>tallow alkyl amines</t>
  </si>
  <si>
    <t>61790-33-8</t>
  </si>
  <si>
    <t>tallow alkyl amines, ethoxylated, hydrochlorides</t>
  </si>
  <si>
    <t>68132-78-5</t>
  </si>
  <si>
    <t>tallow fatty acids</t>
  </si>
  <si>
    <t>61790-37-2 (PM)</t>
  </si>
  <si>
    <t>61790-37-2 (Vapor)</t>
  </si>
  <si>
    <t>tallow fatty alcohols</t>
  </si>
  <si>
    <t>tallow nitrile pitch</t>
  </si>
  <si>
    <t>72230-78-5</t>
  </si>
  <si>
    <t>tallow nitriles</t>
  </si>
  <si>
    <t>61790-28-1</t>
  </si>
  <si>
    <t>tallow, methyl esters</t>
  </si>
  <si>
    <t>61788-61-2 (PM)</t>
  </si>
  <si>
    <t>61788-61-2 (Vapor)</t>
  </si>
  <si>
    <t>tallowalkylamidopropyl dimethylamine oxides</t>
  </si>
  <si>
    <t>68647-77-8</t>
  </si>
  <si>
    <t>tannic acid, alpha</t>
  </si>
  <si>
    <t>1401-55-4</t>
  </si>
  <si>
    <t>tannic acid, beta</t>
  </si>
  <si>
    <t>5424-20-4</t>
  </si>
  <si>
    <t>tantalum</t>
  </si>
  <si>
    <t>7440-25-7</t>
  </si>
  <si>
    <t>tantalum chloride</t>
  </si>
  <si>
    <t>7721-01-9</t>
  </si>
  <si>
    <t>tantalum oxide</t>
  </si>
  <si>
    <t>1314-61-0</t>
  </si>
  <si>
    <t>tar bases, quinoline derives, benzyl chloride-quaternized</t>
  </si>
  <si>
    <t>72480-70-7</t>
  </si>
  <si>
    <t>tar bases, quinolinederivs., 1-(chloromethyl)naphthalene-quaternized</t>
  </si>
  <si>
    <t>192526-10-6</t>
  </si>
  <si>
    <t>tartaric acid</t>
  </si>
  <si>
    <t>87-69-4</t>
  </si>
  <si>
    <t>tellurium</t>
  </si>
  <si>
    <t>13494-80-9</t>
  </si>
  <si>
    <t>tellurium diethyldithiocarbamate</t>
  </si>
  <si>
    <t>20941-65-5</t>
  </si>
  <si>
    <t>tellurium hexafluoride</t>
  </si>
  <si>
    <t>7783-80-4</t>
  </si>
  <si>
    <t>Temephos</t>
  </si>
  <si>
    <t>3383-96-8</t>
  </si>
  <si>
    <t>Terbacil</t>
  </si>
  <si>
    <t>5902-51-2</t>
  </si>
  <si>
    <t>Terbufos</t>
  </si>
  <si>
    <t>13071-79-9</t>
  </si>
  <si>
    <t>terbuthylazine</t>
  </si>
  <si>
    <t>5915-41-3</t>
  </si>
  <si>
    <t>terephthalic acid</t>
  </si>
  <si>
    <t>100-21-0</t>
  </si>
  <si>
    <t>terpenes and terpenoids, sweet orange oil</t>
  </si>
  <si>
    <t>68647-72-3</t>
  </si>
  <si>
    <t>terpenes and terpenoids, turpentine-oil, alpha-pinene fraction</t>
  </si>
  <si>
    <t>65996-96-5</t>
  </si>
  <si>
    <t>terpenes and terpenoids, turpentine-oil, beta-pinene fraction</t>
  </si>
  <si>
    <t>65996-97-6</t>
  </si>
  <si>
    <t>terpenes and terpenoids, turpentine-oil, limonene fraction</t>
  </si>
  <si>
    <t>65996-99-8</t>
  </si>
  <si>
    <t>terphenyls</t>
  </si>
  <si>
    <t>26140-60-3</t>
  </si>
  <si>
    <t>terpin</t>
  </si>
  <si>
    <t>80-53-5</t>
  </si>
  <si>
    <t>terpinolene</t>
  </si>
  <si>
    <t>586-62-9</t>
  </si>
  <si>
    <t>terpinyl acetate</t>
  </si>
  <si>
    <t>80-26-2</t>
  </si>
  <si>
    <t>tert-amyl hydroperoxide</t>
  </si>
  <si>
    <t>3425-61-4</t>
  </si>
  <si>
    <t>tert-amyl methyl ether</t>
  </si>
  <si>
    <t>994-05-8</t>
  </si>
  <si>
    <t>tert-amyl peroxy 2-ethyl-hexanoate</t>
  </si>
  <si>
    <t>686-31-7</t>
  </si>
  <si>
    <t>tert-amyl peroxyacetate</t>
  </si>
  <si>
    <t>690-83-5</t>
  </si>
  <si>
    <t>tert-amyl peroxybenzoate</t>
  </si>
  <si>
    <t>4511-39-1</t>
  </si>
  <si>
    <t>tert-amyl peroxyneodecanoate</t>
  </si>
  <si>
    <t>68299-16-1</t>
  </si>
  <si>
    <t>tert-amyl peroxypivalate</t>
  </si>
  <si>
    <t>29240-17-3 (PM)</t>
  </si>
  <si>
    <t>29240-17-3 (Vapor)</t>
  </si>
  <si>
    <t>tert-amylperoxy-3,5,5-trimethylhexanoate</t>
  </si>
  <si>
    <t>13122-18-4</t>
  </si>
  <si>
    <t>tert-butyl acetate</t>
  </si>
  <si>
    <t>540-88-5</t>
  </si>
  <si>
    <t>tert-butyl alcohol</t>
  </si>
  <si>
    <t>75-65-0</t>
  </si>
  <si>
    <t>tert-butyl catechol</t>
  </si>
  <si>
    <t>98-29-3</t>
  </si>
  <si>
    <t>tert-butyl chloride</t>
  </si>
  <si>
    <t>507-20-0</t>
  </si>
  <si>
    <t>tert-butyl chromate</t>
  </si>
  <si>
    <t>1189-85-1</t>
  </si>
  <si>
    <t>tert-butyl formate</t>
  </si>
  <si>
    <t>762-75-4</t>
  </si>
  <si>
    <t>tert-butyl hydroperoxide</t>
  </si>
  <si>
    <t>75-91-2</t>
  </si>
  <si>
    <t>tert-butyl hydroquinone</t>
  </si>
  <si>
    <t>1948-33-0</t>
  </si>
  <si>
    <t>tert-butyl monoperoxymaleate</t>
  </si>
  <si>
    <t>1931-62-0</t>
  </si>
  <si>
    <t>tert-butyl peracetate</t>
  </si>
  <si>
    <t>107-71-1</t>
  </si>
  <si>
    <t>tert-butyl peroxide</t>
  </si>
  <si>
    <t>110-05-4</t>
  </si>
  <si>
    <t>tert-butyl peroxy isopropyl carbonate</t>
  </si>
  <si>
    <t>2372-21-6 (PM)</t>
  </si>
  <si>
    <t>2372-21-6 (Vapor)</t>
  </si>
  <si>
    <t>tert-butyl peroxy-2-ethylhexanoate</t>
  </si>
  <si>
    <t>3006-82-4</t>
  </si>
  <si>
    <t>tert-butyl peroxy-2-methylbenzoate</t>
  </si>
  <si>
    <t>22313-62-8</t>
  </si>
  <si>
    <t>tert-butyl peroxybenzoate</t>
  </si>
  <si>
    <t>614-45-9</t>
  </si>
  <si>
    <t>tert-butyl peroxyisobutyrate</t>
  </si>
  <si>
    <t>109-13-7</t>
  </si>
  <si>
    <t>tert-butyl peroxyneodecanoate</t>
  </si>
  <si>
    <t>26748-41-4</t>
  </si>
  <si>
    <t>tert-butyl peroxypivalate</t>
  </si>
  <si>
    <t>927-07-1 (PM)</t>
  </si>
  <si>
    <t>927-07-1 (Vapor)</t>
  </si>
  <si>
    <t>tert-butyl polysulfide</t>
  </si>
  <si>
    <t>68937-96-2</t>
  </si>
  <si>
    <t>tert-butyl toluenediamine</t>
  </si>
  <si>
    <t>tert-butylacrylamide</t>
  </si>
  <si>
    <t>107-58-4</t>
  </si>
  <si>
    <t>tert-butylamine</t>
  </si>
  <si>
    <t>75-64-9</t>
  </si>
  <si>
    <t>tert-butyl-m-xylene</t>
  </si>
  <si>
    <t>98-19-1</t>
  </si>
  <si>
    <t>tert-butylperoxy-2-ethylhexyl-carbonate</t>
  </si>
  <si>
    <t>34443-12-4</t>
  </si>
  <si>
    <t>tert-butylphenyl diphenyl phosphate</t>
  </si>
  <si>
    <t>56803-37-3</t>
  </si>
  <si>
    <t>tert-butylstyrene</t>
  </si>
  <si>
    <t>25338-51-6</t>
  </si>
  <si>
    <t>tert-dodecyl mercaptan</t>
  </si>
  <si>
    <t>25103-58-6</t>
  </si>
  <si>
    <t>tertiary butyl glycidyl ether</t>
  </si>
  <si>
    <t>7665-72-7</t>
  </si>
  <si>
    <t>tertiary-nonyl mercaptan</t>
  </si>
  <si>
    <t>25360-10-5</t>
  </si>
  <si>
    <t>tert-octyl mercaptan</t>
  </si>
  <si>
    <t>141-59-3</t>
  </si>
  <si>
    <t>tert-pentanol</t>
  </si>
  <si>
    <t>75-85-4</t>
  </si>
  <si>
    <t>tetraamineplatinum (II) nitrate</t>
  </si>
  <si>
    <t>20634-12-2</t>
  </si>
  <si>
    <t>tetraammonium ethylenediaminetetraacetate</t>
  </si>
  <si>
    <t>22473-78-5 (PM)</t>
  </si>
  <si>
    <t>22473-78-5 (Vapor)</t>
  </si>
  <si>
    <t>tetrabromobisphenol A</t>
  </si>
  <si>
    <t>79-94-7</t>
  </si>
  <si>
    <t>tetrabromophthalic anhydride diol</t>
  </si>
  <si>
    <t>77098-07-8</t>
  </si>
  <si>
    <t>tetrabutyl orthotitanate</t>
  </si>
  <si>
    <t>5593-70-4</t>
  </si>
  <si>
    <t>tetrabutylammonium bromide</t>
  </si>
  <si>
    <t>1643-19-2</t>
  </si>
  <si>
    <t>tetrabutylammonium hydroxide</t>
  </si>
  <si>
    <t>2052-49-5</t>
  </si>
  <si>
    <t>tetrachloroethane (unspecified isomers)</t>
  </si>
  <si>
    <t>25322-20-7</t>
  </si>
  <si>
    <t>tetrachloroethylene</t>
  </si>
  <si>
    <t>127-18-4</t>
  </si>
  <si>
    <t>tetrachloronaphthalene</t>
  </si>
  <si>
    <t>1335-88-2</t>
  </si>
  <si>
    <t>tetracosane</t>
  </si>
  <si>
    <t>646-31-1</t>
  </si>
  <si>
    <t>tetradecafluorohexane</t>
  </si>
  <si>
    <t>355-42-0</t>
  </si>
  <si>
    <t>tetradecane</t>
  </si>
  <si>
    <t>629-59-4</t>
  </si>
  <si>
    <t>tetradecanol</t>
  </si>
  <si>
    <t>8032-14-2</t>
  </si>
  <si>
    <t>tetradecyl mercaptan</t>
  </si>
  <si>
    <t>2079-95-0</t>
  </si>
  <si>
    <t>tetradecyl methacrylate</t>
  </si>
  <si>
    <t>2549-53-3 (Not Defined)</t>
  </si>
  <si>
    <t>2549-53-3 (PM)</t>
  </si>
  <si>
    <t>tetradecyl sulfate sodium salt</t>
  </si>
  <si>
    <t>1191-50-0</t>
  </si>
  <si>
    <t>tetradifon</t>
  </si>
  <si>
    <t>116-29-0 (PM)</t>
  </si>
  <si>
    <t>116-29-0 (Vapor)</t>
  </si>
  <si>
    <t>tetraethyl ammonium bromide</t>
  </si>
  <si>
    <t>71-91-0</t>
  </si>
  <si>
    <t>tetraethyl lead</t>
  </si>
  <si>
    <t>78-00-2</t>
  </si>
  <si>
    <t>tetraethyl orthosilicate</t>
  </si>
  <si>
    <t>78-10-4</t>
  </si>
  <si>
    <t>tetraethyl pyrophosphate</t>
  </si>
  <si>
    <t>107-49-3</t>
  </si>
  <si>
    <t>tetraethylammonium hydroxide</t>
  </si>
  <si>
    <t>77-98-5</t>
  </si>
  <si>
    <t>tetraethylene glycol</t>
  </si>
  <si>
    <t>112-60-7</t>
  </si>
  <si>
    <t>tetraethylene glycol di(2-ethylhexanoate)</t>
  </si>
  <si>
    <t>18268-70-7</t>
  </si>
  <si>
    <t>tetraethylene glycol diacrylate</t>
  </si>
  <si>
    <t>17831-71-9</t>
  </si>
  <si>
    <t>tetraethylene glycol monobutyl ether</t>
  </si>
  <si>
    <t>1559-34-8 (PM)</t>
  </si>
  <si>
    <t>1559-34-8 (Vapor)</t>
  </si>
  <si>
    <t>tetraethylene glycol monomethyl ether</t>
  </si>
  <si>
    <t>23783-42-8 (PM)</t>
  </si>
  <si>
    <t>23783-42-8 (Vapor)</t>
  </si>
  <si>
    <t>tetraethylene pentamine</t>
  </si>
  <si>
    <t>112-57-2</t>
  </si>
  <si>
    <t>tetrafluoroethylene</t>
  </si>
  <si>
    <t>116-14-3</t>
  </si>
  <si>
    <t>tetraglycidyl-4,4'-methylene dianiline</t>
  </si>
  <si>
    <t>28768-32-3</t>
  </si>
  <si>
    <t>tetrahydro-2,2,5,5-tetramethylfuran</t>
  </si>
  <si>
    <t>15045-43-9</t>
  </si>
  <si>
    <t>tetrahydro-3,5-dimethyl-2H-1,3,5-thiadiazine-2-thione</t>
  </si>
  <si>
    <t>533-74-4</t>
  </si>
  <si>
    <t>tetrahydrobenzaldehyde</t>
  </si>
  <si>
    <t>1321-16-0</t>
  </si>
  <si>
    <t>tetrahydrodicyclopentadiene</t>
  </si>
  <si>
    <t>2825-82-3</t>
  </si>
  <si>
    <t>tetrahydrofuran</t>
  </si>
  <si>
    <t>109-99-9</t>
  </si>
  <si>
    <t>tetrahydrofurfuryl alcohol</t>
  </si>
  <si>
    <t>97-99-4</t>
  </si>
  <si>
    <t>tetrahydrophthalic acid</t>
  </si>
  <si>
    <t>85-43-8</t>
  </si>
  <si>
    <t>tetrahydrothiophene</t>
  </si>
  <si>
    <t>110-01-0</t>
  </si>
  <si>
    <t>tetraisopropyltitanate</t>
  </si>
  <si>
    <t>546-68-9</t>
  </si>
  <si>
    <t>tetrakis(2-methoxyethyl) orthosilicate</t>
  </si>
  <si>
    <t>2157-45-1 (PM)</t>
  </si>
  <si>
    <t>2157-45-1 (Vapor)</t>
  </si>
  <si>
    <t>tetrakis(hyroxymethyl)phosphonium sulfate</t>
  </si>
  <si>
    <t>55566-30-8</t>
  </si>
  <si>
    <t>tetrakisdimethylaminotitanium</t>
  </si>
  <si>
    <t>3275-24-9</t>
  </si>
  <si>
    <t>tetrakishydroxymethylphosphonium chloride</t>
  </si>
  <si>
    <t>124-64-1</t>
  </si>
  <si>
    <t>tetramer treated fumed silica</t>
  </si>
  <si>
    <t>68583-49-3</t>
  </si>
  <si>
    <t>tetramethoxysilane</t>
  </si>
  <si>
    <t>681-84-5</t>
  </si>
  <si>
    <t>Tetramethrin insecticide</t>
  </si>
  <si>
    <t>7696-12-0</t>
  </si>
  <si>
    <t>tetramethyl lead</t>
  </si>
  <si>
    <t>75-74-1</t>
  </si>
  <si>
    <t>tetramethyl succinonitrile</t>
  </si>
  <si>
    <t>3333-52-6</t>
  </si>
  <si>
    <t>tetramethylammonium chloride</t>
  </si>
  <si>
    <t>75-57-0</t>
  </si>
  <si>
    <t>tetramethylene diamine</t>
  </si>
  <si>
    <t>110-60-1</t>
  </si>
  <si>
    <t>tetramethyliminobispropylamine</t>
  </si>
  <si>
    <t>6711-48-4</t>
  </si>
  <si>
    <t>tetramethylthiuram disulfide</t>
  </si>
  <si>
    <t>137-26-8</t>
  </si>
  <si>
    <t>tetra-N-butyl-butanediyldiamine</t>
  </si>
  <si>
    <t>27195-72-8</t>
  </si>
  <si>
    <t>tetranitromethane</t>
  </si>
  <si>
    <t>509-14-8</t>
  </si>
  <si>
    <t>tetraoctyl titanate</t>
  </si>
  <si>
    <t>1070-10-6</t>
  </si>
  <si>
    <t>tetraphosphorus decaoxide</t>
  </si>
  <si>
    <t>16752-60-6</t>
  </si>
  <si>
    <t>tetrapropyl zirconate</t>
  </si>
  <si>
    <t>23519-77-9</t>
  </si>
  <si>
    <t>tetrapropylammonium bromide, 35% aqueous solution</t>
  </si>
  <si>
    <t>1941-30-6</t>
  </si>
  <si>
    <t>tetrapropylene</t>
  </si>
  <si>
    <t>6842-15-5</t>
  </si>
  <si>
    <t>tetrapropylene glycol</t>
  </si>
  <si>
    <t>24800-25-7</t>
  </si>
  <si>
    <t>tetrapropylenebenzene</t>
  </si>
  <si>
    <t>25265-78-5</t>
  </si>
  <si>
    <t>tetrapropylorthosilicate</t>
  </si>
  <si>
    <t>682-01-9</t>
  </si>
  <si>
    <t>tetrasodium ethylenediaminetetraacetate</t>
  </si>
  <si>
    <t>13235-36-4</t>
  </si>
  <si>
    <t>tetrasodium pyrophosphate</t>
  </si>
  <si>
    <t>7722-88-5</t>
  </si>
  <si>
    <t>Texanol</t>
  </si>
  <si>
    <t>25265-77-4 (PM)</t>
  </si>
  <si>
    <t>25265-77-4 (Vapor)</t>
  </si>
  <si>
    <t>thallic oxide</t>
  </si>
  <si>
    <t>1314-32-5</t>
  </si>
  <si>
    <t>thallium</t>
  </si>
  <si>
    <t>7440-28-0</t>
  </si>
  <si>
    <t>Thiabendazole</t>
  </si>
  <si>
    <t>148-79-8</t>
  </si>
  <si>
    <t>thiamethoxam insecticide</t>
  </si>
  <si>
    <t>153719-23-4</t>
  </si>
  <si>
    <t>thiazole</t>
  </si>
  <si>
    <t>288-47-1</t>
  </si>
  <si>
    <t>thickeners</t>
  </si>
  <si>
    <t>thio fast red-thio indigo pigment</t>
  </si>
  <si>
    <t>14295-43-3</t>
  </si>
  <si>
    <t>Thiobencarb</t>
  </si>
  <si>
    <t>28249-77-6</t>
  </si>
  <si>
    <t>thiocarbohydrazide</t>
  </si>
  <si>
    <t>2231-57-4</t>
  </si>
  <si>
    <t>thiodicarb carbamate insecticide</t>
  </si>
  <si>
    <t>59669-26-0</t>
  </si>
  <si>
    <t>thiodiglycol</t>
  </si>
  <si>
    <t>111-48-8</t>
  </si>
  <si>
    <t>Thiofanox</t>
  </si>
  <si>
    <t>39196-18-4</t>
  </si>
  <si>
    <t>thioglycerol</t>
  </si>
  <si>
    <t>96-27-5</t>
  </si>
  <si>
    <t>thioglycolic acid</t>
  </si>
  <si>
    <t>68-11-1</t>
  </si>
  <si>
    <t>thionyl chloride</t>
  </si>
  <si>
    <t>7719-09-7</t>
  </si>
  <si>
    <t>thiophanate-methyl</t>
  </si>
  <si>
    <t>23564-05-08</t>
  </si>
  <si>
    <t>thiophene</t>
  </si>
  <si>
    <t>110-02-1</t>
  </si>
  <si>
    <t>thiophosgene</t>
  </si>
  <si>
    <t>463-71-8</t>
  </si>
  <si>
    <t>thiourea</t>
  </si>
  <si>
    <t>62-56-6</t>
  </si>
  <si>
    <t>thiourea, polymer with formaldehyde and 1-phenylethanone</t>
  </si>
  <si>
    <t>68527-49-1</t>
  </si>
  <si>
    <t>thymol</t>
  </si>
  <si>
    <t>89-83-8 (Not Defined)</t>
  </si>
  <si>
    <t>89-83-8 (PM)</t>
  </si>
  <si>
    <t>tin</t>
  </si>
  <si>
    <t>7440-31-5</t>
  </si>
  <si>
    <t>tin antimony gray cassiterite</t>
  </si>
  <si>
    <t>68187-54-2</t>
  </si>
  <si>
    <t>tin catalyst (stannis)</t>
  </si>
  <si>
    <t>tin oxide</t>
  </si>
  <si>
    <t>18282-10-5</t>
  </si>
  <si>
    <t>tin(IV) chloride</t>
  </si>
  <si>
    <t>7646-78-8</t>
  </si>
  <si>
    <t>tin, inorganic compounds</t>
  </si>
  <si>
    <t>tin, organic compounds</t>
  </si>
  <si>
    <t>titanate(2-), bisP,P-dioctyl diphosphato(2-)-.kappa.O,.kappa.O1,2-ethanediolato(2-)-.kappa.O,.kappa.O-, dihydrogen, branched and linear, compds. with 2-(dimethylamino)ethyl methacrylate (1:2)</t>
  </si>
  <si>
    <t>198840-67-4</t>
  </si>
  <si>
    <t>titanium</t>
  </si>
  <si>
    <t>7440-32-6</t>
  </si>
  <si>
    <t>titanium IV 2, 2(bis 2-propenolatomethyl)butanolato, tris(dioctyl)pyrophosphato-O</t>
  </si>
  <si>
    <t>10342-54-8</t>
  </si>
  <si>
    <t>titanium IV tetrakis(bis 2-propenolato methyl)-1-butanolato adduct 2 moles (di-tridecyl)hydrogen phosphate</t>
  </si>
  <si>
    <t>64157-14-8</t>
  </si>
  <si>
    <t>titanium nitride</t>
  </si>
  <si>
    <t>25583-20-4</t>
  </si>
  <si>
    <t>titanium tetrachloride</t>
  </si>
  <si>
    <t>7550-45-0</t>
  </si>
  <si>
    <t>titanium(IV) dioxide</t>
  </si>
  <si>
    <t>13463-67-7</t>
  </si>
  <si>
    <t>titanium(IV) ethoxide</t>
  </si>
  <si>
    <t>3087-36-3</t>
  </si>
  <si>
    <t>titanium(IV) oxide</t>
  </si>
  <si>
    <t>1317-80-2</t>
  </si>
  <si>
    <t>titanium(IV) oxide, anatase</t>
  </si>
  <si>
    <t>1317-70-0</t>
  </si>
  <si>
    <t>titanium(IV) tert-butoxide</t>
  </si>
  <si>
    <t>3087-39-6</t>
  </si>
  <si>
    <t>titanium, butyl phosphate, ethyl alcohol, isopropyl alcohol complex</t>
  </si>
  <si>
    <t>109037-78-7</t>
  </si>
  <si>
    <t>t-octylphenoxypolyethoxyethanol</t>
  </si>
  <si>
    <t>9002-93-1 (PM)</t>
  </si>
  <si>
    <t>9002-93-1 (Vapor)</t>
  </si>
  <si>
    <t>toluene</t>
  </si>
  <si>
    <t>108-88-3</t>
  </si>
  <si>
    <t>toluene diisocyanate</t>
  </si>
  <si>
    <t>26471-62-5</t>
  </si>
  <si>
    <t>toluene diphenylmethane diisocyanate prepolymer</t>
  </si>
  <si>
    <t>39420-98-9</t>
  </si>
  <si>
    <t>toluene-2,4-diamine and isomers</t>
  </si>
  <si>
    <t>95-80-7</t>
  </si>
  <si>
    <t>toluene-2,4-diisocyanate</t>
  </si>
  <si>
    <t>584-84-9</t>
  </si>
  <si>
    <t>toluene-2,6-diisocyanate</t>
  </si>
  <si>
    <t>91-08-7</t>
  </si>
  <si>
    <t>toluenediamine, mixed isomers</t>
  </si>
  <si>
    <t>25376-45-8</t>
  </si>
  <si>
    <t>toluenediisocyanate, 2,2,4-trimethyl-1,3-pentanediol polymer</t>
  </si>
  <si>
    <t>67907-27-1</t>
  </si>
  <si>
    <t>tolylaldehyde</t>
  </si>
  <si>
    <t>1334-78-7</t>
  </si>
  <si>
    <t>tolylsulfonyl hydrazine</t>
  </si>
  <si>
    <t>1576-35-8</t>
  </si>
  <si>
    <t>tolyltriazole</t>
  </si>
  <si>
    <t>29385-43-1</t>
  </si>
  <si>
    <t>tomato lycopene</t>
  </si>
  <si>
    <t>502-65-8</t>
  </si>
  <si>
    <t>Toxaphene</t>
  </si>
  <si>
    <t>8001-35-2</t>
  </si>
  <si>
    <t>tracer yellow dye</t>
  </si>
  <si>
    <t>trans-1,2-dichloroethylene</t>
  </si>
  <si>
    <t>156-60-5</t>
  </si>
  <si>
    <t>trans-1,2-dimethylcyclohexane</t>
  </si>
  <si>
    <t>6876-23-9</t>
  </si>
  <si>
    <t>trans-1,2-dimethylcyclopentane</t>
  </si>
  <si>
    <t>822-50-4</t>
  </si>
  <si>
    <t>trans-1,3,3,3-tetrafluoroprop-1-ene</t>
  </si>
  <si>
    <t>1645-83-6</t>
  </si>
  <si>
    <t>29118-24-9</t>
  </si>
  <si>
    <t>trans-1,3-dichloropropene</t>
  </si>
  <si>
    <t>10061-02-6</t>
  </si>
  <si>
    <t>trans-1,3-dimethylcyclohexane</t>
  </si>
  <si>
    <t>2207-03-6</t>
  </si>
  <si>
    <t>trans-1,3-dimethylcyclopentane</t>
  </si>
  <si>
    <t>1759-58-6</t>
  </si>
  <si>
    <t>trans-1-chloro-3,3,3-trifluoroprop-1-ene</t>
  </si>
  <si>
    <t>102687-65-0</t>
  </si>
  <si>
    <t>trans-1-ethyl-2-methylcyclopentane</t>
  </si>
  <si>
    <t>930-90-5</t>
  </si>
  <si>
    <t>trans-2-butene</t>
  </si>
  <si>
    <t>624-64-6</t>
  </si>
  <si>
    <t>trans-2-hexene</t>
  </si>
  <si>
    <t>4050-45-7</t>
  </si>
  <si>
    <t>trans-2-pentene</t>
  </si>
  <si>
    <t>646-04-8</t>
  </si>
  <si>
    <t>trans-2-pinanol</t>
  </si>
  <si>
    <t>4948-29-2</t>
  </si>
  <si>
    <t>trans-3-decene</t>
  </si>
  <si>
    <t>19150-21-1</t>
  </si>
  <si>
    <t>trans-3-hexene</t>
  </si>
  <si>
    <t>13269-52-8</t>
  </si>
  <si>
    <t>trans-3-hexenoic acid</t>
  </si>
  <si>
    <t>1577-18-0</t>
  </si>
  <si>
    <t>trans-4-decene</t>
  </si>
  <si>
    <t>19398-89-1</t>
  </si>
  <si>
    <t>trans-4-methyl-2-pentene</t>
  </si>
  <si>
    <t>674-76-0</t>
  </si>
  <si>
    <t>trans-5-decene</t>
  </si>
  <si>
    <t>7433-56-9</t>
  </si>
  <si>
    <t>trans-beta-farnesene</t>
  </si>
  <si>
    <t>18794-84-8</t>
  </si>
  <si>
    <t>trans-crotonaldehyde</t>
  </si>
  <si>
    <t>123-73-9</t>
  </si>
  <si>
    <t>trans-diacetoxyethylene</t>
  </si>
  <si>
    <t>19191-10-7</t>
  </si>
  <si>
    <t>trans-isosafrole</t>
  </si>
  <si>
    <t>4043-71-4</t>
  </si>
  <si>
    <t>trans-piperylene</t>
  </si>
  <si>
    <t>2004-70-8</t>
  </si>
  <si>
    <t>Tremolite</t>
  </si>
  <si>
    <t>14567-73-8</t>
  </si>
  <si>
    <t>tri(coco alkyl) amine</t>
  </si>
  <si>
    <t>tri(isobutenyl)succinic anhydride</t>
  </si>
  <si>
    <t>63979-83-9</t>
  </si>
  <si>
    <t>tri-2-ethylhexyl trimellitate</t>
  </si>
  <si>
    <t>3319-31-1 (PM)</t>
  </si>
  <si>
    <t>3319-31-1 (Vapor)</t>
  </si>
  <si>
    <t>triacetone amine</t>
  </si>
  <si>
    <t>826-36-8</t>
  </si>
  <si>
    <t>triacetone diamine</t>
  </si>
  <si>
    <t>36768-62-4</t>
  </si>
  <si>
    <t>triacont-1-ene</t>
  </si>
  <si>
    <t>18435-53-5 (Not Defined)</t>
  </si>
  <si>
    <t>18435-53-5 (PM)</t>
  </si>
  <si>
    <t>triacontane</t>
  </si>
  <si>
    <t>638-68-6</t>
  </si>
  <si>
    <t>Triadimefon</t>
  </si>
  <si>
    <t>43121-43-3</t>
  </si>
  <si>
    <t>triadimenol</t>
  </si>
  <si>
    <t>55219-65-3</t>
  </si>
  <si>
    <t>triallyl isocyanurate</t>
  </si>
  <si>
    <t>1025-15-6</t>
  </si>
  <si>
    <t>triallylamine</t>
  </si>
  <si>
    <t>102-70-5</t>
  </si>
  <si>
    <t>triaminotrinitrobenzene</t>
  </si>
  <si>
    <t>3058-38-6</t>
  </si>
  <si>
    <t>triazole fungicide</t>
  </si>
  <si>
    <t>107534-96-3</t>
  </si>
  <si>
    <t>tributyl O-acetylcitrate</t>
  </si>
  <si>
    <t>77-90-7</t>
  </si>
  <si>
    <t>tributyl phosphate</t>
  </si>
  <si>
    <t>126-73-8</t>
  </si>
  <si>
    <t>tributyl phosphine</t>
  </si>
  <si>
    <t>998-40-3</t>
  </si>
  <si>
    <t>tributyl phosphite</t>
  </si>
  <si>
    <t>102-85-2</t>
  </si>
  <si>
    <t>tributyl trithiophosphite</t>
  </si>
  <si>
    <t>150-50-5</t>
  </si>
  <si>
    <t>tributylamine</t>
  </si>
  <si>
    <t>102-82-9</t>
  </si>
  <si>
    <t>tributylmethylammonium chloride</t>
  </si>
  <si>
    <t>56375-79-2</t>
  </si>
  <si>
    <t>tributylphosphine oxide</t>
  </si>
  <si>
    <t>814-29-9</t>
  </si>
  <si>
    <t>tributyltin oxide</t>
  </si>
  <si>
    <t>56-35-9</t>
  </si>
  <si>
    <t>tri-C8-10-alkyl amines</t>
  </si>
  <si>
    <t>68814-95-9</t>
  </si>
  <si>
    <t>trichloroacetic acid</t>
  </si>
  <si>
    <t>76-03-9</t>
  </si>
  <si>
    <t>trichloroacetyl chloride</t>
  </si>
  <si>
    <t>76-02-8</t>
  </si>
  <si>
    <t>trichloroethylene</t>
  </si>
  <si>
    <t>79-01-6</t>
  </si>
  <si>
    <t>trichlorofluoromethane</t>
  </si>
  <si>
    <t>75-69-4</t>
  </si>
  <si>
    <t>trichloronaphthalene</t>
  </si>
  <si>
    <t>1321-65-9</t>
  </si>
  <si>
    <t>trichloronitromethane</t>
  </si>
  <si>
    <t>76-06-2</t>
  </si>
  <si>
    <t>trichloropropane</t>
  </si>
  <si>
    <t>25735-29-9</t>
  </si>
  <si>
    <t>trichlorosilane</t>
  </si>
  <si>
    <t>10025-78-2</t>
  </si>
  <si>
    <t>triclhloroisocyanurate</t>
  </si>
  <si>
    <t>87-90-1</t>
  </si>
  <si>
    <t>triclopyr</t>
  </si>
  <si>
    <t>55335-06-3</t>
  </si>
  <si>
    <t>triclopyr triethylamine salt</t>
  </si>
  <si>
    <t>57213-69-1</t>
  </si>
  <si>
    <t>tricosane</t>
  </si>
  <si>
    <t>638-67-5</t>
  </si>
  <si>
    <t>tricyclo[3.2.1.0(1,5)]octane</t>
  </si>
  <si>
    <t>19074-25-0</t>
  </si>
  <si>
    <t>tricyclopentadiene</t>
  </si>
  <si>
    <t>7158-25-0</t>
  </si>
  <si>
    <t>trideca-1,1,1,2,2,3,3,4,4,5,5,6,6-fluorohexane</t>
  </si>
  <si>
    <t>355-37-3</t>
  </si>
  <si>
    <t>tridecanal</t>
  </si>
  <si>
    <t>10486-19-8</t>
  </si>
  <si>
    <t>tridecane</t>
  </si>
  <si>
    <t>629-50-5</t>
  </si>
  <si>
    <t>tri-decyl methacrylate</t>
  </si>
  <si>
    <t>2495-25-2</t>
  </si>
  <si>
    <t>tridecylbenzene</t>
  </si>
  <si>
    <t>123-02-4</t>
  </si>
  <si>
    <t>tridecyloxypropyl-1,3-propanediamine</t>
  </si>
  <si>
    <t>22023-23-0</t>
  </si>
  <si>
    <t>triethanolamine</t>
  </si>
  <si>
    <t>102-71-6</t>
  </si>
  <si>
    <t>triethanolamine compound with linear saturated fatty acids (C5-C9)</t>
  </si>
  <si>
    <t>68604-62-6 (PM)</t>
  </si>
  <si>
    <t>68604-62-6 (Vapor)</t>
  </si>
  <si>
    <t>triethanolamine sulfate</t>
  </si>
  <si>
    <t>20261-61-4</t>
  </si>
  <si>
    <t>triethoxy(octyl)silane</t>
  </si>
  <si>
    <t>2943-75-1</t>
  </si>
  <si>
    <t>triethoxysilane</t>
  </si>
  <si>
    <t>998-30-1</t>
  </si>
  <si>
    <t>triethyl 2-acetylcitrate</t>
  </si>
  <si>
    <t>77-89-4</t>
  </si>
  <si>
    <t>triethyl aluminum</t>
  </si>
  <si>
    <t>97-93-8</t>
  </si>
  <si>
    <t>triethyl orthoformate</t>
  </si>
  <si>
    <t>122-51-0 (PM)</t>
  </si>
  <si>
    <t>122-51-0 (Vapor)</t>
  </si>
  <si>
    <t>triethyl phosphate</t>
  </si>
  <si>
    <t>78-40-0</t>
  </si>
  <si>
    <t>triethyl phosphite</t>
  </si>
  <si>
    <t>122-52-1</t>
  </si>
  <si>
    <t>triethyl phosphorothioate</t>
  </si>
  <si>
    <t>126-68-1</t>
  </si>
  <si>
    <t>triethylamine</t>
  </si>
  <si>
    <t>121-44-8</t>
  </si>
  <si>
    <t>triethylene amine</t>
  </si>
  <si>
    <t>1116-00-3</t>
  </si>
  <si>
    <t>triethylene diamine</t>
  </si>
  <si>
    <t>280-57-9</t>
  </si>
  <si>
    <t>triethylene glycol</t>
  </si>
  <si>
    <t>112-27-6</t>
  </si>
  <si>
    <t>triethylene glycol bis(2-ethylhexanoate)</t>
  </si>
  <si>
    <t>94-28-0</t>
  </si>
  <si>
    <t>triethylene glycol diacrylate</t>
  </si>
  <si>
    <t>1680-21-3</t>
  </si>
  <si>
    <t>triethylene glycol dibenzoate</t>
  </si>
  <si>
    <t>120-56-9</t>
  </si>
  <si>
    <t>triethylene glycol dimethacrylate</t>
  </si>
  <si>
    <t>109-16-0</t>
  </si>
  <si>
    <t>triethylene glycol methyl ether</t>
  </si>
  <si>
    <t>112-35-6</t>
  </si>
  <si>
    <t>triethylene glycol mono-2-ethylhexyl ether</t>
  </si>
  <si>
    <t>1559-37-1</t>
  </si>
  <si>
    <t>triethylene glycol monoamine</t>
  </si>
  <si>
    <t>6338-55-2</t>
  </si>
  <si>
    <t>triethylene glycol monobutyl ether</t>
  </si>
  <si>
    <t>143-22-6</t>
  </si>
  <si>
    <t>triethylene glycol monoethyl ether</t>
  </si>
  <si>
    <t>112-50-5</t>
  </si>
  <si>
    <t>triethylene glycol monomethyl borate ester</t>
  </si>
  <si>
    <t>71243-41-9</t>
  </si>
  <si>
    <t>triethylene, polymer with oxirane</t>
  </si>
  <si>
    <t>31510-83-5</t>
  </si>
  <si>
    <t>triethylenetetramine</t>
  </si>
  <si>
    <t>112-24-3</t>
  </si>
  <si>
    <t>Trifloxystrobin</t>
  </si>
  <si>
    <t>141517-21-7</t>
  </si>
  <si>
    <t>Triflumizole fungicide</t>
  </si>
  <si>
    <t>68694-11-1</t>
  </si>
  <si>
    <t>trifluoroacetic acid</t>
  </si>
  <si>
    <t>76-05-1 (Not Defined)</t>
  </si>
  <si>
    <t>trifluoroacetic acid | For air permit reviews in agricultural areas</t>
  </si>
  <si>
    <t>trifluoroacetic acid | For air permit reviews in agricultural areas with cattle</t>
  </si>
  <si>
    <t>trifluoroethanol</t>
  </si>
  <si>
    <t>75-89-8</t>
  </si>
  <si>
    <t>trifluoromethane</t>
  </si>
  <si>
    <t>75-46-7</t>
  </si>
  <si>
    <t>Trifluralin</t>
  </si>
  <si>
    <t>1582-09-8</t>
  </si>
  <si>
    <t>triglycidyl-s-triazinetrione</t>
  </si>
  <si>
    <t>2451-62-9</t>
  </si>
  <si>
    <t>trihexyl(tetradecyl)phosphonium chloride</t>
  </si>
  <si>
    <t>258864-54-9</t>
  </si>
  <si>
    <t>trihydrogen tris[P,P-dioctyl diphosphato(2-)-O'',O''''](propan-2-olato)titanate(3-), branched and linear</t>
  </si>
  <si>
    <t>68585-78-4</t>
  </si>
  <si>
    <t>triisobutyl aluminum</t>
  </si>
  <si>
    <t>100-99-2</t>
  </si>
  <si>
    <t>triisobutyl phosphate</t>
  </si>
  <si>
    <t>126-71-6</t>
  </si>
  <si>
    <t>triisobutylamine</t>
  </si>
  <si>
    <t>1116-40-1</t>
  </si>
  <si>
    <t>triisobutylene</t>
  </si>
  <si>
    <t>7756-94-7</t>
  </si>
  <si>
    <t>triisooctyl phosphite</t>
  </si>
  <si>
    <t>25103-12-2</t>
  </si>
  <si>
    <t>triisopropanolamine</t>
  </si>
  <si>
    <t>122-20-3</t>
  </si>
  <si>
    <t>triisopropyl phosphine</t>
  </si>
  <si>
    <t>6476-36-4</t>
  </si>
  <si>
    <t>trimetacresyl phosphate</t>
  </si>
  <si>
    <t>563-04-2</t>
  </si>
  <si>
    <t>trimethoxyoctylsilane, hydrolysis products with silica</t>
  </si>
  <si>
    <t>92797-60-9 (PM)</t>
  </si>
  <si>
    <t>92797-60-9 (Vapor)</t>
  </si>
  <si>
    <t>trimethoxysilane</t>
  </si>
  <si>
    <t>2487-90-3</t>
  </si>
  <si>
    <t>trimethyl aluminum</t>
  </si>
  <si>
    <t>75-24-1</t>
  </si>
  <si>
    <t>trimethyl borate</t>
  </si>
  <si>
    <t>121-43-7</t>
  </si>
  <si>
    <t>trimethyl orthoacetate</t>
  </si>
  <si>
    <t>1445-45-0</t>
  </si>
  <si>
    <t>trimethyl orthoformate</t>
  </si>
  <si>
    <t>149-73-5</t>
  </si>
  <si>
    <t>trimethyl pentaphenol trisiloxane</t>
  </si>
  <si>
    <t>28855-11-0</t>
  </si>
  <si>
    <t>trimethyl phosphate</t>
  </si>
  <si>
    <t>512-56-1</t>
  </si>
  <si>
    <t>trimethyl phosphite</t>
  </si>
  <si>
    <t>121-45-9</t>
  </si>
  <si>
    <t>trimethyl-1,3-cyclopentadiene</t>
  </si>
  <si>
    <t>72347-62-7</t>
  </si>
  <si>
    <t>trimethyl-1-propanaminium iodide</t>
  </si>
  <si>
    <t>1652-63-7</t>
  </si>
  <si>
    <t>trimethylamine</t>
  </si>
  <si>
    <t>75-50-3</t>
  </si>
  <si>
    <t>trimethylammonium chloride</t>
  </si>
  <si>
    <t>593-81-7</t>
  </si>
  <si>
    <t>trimethylanitmony</t>
  </si>
  <si>
    <t>594-10-5</t>
  </si>
  <si>
    <t>trimethylbenzene</t>
  </si>
  <si>
    <t>25551-13-7</t>
  </si>
  <si>
    <t>trimethylchlorosilane</t>
  </si>
  <si>
    <t>75-77-4</t>
  </si>
  <si>
    <t>trimethylguanidine hydrochloride</t>
  </si>
  <si>
    <t>71371-43-2</t>
  </si>
  <si>
    <t>trimethylheptane, all isomers</t>
  </si>
  <si>
    <t>79004-86-7</t>
  </si>
  <si>
    <t>trimethyl-N, 2-hyroxyethylpropylenediamine</t>
  </si>
  <si>
    <t>82136-26-3</t>
  </si>
  <si>
    <t>trimethylol propane</t>
  </si>
  <si>
    <t>77-99-6</t>
  </si>
  <si>
    <t>trimethylolpropane (15) ethoxylate</t>
  </si>
  <si>
    <t>50586-59-9</t>
  </si>
  <si>
    <t>trimethylolpropane ethoxytriacrylate</t>
  </si>
  <si>
    <t>28961-43-5</t>
  </si>
  <si>
    <t>trimethylolpropane propoxylate</t>
  </si>
  <si>
    <t>25723-16-4 (PM)</t>
  </si>
  <si>
    <t>25723-16-4 (Vapor)</t>
  </si>
  <si>
    <t>trimethylolpropane triacrylate</t>
  </si>
  <si>
    <t>15625-89-5</t>
  </si>
  <si>
    <t>trimethylolpropane triglycidyl ether</t>
  </si>
  <si>
    <t>30499-70-8</t>
  </si>
  <si>
    <t>trimethylolpropane trimethacrylate</t>
  </si>
  <si>
    <t>3290-92-4</t>
  </si>
  <si>
    <t>trimethylolpropane tris[poly(propylene glycol), amine terminated] ether</t>
  </si>
  <si>
    <t>39423-51-3</t>
  </si>
  <si>
    <t>trinitrotoluene</t>
  </si>
  <si>
    <t>118-96-7</t>
  </si>
  <si>
    <t>trinitrotoluene, mixture of isomers</t>
  </si>
  <si>
    <t>1321-12-6</t>
  </si>
  <si>
    <t>tri-n-octylaluminum</t>
  </si>
  <si>
    <t>1070-00-4</t>
  </si>
  <si>
    <t>triorthocresyl phosphate</t>
  </si>
  <si>
    <t>78-30-8</t>
  </si>
  <si>
    <t>tri-o-tolylphosphite</t>
  </si>
  <si>
    <t>25586-42-9</t>
  </si>
  <si>
    <t>triparacresyl phosphate</t>
  </si>
  <si>
    <t>78-32-0</t>
  </si>
  <si>
    <t>triphenyl phosphate</t>
  </si>
  <si>
    <t>115-86-6</t>
  </si>
  <si>
    <t>triphenyl phosphine</t>
  </si>
  <si>
    <t>603-35-0</t>
  </si>
  <si>
    <t>triphenyl phosphine oxide</t>
  </si>
  <si>
    <t>791-28-6</t>
  </si>
  <si>
    <t>triphenyl phosphite</t>
  </si>
  <si>
    <t>101-02-0</t>
  </si>
  <si>
    <t>triphenyl stibine</t>
  </si>
  <si>
    <t>603-36-1</t>
  </si>
  <si>
    <t>triphenylamine</t>
  </si>
  <si>
    <t>603-34-9</t>
  </si>
  <si>
    <t>triphenyltin hydroxide</t>
  </si>
  <si>
    <t>76-87-9</t>
  </si>
  <si>
    <t>tripropylamine</t>
  </si>
  <si>
    <t>102-69-2</t>
  </si>
  <si>
    <t>tripropylene glycol</t>
  </si>
  <si>
    <t>24800-44-0 (PM)</t>
  </si>
  <si>
    <t>24800-44-0 (Vapor)</t>
  </si>
  <si>
    <t>tripropylene glycol allyl ether</t>
  </si>
  <si>
    <t>79313-19-2</t>
  </si>
  <si>
    <t>tripropylene glycol diacrylate</t>
  </si>
  <si>
    <t>42978-66-5</t>
  </si>
  <si>
    <t>tripropylene glycol methyl ether</t>
  </si>
  <si>
    <t>25498-49-1</t>
  </si>
  <si>
    <t>tripropylene glycol n-butyl ether</t>
  </si>
  <si>
    <t>55934-93-5</t>
  </si>
  <si>
    <t>tri-p-tolyl phosphite</t>
  </si>
  <si>
    <t>620-42-8</t>
  </si>
  <si>
    <t>tris(1-aziridinyl) phosphine sulfide</t>
  </si>
  <si>
    <t>52-24-4</t>
  </si>
  <si>
    <t>tris(1-chloro-2-propyl)phosphate</t>
  </si>
  <si>
    <t>13674-84-5</t>
  </si>
  <si>
    <t>tris(2,3-dibromopropyl) phosphate</t>
  </si>
  <si>
    <t>126-72-7</t>
  </si>
  <si>
    <t>tris(2-chloroethyl) phosphate</t>
  </si>
  <si>
    <t>115-96-8</t>
  </si>
  <si>
    <t>tris(3,4-dibromo-2-butyl)phosphate</t>
  </si>
  <si>
    <t>111712-49-3</t>
  </si>
  <si>
    <t>tris(aminoethyl) amine</t>
  </si>
  <si>
    <t>4097-89-6</t>
  </si>
  <si>
    <t>tris(hydroxymethyl)aminomethane</t>
  </si>
  <si>
    <t>77-86-1</t>
  </si>
  <si>
    <t>tris(hydroxyphenyl) ethane</t>
  </si>
  <si>
    <t>27955-94-8</t>
  </si>
  <si>
    <t>tris(nonylphenol) phosphite</t>
  </si>
  <si>
    <t>26523-78-4</t>
  </si>
  <si>
    <t>trisodium [{2-[bis(carboxylatomethyl)amino]ethyl}(2-hydroxyethyl)amino]acetate</t>
  </si>
  <si>
    <t>139-89-9 (PM)</t>
  </si>
  <si>
    <t>139-89-9 (Vapor)</t>
  </si>
  <si>
    <t>trisodium phosphate</t>
  </si>
  <si>
    <t>7601-54-9</t>
  </si>
  <si>
    <t>tristyrylphenol ethoxylates</t>
  </si>
  <si>
    <t>99734-09-5 (PM)</t>
  </si>
  <si>
    <t>99734-09-5 (Vapor)</t>
  </si>
  <si>
    <t>trisubstituted benzenesulfonic acid derivative</t>
  </si>
  <si>
    <t>143182-20-1 (PM)</t>
  </si>
  <si>
    <t>143182-20-1 (Vapor)</t>
  </si>
  <si>
    <t>tritolyl phosphate</t>
  </si>
  <si>
    <t>1330-78-5</t>
  </si>
  <si>
    <t>trivalent chromium</t>
  </si>
  <si>
    <t>16065-83-1</t>
  </si>
  <si>
    <t>trixylenyl phosphate</t>
  </si>
  <si>
    <t>25155-23-1</t>
  </si>
  <si>
    <t>tung oil</t>
  </si>
  <si>
    <t>8001-20-5</t>
  </si>
  <si>
    <t>tung oil, polymer with bisphenol A, p-tert butylphenol and formaldehyde</t>
  </si>
  <si>
    <t>68608-53-7</t>
  </si>
  <si>
    <t>tungsten</t>
  </si>
  <si>
    <t>7440-33-7</t>
  </si>
  <si>
    <t>tungsten carbonyl</t>
  </si>
  <si>
    <t>14040-11-0</t>
  </si>
  <si>
    <t>tungsten hexachloride</t>
  </si>
  <si>
    <t>13283-01-7</t>
  </si>
  <si>
    <t>tungsten hexafluoride</t>
  </si>
  <si>
    <t>7783-82-6</t>
  </si>
  <si>
    <t>tungsten trifluoride</t>
  </si>
  <si>
    <t>51621-17-1</t>
  </si>
  <si>
    <t>tungsten(IV) carbide</t>
  </si>
  <si>
    <t>12070-12-1</t>
  </si>
  <si>
    <t>tungsten, insoluble compounds</t>
  </si>
  <si>
    <t>tungsten, soluble compounds</t>
  </si>
  <si>
    <t>turpentine</t>
  </si>
  <si>
    <t>8006-64-2</t>
  </si>
  <si>
    <t>undecanal</t>
  </si>
  <si>
    <t>112-44-7</t>
  </si>
  <si>
    <t>undecanoic acid</t>
  </si>
  <si>
    <t>undecanol, branched and linear</t>
  </si>
  <si>
    <t>128973-77-3</t>
  </si>
  <si>
    <t>undecanol, non-specific isomer</t>
  </si>
  <si>
    <t>30207-98-8</t>
  </si>
  <si>
    <t>undecyl alcohol</t>
  </si>
  <si>
    <t>112-42-5</t>
  </si>
  <si>
    <t>undecyl alcohol ethoxylates</t>
  </si>
  <si>
    <t>127036-24-2</t>
  </si>
  <si>
    <t>undecylbenzene</t>
  </si>
  <si>
    <t>6742-54-7</t>
  </si>
  <si>
    <t>unsaturated polyamide, salts</t>
  </si>
  <si>
    <t>uracil mustard</t>
  </si>
  <si>
    <t>66-75-1</t>
  </si>
  <si>
    <t>uranium</t>
  </si>
  <si>
    <t>7440-61-1</t>
  </si>
  <si>
    <t>uranium, insoluble compounds</t>
  </si>
  <si>
    <t>uranium, soluble compounds</t>
  </si>
  <si>
    <t>urea</t>
  </si>
  <si>
    <t>57-13-6</t>
  </si>
  <si>
    <t>urethane</t>
  </si>
  <si>
    <t>51-79-6</t>
  </si>
  <si>
    <t>urethane acrylate</t>
  </si>
  <si>
    <t>urethane bisoxazolidine</t>
  </si>
  <si>
    <t>59719-67-4</t>
  </si>
  <si>
    <t>vacuum distillate, heavy naphthenic</t>
  </si>
  <si>
    <t>64741-53-3</t>
  </si>
  <si>
    <t>valeraldehyde</t>
  </si>
  <si>
    <t>110-62-3</t>
  </si>
  <si>
    <t>valeric acid</t>
  </si>
  <si>
    <t>109-52-4</t>
  </si>
  <si>
    <t>valeronitrile</t>
  </si>
  <si>
    <t>110-59-8</t>
  </si>
  <si>
    <t>valproic acid</t>
  </si>
  <si>
    <t>99-66-1</t>
  </si>
  <si>
    <t>vanadic acid</t>
  </si>
  <si>
    <t>19125-99-6</t>
  </si>
  <si>
    <t>vanadium</t>
  </si>
  <si>
    <t>7440-62-2</t>
  </si>
  <si>
    <t>vanadium pentoxide</t>
  </si>
  <si>
    <t>1314-62-1</t>
  </si>
  <si>
    <t>vanadium trioxide</t>
  </si>
  <si>
    <t>1314-34-7</t>
  </si>
  <si>
    <t>vanadium, inorganic compounds</t>
  </si>
  <si>
    <t>vanillin</t>
  </si>
  <si>
    <t>121-33-5</t>
  </si>
  <si>
    <t>vegetable oil</t>
  </si>
  <si>
    <t>68956-68-3 (PM)</t>
  </si>
  <si>
    <t>68956-68-3 (Vapor)</t>
  </si>
  <si>
    <t>vegetable oil, methyl esters</t>
  </si>
  <si>
    <t>68990-52-3 (PM)</t>
  </si>
  <si>
    <t>68990-52-3 (Vapor)</t>
  </si>
  <si>
    <t>verbenone</t>
  </si>
  <si>
    <t>80-57-9</t>
  </si>
  <si>
    <t>Vinclozolin</t>
  </si>
  <si>
    <t>50471-44-8</t>
  </si>
  <si>
    <t>vinyl 2-ethylhexyl ether</t>
  </si>
  <si>
    <t>103-44-6</t>
  </si>
  <si>
    <t>vinyl acetal polymers, acetal butyrals</t>
  </si>
  <si>
    <t>70775-95-0</t>
  </si>
  <si>
    <t>vinyl acetate</t>
  </si>
  <si>
    <t>108-05-4</t>
  </si>
  <si>
    <t>vinyl bromide</t>
  </si>
  <si>
    <t>593-60-2</t>
  </si>
  <si>
    <t>vinyl caprolactam</t>
  </si>
  <si>
    <t>2235-00-9</t>
  </si>
  <si>
    <t>vinyl chloride</t>
  </si>
  <si>
    <t>75-01-4</t>
  </si>
  <si>
    <t>vinyl crotonate</t>
  </si>
  <si>
    <t>14861-06-4</t>
  </si>
  <si>
    <t>vinyl ethylene carbonate</t>
  </si>
  <si>
    <t>4427-96-7 (PM)</t>
  </si>
  <si>
    <t>4427-96-7 (Vapor)</t>
  </si>
  <si>
    <t>vinyl fluoride</t>
  </si>
  <si>
    <t>75-02-5 (Not Defined)</t>
  </si>
  <si>
    <t>vinyl fluoride | For air permit reviews in agricultural areas</t>
  </si>
  <si>
    <t>vinyl fluoride | For air permit reviews in agricultural areas with cattle</t>
  </si>
  <si>
    <t>vinyl pivalate</t>
  </si>
  <si>
    <t>3377-92-2 (PM)</t>
  </si>
  <si>
    <t>3377-92-2 (Vapor)</t>
  </si>
  <si>
    <t>vinyl polymer</t>
  </si>
  <si>
    <t>vinyl propionate</t>
  </si>
  <si>
    <t>105-38-4</t>
  </si>
  <si>
    <t>vinyl terminated trifluoropropyl methylsiloxane - dimethylsiloxane, copolymer</t>
  </si>
  <si>
    <t>68951-98-4</t>
  </si>
  <si>
    <t>vinyl toluene</t>
  </si>
  <si>
    <t>25013-15-4</t>
  </si>
  <si>
    <t>vinyl-2-ethylhexoate</t>
  </si>
  <si>
    <t>94-04-2</t>
  </si>
  <si>
    <t>vinylcyclohexane</t>
  </si>
  <si>
    <t>695-12-5</t>
  </si>
  <si>
    <t>vinylene carbonate</t>
  </si>
  <si>
    <t>872-36-6</t>
  </si>
  <si>
    <t>vinylidene fluoride</t>
  </si>
  <si>
    <t>75-38-7</t>
  </si>
  <si>
    <t>vinylphosphonic acid</t>
  </si>
  <si>
    <t>1746-03-8</t>
  </si>
  <si>
    <t>vinylsulfonic acid sodium salt</t>
  </si>
  <si>
    <t>3039-83-6</t>
  </si>
  <si>
    <t>vinyltrichlorosilane</t>
  </si>
  <si>
    <t>75-94-5</t>
  </si>
  <si>
    <t>vinyltrimethoxysilane</t>
  </si>
  <si>
    <t>2768-02-7</t>
  </si>
  <si>
    <t>viscosity control additive</t>
  </si>
  <si>
    <t>Warfarin</t>
  </si>
  <si>
    <t>81-81-2</t>
  </si>
  <si>
    <t>wax</t>
  </si>
  <si>
    <t>white mineral oil</t>
  </si>
  <si>
    <t>8042-47-5</t>
  </si>
  <si>
    <t>wollastonite</t>
  </si>
  <si>
    <t>13983-17-0</t>
  </si>
  <si>
    <t>wood dust, hardwoods</t>
  </si>
  <si>
    <t>wood dust, soft woods</t>
  </si>
  <si>
    <t>wool wax</t>
  </si>
  <si>
    <t>8020-84-6</t>
  </si>
  <si>
    <t>xanthan gum</t>
  </si>
  <si>
    <t>11138-66-2</t>
  </si>
  <si>
    <t>xenon difluoride</t>
  </si>
  <si>
    <t>13709-36-9 (Not Defined)</t>
  </si>
  <si>
    <t>xenon difluoride | For air permit reviews in agricultural areas</t>
  </si>
  <si>
    <t>xenon difluoride | For air permit reviews in agricultural areas with cattle</t>
  </si>
  <si>
    <t>xylene</t>
  </si>
  <si>
    <t>1330-20-7</t>
  </si>
  <si>
    <t>xylenesulfonic acid</t>
  </si>
  <si>
    <t>25321-41-9</t>
  </si>
  <si>
    <t>xylenol, mixed isomers</t>
  </si>
  <si>
    <t>1300-71-6</t>
  </si>
  <si>
    <t>xylidine, mixed isomers</t>
  </si>
  <si>
    <t>1300-73-8</t>
  </si>
  <si>
    <t>xylitol</t>
  </si>
  <si>
    <t>87-99-0</t>
  </si>
  <si>
    <t>xylose</t>
  </si>
  <si>
    <t>58-86-6</t>
  </si>
  <si>
    <t>yellow pigment 14</t>
  </si>
  <si>
    <t>5468-75-7</t>
  </si>
  <si>
    <t>ylang ylang oil</t>
  </si>
  <si>
    <t>8006-81-3</t>
  </si>
  <si>
    <t>yttrium</t>
  </si>
  <si>
    <t>7440-65-5</t>
  </si>
  <si>
    <t>yttrium oxide</t>
  </si>
  <si>
    <t>1314-36-9</t>
  </si>
  <si>
    <t>Zeolite, NaA</t>
  </si>
  <si>
    <t>68989-22-0</t>
  </si>
  <si>
    <t>zinc</t>
  </si>
  <si>
    <t>7440-66-6</t>
  </si>
  <si>
    <t>zinc 2-ethylhexanoate</t>
  </si>
  <si>
    <t>136-53-8</t>
  </si>
  <si>
    <t>zinc acetate</t>
  </si>
  <si>
    <t>557-34-6</t>
  </si>
  <si>
    <t>zinc alkyl dithiophosphate</t>
  </si>
  <si>
    <t>68649-42-3</t>
  </si>
  <si>
    <t>zinc beryllium silicate</t>
  </si>
  <si>
    <t>39413-47-3</t>
  </si>
  <si>
    <t>zinc bis (O,O-diisobutyl dithiophosphate)</t>
  </si>
  <si>
    <t>68457-79-4 (PM)</t>
  </si>
  <si>
    <t>68457-79-4 (Vapor)</t>
  </si>
  <si>
    <t>zinc bis(O,O-bis[4-(2,4-dimethyl-3-propylheptyl)phenyl] dithiophosphate)</t>
  </si>
  <si>
    <t>11059-65-7 (PM)</t>
  </si>
  <si>
    <t>11059-65-7 (Vapor)</t>
  </si>
  <si>
    <t>zinc bis[O-(1,3-dimethylbutyl) O-(1-methylethyl) dithiophosphate]</t>
  </si>
  <si>
    <t>84605-29-8 (PM)</t>
  </si>
  <si>
    <t>84605-29-8 (Vapor)</t>
  </si>
  <si>
    <t>zinc bis[O,O-bis(1,3-dimethylbutyl) dithiophosphate]</t>
  </si>
  <si>
    <t>2215-35-2 (PM)</t>
  </si>
  <si>
    <t>2215-35-2 (Vapor)</t>
  </si>
  <si>
    <t>zinc bis[O,O-bis(2-ethylhexyl) dithiophosphate]</t>
  </si>
  <si>
    <t>4259-15-8 (PM)</t>
  </si>
  <si>
    <t>4259-15-8 (Vapor)</t>
  </si>
  <si>
    <t>zinc borate</t>
  </si>
  <si>
    <t>1332-07-6</t>
  </si>
  <si>
    <t>zinc bromide</t>
  </si>
  <si>
    <t>7699-45-8</t>
  </si>
  <si>
    <t>zinc carbonate</t>
  </si>
  <si>
    <t>3486-35-9</t>
  </si>
  <si>
    <t>zinc chloride fume</t>
  </si>
  <si>
    <t>7646-85-7</t>
  </si>
  <si>
    <t>zinc chromate</t>
  </si>
  <si>
    <t>13530-65-9</t>
  </si>
  <si>
    <t>zinc chromates</t>
  </si>
  <si>
    <t>37300-23-5</t>
  </si>
  <si>
    <t>zinc dialkyldithiophosphate (lubricant additives)</t>
  </si>
  <si>
    <t>zinc dibutyldithiocarbamate</t>
  </si>
  <si>
    <t>136-23-2</t>
  </si>
  <si>
    <t>zinc dihydrogen phosphate</t>
  </si>
  <si>
    <t>13598-37-3</t>
  </si>
  <si>
    <t>zinc dimethyldithiocarbamate</t>
  </si>
  <si>
    <t>137-30-4</t>
  </si>
  <si>
    <t>zinc dinonylnaphthalene sulfonate</t>
  </si>
  <si>
    <t>28016-00-4</t>
  </si>
  <si>
    <t>zinc dipentyldithiocarbamate</t>
  </si>
  <si>
    <t>15337-18-5</t>
  </si>
  <si>
    <t>zinc dithiophosphate</t>
  </si>
  <si>
    <t>19210-06-1</t>
  </si>
  <si>
    <t>zinc ferrite brown spinel</t>
  </si>
  <si>
    <t>68187-51-9</t>
  </si>
  <si>
    <t>zinc hydroxide</t>
  </si>
  <si>
    <t>20427-58-1</t>
  </si>
  <si>
    <t>zinc hydroxyphosphate</t>
  </si>
  <si>
    <t>64539-51-1</t>
  </si>
  <si>
    <t>zinc molybdate</t>
  </si>
  <si>
    <t>13767-32-3</t>
  </si>
  <si>
    <t>zinc naphthenate</t>
  </si>
  <si>
    <t>12001-85-3</t>
  </si>
  <si>
    <t>zinc nitrate</t>
  </si>
  <si>
    <t>7779-88-6</t>
  </si>
  <si>
    <t>zinc octoate</t>
  </si>
  <si>
    <t>557-09-5</t>
  </si>
  <si>
    <t>zinc oxide</t>
  </si>
  <si>
    <t>1314-13-2</t>
  </si>
  <si>
    <t>zinc phosphate</t>
  </si>
  <si>
    <t>7779-90-0</t>
  </si>
  <si>
    <t>zinc phosphide</t>
  </si>
  <si>
    <t>1314-84-7</t>
  </si>
  <si>
    <t>zinc salts of branched C10-C19 fatty acids</t>
  </si>
  <si>
    <t>68551-44-0</t>
  </si>
  <si>
    <t>zinc soap</t>
  </si>
  <si>
    <t>68918-69-4</t>
  </si>
  <si>
    <t>zinc stearate</t>
  </si>
  <si>
    <t>557-05-1</t>
  </si>
  <si>
    <t>zinc sulfate</t>
  </si>
  <si>
    <t>7733-02-0</t>
  </si>
  <si>
    <t>zinc sulfide</t>
  </si>
  <si>
    <t>1314-98-3</t>
  </si>
  <si>
    <t>zirconium</t>
  </si>
  <si>
    <t>7440-67-7</t>
  </si>
  <si>
    <t>zirconium alkanoate</t>
  </si>
  <si>
    <t>zirconium chlorohydrate</t>
  </si>
  <si>
    <t>18428-88-1</t>
  </si>
  <si>
    <t>zirconium octoate</t>
  </si>
  <si>
    <t>18312-04-4</t>
  </si>
  <si>
    <t>zirconium(IV) hydrogenphosphate</t>
  </si>
  <si>
    <t>13772-29-7</t>
  </si>
  <si>
    <t>zirconium(IV) oxide</t>
  </si>
  <si>
    <t>1314-23-4</t>
  </si>
  <si>
    <t>zirconium(IV) silicate</t>
  </si>
  <si>
    <t>14940-68-2</t>
  </si>
  <si>
    <t>zirconyl propionate</t>
  </si>
  <si>
    <t>84057-80-7</t>
  </si>
  <si>
    <t>N/A</t>
  </si>
  <si>
    <t>Other (Please Specify):</t>
  </si>
  <si>
    <r>
      <t xml:space="preserve">Read these instructions before attempting to fill in the information in the next tabs (Calculation and </t>
    </r>
    <r>
      <rPr>
        <b/>
        <sz val="11"/>
        <color rgb="FFFF0000"/>
        <rFont val="Arial"/>
        <family val="2"/>
      </rPr>
      <t>***</t>
    </r>
    <r>
      <rPr>
        <b/>
        <sz val="11"/>
        <color theme="1"/>
        <rFont val="Arial"/>
        <family val="2"/>
      </rPr>
      <t>)!</t>
    </r>
  </si>
  <si>
    <r>
      <t xml:space="preserve">Click the Top Information tab and complete Cells </t>
    </r>
    <r>
      <rPr>
        <sz val="11"/>
        <color rgb="FFFF0000"/>
        <rFont val="Arial"/>
        <family val="2"/>
      </rPr>
      <t>****</t>
    </r>
  </si>
  <si>
    <t>Ultra Heavy Liquid</t>
  </si>
  <si>
    <t>Are your facilities subject to fugitive emission monitoring under 30 TAC §§115.324(1)(C) and 354(1)(A) or are you applying reduction credit for process drains?</t>
  </si>
  <si>
    <t>If yes, provide justification for the selected reduction credit.
Note: Facilities subject to fugitive emission monitoring under 30 TAC §§115.324(1)(C) and 354(1)(A) are required to monitor process drains on an annual basis. A 75% reduction credit may be applied for annual monitoring of process drains at a leak threshold of 500 ppmv provided the drain is designed in such a manner that repairs to leaking drains can be achieved. For example, flushing a water seal on a leaking process drain would constitute repair, so a 75% reduction credit may be applied. Similarly, a 95% reduction credit can be applied for quarterly monitoring of drains if repairs to the leaking drains can be completed.</t>
  </si>
  <si>
    <t>Are you proposing any components not included in Section IV above?</t>
  </si>
  <si>
    <t>If yes, provide justification for the factors used for these unique components.</t>
  </si>
  <si>
    <t>V. Emission Rates - Unique Components</t>
  </si>
  <si>
    <t>III. Completing the Workbook</t>
  </si>
  <si>
    <t>IV. Submitting the Workbook</t>
  </si>
  <si>
    <t>1. Submit this workbook electronically as an Excel file (not as PDF) to the Air Permits Initial Review Team with your Form PI-1 General Application. APIRT's email is:</t>
  </si>
  <si>
    <t>apirt@tceq.texas.gov</t>
  </si>
  <si>
    <t>https://ftps.tceq.texas.gov/help/</t>
  </si>
  <si>
    <t>V. Printing the Workbook</t>
  </si>
  <si>
    <t>While APD does not need a hard copy of this workbook, you may need to print it for sending to the regional offices, local programs, and for public access if notice is required.
1. Do not print any sheets or pages without data entry.
2. The default printing setup for each sheet in the workbook is set for the TCEQ preferred format of all columns on one sheet. This makes the PDF easier to review. We have also set the print areas to not include the instructions on each sheet to save paper.
3. You have access to change all printing settings to fit your needs and printed font size. Some common options include:
    -Change what area you are printing (whole active sheet or a selection);
    -Change the orientation (portrait or landscape);
    -Change the margin size;
    -Change the scaling (all columns on one sheet, full size, your own custom selection, etc.).</t>
  </si>
  <si>
    <t>1-carboxyethenylcarboxyphosphonate (PM)</t>
  </si>
  <si>
    <t>1-carboxyethenylcarboxyphosphonate (Vapor)</t>
  </si>
  <si>
    <t>2536-05-2 (PM)</t>
  </si>
  <si>
    <t>2,2-methylene diphenyl diisocyanate</t>
  </si>
  <si>
    <t>2536-05-2 (Vapor)</t>
  </si>
  <si>
    <t>5873-54-1 (PM)</t>
  </si>
  <si>
    <t>2,4-methylene diphenyl diisocyanate</t>
  </si>
  <si>
    <t>5873-54-1 (Vapor)</t>
  </si>
  <si>
    <t>101-68-8 (PM)</t>
  </si>
  <si>
    <t>101-68-8 (Vapor)</t>
  </si>
  <si>
    <t>557-99-3 (For air permit reviews in agricultural areas)</t>
  </si>
  <si>
    <t>557-99-3 (For air permit reviews in agricultural areas with cattle)</t>
  </si>
  <si>
    <t>alcohol alkoxylate, surfactant (PM)</t>
  </si>
  <si>
    <t>alcohol alkoxylate, surfactant (Vapor)</t>
  </si>
  <si>
    <t>alkenyl modified oxyalkylene polymer (PM)</t>
  </si>
  <si>
    <t>alkenyl modified oxyalkylene polymer (Vapor)</t>
  </si>
  <si>
    <t>alkyl amine surfactant (PM)</t>
  </si>
  <si>
    <t>alkyl amine surfactant (Vapor)</t>
  </si>
  <si>
    <t>alkyl amine surfactant, acetate salt (PM)</t>
  </si>
  <si>
    <t>alkyl amine surfactant, acetate salt (Vapor)</t>
  </si>
  <si>
    <t>alkyl amine surfactant, phosphate ester salt (PM)</t>
  </si>
  <si>
    <t>alkyl amine surfactant, phosphate ester salt (Vapor)</t>
  </si>
  <si>
    <t>alkyl aryl sulfonic acid (PM)</t>
  </si>
  <si>
    <t>alkyl aryl sulfonic acid (Vapor)</t>
  </si>
  <si>
    <t>amine fatty acid condensate (PM)</t>
  </si>
  <si>
    <t>amine fatty acid condensate (Vapor)</t>
  </si>
  <si>
    <t>amine fatty acid condensate, acetate (PM)</t>
  </si>
  <si>
    <t>amine fatty acid condensate, acetate (Vapor)</t>
  </si>
  <si>
    <t>amine salt of dodecylbenzene sulfonic acid (PM)</t>
  </si>
  <si>
    <t>amine salt of dodecylbenzene sulfonic acid (Vapor)</t>
  </si>
  <si>
    <t>1341-49-7 (For air permit reviews in agricultural areas)</t>
  </si>
  <si>
    <t>1341-49-7 (For air permit reviews in agricultural areas with cattle)</t>
  </si>
  <si>
    <t>13826-83-0 (For air permit reviews in agricultural areasd)</t>
  </si>
  <si>
    <t>13826-83-0 (For air permit reviews in agricultural areas with cattle)</t>
  </si>
  <si>
    <t>12125-01-8 (For air permit reviews in agricultural areas)</t>
  </si>
  <si>
    <t>12125-01-8 (For air permit reviews in agricultural areas with cattle)</t>
  </si>
  <si>
    <t>arene-derived surfactant (PM)</t>
  </si>
  <si>
    <t>arene-derived surfactant (Vapor)</t>
  </si>
  <si>
    <t>aromatic amine, mercaptoacetic acid salt (PM)</t>
  </si>
  <si>
    <t>aromatic amine, mercaptoacetic acid salt (Vapor)</t>
  </si>
  <si>
    <t>aromatic amines, acetates (PM)</t>
  </si>
  <si>
    <t>aromatic amines, acetates (Vapor)</t>
  </si>
  <si>
    <t>blended feeding fat (PM)</t>
  </si>
  <si>
    <t>blended feeding fat (Vapor)</t>
  </si>
  <si>
    <t>7637-07-2 (For air permit reviews in agricultural areas)</t>
  </si>
  <si>
    <t>7637-07-2 (For air permit reviews in agricultural areas with cattle)</t>
  </si>
  <si>
    <t>7789-75-5 (For air permit reviews in agricultural areas)</t>
  </si>
  <si>
    <t>7789-75-5 (For air permit reviews in agricultural areas with cattle)</t>
  </si>
  <si>
    <t>carbonate, organic (PM)</t>
  </si>
  <si>
    <t>carbonate, organic (Vapor)</t>
  </si>
  <si>
    <t>353-50-4 (For air permit reviews in agricultural areas)</t>
  </si>
  <si>
    <t>353-50-4 (For air permit reviews in agricultural areas with cattle)</t>
  </si>
  <si>
    <t>carboxylic acid (PM)</t>
  </si>
  <si>
    <t>carboxylic acid (Vapor)</t>
  </si>
  <si>
    <t>castor oil polyol (PM)</t>
  </si>
  <si>
    <t>castor oil polyol (Vapor)</t>
  </si>
  <si>
    <t>334-48-5 (Not Defined)</t>
  </si>
  <si>
    <t>disulfonate surfactant (PM)</t>
  </si>
  <si>
    <t>disulfonate surfactant (Vapor)</t>
  </si>
  <si>
    <t>emulsifier, generic, not otherwise specified (PM)</t>
  </si>
  <si>
    <t>emulsifier, generic, not otherwise specified (Vapor)</t>
  </si>
  <si>
    <t>fatty acid ester, generic, not otherwise specified (PM)</t>
  </si>
  <si>
    <t>fatty acid ester, generic, not otherwise specified (Vapor)</t>
  </si>
  <si>
    <t>fatty amide, sodium salt (PM)</t>
  </si>
  <si>
    <t>fatty amide, sodium salt (Vapor)</t>
  </si>
  <si>
    <t>fatty amine carboxylate complex (PM)</t>
  </si>
  <si>
    <t>fatty amine carboxylate complex (Vapor)</t>
  </si>
  <si>
    <t>fatty amino compound, acetic acid salt (PM)</t>
  </si>
  <si>
    <t>fatty amino compound, acetic acid salt (Vapor)</t>
  </si>
  <si>
    <t>16872-11-0 (For air permit reviews in agricultural areas)</t>
  </si>
  <si>
    <t>16872-11-0 (For air permit reviews in agricultural areas with cattle)</t>
  </si>
  <si>
    <t>16961-83-4 (For air permit reviews in agricultural areas)</t>
  </si>
  <si>
    <t>16961-83-4 (For air permit reviews in agricultural areas with cattle)</t>
  </si>
  <si>
    <t>7789-21-1 (For air permit reviews in agricultural areas)</t>
  </si>
  <si>
    <t>7789-21-1 (For air permit reviews in agricultural areas with cattle)</t>
  </si>
  <si>
    <t>17439-11-1 (For air permit reviews in agricultural areas)</t>
  </si>
  <si>
    <t>17439-11-1 (For air permit reviews in agricultural areas with cattle)</t>
  </si>
  <si>
    <t>12021-95-3 (For air permit reviews in agricultural areas)</t>
  </si>
  <si>
    <t>12021-95-3 (For air permit reviews in agricultural areas with cattle)</t>
  </si>
  <si>
    <t>gasoline additives, generic, not otherwise specified (PM)</t>
  </si>
  <si>
    <t>gasoline additives, generic, not otherwise specified (Vapor)</t>
  </si>
  <si>
    <t>958029-37-3 (For air permit reviews in agricultural areas)</t>
  </si>
  <si>
    <t>958029-37-3 (For air permit reviews in agricultural areas with cattle)</t>
  </si>
  <si>
    <t>7664-39-3 (For air permit reviews in agricultural areas)</t>
  </si>
  <si>
    <t>7664-39-3 (For air permit reviews in agricultural areas with cattle)</t>
  </si>
  <si>
    <t>ionic surfactant (PM)</t>
  </si>
  <si>
    <t>ionic surfactant (Vapor)</t>
  </si>
  <si>
    <t>4098-71-9 (PM)</t>
  </si>
  <si>
    <t>4098-71-9 (Vapor)</t>
  </si>
  <si>
    <t>16949-65-8 (For air permit reviews in agricultural areas)</t>
  </si>
  <si>
    <t>16949-65-8 (For air permit reviews in agricultural areas with cattle)</t>
  </si>
  <si>
    <t>mercaptan, not otherwise specified</t>
  </si>
  <si>
    <t>5124-30-1 (PM)</t>
  </si>
  <si>
    <t>5124-30-1 (Vapor)</t>
  </si>
  <si>
    <t>26447-40-5 (PM)</t>
  </si>
  <si>
    <t>26447-40-5 (Vapor)</t>
  </si>
  <si>
    <t>150449-03-9 (Vapor)</t>
  </si>
  <si>
    <t>150449-03-9 (PM)</t>
  </si>
  <si>
    <t>organosiloxane polymer (PM)</t>
  </si>
  <si>
    <t>organosiloxane polymer (Vapor)</t>
  </si>
  <si>
    <t>oxirane, generic, not otherwise specified (PM)</t>
  </si>
  <si>
    <t>oxirane, generic, not otherwise specified (Vapor)</t>
  </si>
  <si>
    <t>oxyalkylated amines (PM)</t>
  </si>
  <si>
    <t>oxyalkylated amines (Vapor)</t>
  </si>
  <si>
    <t>7616-94-6 (For air permit reviews in agricultural areas)</t>
  </si>
  <si>
    <t>7616-94-6 (For air permit reviews in agricultural areas with cattle)</t>
  </si>
  <si>
    <t>7647-19-0 (For air permit reviews in agricultural areas)</t>
  </si>
  <si>
    <t>7647-19-0 (For air permit reviews in agricultural areas with cattle)</t>
  </si>
  <si>
    <t>polyalkene, generic, not otherwise specified (PM)</t>
  </si>
  <si>
    <t>polyalkene, generic, not otherwise specified (Vapor)</t>
  </si>
  <si>
    <t>polyether polyol (PM)</t>
  </si>
  <si>
    <t>polyether polyol (Vapor)</t>
  </si>
  <si>
    <t>7789-23-3 (For air permit reviews in agricultural areas)</t>
  </si>
  <si>
    <t>7789-23-3 (For air permit reviews in agricultural areas with cattle)</t>
  </si>
  <si>
    <t>2991-51-7 (For air permit reviews in agricultural areas)</t>
  </si>
  <si>
    <t>2991-51-7 (For air permit reviews in agricultural areas with cattle)</t>
  </si>
  <si>
    <t>silica, crystalline forms (PM)</t>
  </si>
  <si>
    <t>silica, crystalline forms (PM4)</t>
  </si>
  <si>
    <t>39384-00-4 (For air permit reviews in agricultural areas)</t>
  </si>
  <si>
    <t>39384-00-4 (For air permit reviews in agricultural areas with cattle)</t>
  </si>
  <si>
    <t>13966-66-0 (For air permit reviews in agricultural areas)</t>
  </si>
  <si>
    <t>13966-66-0 (For air permit reviews in agricultural areas with cattle)</t>
  </si>
  <si>
    <t>7783-61-1 (For air permit reviews in agricultural areas)</t>
  </si>
  <si>
    <t>7783-61-1 (For air permit reviews in agricultural areas with cattle)</t>
  </si>
  <si>
    <t>silicones, di-Me (PM)</t>
  </si>
  <si>
    <t>silicones, di-Me (Vapor)</t>
  </si>
  <si>
    <t>siloxanes, di-Me (PM)</t>
  </si>
  <si>
    <t>siloxanes, di-Me (Vapor)</t>
  </si>
  <si>
    <t>1333-83-1 (For air permit reviews in agricultural areas)</t>
  </si>
  <si>
    <t>1333-83-1 (For air permit reviews in agricultural areas with cattle)</t>
  </si>
  <si>
    <t>13755-29-8 (For air permit reviews in agricultural areas)</t>
  </si>
  <si>
    <t>13755-29-8 (For air permit reviews in agricultural areas with cattle)</t>
  </si>
  <si>
    <t>7681-49-4 (For air permit reviews in agricultural areas)</t>
  </si>
  <si>
    <t>7681-49-4 (For air permit reviews in agricultural areas with cattle)</t>
  </si>
  <si>
    <t>16893-85-9 (For air permit reviews in agricultural areas)</t>
  </si>
  <si>
    <t>16893-85-9 (For air permit reviews in agricultural areas with cattle)</t>
  </si>
  <si>
    <t>110-44-1 (Vapor)</t>
  </si>
  <si>
    <t>110-44-1 (PM)</t>
  </si>
  <si>
    <t>soy-based mixture (PM)</t>
  </si>
  <si>
    <t>soy-based mixture (Vapor)</t>
  </si>
  <si>
    <t>112-76-5 (PM)</t>
  </si>
  <si>
    <t>112-76-5 (Vapor)</t>
  </si>
  <si>
    <t>substituted nonylphenol surfactant (PM)</t>
  </si>
  <si>
    <t>substituted nonylphenol surfactant (Vapor)</t>
  </si>
  <si>
    <t>5714-22-7 (For air permit reviews in agricultural areas)</t>
  </si>
  <si>
    <t>5714-22-7 (For air permit reviews in agricultural areas with cattle)</t>
  </si>
  <si>
    <t>7783-60-0 (For air permit reviews in agricultural areas)</t>
  </si>
  <si>
    <t>7783-60-0 (For air permit reviews in agricultural areas with cattle)</t>
  </si>
  <si>
    <t>surfactant, generic, not otherwise specified (PM)</t>
  </si>
  <si>
    <t>surfactant, generic, not otherwise specified (Vapor)</t>
  </si>
  <si>
    <t>tertiary amines derived from fatty alcohols (PM)</t>
  </si>
  <si>
    <t>tertiary amines derived from fatty alcohols (Vapor)</t>
  </si>
  <si>
    <t>76-05-1 (For air permit reviews in agricultural areas)</t>
  </si>
  <si>
    <t>76-05-1 (For air permit reviews in agricultural areas with cattle)</t>
  </si>
  <si>
    <t>112-37-8 (PM)</t>
  </si>
  <si>
    <t>112-37-8 (Not Defined)</t>
  </si>
  <si>
    <t>75-02-5 (For air permit reviews in agricultural areas)</t>
  </si>
  <si>
    <t>75-02-5 (For air permit reviews in agricultural areas with cattle)</t>
  </si>
  <si>
    <t>13709-36-9 (For air permit reviews in agricultural areas)</t>
  </si>
  <si>
    <t>13709-36-9 (For air permit reviews in agricultural areas with cattle)</t>
  </si>
  <si>
    <t>Permit number</t>
  </si>
  <si>
    <t>ListInspection</t>
  </si>
  <si>
    <t>ListCNT</t>
  </si>
  <si>
    <t>ListNone</t>
  </si>
  <si>
    <t>Weight Percent</t>
  </si>
  <si>
    <t>I acknowledge that I am submitting an authorized TCEQ application workbook and any necessary attachments. Except for inputting the requested data and adjusting row height and column width, I have not changed the TCEQ application workbook in any way, including but not limited to changing formulas, formatting, content, or protections.</t>
  </si>
  <si>
    <r>
      <rPr>
        <b/>
        <sz val="11"/>
        <color rgb="FFFF0000"/>
        <rFont val="Calibri"/>
        <family val="2"/>
        <scheme val="minor"/>
      </rPr>
      <t xml:space="preserve">NOTE: </t>
    </r>
    <r>
      <rPr>
        <sz val="11"/>
        <color theme="1"/>
        <rFont val="Arial"/>
        <family val="2"/>
      </rPr>
      <t>Data from January 6, 2020, consistent with the EMEWs (Version 2.3). ESLs included for possible future development of this workbook to include impacts, but not currently referenced within this workbook.</t>
    </r>
  </si>
  <si>
    <t>Emission Point Number (EPN)</t>
  </si>
  <si>
    <t>-</t>
  </si>
  <si>
    <t>Source name</t>
  </si>
  <si>
    <t>No</t>
  </si>
  <si>
    <t>VOC?</t>
  </si>
  <si>
    <t>Inert / Not a Contaminant?</t>
  </si>
  <si>
    <t>Total Annual VOC Emissions (tpy)</t>
  </si>
  <si>
    <t>II. Industry, Pollutant Type and Emission Factors</t>
  </si>
  <si>
    <t>Common Components</t>
  </si>
  <si>
    <t>Common Service</t>
  </si>
  <si>
    <t>OG Components</t>
  </si>
  <si>
    <t>OG Service</t>
  </si>
  <si>
    <t>Gas</t>
  </si>
  <si>
    <t>Gas [3]</t>
  </si>
  <si>
    <t>Gas [3] [4]</t>
  </si>
  <si>
    <t>Heavy Oil &lt;20° API</t>
  </si>
  <si>
    <t>Light Oil &gt; 20°</t>
  </si>
  <si>
    <t>Light Oil &gt; 20° [3][4]</t>
  </si>
  <si>
    <t>Water/Light Oil</t>
  </si>
  <si>
    <t>Heavy Oil &lt;20°API</t>
  </si>
  <si>
    <t>Light Oil &gt;20°</t>
  </si>
  <si>
    <t>Flanges (controlled)</t>
  </si>
  <si>
    <t>Ethylene Oxide w/MID</t>
  </si>
  <si>
    <t>Phosgene w/MID</t>
  </si>
  <si>
    <t>Butadiene w/MID</t>
  </si>
  <si>
    <t>Oil and Gas Production Operation</t>
  </si>
  <si>
    <t>Proposed Control Efficiency</t>
  </si>
  <si>
    <t>Controlled lb/hr</t>
  </si>
  <si>
    <t>Industry</t>
  </si>
  <si>
    <t>SOCMI w/o Ethylene</t>
  </si>
  <si>
    <t>SOCMI w Ethylene</t>
  </si>
  <si>
    <t>Instrument Monitoring LDAR Program (select one, do not leave blank, select None if not applicable)</t>
  </si>
  <si>
    <t>Physical Inspection LDAR Program (select one, do not leave blank, select None if not applicable)</t>
  </si>
  <si>
    <t>If yes, please select the appropriate control efficiency:</t>
  </si>
  <si>
    <t>Petroleum Marketing Terminal w 28PET</t>
  </si>
  <si>
    <t>Compound Specific Components</t>
  </si>
  <si>
    <t>Compound Specific Service</t>
  </si>
  <si>
    <t>PET Components</t>
  </si>
  <si>
    <t>PET Service</t>
  </si>
  <si>
    <t>Refinery Components</t>
  </si>
  <si>
    <t>Refinery Service</t>
  </si>
  <si>
    <t>Liquid</t>
  </si>
  <si>
    <t>Total Weight Percent, Hourly Emissions and Annual Emissions (excluding Inert / Not a Contaminant)</t>
  </si>
  <si>
    <t>Instrument Monitoring LDAR Programs</t>
  </si>
  <si>
    <t>Industry Type (select one before continuing, do not leave blank)</t>
  </si>
  <si>
    <t>Footnotes:</t>
  </si>
  <si>
    <t>[3] DTM refers to difficult-to-monitor or unsafe to monitor components.</t>
  </si>
  <si>
    <t xml:space="preserve">[4] DTM (AM) refers to difficult-to-monitor/unsafe to monitor components that are monitored annually at 500 ppmv. </t>
  </si>
  <si>
    <t>[5] Facilities subject to fugitive emission monitoring under 30 TAC §§115.324(1)(C) and 354(1)(A) are required to monitor process drains on an annual basis.
 A 75% reduction credit may be applied for annual monitoring of process drains at a leak threshold of 500 ppmv provided the drain is designed in such a manner that repairs to leaking drains can be achieved. For example, flushing a water seal on a leaking process drain would constitute repair, so a 75% reduction credit may be applied. Similarly, a 95% reduction credit can be applied for quarterly monitoring of drains if repairs to the leaking drains can be completed.</t>
  </si>
  <si>
    <t>[7] Petroleum marketing terminals require the use of the monthly 28PET LDAR program. The control credit is included in the factors; no additional control credit or LDAR program can be applied for these facilities.</t>
  </si>
  <si>
    <t>Sampling Connections (hourly) [1]</t>
  </si>
  <si>
    <t>Sampling Connections (annual) [2]</t>
  </si>
  <si>
    <t>Flanges/Connectors-DTM [3]</t>
  </si>
  <si>
    <t>Flanges/Connectors-DTM(AM) [4]</t>
  </si>
  <si>
    <t>Valves-DTM [3]</t>
  </si>
  <si>
    <t>Valves-DTM(AM) [4]</t>
  </si>
  <si>
    <t>Flanges-DTM [3]</t>
  </si>
  <si>
    <t>Flanges-DTM(AM) [4]</t>
  </si>
  <si>
    <t>Connectors-DTM [3]</t>
  </si>
  <si>
    <t>Connectors-DTM (AM) [4]</t>
  </si>
  <si>
    <t>Connectors</t>
  </si>
  <si>
    <t>Flanges</t>
  </si>
  <si>
    <t>Process Drains [5]</t>
  </si>
  <si>
    <t xml:space="preserve">[8] For Petroleum Marketing Terminals, "Other" includes any component excluding fittings, pumps, and valves. </t>
  </si>
  <si>
    <t>[10] For oil and gas production operations, "Other" includes diaphragms, dump arms, hatches, instruments, meters, polished rods, and vents.</t>
  </si>
  <si>
    <t>Other [10]</t>
  </si>
  <si>
    <t>Other [8]</t>
  </si>
  <si>
    <t>End of Workbook</t>
  </si>
  <si>
    <t>Helper Variables</t>
  </si>
  <si>
    <t>Fugitive Calculation Workbook</t>
  </si>
  <si>
    <t>Calculation Sheet</t>
  </si>
  <si>
    <t>Industry Emission Factor</t>
  </si>
  <si>
    <t>Instrument Monitoring LDAR Control Efficiency</t>
  </si>
  <si>
    <t>Physical Inspection LDAR Control Efficiency</t>
  </si>
  <si>
    <t>Other Species?</t>
  </si>
  <si>
    <t>Summary Sheet</t>
  </si>
  <si>
    <t>Calculation Sheet Name</t>
  </si>
  <si>
    <t>Fug (1)</t>
  </si>
  <si>
    <t>Fug (2)</t>
  </si>
  <si>
    <t>Fug (3)</t>
  </si>
  <si>
    <t>Fug (4)</t>
  </si>
  <si>
    <t>Fug (5)</t>
  </si>
  <si>
    <t>Fug (6)</t>
  </si>
  <si>
    <t>Fug (7)</t>
  </si>
  <si>
    <t>Fug (8)</t>
  </si>
  <si>
    <t>Fug (9)</t>
  </si>
  <si>
    <t>Fug (10)</t>
  </si>
  <si>
    <t>Fug (11)</t>
  </si>
  <si>
    <t>Fug (12)</t>
  </si>
  <si>
    <t>Fug (13)</t>
  </si>
  <si>
    <t>Fug (14)</t>
  </si>
  <si>
    <t>Fug (15)</t>
  </si>
  <si>
    <t>Fug (16)</t>
  </si>
  <si>
    <t>Fug (17)</t>
  </si>
  <si>
    <t>Fug (18)</t>
  </si>
  <si>
    <t>Fug (19)</t>
  </si>
  <si>
    <t>Fug (20)</t>
  </si>
  <si>
    <t>Fug (21)</t>
  </si>
  <si>
    <t>Fug (22)</t>
  </si>
  <si>
    <t>Fug (23)</t>
  </si>
  <si>
    <t>Fug (24)</t>
  </si>
  <si>
    <t>Fug (25)</t>
  </si>
  <si>
    <t>Summary</t>
  </si>
  <si>
    <t>Total</t>
  </si>
  <si>
    <t>This worksheet displays the total emission rates for all tabs. It should be reviewed after completing the necessary number of calculation tabs. Emissions from compounds considered inert or not considered contaminants are set to zero.</t>
  </si>
  <si>
    <t>EPN</t>
  </si>
  <si>
    <t>Inorganic?</t>
  </si>
  <si>
    <t>Total Annual Inorganic Emissions (tpy)</t>
  </si>
  <si>
    <t>The following hyperlinks are for navigating the various worksheets (tabs) of this workbook. Click on a hyperlink to navigate to the corresponding worksheet.</t>
  </si>
  <si>
    <t xml:space="preserve">1. Detailed instructions are listed in the beginning of each calculation sheet and should be followed carefully while completing this workbook.
2. Not all user-accessible cells need to be filled out. For example, if no custom components are needed, most of Section V will be empty. You may use the "tab" button or the arrow keys to move to the next available cell. Use "Enter" to move down a line. Note: dropdowns are case-sensitive.
3. Do not delete any unused sheets. Unused sheets do not need to be printed.
         </t>
  </si>
  <si>
    <t>2. Do not email confidential information. Submit via confidential hardcopy, disc, or flash drive. Please note that the composition of air emissions is not considered confidential in air permitting.
3. For files that are too large to submit via email, files can be shared with the Air Permits Division through a secure FTP. You will need to upload the files into the TCEQ FTP site and share the files with APIRT. Once your project has been assigned, contact your permit reviewer to transfer files via FTP. See the below link for additional information about submitting via FTP:</t>
  </si>
  <si>
    <t>VOC-Exempt Solvent?</t>
  </si>
  <si>
    <t>Total Hourly Inorganic Emissions (lbs/hr)</t>
  </si>
  <si>
    <t>Total Count, Total Emission Rates (lbs/hr and tpy)</t>
  </si>
  <si>
    <t>VI. Speciation (non-GHG)</t>
  </si>
  <si>
    <t>VII. Speciation (GHG)</t>
  </si>
  <si>
    <t>Chemical Constituent Name</t>
  </si>
  <si>
    <t>Name</t>
  </si>
  <si>
    <t>CAS No.</t>
  </si>
  <si>
    <t>Chemical formula</t>
  </si>
  <si>
    <t>Carbon dioxide</t>
  </si>
  <si>
    <t>124-38-9</t>
  </si>
  <si>
    <t>CO2</t>
  </si>
  <si>
    <t>Methane</t>
  </si>
  <si>
    <t>74-82-8</t>
  </si>
  <si>
    <t>CH4</t>
  </si>
  <si>
    <t>Nitrous oxide</t>
  </si>
  <si>
    <t>N2O</t>
  </si>
  <si>
    <t>Sulfur hexafluoride</t>
  </si>
  <si>
    <t>SF6</t>
  </si>
  <si>
    <t>Trifluoromethyl sulphur pentafluoride</t>
  </si>
  <si>
    <t>373-80-8</t>
  </si>
  <si>
    <t>SF5CF3</t>
  </si>
  <si>
    <t>Nitrogen trifluoride</t>
  </si>
  <si>
    <t>NF3</t>
  </si>
  <si>
    <t>PFC-14 (Perfluoromethane)</t>
  </si>
  <si>
    <t>CF4</t>
  </si>
  <si>
    <t>PFC-116 (Perfluoroethane)</t>
  </si>
  <si>
    <t>C2F6</t>
  </si>
  <si>
    <t>PFC-218 (Perfluoropropane)</t>
  </si>
  <si>
    <t>C3F8</t>
  </si>
  <si>
    <t>Perfluorocyclopropane</t>
  </si>
  <si>
    <t>931-91-9</t>
  </si>
  <si>
    <t>C-C3F6</t>
  </si>
  <si>
    <t>PFC-3-1-10 (Perfluorobutane)</t>
  </si>
  <si>
    <t>C4F10</t>
  </si>
  <si>
    <t>PFC-318 (Perfluorocyclobutane)</t>
  </si>
  <si>
    <t>C-C4F8</t>
  </si>
  <si>
    <t>PFC-4-1-12 (Perfluoropentane)</t>
  </si>
  <si>
    <t>678-26-2</t>
  </si>
  <si>
    <t>C5F12</t>
  </si>
  <si>
    <t>PFC-5-1-14 (Perfluorohexane, FC-72)</t>
  </si>
  <si>
    <t>C6F14</t>
  </si>
  <si>
    <t>PFC-6-1-12</t>
  </si>
  <si>
    <t>335-57-9</t>
  </si>
  <si>
    <t>C7F16; CF3(CF2)5CF3</t>
  </si>
  <si>
    <t>PFC-7-1-18</t>
  </si>
  <si>
    <t>307-34-6</t>
  </si>
  <si>
    <t>C8F18; CF3(CF2)6CF3</t>
  </si>
  <si>
    <t>PFC-9-1-18</t>
  </si>
  <si>
    <t>306-94-5</t>
  </si>
  <si>
    <t>C10F18</t>
  </si>
  <si>
    <t>PFPMIE (HT-70)</t>
  </si>
  <si>
    <t>CF3OCF(CF3)CF2OCF2OCF3</t>
  </si>
  <si>
    <t>Perfluorodecalin (cis)</t>
  </si>
  <si>
    <t>60433-11-6</t>
  </si>
  <si>
    <t>Z-C10F18</t>
  </si>
  <si>
    <t>Perfluorodecalin (trans)</t>
  </si>
  <si>
    <t>60433-12-7</t>
  </si>
  <si>
    <t>E-C10F18</t>
  </si>
  <si>
    <t>HFC-23</t>
  </si>
  <si>
    <t>CHF3</t>
  </si>
  <si>
    <t>HFC-32</t>
  </si>
  <si>
    <t>CH2F2</t>
  </si>
  <si>
    <t>HFC-125</t>
  </si>
  <si>
    <t>C2HF5</t>
  </si>
  <si>
    <t>HFC-134</t>
  </si>
  <si>
    <t>359-35-3</t>
  </si>
  <si>
    <t>C2H2F4</t>
  </si>
  <si>
    <t>HFC-134a</t>
  </si>
  <si>
    <t>CH2FCF3</t>
  </si>
  <si>
    <t>HFC-227ca</t>
  </si>
  <si>
    <t>2252-84-8</t>
  </si>
  <si>
    <t>CF3CF2CHF2</t>
  </si>
  <si>
    <t>HFC-227ea</t>
  </si>
  <si>
    <t>C3HF7</t>
  </si>
  <si>
    <t>HFC-236cb</t>
  </si>
  <si>
    <t>677-56-5</t>
  </si>
  <si>
    <t>CH2FCF2CF3</t>
  </si>
  <si>
    <t>HFC-236ea</t>
  </si>
  <si>
    <t>431-63-0</t>
  </si>
  <si>
    <t>CHF2CHFCF3</t>
  </si>
  <si>
    <t>HFC-236fa</t>
  </si>
  <si>
    <t>C3H2F6</t>
  </si>
  <si>
    <t>HFC-329p</t>
  </si>
  <si>
    <t>375-17-7</t>
  </si>
  <si>
    <t>CHF2CF2CF2CF3</t>
  </si>
  <si>
    <t>HFC-43-10mee</t>
  </si>
  <si>
    <t>CF3CFHCFHCF2CF3</t>
  </si>
  <si>
    <t>HFC-41</t>
  </si>
  <si>
    <t>CH3F</t>
  </si>
  <si>
    <t>HFC-143</t>
  </si>
  <si>
    <t>430-66-0</t>
  </si>
  <si>
    <t>C2H3F3</t>
  </si>
  <si>
    <t>HFC-143a</t>
  </si>
  <si>
    <t>HFC-152</t>
  </si>
  <si>
    <t>624-72-6</t>
  </si>
  <si>
    <t>CH2FCH2F</t>
  </si>
  <si>
    <t>HFC-152a</t>
  </si>
  <si>
    <t>CH3CHF2</t>
  </si>
  <si>
    <t>HFC-161</t>
  </si>
  <si>
    <t>CH3CH2F</t>
  </si>
  <si>
    <t>HFC-245ca</t>
  </si>
  <si>
    <t>679-86-7</t>
  </si>
  <si>
    <t>C3H3F5</t>
  </si>
  <si>
    <t>HFC-245cb</t>
  </si>
  <si>
    <t>CF3CF2CH3</t>
  </si>
  <si>
    <t>HFC-245ea</t>
  </si>
  <si>
    <t>24270-66-4</t>
  </si>
  <si>
    <t>CHF2CHFCHF2</t>
  </si>
  <si>
    <t>HFC-245eb</t>
  </si>
  <si>
    <t>431-31-2</t>
  </si>
  <si>
    <t>CH2FCHFCF3</t>
  </si>
  <si>
    <t>HFC-245fa</t>
  </si>
  <si>
    <t>CHF2CH2CF3</t>
  </si>
  <si>
    <t>HFC-263fb</t>
  </si>
  <si>
    <t>421-07-8</t>
  </si>
  <si>
    <t>CH3CH2CF3</t>
  </si>
  <si>
    <t>HFC-272ca</t>
  </si>
  <si>
    <t>420-45-1</t>
  </si>
  <si>
    <t>CH3CF2CH3</t>
  </si>
  <si>
    <t>HFC-365mfc</t>
  </si>
  <si>
    <t>CH3CF2CH2CF3</t>
  </si>
  <si>
    <t>HFE-125</t>
  </si>
  <si>
    <t>3822-68-2</t>
  </si>
  <si>
    <t>CHF2OCF3</t>
  </si>
  <si>
    <t>HFE-227ea</t>
  </si>
  <si>
    <t>2356-62-9</t>
  </si>
  <si>
    <t>CF3CHFOCF3</t>
  </si>
  <si>
    <t>HFE-329mcc2</t>
  </si>
  <si>
    <t>134769-21-4</t>
  </si>
  <si>
    <t>CF3CF2OCF2CHF2</t>
  </si>
  <si>
    <t>HFE-329me3</t>
  </si>
  <si>
    <t>428454-68-6</t>
  </si>
  <si>
    <t>CF3CFHCF2OCF3</t>
  </si>
  <si>
    <t>1,1,1,2,2,3,3-Heptafluoro-3-(1,2,2,2-tetrafluoroethoxy)-propane</t>
  </si>
  <si>
    <t>3330-15-2</t>
  </si>
  <si>
    <t>CF3CF2CF2OCHFCF3</t>
  </si>
  <si>
    <t>HFE-134 (HG-00)</t>
  </si>
  <si>
    <t>1691-17-4</t>
  </si>
  <si>
    <t>CHF2OCHF2</t>
  </si>
  <si>
    <t>HFE-236ca</t>
  </si>
  <si>
    <t>32778-11-3</t>
  </si>
  <si>
    <t>CHF2OCF2CHF2</t>
  </si>
  <si>
    <t>HFE-236ca12 (HG-10)</t>
  </si>
  <si>
    <t>78522-47-1</t>
  </si>
  <si>
    <t>CHF2OCF2OCHF2</t>
  </si>
  <si>
    <t>HFE-236ea2 (Desflurane)</t>
  </si>
  <si>
    <t>57041-67-5</t>
  </si>
  <si>
    <t>CHF2OCHFCF3</t>
  </si>
  <si>
    <t>HFE-236fa</t>
  </si>
  <si>
    <t>20193-67-3</t>
  </si>
  <si>
    <t>CF3CH2OCF3</t>
  </si>
  <si>
    <t>HFE-338mcf2</t>
  </si>
  <si>
    <t>156053-88-2</t>
  </si>
  <si>
    <t>CF3CF2OCH2CF3</t>
  </si>
  <si>
    <t>HFE-338mmz1</t>
  </si>
  <si>
    <t>26103-08-2</t>
  </si>
  <si>
    <t>CHF2OCH(CF3)2</t>
  </si>
  <si>
    <t>HFE-338pcc13 (HG-01)</t>
  </si>
  <si>
    <t>188690-78-0</t>
  </si>
  <si>
    <t>CHF2OCF2CF2OCHF2</t>
  </si>
  <si>
    <t>HFE-43-10pccc (H-Galden 1040x, HG-11)</t>
  </si>
  <si>
    <t>E1730133</t>
  </si>
  <si>
    <t>CHF2OCF2OC2F4OCHF2</t>
  </si>
  <si>
    <t>HCFE-235ca2 (Enflurane)</t>
  </si>
  <si>
    <t>CHF2OCF2CHFCl</t>
  </si>
  <si>
    <t>HCFE-235da2 (Isoflurane)</t>
  </si>
  <si>
    <t>CHF2OCHClCF3</t>
  </si>
  <si>
    <t>HG-02</t>
  </si>
  <si>
    <t>205367-61-9</t>
  </si>
  <si>
    <t>HF2C-(OCF2CF2)2-OCF2H</t>
  </si>
  <si>
    <t>HG-03</t>
  </si>
  <si>
    <t>173350-37-3</t>
  </si>
  <si>
    <t>HF2C-(OCF2CF2)3-OCF2H</t>
  </si>
  <si>
    <t>HG-20</t>
  </si>
  <si>
    <t>249932-25-0</t>
  </si>
  <si>
    <t>HF2C-(OCF2)2-OCF2H</t>
  </si>
  <si>
    <t>HG-21</t>
  </si>
  <si>
    <t>249932-26-1</t>
  </si>
  <si>
    <t>HF2C-OCF2CF2OCF2OCF2O-CF2H</t>
  </si>
  <si>
    <t>HG-30</t>
  </si>
  <si>
    <t>188690-77-9</t>
  </si>
  <si>
    <t>HF2C-(OCF2)3-OCF2H</t>
  </si>
  <si>
    <t>1,1,3,3,4,4,6,6,7,7,9,9,10,10,12,12,13,13,15,15-eicosafluoro-2,5,8,11,14-Pentaoxapentadecane</t>
  </si>
  <si>
    <t>173350-38-4</t>
  </si>
  <si>
    <t>HCF2O(CF2CF2O)4CF2H</t>
  </si>
  <si>
    <t>1,1,2-Trifluoro-2-(trifluoromethoxy)-ethane</t>
  </si>
  <si>
    <t>84011-06-3</t>
  </si>
  <si>
    <t>CHF2CHFOCF3</t>
  </si>
  <si>
    <t>Trifluoro(fluoromethoxy)methane</t>
  </si>
  <si>
    <t>2261-01-0</t>
  </si>
  <si>
    <t>CH2FOCF3</t>
  </si>
  <si>
    <t>HFE-143a</t>
  </si>
  <si>
    <t>421-14-7</t>
  </si>
  <si>
    <t>CH3OCF3</t>
  </si>
  <si>
    <t>HFE-245cb2</t>
  </si>
  <si>
    <t>22410-44-2</t>
  </si>
  <si>
    <t>CH3OCF2CF3</t>
  </si>
  <si>
    <t>HFE-245fa1</t>
  </si>
  <si>
    <t>84011-15-4</t>
  </si>
  <si>
    <t>CHF2CH2OCF3</t>
  </si>
  <si>
    <t>HFE-245fa2</t>
  </si>
  <si>
    <t>1885-48-9</t>
  </si>
  <si>
    <t>CHF2OCH2CF3</t>
  </si>
  <si>
    <t>HFE-254cb2</t>
  </si>
  <si>
    <t>425-88-7</t>
  </si>
  <si>
    <t>CH3OCF2CHF2</t>
  </si>
  <si>
    <t>HFE-263fb2</t>
  </si>
  <si>
    <t>460-43-5</t>
  </si>
  <si>
    <t>CF3CH2OCH3</t>
  </si>
  <si>
    <t>HFE-263m1; R-E-143a</t>
  </si>
  <si>
    <t>690-22-2</t>
  </si>
  <si>
    <t>CF3OCH2CH3</t>
  </si>
  <si>
    <t>HFE-347mcc3 (HFE-7000)</t>
  </si>
  <si>
    <t>375-03-1</t>
  </si>
  <si>
    <t>CH3OCF2CF2CF3</t>
  </si>
  <si>
    <t>HFE-347mcf2</t>
  </si>
  <si>
    <t>171182-95-9</t>
  </si>
  <si>
    <t>CF3CF2OCH2CHF2</t>
  </si>
  <si>
    <t>HFE-347mmy1</t>
  </si>
  <si>
    <t>22052-84-2</t>
  </si>
  <si>
    <t>CH3OCF(CF3)2</t>
  </si>
  <si>
    <t>HFE-347mmz1 (Sevoflurane)</t>
  </si>
  <si>
    <t>28523-86-6</t>
  </si>
  <si>
    <t>(CF3)2CHOCH2F</t>
  </si>
  <si>
    <t>HFE-347pcf2</t>
  </si>
  <si>
    <t>406-78-0</t>
  </si>
  <si>
    <t>CHF2CF2OCH2CF3</t>
  </si>
  <si>
    <t>HFE-356mec3</t>
  </si>
  <si>
    <t>382-34-3</t>
  </si>
  <si>
    <t>CH3OCF2CHFCF3</t>
  </si>
  <si>
    <t>HFE-356mff2</t>
  </si>
  <si>
    <t>333-36-8</t>
  </si>
  <si>
    <t>CF3CH2OCH2CF3</t>
  </si>
  <si>
    <t>HFE-356mmz1</t>
  </si>
  <si>
    <t>13171-18-1</t>
  </si>
  <si>
    <t>(CF3)2CHOCH3</t>
  </si>
  <si>
    <t>HFE-356pcc3</t>
  </si>
  <si>
    <t>160620-20-2</t>
  </si>
  <si>
    <t>CH3OCF2CF2CHF2</t>
  </si>
  <si>
    <t>HFE-356pcf2</t>
  </si>
  <si>
    <t>50807-77-7</t>
  </si>
  <si>
    <t>CHF2CH2OCF2CHF2</t>
  </si>
  <si>
    <t>HFE-356pcf3</t>
  </si>
  <si>
    <t>35042-99-0</t>
  </si>
  <si>
    <t>CHF2OCH2CF2CHF2</t>
  </si>
  <si>
    <t>HFE-365mcf2</t>
  </si>
  <si>
    <t>22052-81-9</t>
  </si>
  <si>
    <t>CF3CF2OCH2CH3</t>
  </si>
  <si>
    <t>HFE-365mcf3</t>
  </si>
  <si>
    <t>378-16-5</t>
  </si>
  <si>
    <t>CF3CF2CH2OCH3</t>
  </si>
  <si>
    <t>HFE-374pc2</t>
  </si>
  <si>
    <t>512-51-6</t>
  </si>
  <si>
    <t>CH3CH2OCF2CHF2</t>
  </si>
  <si>
    <t>HFE-449s1 (HFE-7100) Chemical blend</t>
  </si>
  <si>
    <t>C4F9OCH3</t>
  </si>
  <si>
    <t>HFE-569sf2 (HFE-7200) Chemical blend</t>
  </si>
  <si>
    <t>C4F9OC2H5</t>
  </si>
  <si>
    <t>HG'-01</t>
  </si>
  <si>
    <t>73287-23-7</t>
  </si>
  <si>
    <t>CH3OCF2CF2OCH3</t>
  </si>
  <si>
    <t>HG'-02</t>
  </si>
  <si>
    <t>485399-46-0</t>
  </si>
  <si>
    <t>CH3O(CF2CF2O)2CH3</t>
  </si>
  <si>
    <t>HG'-03</t>
  </si>
  <si>
    <t>485399-48-2</t>
  </si>
  <si>
    <t>CH3O(CF2CF2O)3CH3</t>
  </si>
  <si>
    <t>Difluoro(methoxy)methane</t>
  </si>
  <si>
    <t>359-15-9</t>
  </si>
  <si>
    <t>CH3OCHF2</t>
  </si>
  <si>
    <t>2-Chloro-1,1,2-trifluoro-1-methoxyethane</t>
  </si>
  <si>
    <t>425-87-6</t>
  </si>
  <si>
    <t>CH3OCF2CHFCl</t>
  </si>
  <si>
    <t>1-Ethoxy-1,1,2,2,3,3,3-heptafluoropropane</t>
  </si>
  <si>
    <t>22052-86-4</t>
  </si>
  <si>
    <t>CF3CF2CF2OCH2CH3</t>
  </si>
  <si>
    <t>2-Ethoxy-3,3,4,4,5-pentafluorotetrahydro-2,5-bis[1,2,2,2-tetrafluoro-1-(trifluoromethyl)ethyl]-furan</t>
  </si>
  <si>
    <t>920979-28-8</t>
  </si>
  <si>
    <t>C12H5F19O2</t>
  </si>
  <si>
    <t>1-Ethoxy-1,1,2,3,3,3-hexafluoropropane</t>
  </si>
  <si>
    <t>380-34-7</t>
  </si>
  <si>
    <t>CF3CHFCF2OCH2CH3</t>
  </si>
  <si>
    <t>Fluoro(methoxy)methane</t>
  </si>
  <si>
    <t>460-22-0</t>
  </si>
  <si>
    <t>CH3OCH2F</t>
  </si>
  <si>
    <t>1,1,2,2-Tetrafluoro-3-methoxy-propane; Methyl 2,2,3,3-tetrafluoropropyl ether</t>
  </si>
  <si>
    <t>60598-17-6</t>
  </si>
  <si>
    <t>CHF2CF2CH2OCH3</t>
  </si>
  <si>
    <t>1,1,2,2-Tetrafluoro-1-(fluoromethoxy)ethane</t>
  </si>
  <si>
    <t>37031-31-5</t>
  </si>
  <si>
    <t>CH2FOCF2CF2H</t>
  </si>
  <si>
    <t>Difluoro(fluoromethoxy)methane</t>
  </si>
  <si>
    <t>461-63-2</t>
  </si>
  <si>
    <t>CH2FOCHF2</t>
  </si>
  <si>
    <t>Fluoro(fluoromethoxy)methane</t>
  </si>
  <si>
    <t>462-51-1</t>
  </si>
  <si>
    <t>CH2FOCH2F</t>
  </si>
  <si>
    <t>Trifluoromethyl formate</t>
  </si>
  <si>
    <t>85358-65-2</t>
  </si>
  <si>
    <t>HCOOCF3</t>
  </si>
  <si>
    <t>Perfluoroethyl formate</t>
  </si>
  <si>
    <t>313064-40-3</t>
  </si>
  <si>
    <t>HCOOCF2CF3</t>
  </si>
  <si>
    <t>1,2,2,2-Tetrafluoroethyl formate</t>
  </si>
  <si>
    <t>481631-19-0</t>
  </si>
  <si>
    <t>HCOOCHFCF3</t>
  </si>
  <si>
    <t>Perfluorobutyl formate</t>
  </si>
  <si>
    <t>197218-56-7</t>
  </si>
  <si>
    <t>HCOOCF2CF2CF2CF3</t>
  </si>
  <si>
    <t>Perfluoropropyl formate</t>
  </si>
  <si>
    <t>271257-42-2</t>
  </si>
  <si>
    <t>HCOOCF2CF2CF3</t>
  </si>
  <si>
    <t>1,1,1,3,3,3-Hexafluoropropan-2-yl formate</t>
  </si>
  <si>
    <t>856766-70-6</t>
  </si>
  <si>
    <t>HCOOCH(CF3)2</t>
  </si>
  <si>
    <t>2,2,2-Trifluoroethyl formate</t>
  </si>
  <si>
    <t>32042-38-9</t>
  </si>
  <si>
    <t>HCOOCH2CF3</t>
  </si>
  <si>
    <t>3,3,3-Trifluoropropyl formate</t>
  </si>
  <si>
    <t>1344118-09-7</t>
  </si>
  <si>
    <t>HCOOCH2CH2CF3</t>
  </si>
  <si>
    <t>Methyl 2,2,2-trifluoroacetate</t>
  </si>
  <si>
    <t>431-47-0</t>
  </si>
  <si>
    <t>CF3COOCH3</t>
  </si>
  <si>
    <t>1,1-Difluoroethyl 2,2,2-trifluoroacetate</t>
  </si>
  <si>
    <t>1344118-13-3</t>
  </si>
  <si>
    <t>CF3COOCF2CH3</t>
  </si>
  <si>
    <t>Difluoromethyl 2,2,2-trifluoroacetate</t>
  </si>
  <si>
    <t>2024-86-4</t>
  </si>
  <si>
    <t>CF3COOCHF2</t>
  </si>
  <si>
    <t>2,2,2-Trifluoroethyl 2,2,2-trifluoroacetate</t>
  </si>
  <si>
    <t>407-38-5</t>
  </si>
  <si>
    <t>CF3COOCH2CF3</t>
  </si>
  <si>
    <t>Methyl 2,2-difluoroacetate</t>
  </si>
  <si>
    <t>433-53-4</t>
  </si>
  <si>
    <t>HCF2COOCH3</t>
  </si>
  <si>
    <t>Perfluoroethyl acetate</t>
  </si>
  <si>
    <t>343269-97-6</t>
  </si>
  <si>
    <t>CH3COOCF2CF3</t>
  </si>
  <si>
    <t>Trifluoromethyl acetate</t>
  </si>
  <si>
    <t>74123-20-9</t>
  </si>
  <si>
    <t>CH3COOCF3</t>
  </si>
  <si>
    <t>Perfluoropropyl acetate</t>
  </si>
  <si>
    <t>1344118-10-0</t>
  </si>
  <si>
    <t>CH3COOCF2CF2CF3</t>
  </si>
  <si>
    <t>Perfluorobutyl acetate</t>
  </si>
  <si>
    <t>209597-28-4</t>
  </si>
  <si>
    <t>CH3COOCF2CF2CF2CF3</t>
  </si>
  <si>
    <t>Ethyl 2,2,2-trifluoroacetate</t>
  </si>
  <si>
    <t>383-63-1</t>
  </si>
  <si>
    <t>CF3COOCH2CH3</t>
  </si>
  <si>
    <t>Methyl carbonofluoridate</t>
  </si>
  <si>
    <t>1538-06-3</t>
  </si>
  <si>
    <t>FCOOCH3</t>
  </si>
  <si>
    <t>1,1-Difluoroethyl carbonofluoridate</t>
  </si>
  <si>
    <t>1344118-11-1</t>
  </si>
  <si>
    <t>FCOOCF2CH3</t>
  </si>
  <si>
    <t>Bis(trifluoromethyl)-methanol</t>
  </si>
  <si>
    <t>(CF3)2CHOH</t>
  </si>
  <si>
    <t>(Octafluorotetramethy-lene) hydroxymethyl group</t>
  </si>
  <si>
    <t>X-(CF2)4CH(OH)-X</t>
  </si>
  <si>
    <t>2,2,3,3,3-Pentafluoropropanol</t>
  </si>
  <si>
    <t>422-05-9</t>
  </si>
  <si>
    <t>CF3CF2CH2OH</t>
  </si>
  <si>
    <t>2,2,3,3,4,4,4-Heptafluorobutan-1-ol</t>
  </si>
  <si>
    <t>375-01-9</t>
  </si>
  <si>
    <t>C3F7CH2OH</t>
  </si>
  <si>
    <t>2,2,2-Trifluoroethanol</t>
  </si>
  <si>
    <t>CF3CH2OH</t>
  </si>
  <si>
    <t>2,2,3,4,4,4-Hexafluoro-1-butanol</t>
  </si>
  <si>
    <t>382-31-0</t>
  </si>
  <si>
    <t>CF3CHFCF2CH2OH</t>
  </si>
  <si>
    <t>2,2,3,3-Tetrafluoro-1-propanol</t>
  </si>
  <si>
    <t>76-37-9</t>
  </si>
  <si>
    <t>CHF2CF2CH2OH</t>
  </si>
  <si>
    <t>2,2-Difluoroethanol</t>
  </si>
  <si>
    <t>359-13-7</t>
  </si>
  <si>
    <t>CHF2CH2OH</t>
  </si>
  <si>
    <t>2-Fluoroethanol</t>
  </si>
  <si>
    <t>371-62-0</t>
  </si>
  <si>
    <t>CH2FCH2OH</t>
  </si>
  <si>
    <t>4,4,4-Trifluorobutan-1-ol</t>
  </si>
  <si>
    <t>461-18-7</t>
  </si>
  <si>
    <t>CF3(CH2)2CH2OH</t>
  </si>
  <si>
    <t>PFC-1114; TFE</t>
  </si>
  <si>
    <t>CF2 = CF2; C2F4</t>
  </si>
  <si>
    <t>PFC-1216; Dyneon HFP</t>
  </si>
  <si>
    <t>C3F6; CF3CF = CF2</t>
  </si>
  <si>
    <t>PFC C-1418</t>
  </si>
  <si>
    <t>c-C5F8</t>
  </si>
  <si>
    <t>Perfluorobut-2-ene</t>
  </si>
  <si>
    <t>360-89-4</t>
  </si>
  <si>
    <t>CF3CF = CFCF3</t>
  </si>
  <si>
    <t>Perfluorobut-1-ene</t>
  </si>
  <si>
    <t>357-26-6</t>
  </si>
  <si>
    <t>CF3CF2CF = CF2</t>
  </si>
  <si>
    <t>Perfluorobuta-1,3-diene</t>
  </si>
  <si>
    <t>CF2 = CFCF = CF2</t>
  </si>
  <si>
    <t>HFC-1132a; VF2</t>
  </si>
  <si>
    <t>C2H2F2 , CF2 = CH2</t>
  </si>
  <si>
    <t>HFC-1141; VF</t>
  </si>
  <si>
    <t>75-02-5</t>
  </si>
  <si>
    <t>C2H3F, CH2 = CHF</t>
  </si>
  <si>
    <t>(E)-HFC-1225ye</t>
  </si>
  <si>
    <t>5595-10-8</t>
  </si>
  <si>
    <t>CF3CF = CHF(E)</t>
  </si>
  <si>
    <t>(Z)-HFC-1225ye</t>
  </si>
  <si>
    <t>5528-43-8</t>
  </si>
  <si>
    <t>CF3CF = CHF(Z)</t>
  </si>
  <si>
    <t>Solstice 1233zd(E)</t>
  </si>
  <si>
    <t>C3H2ClF3; CHCl = CHCF3</t>
  </si>
  <si>
    <t>HFC-1234yf; HFO-1234yf</t>
  </si>
  <si>
    <t>C3H2F4; CF3CF = CH2</t>
  </si>
  <si>
    <t>HFC-1234ze(E)</t>
  </si>
  <si>
    <t>C3H2F4; trans-CF3CH = CHF</t>
  </si>
  <si>
    <t>HFC-1234ze(Z)</t>
  </si>
  <si>
    <t>29118-25-0</t>
  </si>
  <si>
    <t>C3H2F4; cis-CF3CH = CHF; CF3CH = CHF</t>
  </si>
  <si>
    <t>HFC-1243zf; TFP</t>
  </si>
  <si>
    <t>C3H3F3, CF3CH = CH2</t>
  </si>
  <si>
    <t>(Z)-HFC-1336</t>
  </si>
  <si>
    <t>692-49-9</t>
  </si>
  <si>
    <t>CF3CH = CHCF3(Z)</t>
  </si>
  <si>
    <t>HFC-1345zfc</t>
  </si>
  <si>
    <t>374-27-6</t>
  </si>
  <si>
    <t>C2F5CH = CH2</t>
  </si>
  <si>
    <t>Capstone 42-U</t>
  </si>
  <si>
    <t>C6H3F9, CF3(CF2)3CH = CH2</t>
  </si>
  <si>
    <t>Capstone 62-U</t>
  </si>
  <si>
    <t>25291-17-2</t>
  </si>
  <si>
    <t>C8H3F13, CF3(CF2)5CH = CH2</t>
  </si>
  <si>
    <t>Capstone 82-U</t>
  </si>
  <si>
    <t>21652-58-4</t>
  </si>
  <si>
    <t>C10H3F17, CF3(CF2)7CH = CH2</t>
  </si>
  <si>
    <t>PMVE; HFE-216</t>
  </si>
  <si>
    <t>1187-93-5</t>
  </si>
  <si>
    <t>CF3OCF = CF2</t>
  </si>
  <si>
    <t>Fluoroxene</t>
  </si>
  <si>
    <t>CF3CH2OCH = CH2</t>
  </si>
  <si>
    <t>3,3,3-Trifluoro-propanal</t>
  </si>
  <si>
    <t>460-40-2</t>
  </si>
  <si>
    <t>CF3CH2CHO</t>
  </si>
  <si>
    <t>Novec 1230 (perfluoro (2-methyl-3-pentanone))</t>
  </si>
  <si>
    <t>756-13-8</t>
  </si>
  <si>
    <t>CF3CF2C(O)CF (CF3)2</t>
  </si>
  <si>
    <t>3,3,4,4,5,5,6,6,7,7,7-Undecafluoroheptan-1-ol</t>
  </si>
  <si>
    <t>185689-57-0</t>
  </si>
  <si>
    <t>CF3(CF2)4CH2CH2OH</t>
  </si>
  <si>
    <t>3,3,3-Trifluoropropan-1-ol</t>
  </si>
  <si>
    <t>2240-88-2</t>
  </si>
  <si>
    <t>CF3CH2CH2OH</t>
  </si>
  <si>
    <t>3,3,4,4,5,5,6,6,7,7,8,8,9,9,9-Pentadecafluorononan-1-ol</t>
  </si>
  <si>
    <t>755-02-2</t>
  </si>
  <si>
    <t>CF3(CF2)6CH2CH2OH</t>
  </si>
  <si>
    <t>3,3,4,4,5,5,6,6,7,7,8,8,9,9,10,10,11,11,11-Nonadecafluoroundecan-1-ol</t>
  </si>
  <si>
    <t>87017-97-8</t>
  </si>
  <si>
    <t>CF3(CF2)8CH2CH2OH</t>
  </si>
  <si>
    <t>Trifluoroiodomethane</t>
  </si>
  <si>
    <t>2314-97-8</t>
  </si>
  <si>
    <t>CF3I</t>
  </si>
  <si>
    <t>Dibromodifluoromethane (Halon 1202)</t>
  </si>
  <si>
    <t>CBR2F2</t>
  </si>
  <si>
    <t>2-Bromo-2-chloro-1,1,1-trifluoroethane (Halon-2311/Halothane)</t>
  </si>
  <si>
    <t>CHBrClCF3</t>
  </si>
  <si>
    <t>Fully fluorinated GHGs</t>
  </si>
  <si>
    <t>Saturated hydrofluorocarbons (HFCs) with 2 or fewer carbon-hydrogen bonds</t>
  </si>
  <si>
    <t>Saturated HFCs with 3 or more carbon-hydrogen bonds</t>
  </si>
  <si>
    <t>Saturated hydrofluoroethers (HFEs) and hydrochlorofluoroethers (HCFEs) with 1 carbon-hydrogen bond</t>
  </si>
  <si>
    <t>Saturated HFEs and HCFEs with 2 carbon-hydrogen bonds</t>
  </si>
  <si>
    <t>Saturated HFEs and HCFEs with 3 or more carbon-hydrogen bonds</t>
  </si>
  <si>
    <t>Fluorinated formates</t>
  </si>
  <si>
    <t>Fluorinated acetates, carbonofluoridates, and fluorinated alcohols other than fluorotelomer alcohols</t>
  </si>
  <si>
    <t>Unsaturated perfluorocarbons (PFCs), unsaturated HFCs, unsaturated hydrochlorofluorocarbons (HCFCs), unsaturated halogenated ethers, unsaturated halogenated esters, fluorinated aldehydes, and fluorinated ketones</t>
  </si>
  <si>
    <t>Fluorotelomer alcohols</t>
  </si>
  <si>
    <t>Fluorinated GHGs with carbon-iodine bond(s)</t>
  </si>
  <si>
    <t>Other fluorinated GHGs</t>
  </si>
  <si>
    <t>The following table of global warming potentials was obtained from Table A-1 to Subpart A of Part 98 (dated February 2022)</t>
  </si>
  <si>
    <t>Fluorinated GHG Group</t>
  </si>
  <si>
    <t>Global warming potential</t>
  </si>
  <si>
    <t>The following two tables should be checked regularly for any changes or updates to compounds or GWPs</t>
  </si>
  <si>
    <t>This sheet contains helper variables and lists that are used throughout the workbook</t>
  </si>
  <si>
    <t>To convert from</t>
  </si>
  <si>
    <t>To</t>
  </si>
  <si>
    <t>Multiply by</t>
  </si>
  <si>
    <t>Short tons</t>
  </si>
  <si>
    <t>Pounds (lbs)</t>
  </si>
  <si>
    <t>Hours</t>
  </si>
  <si>
    <t>Years</t>
  </si>
  <si>
    <t>years_to_hrs</t>
  </si>
  <si>
    <t>Metric tons</t>
  </si>
  <si>
    <t>mtons_to_stons</t>
  </si>
  <si>
    <t>stons_to_mtons</t>
  </si>
  <si>
    <t>stons_to_lbs</t>
  </si>
  <si>
    <t>Yes</t>
  </si>
  <si>
    <t>yes_no_list</t>
  </si>
  <si>
    <t>process_drains_effs</t>
  </si>
  <si>
    <t>Connector Monitoring LDAR Program (select one, do not leave blank, select None if not applicable)</t>
  </si>
  <si>
    <t>Connector Monitoring LDAR Control Efficiency</t>
  </si>
  <si>
    <t>CONNECTOR_LDAR_LIST</t>
  </si>
  <si>
    <t>INSTRUMENT_LDAR_LIST</t>
  </si>
  <si>
    <t>INSPECTION_LDAR_LIST</t>
  </si>
  <si>
    <t>Total Hourly Exempt Solvent Emissions (lbs/hr)</t>
  </si>
  <si>
    <t>Total Hourly VOC Emissions (lbs/hr)</t>
  </si>
  <si>
    <t>Total Annual Exempt Solvent Emissions (tpy)</t>
  </si>
  <si>
    <t>Mass Emissions (U.S. tons per year)</t>
  </si>
  <si>
    <t>Total GHG TPY (mass basis)</t>
  </si>
  <si>
    <r>
      <t>Total GHG TPY (CO</t>
    </r>
    <r>
      <rPr>
        <vertAlign val="subscript"/>
        <sz val="11"/>
        <rFont val="Arial"/>
        <family val="2"/>
      </rPr>
      <t>2</t>
    </r>
    <r>
      <rPr>
        <sz val="11"/>
        <rFont val="Arial"/>
        <family val="2"/>
      </rPr>
      <t>e)</t>
    </r>
  </si>
  <si>
    <t>Global Warming Potential (GWP)</t>
  </si>
  <si>
    <t>Note that blanks are entered using the formula =""</t>
  </si>
  <si>
    <t>The following table shows the pairing between the industry and the component/service name class.</t>
  </si>
  <si>
    <t>The following table contains all the possible component and service names under each class identified in the previous table.</t>
  </si>
  <si>
    <t>Component Class Name</t>
  </si>
  <si>
    <t>Service Class Name</t>
  </si>
  <si>
    <t>VIII - Emission Summary for Worksheet (excludes Inert / Not a Contaminant)</t>
  </si>
  <si>
    <t>[1] Emission factor for sampling connections is in terms of pounds per sample taken. The maximum number of samples taken in an hour should be used as the count.</t>
  </si>
  <si>
    <t>[2] Emission factor for sampling connections is in terms of pounds per sample taken. The average number of samples taken annually should be used as the count.</t>
  </si>
  <si>
    <r>
      <t>CO</t>
    </r>
    <r>
      <rPr>
        <b/>
        <vertAlign val="subscript"/>
        <sz val="11"/>
        <rFont val="Arial"/>
        <family val="2"/>
      </rPr>
      <t>2</t>
    </r>
    <r>
      <rPr>
        <b/>
        <sz val="11"/>
        <rFont val="Arial"/>
        <family val="2"/>
      </rPr>
      <t>e Emissions (U.S. tons per year)</t>
    </r>
  </si>
  <si>
    <t>Phosgene Components</t>
  </si>
  <si>
    <t>z</t>
  </si>
  <si>
    <t>Phosgene Service</t>
  </si>
  <si>
    <t>[6] Ethylene oxide, butadiene, and phosgene production facilities require the use of the 28MID LDAR program where monitoring must occur at a leak definition of 500 ppmv. Additional control credit can be applied for ethylene oxide production facilities using the 28CNTA and 28 CNTQ as LDAR program in Section III.</t>
  </si>
  <si>
    <t>[9] For oil and gas production operations, separate factors are given for "flanges" and "connectors."</t>
  </si>
  <si>
    <t>Total Component Count, Total Emission Rate (lbs/hr and tpy)</t>
  </si>
  <si>
    <r>
      <t xml:space="preserve">Information from the facility should be entered in this worksheet to compute the approximate total emission rate from fugitive components. Please read the instructions carefully before continuing.
</t>
    </r>
    <r>
      <rPr>
        <b/>
        <sz val="11"/>
        <color theme="1"/>
        <rFont val="Arial"/>
        <family val="2"/>
      </rPr>
      <t>Instructions:</t>
    </r>
    <r>
      <rPr>
        <sz val="11"/>
        <color theme="1"/>
        <rFont val="Arial"/>
        <family val="2"/>
      </rPr>
      <t xml:space="preserve">
Section I:
Complete all blank cells and select "Yes" for the acknowledgement.
Section II: 
Enter the industry type for your facility. If you are unsure of your industry, please contact the Air Permits Division for help in determining the appropriate industry type. This selection will determine the emission factors of the fugitive components.
Section III:
Enter the Leak Detection and Repair Program(s) being applied to the fugitive components of the EPN. Please note that some industry types already require an LDAR program (e.g. Petroleum Marketing Terminal with 28PET). Please select "None" in the dropdown menu if none apply or are available, or if no credit is sought for the fugitive components. 
</t>
    </r>
  </si>
  <si>
    <t>Section IV:
After completion of Sections II and III, the table of this section will auto-populate the corresponding list of components, service type, emission factors, and any applicable control efficiencies.  Enter the count of each component, for each service, of the stream (of group of streams) being evaluated with this worksheet. The maximum number of samples taken in an hour should be used as the count for the Sampling Connections (hourly) row while the average number of samples taken annually should be used as the count for Sampling Connections (annual) row.
Section V:
Provides the option to propose additional components not included in Section IV.
    A. Justification is needed for any components entered in this section.
Section VI:
This section requires the chemical composition of the stream, group of streams, or EPN being evaluated with this worksheet. This section should be used for non-greenhouse gas substances only.
    A. Enter the Chemical Abstracts Service (CAS) number (in X...X-YY-Z format) for each species using either the drop down list or typing the number. The name of chemical species will be automatically populated.</t>
  </si>
  <si>
    <t>Section VII:
This section applicable to greenhouse gases only computes the annual GHG emission rate (in U.S. tons per year) as well as the annual carbon dioxide-equivalent emissions.
   A. Enter the CAS number of the GHG. The global warming potential (based on Table A-1 of Subpart A of 40 CFR Part 98) will autopopulate.
   B. Enter the maximum hourly weight percent of the GHG in the stream(s) being evaluated with this workbook. If the stream(s) contain a mixture of GHGs and non-GHGs, the total weight percent of GHGs in the section may be less than 99-100%.
Section VIII:
This section summarizes all emissions from this worksheet. These figures will also be shown in the summary worksheet of this workbook.
Notes:
1. New sites: the counting of fugitive components should be represented to the best estimate. An as-built project may be submitted later to reflect the true counting of the fugitive components.
2. Existing sites: the counting of fugitive components should reflect the actual number of fugitive components and no buffer is allowed.
3. Row heights can be adjusted if needed.
4. Footnotes are provided at the bottom of this sheet
END OF INSTRUCTIONS</t>
  </si>
  <si>
    <t>Data for CAS Substance name matching</t>
  </si>
  <si>
    <t>Note: Phosgene with MID has a separate class Compound Specific because there is no factor for compressors and sampling in Table II of the guidance for Phosgene.</t>
  </si>
  <si>
    <t xml:space="preserve">Industries may share the same component names and service names. 
The five classes of components/services identified for the purposes of this workbook include "Common", "PET", "OG", "Compound Specific" and "Phosgene."
</t>
  </si>
  <si>
    <t>LDAR Programs that use Instrument Monitoring</t>
  </si>
  <si>
    <t>LDAR Programs based on Physical Inspection</t>
  </si>
  <si>
    <t>LDAR Programs based on connnector monitoring</t>
  </si>
  <si>
    <t>Defined name in this workbook</t>
  </si>
  <si>
    <t>ldar_error_msg</t>
  </si>
  <si>
    <t>Lists/variables defined in this workbooks-&gt;</t>
  </si>
  <si>
    <t>Please enter the industry type first.</t>
  </si>
  <si>
    <t>Total VOC
Emission Rate (hourly, lbs/hr)</t>
  </si>
  <si>
    <t>Total VOC
Emission Rate (annual, tpy)</t>
  </si>
  <si>
    <t>Total Inorganic
Emission Rate (hourly, lbs/hr)</t>
  </si>
  <si>
    <t>Total Inorganic
Emission Rate (annual, tpy)</t>
  </si>
  <si>
    <t>Total Exempt Solvent
Emission Rate (hourly, lbs/hr)</t>
  </si>
  <si>
    <t>Total Exempt Solvent
Emission Rate (annual, tpy)</t>
  </si>
  <si>
    <t>Total GHG Emission Rate (tpy, mass basis)</t>
  </si>
  <si>
    <r>
      <t>Total GHG Emission Rate (tpy, CO</t>
    </r>
    <r>
      <rPr>
        <vertAlign val="subscript"/>
        <sz val="11"/>
        <color theme="1"/>
        <rFont val="Arial"/>
        <family val="2"/>
      </rPr>
      <t>2</t>
    </r>
    <r>
      <rPr>
        <sz val="11"/>
        <color theme="1"/>
        <rFont val="Arial"/>
        <family val="2"/>
      </rPr>
      <t>e)</t>
    </r>
  </si>
  <si>
    <t>Total Emissions (excludes GHG / Inert / Not a Contaminant) (lbs/hr)</t>
  </si>
  <si>
    <t>Total Emissions (excludes GHG / Inert / Not a Contaminant) (tpy)</t>
  </si>
  <si>
    <t>Total GHG Emissions (Mass Basis and Carbon dioxide-equivalent Basis)</t>
  </si>
  <si>
    <t>Total Emission
Rate (annual, tpy) (excluding GHG / Inert / Not a Contaminant)</t>
  </si>
  <si>
    <t>Total Emission
Rate (hourly lbs/hr) (excluding GHG / Inert / Not a Contaminant)</t>
  </si>
  <si>
    <t>I. General Information</t>
  </si>
  <si>
    <t>The following table contains the emission factors and control efficiencies for each component of each service, given an LDAR program or an industry type.</t>
  </si>
  <si>
    <t xml:space="preserve">    B. For CAS numbers not listed, select "N/A". The chemical species will populate with "Other (Please Specify):". In the Other Species column, enter the species name using either the drop down list (which contains common substances without a CAS) or by typing the name.
    C. For any compounds classified as a Volatile Organic Compound (VOC), inorganic pollutant, exempt solvent, please enter "Yes" in the dropdown menu for the respective column. For inert compounds such as nitrogen, argon, etc., compounds not considered contaminants (e.g. water), please enter "Yes" for the column labeled "Inert / Not a Contaminant." Only one of the four columns should be filled with "Yes."
   E. The last required column is the weight percent of the substance. For a single stream or group of streams, this is the highest hourly weight percent of that substance in that stream or group of streams. If all substances of the stream(s) are entered in this section, the total weight percent of the bottom should be at least 99-100%, but can exceed 100%. If the stream or group of streams contain GHGs, then the total weight percent of this stream may be less than 99-100%, as the GHGs will be entered in the next section. 
</t>
  </si>
  <si>
    <t>https://www.tceq.texas.gov/assets/public/permitting/air/Guidance/NewSourceReview/fugitive-guidance.pdf</t>
  </si>
  <si>
    <t>Air Permits Division</t>
  </si>
  <si>
    <t>Texas Commission on Environmental Quality</t>
  </si>
  <si>
    <t>TCEQ 20858, Version 3.2, Revised 08/22</t>
  </si>
  <si>
    <t>Readily Available Permit: Simple Cycle Turbine</t>
  </si>
  <si>
    <t>This workbook is an emission calculation tool required for air permit applications that are representing fugitive emissions. There are a total of 25 calculation worksheets or tabs within this workbook to address multiple streams/LDAR programs/speciation groups. For projects which require more than 25 active tabs, multiple workbooks may be submitted. For large sites or high number of streams (&gt;200) please contact the Air Permits Division for alternate options. The summary sheet contains the final total emission rate across all calculation worksheets.
TCEQ Air Permit Technical Guidance for Chemical Sources Fugitive Guidance dated June 2018 provides a detailed explanation of terms, concepts, and guidance on the use of appropriate emission factors, control efficiencies, and fugitive monitoring programs used in this workbook. This workbook facilitates the practice of the policies set in the guidance, but does not override it.
Under Texas Government Code 559.003(a), individuals are entitled to receive and review any information collected by TCEQ about the individual by means of a form that that is completed and filed with TCEQ in a paper or electronic format on the TCEQ website consistent with Texas Government Code sec., 559.003(b). The individual is also entitled to have TCEQ correct information about the individual that is incorrect.
Questions? Contact the Air Permit Division at (512)239-1250. The following is the link to our fugitive guidance:</t>
  </si>
  <si>
    <t>TCEQ 20909, Version 3.0, Revised 09/22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</si>
</sst>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3" x14ac:knownFonts="1">
    <font>
      <sz val="11"/>
      <color theme="1"/>
      <name val="Arial"/>
      <family val="2"/>
    </font>
    <font>
      <sz val="10"/>
      <name val="Arial"/>
      <family val="2"/>
    </font>
    <font>
      <b/>
      <sz val="11"/>
      <color rgb="FFFF0000"/>
      <name val="Calibri"/>
      <family val="2"/>
      <scheme val="minor"/>
    </font>
    <font>
      <sz val="11"/>
      <color theme="1"/>
      <name val="Arial"/>
      <family val="2"/>
    </font>
    <font>
      <b/>
      <sz val="14"/>
      <color theme="1"/>
      <name val="Arial"/>
      <family val="2"/>
    </font>
    <font>
      <b/>
      <sz val="11"/>
      <color theme="1"/>
      <name val="Arial"/>
      <family val="2"/>
    </font>
    <font>
      <sz val="11"/>
      <color rgb="FFFF0000"/>
      <name val="Arial"/>
      <family val="2"/>
    </font>
    <font>
      <sz val="11"/>
      <color rgb="FF7030A0"/>
      <name val="Arial"/>
      <family val="2"/>
    </font>
    <font>
      <sz val="11"/>
      <name val="Arial"/>
      <family val="2"/>
    </font>
    <font>
      <b/>
      <sz val="11"/>
      <color theme="0"/>
      <name val="Arial"/>
      <family val="2"/>
    </font>
    <font>
      <sz val="11"/>
      <color theme="0"/>
      <name val="Arial"/>
      <family val="2"/>
    </font>
    <font>
      <sz val="10"/>
      <color rgb="FF000000"/>
      <name val="Times New Roman"/>
      <family val="1"/>
    </font>
    <font>
      <b/>
      <sz val="11"/>
      <color rgb="FFFF0000"/>
      <name val="Arial"/>
      <family val="2"/>
    </font>
    <font>
      <b/>
      <sz val="11"/>
      <name val="Arial"/>
      <family val="2"/>
    </font>
    <font>
      <u/>
      <sz val="11"/>
      <color theme="10"/>
      <name val="Arial"/>
      <family val="2"/>
    </font>
    <font>
      <sz val="11"/>
      <color rgb="FF000000"/>
      <name val="Arial"/>
      <family val="2"/>
    </font>
    <font>
      <b/>
      <sz val="11"/>
      <color rgb="FFFF7C80"/>
      <name val="Arial"/>
      <family val="2"/>
    </font>
    <font>
      <sz val="8"/>
      <name val="Arial"/>
      <family val="2"/>
    </font>
    <font>
      <b/>
      <sz val="11"/>
      <color rgb="FF0000FF"/>
      <name val="Arial"/>
      <family val="2"/>
    </font>
    <font>
      <b/>
      <vertAlign val="subscript"/>
      <sz val="11"/>
      <name val="Arial"/>
      <family val="2"/>
    </font>
    <font>
      <vertAlign val="subscript"/>
      <sz val="11"/>
      <name val="Arial"/>
      <family val="2"/>
    </font>
    <font>
      <vertAlign val="subscript"/>
      <sz val="11"/>
      <color theme="1"/>
      <name val="Arial"/>
      <family val="2"/>
    </font>
    <font>
      <sz val="10"/>
      <color rgb="FF00000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0" tint="-0.499984740745262"/>
        <bgColor indexed="64"/>
      </patternFill>
    </fill>
    <fill>
      <patternFill patternType="solid">
        <fgColor theme="2"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thin">
        <color indexed="64"/>
      </right>
      <top style="thin">
        <color indexed="64"/>
      </top>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auto="1"/>
      </right>
      <top style="thin">
        <color auto="1"/>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s>
  <cellStyleXfs count="6">
    <xf numFmtId="0" fontId="0" fillId="0" borderId="0"/>
    <xf numFmtId="0" fontId="1" fillId="0" borderId="0"/>
    <xf numFmtId="9" fontId="1" fillId="0" borderId="0" applyFont="0" applyFill="0" applyBorder="0" applyAlignment="0" applyProtection="0"/>
    <xf numFmtId="0" fontId="14" fillId="0" borderId="0" applyNumberFormat="0" applyFill="0" applyBorder="0" applyAlignment="0" applyProtection="0"/>
    <xf numFmtId="0" fontId="11" fillId="0" borderId="0"/>
    <xf numFmtId="0" fontId="22" fillId="0" borderId="0"/>
  </cellStyleXfs>
  <cellXfs count="232">
    <xf numFmtId="0" fontId="0" fillId="0" borderId="0" xfId="0"/>
    <xf numFmtId="0" fontId="7" fillId="0" borderId="0" xfId="0" applyFont="1"/>
    <xf numFmtId="0" fontId="3" fillId="0" borderId="0" xfId="0" applyFont="1"/>
    <xf numFmtId="0" fontId="3" fillId="0" borderId="0" xfId="0" applyFont="1" applyBorder="1"/>
    <xf numFmtId="0" fontId="3" fillId="0" borderId="0" xfId="0" applyFont="1" applyProtection="1"/>
    <xf numFmtId="0" fontId="5" fillId="0" borderId="0" xfId="0" applyFont="1" applyProtection="1"/>
    <xf numFmtId="0" fontId="6" fillId="0" borderId="0" xfId="0" applyFont="1"/>
    <xf numFmtId="0" fontId="3" fillId="0" borderId="0" xfId="0" applyFont="1" applyProtection="1"/>
    <xf numFmtId="0" fontId="3" fillId="0" borderId="7" xfId="0" applyFont="1" applyBorder="1" applyProtection="1"/>
    <xf numFmtId="0" fontId="3" fillId="0" borderId="12" xfId="0" applyFont="1" applyBorder="1" applyProtection="1"/>
    <xf numFmtId="0" fontId="0" fillId="0" borderId="0" xfId="0" applyFont="1" applyFill="1" applyBorder="1" applyAlignment="1" applyProtection="1">
      <alignment horizontal="left" vertical="top"/>
    </xf>
    <xf numFmtId="0" fontId="8" fillId="0" borderId="1" xfId="0" applyFont="1" applyFill="1" applyBorder="1"/>
    <xf numFmtId="0" fontId="0" fillId="0" borderId="0" xfId="0" applyFill="1" applyBorder="1" applyAlignment="1">
      <alignment wrapText="1"/>
    </xf>
    <xf numFmtId="0" fontId="0" fillId="0" borderId="0" xfId="0" applyFont="1"/>
    <xf numFmtId="0" fontId="0" fillId="0" borderId="0" xfId="0"/>
    <xf numFmtId="0" fontId="14" fillId="5" borderId="12" xfId="3" applyFont="1" applyFill="1" applyBorder="1" applyAlignment="1" applyProtection="1">
      <alignment vertical="top" wrapText="1"/>
    </xf>
    <xf numFmtId="0" fontId="15" fillId="5" borderId="13" xfId="0" applyFont="1" applyFill="1" applyBorder="1" applyAlignment="1" applyProtection="1">
      <alignment vertical="top" wrapText="1"/>
    </xf>
    <xf numFmtId="0" fontId="10" fillId="0" borderId="0" xfId="0" applyFont="1" applyFill="1" applyBorder="1" applyAlignment="1" applyProtection="1">
      <alignment wrapText="1"/>
    </xf>
    <xf numFmtId="0" fontId="8" fillId="0" borderId="2" xfId="0" applyFont="1" applyFill="1" applyBorder="1"/>
    <xf numFmtId="0" fontId="8" fillId="0" borderId="18" xfId="0" applyFont="1" applyBorder="1"/>
    <xf numFmtId="0" fontId="8" fillId="0" borderId="11" xfId="0" applyFont="1" applyBorder="1"/>
    <xf numFmtId="0" fontId="8" fillId="0" borderId="11" xfId="0" applyFont="1" applyFill="1" applyBorder="1"/>
    <xf numFmtId="0" fontId="8" fillId="0" borderId="19" xfId="0" applyFont="1" applyFill="1" applyBorder="1"/>
    <xf numFmtId="0" fontId="14" fillId="0" borderId="13" xfId="3" applyFont="1" applyFill="1" applyBorder="1" applyAlignment="1" applyProtection="1">
      <alignment vertical="center" wrapText="1"/>
    </xf>
    <xf numFmtId="0" fontId="3" fillId="0" borderId="0" xfId="0" applyFont="1" applyFill="1" applyBorder="1" applyAlignment="1" applyProtection="1">
      <alignment vertical="top" wrapText="1"/>
    </xf>
    <xf numFmtId="0" fontId="3" fillId="0" borderId="0" xfId="0" applyNumberFormat="1" applyFont="1" applyFill="1" applyBorder="1" applyAlignment="1" applyProtection="1">
      <alignment wrapText="1"/>
      <protection locked="0"/>
    </xf>
    <xf numFmtId="15" fontId="16" fillId="0" borderId="0" xfId="0" applyNumberFormat="1" applyFont="1" applyFill="1" applyBorder="1" applyAlignment="1" applyProtection="1">
      <alignment wrapText="1"/>
      <protection locked="0"/>
    </xf>
    <xf numFmtId="0" fontId="10" fillId="0" borderId="4" xfId="0" applyFont="1" applyFill="1" applyBorder="1" applyAlignment="1" applyProtection="1">
      <alignment wrapText="1"/>
    </xf>
    <xf numFmtId="0" fontId="4" fillId="0" borderId="9" xfId="0" applyFont="1" applyFill="1" applyBorder="1" applyAlignment="1" applyProtection="1">
      <alignment wrapText="1"/>
    </xf>
    <xf numFmtId="0" fontId="3" fillId="0" borderId="0" xfId="0" applyFont="1" applyFill="1" applyBorder="1" applyAlignment="1" applyProtection="1">
      <alignment wrapText="1"/>
    </xf>
    <xf numFmtId="0" fontId="8" fillId="0" borderId="0" xfId="0" applyFont="1" applyFill="1" applyBorder="1" applyAlignment="1" applyProtection="1">
      <alignment wrapText="1"/>
    </xf>
    <xf numFmtId="0" fontId="0" fillId="0" borderId="0" xfId="0" applyFont="1" applyFill="1" applyBorder="1" applyAlignment="1" applyProtection="1">
      <alignment wrapText="1"/>
    </xf>
    <xf numFmtId="0" fontId="0" fillId="0" borderId="0" xfId="0" applyFont="1" applyFill="1" applyBorder="1" applyAlignment="1" applyProtection="1">
      <alignment wrapText="1"/>
      <protection locked="0"/>
    </xf>
    <xf numFmtId="0" fontId="0" fillId="0" borderId="0" xfId="0" applyAlignment="1">
      <alignment wrapText="1"/>
    </xf>
    <xf numFmtId="0" fontId="5" fillId="0" borderId="16"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3" fillId="0" borderId="6"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21" xfId="0" applyFont="1" applyFill="1" applyBorder="1" applyAlignment="1" applyProtection="1">
      <alignment horizontal="left" vertical="top" wrapText="1"/>
    </xf>
    <xf numFmtId="0" fontId="3" fillId="4" borderId="6" xfId="0" applyNumberFormat="1" applyFont="1" applyFill="1" applyBorder="1" applyAlignment="1" applyProtection="1">
      <alignment horizontal="left" vertical="top" wrapText="1"/>
      <protection locked="0"/>
    </xf>
    <xf numFmtId="0" fontId="3" fillId="4" borderId="1" xfId="0" applyNumberFormat="1" applyFont="1" applyFill="1" applyBorder="1" applyAlignment="1" applyProtection="1">
      <alignment horizontal="left" vertical="top" wrapText="1"/>
      <protection locked="0"/>
    </xf>
    <xf numFmtId="14" fontId="3" fillId="4" borderId="1" xfId="0" applyNumberFormat="1"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xf>
    <xf numFmtId="0" fontId="4" fillId="2" borderId="20" xfId="0" applyFont="1" applyFill="1" applyBorder="1" applyAlignment="1" applyProtection="1">
      <alignment horizontal="left" vertical="top" wrapText="1"/>
    </xf>
    <xf numFmtId="0" fontId="0" fillId="0" borderId="20" xfId="0" applyFont="1" applyFill="1" applyBorder="1" applyAlignment="1" applyProtection="1">
      <alignment horizontal="left" vertical="top" wrapText="1"/>
    </xf>
    <xf numFmtId="0"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0" fillId="0" borderId="16" xfId="0" applyFont="1" applyFill="1" applyBorder="1" applyAlignment="1" applyProtection="1">
      <alignment horizontal="left" vertical="top" wrapText="1"/>
    </xf>
    <xf numFmtId="0" fontId="0" fillId="0" borderId="10" xfId="0" applyFont="1" applyFill="1" applyBorder="1" applyAlignment="1" applyProtection="1">
      <alignment horizontal="left" vertical="top" wrapText="1"/>
    </xf>
    <xf numFmtId="0" fontId="5" fillId="0" borderId="16" xfId="0" applyFont="1" applyBorder="1" applyAlignment="1">
      <alignment horizontal="center" vertical="center" wrapText="1"/>
    </xf>
    <xf numFmtId="0" fontId="3" fillId="0" borderId="1" xfId="0" applyFont="1" applyBorder="1" applyAlignment="1">
      <alignment horizontal="center" vertical="top" wrapText="1"/>
    </xf>
    <xf numFmtId="0" fontId="0" fillId="6" borderId="11" xfId="0" applyFill="1" applyBorder="1" applyAlignment="1">
      <alignment horizontal="left" vertical="top" wrapText="1"/>
    </xf>
    <xf numFmtId="0" fontId="0" fillId="6" borderId="11" xfId="0" applyFill="1" applyBorder="1" applyAlignment="1" applyProtection="1">
      <alignment horizontal="left" vertical="top" wrapText="1"/>
      <protection locked="0"/>
    </xf>
    <xf numFmtId="0" fontId="0" fillId="6" borderId="11"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xf>
    <xf numFmtId="0" fontId="13" fillId="4" borderId="1" xfId="0" applyNumberFormat="1" applyFont="1" applyFill="1" applyBorder="1" applyAlignment="1" applyProtection="1">
      <alignment horizontal="left" vertical="top" wrapText="1"/>
      <protection locked="0"/>
    </xf>
    <xf numFmtId="0" fontId="5" fillId="0" borderId="1" xfId="0" applyFont="1" applyBorder="1" applyAlignment="1" applyProtection="1">
      <alignment horizontal="left" vertical="top" wrapText="1"/>
    </xf>
    <xf numFmtId="0" fontId="0" fillId="0" borderId="1" xfId="0" applyFont="1" applyFill="1" applyBorder="1" applyAlignment="1">
      <alignment horizontal="center" vertical="center" wrapText="1"/>
    </xf>
    <xf numFmtId="0" fontId="0" fillId="0" borderId="0" xfId="0" applyFont="1" applyFill="1" applyBorder="1"/>
    <xf numFmtId="49" fontId="8" fillId="0" borderId="1" xfId="0" applyNumberFormat="1" applyFont="1" applyFill="1" applyBorder="1"/>
    <xf numFmtId="0" fontId="0" fillId="0" borderId="0" xfId="0" applyBorder="1"/>
    <xf numFmtId="0" fontId="0" fillId="0" borderId="0" xfId="0" applyBorder="1" applyAlignment="1">
      <alignment horizontal="left"/>
    </xf>
    <xf numFmtId="0" fontId="8" fillId="0" borderId="0" xfId="0" applyFont="1" applyBorder="1"/>
    <xf numFmtId="1" fontId="3" fillId="0" borderId="0" xfId="0" applyNumberFormat="1" applyFont="1" applyFill="1" applyBorder="1" applyAlignment="1" applyProtection="1">
      <alignment wrapText="1"/>
    </xf>
    <xf numFmtId="0" fontId="0" fillId="0" borderId="1" xfId="0" applyFont="1" applyBorder="1" applyAlignment="1" applyProtection="1">
      <alignment wrapText="1"/>
    </xf>
    <xf numFmtId="0" fontId="0" fillId="0" borderId="1" xfId="0" applyFont="1" applyFill="1" applyBorder="1" applyAlignment="1" applyProtection="1">
      <alignment wrapText="1"/>
    </xf>
    <xf numFmtId="0" fontId="8" fillId="0" borderId="5" xfId="0" applyFont="1" applyFill="1" applyBorder="1"/>
    <xf numFmtId="0" fontId="8" fillId="0" borderId="10" xfId="0" applyFont="1" applyFill="1" applyBorder="1"/>
    <xf numFmtId="0" fontId="3" fillId="0" borderId="0" xfId="0" quotePrefix="1" applyFont="1" applyFill="1" applyBorder="1" applyAlignment="1" applyProtection="1">
      <alignment wrapText="1"/>
    </xf>
    <xf numFmtId="0" fontId="0" fillId="0" borderId="0" xfId="0" applyFill="1"/>
    <xf numFmtId="0" fontId="0" fillId="0" borderId="0" xfId="0" applyNumberFormat="1"/>
    <xf numFmtId="2" fontId="0" fillId="0" borderId="0" xfId="0" applyNumberFormat="1" applyAlignment="1">
      <alignment horizontal="center"/>
    </xf>
    <xf numFmtId="49" fontId="3" fillId="4" borderId="1" xfId="0" applyNumberFormat="1" applyFont="1" applyFill="1" applyBorder="1" applyAlignment="1" applyProtection="1">
      <alignment horizontal="left" vertical="top" wrapText="1"/>
      <protection locked="0"/>
    </xf>
    <xf numFmtId="0" fontId="0" fillId="0" borderId="16" xfId="0" applyFont="1" applyBorder="1" applyAlignment="1" applyProtection="1">
      <alignment wrapText="1"/>
    </xf>
    <xf numFmtId="0" fontId="13" fillId="2" borderId="8" xfId="0" applyFont="1" applyFill="1" applyBorder="1" applyAlignment="1" applyProtection="1">
      <alignment wrapText="1"/>
    </xf>
    <xf numFmtId="0" fontId="8" fillId="2" borderId="9" xfId="0" applyFont="1" applyFill="1" applyBorder="1" applyAlignment="1" applyProtection="1">
      <alignment wrapText="1"/>
    </xf>
    <xf numFmtId="0" fontId="8" fillId="6" borderId="11" xfId="0" applyFont="1" applyFill="1" applyBorder="1" applyAlignment="1" applyProtection="1">
      <alignment wrapText="1"/>
    </xf>
    <xf numFmtId="3" fontId="0" fillId="0" borderId="0" xfId="0" applyNumberFormat="1"/>
    <xf numFmtId="0" fontId="8" fillId="0" borderId="1"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2" xfId="0" applyFont="1" applyFill="1" applyBorder="1" applyAlignment="1" applyProtection="1">
      <alignment horizontal="center" wrapText="1"/>
    </xf>
    <xf numFmtId="0" fontId="8" fillId="0" borderId="19" xfId="0" applyFont="1" applyFill="1" applyBorder="1" applyAlignment="1" applyProtection="1">
      <alignment horizontal="center" wrapText="1"/>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49" fontId="8" fillId="0" borderId="23" xfId="0" applyNumberFormat="1" applyFont="1" applyFill="1" applyBorder="1"/>
    <xf numFmtId="49" fontId="8" fillId="0" borderId="25" xfId="0" applyNumberFormat="1" applyFont="1" applyFill="1" applyBorder="1"/>
    <xf numFmtId="0" fontId="0" fillId="0" borderId="14" xfId="0" applyFont="1" applyFill="1" applyBorder="1" applyAlignment="1">
      <alignment horizontal="center" vertical="center" wrapText="1"/>
    </xf>
    <xf numFmtId="49" fontId="8" fillId="0" borderId="14" xfId="0" applyNumberFormat="1" applyFont="1" applyFill="1" applyBorder="1"/>
    <xf numFmtId="0" fontId="0" fillId="0" borderId="1" xfId="0" applyNumberFormat="1" applyFont="1" applyFill="1" applyBorder="1" applyAlignment="1">
      <alignment horizontal="center" vertical="center" wrapText="1"/>
    </xf>
    <xf numFmtId="0" fontId="8" fillId="0" borderId="23" xfId="0" applyNumberFormat="1" applyFont="1" applyFill="1" applyBorder="1"/>
    <xf numFmtId="0" fontId="6" fillId="0" borderId="0" xfId="0" applyFont="1" applyFill="1" applyBorder="1" applyAlignment="1" applyProtection="1">
      <alignment wrapText="1"/>
    </xf>
    <xf numFmtId="0" fontId="0" fillId="0" borderId="0" xfId="0" applyFont="1" applyFill="1" applyBorder="1" applyProtection="1"/>
    <xf numFmtId="0" fontId="8" fillId="0" borderId="0" xfId="0" applyFont="1" applyFill="1" applyBorder="1"/>
    <xf numFmtId="0" fontId="0" fillId="0" borderId="0" xfId="0" applyFont="1" applyBorder="1"/>
    <xf numFmtId="0" fontId="0" fillId="0" borderId="0" xfId="0" applyFill="1" applyBorder="1"/>
    <xf numFmtId="0" fontId="0" fillId="0" borderId="0" xfId="0" applyNumberFormat="1" applyFill="1" applyBorder="1"/>
    <xf numFmtId="0" fontId="0" fillId="0" borderId="0"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5" fillId="0" borderId="0" xfId="0" applyFont="1" applyFill="1" applyBorder="1" applyAlignment="1"/>
    <xf numFmtId="0" fontId="5" fillId="0" borderId="0" xfId="0" applyFont="1" applyFill="1" applyBorder="1" applyAlignment="1">
      <alignment wrapText="1"/>
    </xf>
    <xf numFmtId="0" fontId="0" fillId="4" borderId="1" xfId="0" applyFill="1" applyBorder="1" applyAlignment="1" applyProtection="1">
      <alignment horizontal="center" vertical="top" wrapText="1"/>
      <protection locked="0"/>
    </xf>
    <xf numFmtId="0" fontId="3" fillId="4" borderId="14" xfId="0" applyFont="1" applyFill="1" applyBorder="1" applyAlignment="1" applyProtection="1">
      <alignment horizontal="center" vertical="top" wrapText="1"/>
      <protection locked="0"/>
    </xf>
    <xf numFmtId="0" fontId="3" fillId="4" borderId="1" xfId="0" applyFont="1" applyFill="1" applyBorder="1" applyAlignment="1" applyProtection="1">
      <alignment horizontal="center" vertical="top" wrapText="1"/>
      <protection locked="0"/>
    </xf>
    <xf numFmtId="0" fontId="3" fillId="4" borderId="18" xfId="0" applyFont="1" applyFill="1" applyBorder="1" applyAlignment="1" applyProtection="1">
      <alignment horizontal="center" vertical="top" wrapText="1"/>
      <protection locked="0"/>
    </xf>
    <xf numFmtId="0" fontId="3" fillId="4" borderId="11" xfId="0" applyFont="1" applyFill="1" applyBorder="1" applyAlignment="1" applyProtection="1">
      <alignment horizontal="center" vertical="top" wrapText="1"/>
      <protection locked="0"/>
    </xf>
    <xf numFmtId="0" fontId="8" fillId="0" borderId="1" xfId="0" applyFont="1" applyFill="1" applyBorder="1" applyAlignment="1">
      <alignment horizontal="center" vertical="center"/>
    </xf>
    <xf numFmtId="0" fontId="8" fillId="0" borderId="1" xfId="0" applyFont="1" applyFill="1" applyBorder="1" applyAlignment="1">
      <alignment horizontal="center"/>
    </xf>
    <xf numFmtId="0" fontId="8" fillId="0" borderId="0" xfId="0" applyFont="1" applyFill="1" applyAlignment="1">
      <alignment horizontal="center"/>
    </xf>
    <xf numFmtId="0" fontId="8" fillId="0" borderId="1" xfId="0" applyFont="1" applyFill="1" applyBorder="1" applyAlignment="1">
      <alignment horizontal="center" vertical="center" wrapText="1"/>
    </xf>
    <xf numFmtId="0" fontId="8" fillId="0" borderId="0" xfId="0" applyFont="1" applyFill="1"/>
    <xf numFmtId="0" fontId="8" fillId="0" borderId="5" xfId="0" applyFont="1" applyFill="1" applyBorder="1" applyProtection="1"/>
    <xf numFmtId="0" fontId="8" fillId="0" borderId="1" xfId="0" applyFont="1" applyFill="1" applyBorder="1" applyProtection="1"/>
    <xf numFmtId="0" fontId="8" fillId="0" borderId="22" xfId="0" applyFont="1" applyFill="1" applyBorder="1" applyProtection="1"/>
    <xf numFmtId="0" fontId="8" fillId="0" borderId="2" xfId="0" applyFont="1" applyFill="1" applyBorder="1" applyAlignment="1">
      <alignment horizontal="center"/>
    </xf>
    <xf numFmtId="0" fontId="8" fillId="0" borderId="1" xfId="0" applyFont="1" applyFill="1" applyBorder="1" applyAlignment="1">
      <alignment horizontal="left"/>
    </xf>
    <xf numFmtId="0" fontId="8" fillId="0" borderId="5" xfId="0" applyFont="1" applyFill="1" applyBorder="1" applyAlignment="1">
      <alignment horizontal="left"/>
    </xf>
    <xf numFmtId="0" fontId="8" fillId="0" borderId="19" xfId="0" applyFont="1" applyFill="1" applyBorder="1" applyAlignment="1">
      <alignment horizontal="center"/>
    </xf>
    <xf numFmtId="0" fontId="10" fillId="0" borderId="15" xfId="0" applyFont="1" applyFill="1" applyBorder="1"/>
    <xf numFmtId="49" fontId="10" fillId="0" borderId="16" xfId="0" applyNumberFormat="1" applyFont="1" applyFill="1" applyBorder="1"/>
    <xf numFmtId="0" fontId="10" fillId="0" borderId="16" xfId="0" applyFont="1" applyFill="1" applyBorder="1"/>
    <xf numFmtId="49" fontId="10" fillId="0" borderId="17" xfId="0" applyNumberFormat="1" applyFont="1" applyFill="1" applyBorder="1"/>
    <xf numFmtId="0" fontId="10" fillId="0" borderId="1" xfId="0" applyFont="1" applyFill="1" applyBorder="1" applyAlignment="1">
      <alignment horizontal="center" vertical="center" wrapText="1"/>
    </xf>
    <xf numFmtId="0" fontId="10" fillId="0" borderId="0" xfId="0" applyFont="1" applyFill="1"/>
    <xf numFmtId="0" fontId="10" fillId="0" borderId="0" xfId="0" applyFont="1" applyFill="1" applyBorder="1"/>
    <xf numFmtId="0" fontId="8" fillId="0" borderId="1" xfId="0" applyFont="1" applyBorder="1" applyAlignment="1">
      <alignment horizontal="center" wrapText="1"/>
    </xf>
    <xf numFmtId="0" fontId="8" fillId="0" borderId="1" xfId="0" applyFont="1" applyFill="1" applyBorder="1" applyAlignment="1">
      <alignment horizontal="center" wrapText="1"/>
    </xf>
    <xf numFmtId="2" fontId="8" fillId="0" borderId="1" xfId="0" applyNumberFormat="1" applyFont="1" applyBorder="1" applyAlignment="1">
      <alignment horizontal="center" wrapText="1"/>
    </xf>
    <xf numFmtId="0" fontId="0" fillId="0" borderId="0" xfId="0" applyFont="1" applyFill="1" applyProtection="1"/>
    <xf numFmtId="0" fontId="0" fillId="0" borderId="0" xfId="0" applyAlignment="1">
      <alignment horizontal="left" vertical="top" wrapText="1"/>
    </xf>
    <xf numFmtId="0" fontId="4" fillId="2" borderId="26" xfId="0" applyFont="1" applyFill="1" applyBorder="1" applyAlignment="1" applyProtection="1">
      <alignment horizontal="left" vertical="top" wrapText="1"/>
    </xf>
    <xf numFmtId="0" fontId="0" fillId="0" borderId="20" xfId="0" applyBorder="1" applyAlignment="1">
      <alignment horizontal="left" vertical="top" wrapText="1"/>
    </xf>
    <xf numFmtId="0" fontId="4" fillId="0" borderId="0" xfId="0" applyFont="1" applyFill="1" applyBorder="1" applyAlignment="1" applyProtection="1">
      <alignment wrapText="1"/>
    </xf>
    <xf numFmtId="0" fontId="5" fillId="0" borderId="0" xfId="0" applyFont="1" applyFill="1" applyBorder="1" applyAlignment="1" applyProtection="1">
      <alignment wrapText="1"/>
    </xf>
    <xf numFmtId="0" fontId="5" fillId="2" borderId="8" xfId="0" applyFont="1" applyFill="1" applyBorder="1" applyAlignment="1" applyProtection="1">
      <alignment horizontal="left" vertical="top" wrapText="1"/>
    </xf>
    <xf numFmtId="0" fontId="5" fillId="2" borderId="7" xfId="0" applyFont="1" applyFill="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5" fillId="2" borderId="20" xfId="0" applyFont="1" applyFill="1" applyBorder="1" applyAlignment="1" applyProtection="1">
      <alignment horizontal="left" vertical="top" wrapText="1"/>
    </xf>
    <xf numFmtId="0" fontId="5" fillId="2" borderId="9" xfId="0" applyFont="1" applyFill="1" applyBorder="1" applyAlignment="1" applyProtection="1">
      <alignment wrapText="1"/>
    </xf>
    <xf numFmtId="0" fontId="5" fillId="2" borderId="24" xfId="0" applyFont="1" applyFill="1" applyBorder="1" applyAlignment="1" applyProtection="1">
      <alignment wrapText="1"/>
    </xf>
    <xf numFmtId="0" fontId="5" fillId="2" borderId="21" xfId="0" applyFont="1" applyFill="1" applyBorder="1" applyAlignment="1" applyProtection="1">
      <alignment wrapText="1"/>
    </xf>
    <xf numFmtId="0" fontId="5" fillId="0" borderId="15" xfId="0" applyFont="1" applyFill="1" applyBorder="1" applyAlignment="1" applyProtection="1">
      <alignment horizontal="center" vertical="center" wrapText="1"/>
    </xf>
    <xf numFmtId="0" fontId="3" fillId="0" borderId="14" xfId="0" applyFont="1" applyBorder="1" applyAlignment="1" applyProtection="1">
      <alignment horizontal="center" wrapText="1"/>
    </xf>
    <xf numFmtId="1" fontId="3" fillId="4" borderId="1" xfId="0" applyNumberFormat="1" applyFont="1" applyFill="1" applyBorder="1" applyAlignment="1" applyProtection="1">
      <alignment horizontal="center" vertical="top" wrapText="1"/>
      <protection locked="0" hidden="1"/>
    </xf>
    <xf numFmtId="0" fontId="3" fillId="0" borderId="1" xfId="0" applyFont="1" applyBorder="1" applyAlignment="1" applyProtection="1">
      <alignment horizontal="center" vertical="top" wrapText="1"/>
    </xf>
    <xf numFmtId="2" fontId="3" fillId="0" borderId="1" xfId="0" applyNumberFormat="1" applyFont="1" applyBorder="1" applyAlignment="1" applyProtection="1">
      <alignment horizontal="center" vertical="top" wrapText="1"/>
    </xf>
    <xf numFmtId="0" fontId="5" fillId="0" borderId="1" xfId="0" applyFont="1" applyFill="1" applyBorder="1" applyAlignment="1" applyProtection="1">
      <alignment wrapText="1"/>
    </xf>
    <xf numFmtId="0" fontId="0" fillId="6" borderId="1" xfId="0" applyFont="1" applyFill="1" applyBorder="1" applyAlignment="1" applyProtection="1">
      <alignment wrapText="1"/>
    </xf>
    <xf numFmtId="1" fontId="0" fillId="0" borderId="1" xfId="0" applyNumberFormat="1" applyFont="1" applyFill="1" applyBorder="1" applyAlignment="1" applyProtection="1">
      <alignment horizontal="center" vertical="top" wrapText="1"/>
      <protection locked="0"/>
    </xf>
    <xf numFmtId="0" fontId="0" fillId="6" borderId="1" xfId="0" applyFont="1" applyFill="1" applyBorder="1" applyAlignment="1" applyProtection="1">
      <alignment horizontal="center" vertical="top" wrapText="1"/>
    </xf>
    <xf numFmtId="2" fontId="0" fillId="0" borderId="1" xfId="0" applyNumberFormat="1" applyFont="1" applyBorder="1" applyAlignment="1" applyProtection="1">
      <alignment horizontal="center" vertical="top" wrapText="1"/>
    </xf>
    <xf numFmtId="0" fontId="5" fillId="2" borderId="3" xfId="0" applyFont="1" applyFill="1" applyBorder="1" applyAlignment="1" applyProtection="1">
      <alignment wrapText="1"/>
    </xf>
    <xf numFmtId="1" fontId="3" fillId="4" borderId="2" xfId="0" applyNumberFormat="1" applyFont="1" applyFill="1" applyBorder="1" applyAlignment="1" applyProtection="1">
      <alignment horizontal="center" vertical="top" wrapText="1"/>
      <protection locked="0"/>
    </xf>
    <xf numFmtId="0" fontId="3" fillId="4" borderId="2" xfId="0" applyFont="1" applyFill="1" applyBorder="1" applyAlignment="1" applyProtection="1">
      <alignment horizontal="center" vertical="top" wrapText="1"/>
      <protection locked="0"/>
    </xf>
    <xf numFmtId="2" fontId="3" fillId="0" borderId="2" xfId="0" applyNumberFormat="1" applyFont="1" applyBorder="1" applyAlignment="1" applyProtection="1">
      <alignment horizontal="center" vertical="top" wrapText="1"/>
    </xf>
    <xf numFmtId="1" fontId="3" fillId="4" borderId="19" xfId="0" applyNumberFormat="1" applyFont="1" applyFill="1" applyBorder="1" applyAlignment="1" applyProtection="1">
      <alignment horizontal="center" vertical="top" wrapText="1"/>
      <protection locked="0"/>
    </xf>
    <xf numFmtId="0" fontId="3" fillId="4" borderId="19" xfId="0" applyFont="1" applyFill="1" applyBorder="1" applyAlignment="1" applyProtection="1">
      <alignment horizontal="center" vertical="top" wrapText="1"/>
      <protection locked="0"/>
    </xf>
    <xf numFmtId="2" fontId="3" fillId="0" borderId="11" xfId="0" applyNumberFormat="1" applyFont="1" applyBorder="1" applyAlignment="1" applyProtection="1">
      <alignment horizontal="center" vertical="top" wrapText="1"/>
    </xf>
    <xf numFmtId="2" fontId="3" fillId="0" borderId="19" xfId="0" applyNumberFormat="1" applyFont="1" applyBorder="1" applyAlignment="1" applyProtection="1">
      <alignment horizontal="center" vertical="top" wrapText="1"/>
    </xf>
    <xf numFmtId="1" fontId="0" fillId="0" borderId="11" xfId="0" applyNumberFormat="1" applyFont="1" applyFill="1" applyBorder="1" applyAlignment="1" applyProtection="1">
      <alignment horizontal="center" vertical="top" wrapText="1"/>
      <protection locked="0"/>
    </xf>
    <xf numFmtId="0" fontId="0" fillId="6" borderId="11" xfId="0" applyFont="1" applyFill="1" applyBorder="1" applyAlignment="1" applyProtection="1">
      <alignment horizontal="center" vertical="top" wrapText="1"/>
      <protection locked="0"/>
    </xf>
    <xf numFmtId="2" fontId="0" fillId="0" borderId="11" xfId="0" applyNumberFormat="1" applyFont="1" applyBorder="1" applyAlignment="1" applyProtection="1">
      <alignment horizontal="center" vertical="top" wrapText="1"/>
    </xf>
    <xf numFmtId="0" fontId="5" fillId="0" borderId="15" xfId="0" applyFont="1" applyBorder="1" applyAlignment="1">
      <alignment horizontal="center" vertical="center" wrapText="1"/>
    </xf>
    <xf numFmtId="10" fontId="3" fillId="4" borderId="1" xfId="0" applyNumberFormat="1" applyFont="1" applyFill="1" applyBorder="1" applyAlignment="1" applyProtection="1">
      <alignment horizontal="center" vertical="top" wrapText="1"/>
      <protection locked="0"/>
    </xf>
    <xf numFmtId="0" fontId="0" fillId="4" borderId="5" xfId="0" applyFont="1" applyFill="1" applyBorder="1" applyAlignment="1" applyProtection="1">
      <alignment horizontal="center" vertical="top" wrapText="1"/>
      <protection locked="0"/>
    </xf>
    <xf numFmtId="10" fontId="0" fillId="0" borderId="11" xfId="0" applyNumberFormat="1" applyBorder="1" applyAlignment="1" applyProtection="1">
      <alignment horizontal="center" vertical="top" wrapText="1"/>
      <protection locked="0"/>
    </xf>
    <xf numFmtId="2" fontId="0" fillId="0" borderId="11" xfId="0" applyNumberFormat="1" applyBorder="1" applyAlignment="1">
      <alignment horizontal="center" vertical="top" wrapText="1"/>
    </xf>
    <xf numFmtId="0" fontId="8" fillId="0" borderId="0" xfId="0" applyFont="1" applyAlignment="1">
      <alignment wrapText="1"/>
    </xf>
    <xf numFmtId="0" fontId="0" fillId="0" borderId="0" xfId="0" applyFill="1" applyAlignment="1">
      <alignment wrapText="1"/>
    </xf>
    <xf numFmtId="0" fontId="5" fillId="7" borderId="3" xfId="0" applyFont="1" applyFill="1" applyBorder="1" applyAlignment="1">
      <alignment wrapText="1"/>
    </xf>
    <xf numFmtId="0" fontId="5" fillId="7" borderId="21" xfId="0" applyFont="1" applyFill="1" applyBorder="1" applyAlignment="1">
      <alignment wrapText="1"/>
    </xf>
    <xf numFmtId="0" fontId="0" fillId="5" borderId="16" xfId="0" applyFont="1" applyFill="1" applyBorder="1" applyAlignment="1">
      <alignment horizontal="center" wrapText="1"/>
    </xf>
    <xf numFmtId="2" fontId="0" fillId="5" borderId="16" xfId="0" applyNumberFormat="1" applyFont="1" applyFill="1" applyBorder="1" applyAlignment="1">
      <alignment horizontal="center" wrapText="1"/>
    </xf>
    <xf numFmtId="0" fontId="0" fillId="5" borderId="1" xfId="0" applyFont="1" applyFill="1" applyBorder="1" applyAlignment="1">
      <alignment horizontal="center" wrapText="1"/>
    </xf>
    <xf numFmtId="2" fontId="0" fillId="5" borderId="1" xfId="0" applyNumberFormat="1" applyFont="1" applyFill="1" applyBorder="1" applyAlignment="1">
      <alignment horizontal="center" wrapText="1"/>
    </xf>
    <xf numFmtId="2" fontId="0" fillId="0" borderId="1" xfId="0" applyNumberFormat="1" applyBorder="1" applyAlignment="1">
      <alignment horizontal="center" wrapText="1"/>
    </xf>
    <xf numFmtId="0" fontId="5" fillId="2" borderId="20" xfId="0" applyFont="1" applyFill="1" applyBorder="1" applyAlignment="1" applyProtection="1">
      <alignment wrapText="1"/>
    </xf>
    <xf numFmtId="0" fontId="0" fillId="0" borderId="0" xfId="0" quotePrefix="1" applyFill="1" applyAlignment="1">
      <alignment wrapText="1"/>
    </xf>
    <xf numFmtId="0" fontId="8" fillId="0" borderId="0" xfId="0" applyFont="1" applyFill="1" applyAlignment="1">
      <alignment wrapText="1"/>
    </xf>
    <xf numFmtId="0" fontId="0" fillId="0" borderId="0" xfId="0" applyNumberFormat="1" applyFill="1"/>
    <xf numFmtId="9" fontId="0" fillId="0" borderId="0" xfId="0" applyNumberFormat="1" applyAlignment="1">
      <alignment wrapText="1"/>
    </xf>
    <xf numFmtId="49" fontId="8" fillId="0" borderId="15" xfId="0" applyNumberFormat="1" applyFont="1" applyFill="1" applyBorder="1"/>
    <xf numFmtId="49" fontId="8" fillId="0" borderId="16" xfId="0" applyNumberFormat="1" applyFont="1" applyFill="1" applyBorder="1"/>
    <xf numFmtId="0" fontId="5" fillId="0" borderId="18" xfId="0" applyFont="1" applyBorder="1" applyAlignment="1" applyProtection="1">
      <alignment horizontal="left" vertical="top" wrapText="1"/>
      <protection locked="0"/>
    </xf>
    <xf numFmtId="0" fontId="13" fillId="5" borderId="11" xfId="0" applyFont="1" applyFill="1" applyBorder="1" applyAlignment="1" applyProtection="1">
      <alignment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Font="1" applyAlignment="1">
      <alignment horizontal="center" vertical="center" wrapText="1"/>
    </xf>
    <xf numFmtId="0" fontId="0" fillId="0" borderId="0" xfId="0" quotePrefix="1" applyNumberFormat="1"/>
    <xf numFmtId="0" fontId="0" fillId="0" borderId="27" xfId="0" applyFont="1" applyBorder="1" applyAlignment="1" applyProtection="1">
      <alignment vertical="top" wrapText="1"/>
    </xf>
    <xf numFmtId="0" fontId="9" fillId="5" borderId="25" xfId="0" applyFont="1" applyFill="1" applyBorder="1" applyAlignment="1" applyProtection="1"/>
    <xf numFmtId="0" fontId="5" fillId="3" borderId="28" xfId="0" applyFont="1" applyFill="1" applyBorder="1" applyAlignment="1" applyProtection="1"/>
    <xf numFmtId="0" fontId="0" fillId="5" borderId="29" xfId="0" applyFill="1" applyBorder="1" applyAlignment="1">
      <alignment horizontal="left" wrapText="1"/>
    </xf>
    <xf numFmtId="0" fontId="14" fillId="0" borderId="1" xfId="3" applyFont="1" applyBorder="1" applyAlignment="1" applyProtection="1">
      <alignment wrapText="1"/>
    </xf>
    <xf numFmtId="0" fontId="14" fillId="0" borderId="1" xfId="3" applyBorder="1" applyAlignment="1" applyProtection="1">
      <alignment wrapText="1"/>
    </xf>
    <xf numFmtId="0" fontId="14" fillId="0" borderId="1" xfId="3" quotePrefix="1" applyBorder="1" applyAlignment="1" applyProtection="1">
      <alignment wrapText="1"/>
    </xf>
    <xf numFmtId="0" fontId="14" fillId="0" borderId="19" xfId="3" applyBorder="1" applyAlignment="1" applyProtection="1">
      <alignment wrapText="1"/>
    </xf>
    <xf numFmtId="0" fontId="14" fillId="0" borderId="30" xfId="3" applyBorder="1" applyAlignment="1" applyProtection="1">
      <alignment wrapText="1"/>
    </xf>
    <xf numFmtId="0" fontId="5" fillId="3" borderId="27" xfId="0" applyFont="1" applyFill="1" applyBorder="1" applyAlignment="1" applyProtection="1"/>
    <xf numFmtId="0" fontId="5" fillId="3" borderId="31" xfId="0" applyFont="1" applyFill="1" applyBorder="1" applyAlignment="1" applyProtection="1"/>
    <xf numFmtId="0" fontId="0" fillId="0" borderId="31" xfId="0" applyFont="1" applyBorder="1" applyAlignment="1" applyProtection="1">
      <alignment vertical="top" wrapText="1"/>
    </xf>
    <xf numFmtId="0" fontId="14" fillId="5" borderId="25" xfId="3" applyFont="1" applyFill="1" applyBorder="1" applyAlignment="1" applyProtection="1">
      <alignment vertical="top" wrapText="1"/>
    </xf>
    <xf numFmtId="0" fontId="0" fillId="0" borderId="25" xfId="0" applyFont="1" applyBorder="1" applyAlignment="1" applyProtection="1">
      <alignment vertical="top" wrapText="1"/>
    </xf>
    <xf numFmtId="0" fontId="14" fillId="0" borderId="32" xfId="3" applyFont="1" applyFill="1" applyBorder="1" applyAlignment="1" applyProtection="1">
      <alignment vertical="center" wrapText="1"/>
    </xf>
    <xf numFmtId="0" fontId="15" fillId="5" borderId="32" xfId="0" applyFont="1" applyFill="1" applyBorder="1" applyAlignment="1" applyProtection="1">
      <alignment vertical="top" wrapText="1"/>
    </xf>
    <xf numFmtId="0" fontId="3" fillId="0" borderId="16" xfId="0" applyFont="1" applyFill="1" applyBorder="1" applyAlignment="1" applyProtection="1">
      <alignment horizontal="left" vertical="top" wrapText="1"/>
    </xf>
    <xf numFmtId="15" fontId="18" fillId="5" borderId="1" xfId="0" applyNumberFormat="1" applyFont="1" applyFill="1" applyBorder="1" applyAlignment="1" applyProtection="1">
      <alignment horizontal="left" vertical="top" wrapText="1"/>
      <protection locked="0"/>
    </xf>
    <xf numFmtId="0" fontId="8" fillId="0" borderId="1" xfId="0" applyFont="1" applyFill="1" applyBorder="1" applyAlignment="1" applyProtection="1">
      <alignment horizontal="left" vertical="top" wrapText="1"/>
    </xf>
    <xf numFmtId="0" fontId="8" fillId="2" borderId="21" xfId="0" applyFont="1" applyFill="1" applyBorder="1" applyAlignment="1" applyProtection="1">
      <alignment wrapText="1"/>
    </xf>
    <xf numFmtId="0" fontId="0" fillId="4" borderId="1" xfId="0" applyFont="1" applyFill="1" applyBorder="1" applyAlignment="1" applyProtection="1">
      <alignment horizontal="center" vertical="top" wrapText="1"/>
      <protection locked="0"/>
    </xf>
    <xf numFmtId="0" fontId="14" fillId="0" borderId="25" xfId="3" applyBorder="1" applyAlignment="1" applyProtection="1">
      <alignment vertical="top" wrapText="1"/>
    </xf>
    <xf numFmtId="0" fontId="3" fillId="4" borderId="6" xfId="0" applyFont="1" applyFill="1" applyBorder="1" applyAlignment="1" applyProtection="1">
      <alignment horizontal="left" vertical="top" wrapText="1"/>
      <protection locked="0"/>
    </xf>
    <xf numFmtId="0" fontId="3" fillId="4" borderId="16" xfId="0" applyFont="1" applyFill="1" applyBorder="1" applyAlignment="1" applyProtection="1">
      <alignment horizontal="left" vertical="top" wrapText="1"/>
      <protection locked="0"/>
    </xf>
    <xf numFmtId="0" fontId="8" fillId="4" borderId="1" xfId="0" applyFont="1" applyFill="1" applyBorder="1" applyAlignment="1" applyProtection="1">
      <alignment horizontal="left" vertical="top" wrapText="1"/>
      <protection locked="0"/>
    </xf>
    <xf numFmtId="9" fontId="3" fillId="4" borderId="1" xfId="0" applyNumberFormat="1" applyFont="1" applyFill="1" applyBorder="1" applyAlignment="1" applyProtection="1">
      <alignment horizontal="left" vertical="top" wrapText="1"/>
      <protection locked="0"/>
    </xf>
    <xf numFmtId="0" fontId="3" fillId="4" borderId="1" xfId="0" applyFont="1" applyFill="1" applyBorder="1" applyAlignment="1" applyProtection="1">
      <alignment horizontal="left" vertical="top" wrapText="1"/>
      <protection locked="0"/>
    </xf>
    <xf numFmtId="0" fontId="0" fillId="4" borderId="6" xfId="0" applyFont="1" applyFill="1" applyBorder="1" applyAlignment="1" applyProtection="1">
      <alignment horizontal="center" vertical="top" wrapText="1"/>
      <protection locked="0"/>
    </xf>
    <xf numFmtId="0" fontId="0" fillId="4" borderId="11" xfId="0" applyFont="1" applyFill="1" applyBorder="1" applyAlignment="1" applyProtection="1">
      <alignment horizontal="left" vertical="top" wrapText="1"/>
      <protection locked="0"/>
    </xf>
    <xf numFmtId="10" fontId="8" fillId="4" borderId="1" xfId="0" applyNumberFormat="1" applyFont="1" applyFill="1" applyBorder="1" applyAlignment="1" applyProtection="1">
      <alignment horizontal="center" wrapText="1"/>
      <protection locked="0"/>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7" xfId="0" applyFont="1" applyFill="1" applyBorder="1" applyAlignment="1">
      <alignment horizontal="center" vertical="center"/>
    </xf>
    <xf numFmtId="0" fontId="5" fillId="3" borderId="3" xfId="0" applyFont="1" applyFill="1" applyBorder="1" applyAlignment="1">
      <alignment horizontal="center"/>
    </xf>
    <xf numFmtId="0" fontId="5" fillId="3" borderId="24" xfId="0" applyFont="1" applyFill="1" applyBorder="1" applyAlignment="1">
      <alignment horizontal="center"/>
    </xf>
    <xf numFmtId="0" fontId="5" fillId="3" borderId="21" xfId="0" applyFont="1" applyFill="1" applyBorder="1" applyAlignment="1">
      <alignment horizontal="center"/>
    </xf>
    <xf numFmtId="0" fontId="0" fillId="3" borderId="34" xfId="0" applyFill="1" applyBorder="1" applyAlignment="1">
      <alignment horizontal="center" vertical="center"/>
    </xf>
    <xf numFmtId="0" fontId="0" fillId="3" borderId="4" xfId="0" applyFill="1" applyBorder="1" applyAlignment="1">
      <alignment horizontal="center" vertical="center"/>
    </xf>
    <xf numFmtId="0" fontId="0" fillId="3" borderId="13" xfId="0" applyFill="1" applyBorder="1" applyAlignment="1">
      <alignment horizontal="center" vertical="center"/>
    </xf>
    <xf numFmtId="0" fontId="0" fillId="3" borderId="33" xfId="0" applyFill="1" applyBorder="1" applyAlignment="1">
      <alignment horizontal="center" vertical="center"/>
    </xf>
    <xf numFmtId="0" fontId="0" fillId="3" borderId="0" xfId="0" applyFill="1" applyAlignment="1">
      <alignment horizontal="center" vertical="center"/>
    </xf>
    <xf numFmtId="0" fontId="0" fillId="3" borderId="12" xfId="0" applyFill="1" applyBorder="1" applyAlignment="1">
      <alignment horizontal="center" vertical="center"/>
    </xf>
  </cellXfs>
  <cellStyles count="6">
    <cellStyle name="Hyperlink" xfId="3" builtinId="8" customBuiltin="1"/>
    <cellStyle name="Normal" xfId="0" builtinId="0" customBuiltin="1"/>
    <cellStyle name="Normal 2" xfId="1" xr:uid="{CFD44A4A-F17A-44CB-BFD6-537DCD1B6530}"/>
    <cellStyle name="Normal 4" xfId="4" xr:uid="{2A779286-3B16-460E-AF61-A3DAD3D38586}"/>
    <cellStyle name="Normal 6" xfId="5" xr:uid="{B3CEFFC9-6BB6-4976-BCD7-FFE71AF2A520}"/>
    <cellStyle name="Percent 2" xfId="2" xr:uid="{1C21BF51-1ABC-4696-A783-9AD47FAFAC29}"/>
  </cellStyles>
  <dxfs count="2466">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dxf>
    <dxf>
      <font>
        <b val="0"/>
        <i val="0"/>
        <strike val="0"/>
        <condense val="0"/>
        <extend val="0"/>
        <outline val="0"/>
        <shadow val="0"/>
        <u val="none"/>
        <vertAlign val="baseline"/>
        <sz val="11"/>
        <color auto="1"/>
        <name val="Arial"/>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0" formatCode="@"/>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left style="thin">
          <color indexed="64"/>
        </left>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numFmt numFmtId="164" formatCode=";;;"/>
      <fill>
        <patternFill>
          <bgColor theme="0" tint="-0.499984740745262"/>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protection locked="1" hidden="0"/>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numFmt numFmtId="164" formatCode=";;;"/>
      <fill>
        <gradientFill degree="90">
          <stop position="0">
            <color theme="0" tint="-0.49803155613879818"/>
          </stop>
          <stop position="1">
            <color theme="0" tint="-0.49803155613879818"/>
          </stop>
        </gradientFill>
      </fill>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numFmt numFmtId="164" formatCode=";;;"/>
      <fill>
        <gradientFill degree="90">
          <stop position="0">
            <color theme="0" tint="-0.49803155613879818"/>
          </stop>
          <stop position="1">
            <color theme="0" tint="-0.49803155613879818"/>
          </stop>
        </gradient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auto="1"/>
        </top>
      </border>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border outline="0">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style="thin">
          <color indexed="64"/>
        </left>
        <right style="thin">
          <color indexed="64"/>
        </right>
        <top/>
        <bottom/>
      </border>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numFmt numFmtId="164" formatCode=";;;"/>
      <fill>
        <patternFill>
          <bgColor theme="0" tint="-0.499984740745262"/>
        </patternFill>
      </fill>
    </dxf>
    <dxf>
      <numFmt numFmtId="164" formatCode=";;;"/>
    </dxf>
    <dxf>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numFmt numFmtId="164" formatCode=";;;"/>
      <fill>
        <gradientFill degree="90">
          <stop position="0">
            <color theme="0" tint="-0.49803155613879818"/>
          </stop>
          <stop position="1">
            <color theme="0" tint="-0.49803155613879818"/>
          </stop>
        </gradientFill>
      </fill>
    </dxf>
    <dxf>
      <numFmt numFmtId="164" formatCode=";;;"/>
      <fill>
        <patternFill>
          <bgColor theme="0" tint="-0.499984740745262"/>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rgb="FFFFFFCC"/>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top style="thin">
          <color auto="1"/>
        </top>
      </border>
    </dxf>
    <dxf>
      <alignment textRotation="0" wrapText="1" indent="0" justifyLastLine="0" shrinkToFit="0" readingOrder="0"/>
    </dxf>
    <dxf>
      <border outline="0">
        <right style="thin">
          <color rgb="FF000000"/>
        </right>
        <top style="medium">
          <color rgb="FF000000"/>
        </top>
        <bottom style="thin">
          <color auto="1"/>
        </bottom>
      </border>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alignment horizontal="general" vertical="bottom"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4"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alignment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auto="1"/>
        </top>
      </border>
    </dxf>
    <dxf>
      <alignment textRotation="0" wrapText="1" indent="0" justifyLastLine="0" shrinkToFit="0" readingOrder="0"/>
    </dxf>
    <dxf>
      <border outline="0">
        <left style="thin">
          <color rgb="FF000000"/>
        </left>
        <right style="thin">
          <color rgb="FF000000"/>
        </right>
        <top style="thin">
          <color auto="1"/>
        </top>
        <bottom style="thin">
          <color auto="1"/>
        </bottom>
      </border>
    </dxf>
    <dxf>
      <font>
        <b val="0"/>
        <i val="0"/>
        <strike val="0"/>
        <condense val="0"/>
        <extend val="0"/>
        <outline val="0"/>
        <shadow val="0"/>
        <u val="none"/>
        <vertAlign val="baseline"/>
        <sz val="11"/>
        <color rgb="FF000000"/>
        <name val="Arial"/>
        <family val="2"/>
        <scheme val="none"/>
      </font>
      <fill>
        <patternFill patternType="solid">
          <fgColor rgb="FF000000"/>
          <bgColor rgb="FFFFFFCC"/>
        </patternFill>
      </fill>
      <alignment horizontal="general" vertical="bottom"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rgb="FF000000"/>
        </top>
      </border>
    </dxf>
    <dxf>
      <alignment textRotation="0" wrapText="1" indent="0" justifyLastLine="0" shrinkToFit="0" readingOrder="0"/>
      <border diagonalUp="0" diagonalDown="0" outline="0">
        <left style="thin">
          <color rgb="FF000000"/>
        </left>
        <right style="thin">
          <color rgb="FF000000"/>
        </right>
        <top/>
        <bottom/>
      </border>
    </dxf>
    <dxf>
      <border outline="0">
        <left style="medium">
          <color rgb="FF000000"/>
        </left>
        <right style="medium">
          <color rgb="FF000000"/>
        </right>
        <top style="medium">
          <color rgb="FF000000"/>
        </top>
      </border>
    </dxf>
    <dxf>
      <alignment textRotation="0" wrapText="1" indent="0" justifyLastLine="0" shrinkToFit="0" readingOrder="0"/>
    </dxf>
    <dxf>
      <border outline="0">
        <bottom style="thin">
          <color auto="1"/>
        </bottom>
      </border>
    </dxf>
    <dxf>
      <alignment horizontal="center" vertical="center" textRotation="0" wrapText="1" indent="0" justifyLastLine="0" shrinkToFit="0" readingOrder="0"/>
    </dxf>
    <dxf>
      <numFmt numFmtId="164" formatCode=";;;"/>
      <fill>
        <patternFill>
          <bgColor theme="0" tint="-0.499984740745262"/>
        </patternFill>
      </fill>
    </dxf>
    <dxf>
      <font>
        <color auto="1"/>
      </font>
      <numFmt numFmtId="164" formatCode=";;;"/>
      <fill>
        <patternFill>
          <bgColor theme="0" tint="-0.499984740745262"/>
        </patternFill>
      </fill>
      <border>
        <left style="thin">
          <color auto="1"/>
        </left>
        <right style="thin">
          <color auto="1"/>
        </right>
        <top style="thin">
          <color auto="1"/>
        </top>
        <bottom style="thin">
          <color auto="1"/>
        </bottom>
        <vertical/>
        <horizontal/>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164" formatCode=";;;"/>
      <fill>
        <patternFill>
          <bgColor theme="0" tint="-0.499984740745262"/>
        </patternFill>
      </fill>
      <border>
        <left style="thin">
          <color auto="1"/>
        </left>
        <right style="thin">
          <color auto="1"/>
        </right>
        <top style="thin">
          <color auto="1"/>
        </top>
        <bottom style="thin">
          <color auto="1"/>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alignment horizontal="center" vertical="center" textRotation="0" indent="0" justifyLastLine="0" shrinkToFit="0" readingOrder="0"/>
    </dxf>
  </dxfs>
  <tableStyles count="1" defaultTableStyle="TableStyleMedium2" defaultPivotStyle="PivotStyleLight16">
    <tableStyle name="Table Style 1" pivot="0" count="0" xr9:uid="{00000000-0011-0000-FFFF-FFFF00000000}"/>
  </tableStyles>
  <colors>
    <mruColors>
      <color rgb="FFFFFFCC"/>
      <color rgb="FF0000FF"/>
      <color rgb="FFFF7C80"/>
      <color rgb="FFFF9999"/>
      <color rgb="FFF0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DD1E2A77-C344-481F-B0E9-E8354C13AF94}" name="summary" displayName="summary" ref="A3:L29" totalsRowCount="1" headerRowDxfId="2465">
  <autoFilter ref="A3:L28" xr:uid="{D5C02690-9A06-4C44-9E81-BAD4A1B44A8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AD400408-033B-4E45-8D23-AFD16C8883A2}" name="Calculation Sheet Name" totalsRowLabel="Total">
      <calculatedColumnFormula>"Fug (" &amp; TEXT(ROW(A1), "0") &amp; ")"</calculatedColumnFormula>
    </tableColumn>
    <tableColumn id="8" xr3:uid="{19AB9E99-7D3C-4664-8E54-F79DF4C9E3A9}" name="EPN" dataDxfId="2464">
      <calculatedColumnFormula array="1">INDIRECT("'Fug (" &amp; TEXT(ROW(A1), "0") &amp; ")'!" &amp; "EPN")</calculatedColumnFormula>
    </tableColumn>
    <tableColumn id="2" xr3:uid="{8E893EA8-6CC6-4DD5-8F93-3348EB416B9B}" name="Total Emission_x000a_Rate (hourly lbs/hr) (excluding GHG / Inert / Not a Contaminant)" totalsRowFunction="sum" dataDxfId="2463" totalsRowDxfId="2462">
      <calculatedColumnFormula array="1">INDIRECT("'" &amp; $A4 &amp;"'!" &amp; TEXT(SUBSTITUTE(ADDRESS(1, COLUMN(total_hourly), 4), 1, "") &amp; ROW(total_hourly), "0"))</calculatedColumnFormula>
    </tableColumn>
    <tableColumn id="3" xr3:uid="{24C0E17C-6217-4BE3-A0BA-E93F9D73BE72}" name="Total Emission_x000a_Rate (annual, tpy) (excluding GHG / Inert / Not a Contaminant)" totalsRowFunction="sum" dataDxfId="2461" totalsRowDxfId="2460">
      <calculatedColumnFormula array="1">INDIRECT("'" &amp; $A4 &amp;"'!" &amp; TEXT(SUBSTITUTE(ADDRESS(1, COLUMN(total_annual), 4), 1, "") &amp; ROW(total_annual), "0"))</calculatedColumnFormula>
    </tableColumn>
    <tableColumn id="4" xr3:uid="{76449FBD-6317-411E-9ECC-93ACD1AF6B7C}" name="Total VOC_x000a_Emission Rate (hourly, lbs/hr)" totalsRowFunction="sum" dataDxfId="2459" totalsRowDxfId="2458">
      <calculatedColumnFormula array="1">INDIRECT("'" &amp; $A4 &amp;"'!" &amp; TEXT(SUBSTITUTE(ADDRESS(1, COLUMN(total_voc_hourly), 4), 1, "") &amp; ROW(total_voc_hourly), "0"))</calculatedColumnFormula>
    </tableColumn>
    <tableColumn id="5" xr3:uid="{502B57B6-9827-4F12-95CD-ACCE4DA9609D}" name="Total VOC_x000a_Emission Rate (annual, tpy)" totalsRowFunction="sum" dataDxfId="2457" totalsRowDxfId="2456">
      <calculatedColumnFormula array="1">INDIRECT("'" &amp; $A4 &amp;"'!" &amp; TEXT(SUBSTITUTE(ADDRESS(1, COLUMN(total_voc_annual), 4), 1, "") &amp; ROW(total_voc_annual), "0"))</calculatedColumnFormula>
    </tableColumn>
    <tableColumn id="9" xr3:uid="{EC0C4802-7071-4A8D-9A25-B6D49713F566}" name="Total Inorganic_x000a_Emission Rate (hourly, lbs/hr)" totalsRowFunction="sum" dataDxfId="2455" totalsRowDxfId="2454">
      <calculatedColumnFormula array="1">INDIRECT("'" &amp; $A4 &amp;"'!" &amp; TEXT(SUBSTITUTE(ADDRESS(1, COLUMN(total_inorganic_hourly), 4), 1, "") &amp; ROW(total_inorganic_hourly), "0"))</calculatedColumnFormula>
    </tableColumn>
    <tableColumn id="10" xr3:uid="{0D85DBC8-C825-4060-9AEF-9BB8E808A210}" name="Total Inorganic_x000a_Emission Rate (annual, tpy)" totalsRowFunction="sum" dataDxfId="2453" totalsRowDxfId="2452">
      <calculatedColumnFormula array="1">INDIRECT("'" &amp; $A4 &amp;"'!" &amp; TEXT(SUBSTITUTE(ADDRESS(1, COLUMN(total_inorganic_annual), 4), 1, "") &amp; ROW(total_inorganic_annual), "0"))</calculatedColumnFormula>
    </tableColumn>
    <tableColumn id="6" xr3:uid="{8890ED4F-BAFB-433D-8DE6-DCB74250C117}" name="Total Exempt Solvent_x000a_Emission Rate (hourly, lbs/hr)" totalsRowFunction="sum" dataDxfId="2451" totalsRowDxfId="2450">
      <calculatedColumnFormula array="1">INDIRECT("'" &amp; $A4 &amp;"'!" &amp; TEXT(SUBSTITUTE(ADDRESS(1, COLUMN(total_ghg_hourly), 4), 1, "") &amp; ROW(total_ghg_hourly), "0"))</calculatedColumnFormula>
    </tableColumn>
    <tableColumn id="7" xr3:uid="{7131DB95-3932-41B4-9244-C9204FCB7EAE}" name="Total Exempt Solvent_x000a_Emission Rate (annual, tpy)" totalsRowFunction="sum" dataDxfId="2449" totalsRowDxfId="2448">
      <calculatedColumnFormula array="1">INDIRECT("'" &amp; $A4 &amp;"'!" &amp; TEXT(SUBSTITUTE(ADDRESS(1, COLUMN(total_ghg_annual), 4), 1, "") &amp; ROW(total_ghg_annual), "0"))</calculatedColumnFormula>
    </tableColumn>
    <tableColumn id="11" xr3:uid="{9422F464-2CAE-4FC3-87D0-610C55A57C8A}" name="Total GHG Emission Rate (tpy, mass basis)" totalsRowFunction="sum" dataDxfId="2447" totalsRowDxfId="2446"/>
    <tableColumn id="12" xr3:uid="{7D742CF3-22D6-4D44-A481-5EDB38C61E27}" name="Total GHG Emission Rate (tpy, CO2e)" totalsRowFunction="sum" dataDxfId="2445" totalsRowDxfId="2444"/>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491DC0F-9D81-40D5-BF98-724C580D258B}" name="standard_components_121" displayName="standard_components_121" ref="A24:I101" totalsRowCount="1" headerRowDxfId="2252" dataDxfId="2250" totalsRowDxfId="2248" headerRowBorderDxfId="2251" tableBorderDxfId="2249" totalsRowBorderDxfId="2247">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E5C572F-0828-4E5F-956D-A844D24EAD0E}" name="Component" totalsRowLabel="Total Count, Total Emission Rates (lbs/hr and tpy)" dataDxfId="2246" totalsRowDxfId="2245">
      <calculatedColumnFormula array="1">IFERROR(INDEX(INDEX(component_service_names[], , MATCH(VLOOKUP(industry_type, industry_column_names[], 2, FALSE), component_service_names[#Headers], 0)), ROW($A1)), "-")</calculatedColumnFormula>
    </tableColumn>
    <tableColumn id="2" xr3:uid="{2D0742DD-2779-4E62-A224-12794FD86A76}" name="Service" dataDxfId="2244" totalsRowDxfId="2243">
      <calculatedColumnFormula array="1">IFERROR(INDEX(INDEX(component_service_names[], , MATCH(VLOOKUP(industry_type, industry_column_names[], 3, FALSE), component_service_names[#Headers], 0)), ROW($A1)), "-")</calculatedColumnFormula>
    </tableColumn>
    <tableColumn id="3" xr3:uid="{4ABF4E4A-F599-4409-8621-A3F8655574D4}" name="Count" totalsRowFunction="sum" dataDxfId="2242" totalsRowDxfId="2241"/>
    <tableColumn id="4" xr3:uid="{F773A83F-51A7-483F-8888-11130AAE02AC}" name="Industry Emission Factor" dataDxfId="2240" totalsRowDxfId="2239">
      <calculatedColumnFormula array="1">IFERROR(
INDEX(
INDEX(factor_eff_table[], , MATCH(industry_type, factor_eff_table[#Headers], 0)),
MATCH(1, INDEX((standard_components_121[[#This Row],[Component]]=factor_eff_table[Component])*(standard_components_121[[#This Row],[Service]]=factor_eff_table[Service]), 0, 1), 0)),
 "-")</calculatedColumnFormula>
    </tableColumn>
    <tableColumn id="5" xr3:uid="{EE62D69E-11F0-4631-A2A7-BCDDF697554D}" name="Instrument Monitoring LDAR Control Efficiency" dataDxfId="2238" totalsRowDxfId="2237">
      <calculatedColumnFormula array="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calculatedColumnFormula>
    </tableColumn>
    <tableColumn id="6" xr3:uid="{963D6BC7-3D40-4373-AE85-746547B96D31}" name="Connector Monitoring LDAR Control Efficiency" dataDxfId="2236" totalsRowDxfId="2235">
      <calculatedColumnFormula array="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calculatedColumnFormula>
    </tableColumn>
    <tableColumn id="7" xr3:uid="{6E5E5D69-E863-4CE0-87C5-6FDC1AACE0B3}" name="Physical Inspection LDAR Control Efficiency" dataDxfId="2234" totalsRowDxfId="2233">
      <calculatedColumnFormula array="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calculatedColumnFormula>
    </tableColumn>
    <tableColumn id="9" xr3:uid="{BE03D451-D698-4545-9AA6-5CCF6FB4AF60}" name="Controlled_x000a_lb/hr" totalsRowFunction="sum" dataDxfId="2232" totalsRowDxfId="2231">
      <calculatedColumnFormula>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calculatedColumnFormula>
    </tableColumn>
    <tableColumn id="10" xr3:uid="{1CB96133-AA92-4AB4-A8C2-DD66BAC6D516}" name="Controlled_x000a_tpy" totalsRowFunction="sum" dataDxfId="2230" totalsRowDxfId="2229">
      <calculatedColumnFormula>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calculatedColumnFormula>
    </tableColumn>
  </tableColumns>
  <tableStyleInfo name="Table Style 1" showFirstColumn="0" showLastColumn="0" showRowStripes="0"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AE6C5F80-BF43-4826-ADA8-F58303C17EC9}" name="speciated_chemicals_1111" displayName="speciated_chemicals_1111" ref="A130:J181" totalsRowCount="1" headerRowDxfId="162" dataDxfId="160" totalsRowDxfId="158" headerRowBorderDxfId="161" tableBorderDxfId="159" totalsRowBorderDxfId="157">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760D391-2EAB-42EB-9534-BE561F80C965}" name="CAS #" totalsRowLabel="Total Weight Percent, Hourly Emissions and Annual Emissions (excluding Inert / Not a Contaminant)" dataDxfId="156" totalsRowDxfId="155"/>
    <tableColumn id="2" xr3:uid="{4A48B207-1B2D-4099-9C07-4F7191C205D5}" name="Chemical Constituent" dataDxfId="154" totalsRowDxfId="153">
      <calculatedColumnFormula>IFERROR(VLOOKUP(speciated_chemicals_1111[[#This Row],[CAS '#]],species[],MATCH("Substance", species[#Headers], 0),FALSE),"No CAS Number Entered")</calculatedColumnFormula>
    </tableColumn>
    <tableColumn id="5" xr3:uid="{5FA94D4E-BBF2-4211-99D4-15A7D86B28C1}" name="Other Species?" dataDxfId="152" totalsRowDxfId="151"/>
    <tableColumn id="4" xr3:uid="{1BA7C078-E828-4CEC-A324-B5F03E966527}" name="VOC?" dataDxfId="150" totalsRowDxfId="149"/>
    <tableColumn id="3" xr3:uid="{7F7E535C-8B2A-4F6D-AEE4-1B1F938E8E18}" name="Inorganic?" dataDxfId="148" totalsRowDxfId="147"/>
    <tableColumn id="10" xr3:uid="{C5CF0042-2F39-4C05-BA5C-8C385C0BB923}" name="VOC-Exempt Solvent?" dataDxfId="146" totalsRowDxfId="145"/>
    <tableColumn id="6" xr3:uid="{FE05DDF4-8948-48C8-9430-B17D124489C4}" name="Inert / Not a Contaminant?" dataDxfId="144" totalsRowDxfId="143"/>
    <tableColumn id="7" xr3:uid="{77786F0E-6229-4431-8139-0A3638ECE1BD}" name="Weight Percent" totalsRowFunction="sum" dataDxfId="142" totalsRowDxfId="141"/>
    <tableColumn id="8" xr3:uid="{1750DA87-F03C-4E39-B18B-237BD9D950FC}" name="lb/hr" totalsRowFunction="sum" dataDxfId="140" totalsRowDxfId="139">
      <calculatedColumnFormula>IF(speciated_chemicals_1111[[#This Row],[Inert / Not a Contaminant?]]="Yes", 0, speciated_chemicals_1111[[#This Row],[Weight Percent]]*(unique_components_1110[[#Totals],[Controlled lb/hr]]+standard_components_1109[[#Totals],[Controlled
lb/hr]]))</calculatedColumnFormula>
    </tableColumn>
    <tableColumn id="9" xr3:uid="{4F944814-A3B0-4136-B46F-5F5CD8D8BF8F}" name="tpy" totalsRowFunction="sum" dataDxfId="138" totalsRowDxfId="137">
      <calculatedColumnFormula>IF(speciated_chemicals_1111[[#This Row],[Inert / Not a Contaminant?]]="Yes", 0, speciated_chemicals_1111[[#This Row],[Weight Percent]]*(unique_components_1110[[#Totals],[Controlled
tpy]]+standard_components_1109[[#Totals],[Controlled
tpy]]))</calculatedColumnFormula>
    </tableColumn>
  </tableColumns>
  <tableStyleInfo name="Table Style 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BB0617CC-5231-4ACA-AA06-1C4A1130A15B}" name="speciated_ghg_1112" displayName="speciated_ghg_1112" ref="A184:F204" totalsRowCount="1" headerRowDxfId="136" dataDxfId="134" totalsRowDxfId="132" headerRowBorderDxfId="135" tableBorderDxfId="133" totalsRowBorderDxfId="131">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5A1BD154-36E6-4DF9-AAFC-E6B135BED399}" name="CAS #" totalsRowLabel="Total GHG Emissions (Mass Basis and Carbon dioxide-equivalent Basis)" dataDxfId="130" totalsRowDxfId="129"/>
    <tableColumn id="2" xr3:uid="{56E0979C-33D2-49B1-8EF4-5D2AC1F6FE81}" name="Chemical Constituent Name" dataDxfId="128" totalsRowDxfId="127">
      <calculatedColumnFormula>IFERROR(INDEX(gwp_table[], MATCH(speciated_ghg_1112[[#This Row],[CAS '#]], gwp_table[CAS No.], 0), MATCH("Name", gwp_table[#Headers], 0)),"No CAS Number Entered")</calculatedColumnFormula>
    </tableColumn>
    <tableColumn id="3" xr3:uid="{DC8E5A61-FCDA-4F5C-8BB8-11CEF2CBABC2}" name="Global Warming Potential (GWP)" dataDxfId="126" totalsRowDxfId="125">
      <calculatedColumnFormula>IFERROR(INDEX(gwp_table[], MATCH(speciated_ghg_1112[[#This Row],[CAS '#]], gwp_table[CAS No.], 0), MATCH("Global warming potential", gwp_table[#Headers], 0)),"No CAS Number Entered")</calculatedColumnFormula>
    </tableColumn>
    <tableColumn id="4" xr3:uid="{811820DE-CF6D-415B-89BA-576F44D0560A}" name="Weight Percent" dataDxfId="124" totalsRowDxfId="123"/>
    <tableColumn id="10" xr3:uid="{87065E48-3BB1-4839-9786-6D2A50C47129}" name="Mass Emissions (U.S. tons per year)" totalsRowFunction="sum" dataDxfId="122" totalsRowDxfId="121">
      <calculatedColumnFormula>IFERROR(speciated_ghg_1112[[#This Row],[Weight Percent]]*(unique_components_1110[[#Totals],[Controlled
tpy]]+standard_components_1109[[#Totals],[Controlled
tpy]]), "-")</calculatedColumnFormula>
    </tableColumn>
    <tableColumn id="6" xr3:uid="{A4E2DE27-7EC8-4897-8ECE-7E75FDD379B0}" name="CO2e Emissions (U.S. tons per year)" totalsRowFunction="sum" dataDxfId="120" totalsRowDxfId="119">
      <calculatedColumnFormula>IFERROR(speciated_ghg_1112[[#This Row],[Mass Emissions (U.S. tons per year)]]*speciated_ghg_1112[[#This Row],[Global Warming Potential (GWP)]], "-")</calculatedColumnFormula>
    </tableColumn>
  </tableColumns>
  <tableStyleInfo name="Table Style 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34AE08-921C-479C-8BFB-3969E822EED1}" name="factor_eff_table" displayName="factor_eff_table" ref="A2:V101" totalsRowShown="0" headerRowDxfId="108" dataDxfId="106" headerRowBorderDxfId="107" tableBorderDxfId="105" totalsRowBorderDxfId="104">
  <autoFilter ref="A2:V101" xr:uid="{CA3AD374-A222-40CC-90DF-846B7FB65E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D563EED2-F5E2-4D7E-BDA6-D62918CCE97C}" name="Component" dataDxfId="103"/>
    <tableColumn id="2" xr3:uid="{8E2447B1-38DB-4570-8ACE-A07F5E4EC0BC}" name="Service" dataDxfId="102"/>
    <tableColumn id="3" xr3:uid="{8F11E0CF-4DF1-49C1-9863-0364F9D42955}" name="None" dataDxfId="101"/>
    <tableColumn id="4" xr3:uid="{0635315F-DFBF-4643-AADB-D562EC0CF1FD}" name="28M" dataDxfId="100"/>
    <tableColumn id="5" xr3:uid="{F3FDF861-E9CF-4ACE-AFBB-2F94651A3CC3}" name="28RCT" dataDxfId="99"/>
    <tableColumn id="6" xr3:uid="{7DFD96D8-8A02-4074-9869-2CD43E6847C8}" name="28VHP" dataDxfId="98"/>
    <tableColumn id="7" xr3:uid="{175E046C-9D1F-4F77-9E96-8585E0D1426B}" name="28MID" dataDxfId="97"/>
    <tableColumn id="8" xr3:uid="{44247B4F-1EC1-4379-B4F8-6144B1B75B4D}" name="28LAER" dataDxfId="96"/>
    <tableColumn id="9" xr3:uid="{0042AD68-41DF-4376-9C64-493E28A61A3B}" name="28AVO" dataDxfId="95"/>
    <tableColumn id="10" xr3:uid="{F19F51B9-C7E0-490B-B9B8-61B3A726064B}" name="28PI" dataDxfId="94"/>
    <tableColumn id="11" xr3:uid="{D4FBCAEE-B6DA-4ABB-8529-DA481BD42AEE}" name="28CNTQ" dataDxfId="93"/>
    <tableColumn id="12" xr3:uid="{373B85A2-1C5F-483D-B06B-A210378435DB}" name="28CNTA" dataDxfId="92"/>
    <tableColumn id="13" xr3:uid="{60B56AB5-95A3-4BC7-BFB6-29CA11F6BC44}" name="SOCMI Average" dataDxfId="91"/>
    <tableColumn id="14" xr3:uid="{003C35DE-2F5B-498C-AAB3-7B0863332DDD}" name="SOCMI w/o Ethylene" dataDxfId="90"/>
    <tableColumn id="15" xr3:uid="{D5AE97D4-FD9D-4F6F-B51E-D9DDC6DD9FAA}" name="SOCMI w Ethylene" dataDxfId="89"/>
    <tableColumn id="16" xr3:uid="{2A6D206F-86A1-45AA-8DEA-E25B95F93ACB}" name="SOCMI Non-leaker" dataDxfId="88"/>
    <tableColumn id="17" xr3:uid="{BE5CAE82-F3ED-49E8-A328-6FA5F1DA7C34}" name="Refinery" dataDxfId="87"/>
    <tableColumn id="18" xr3:uid="{80107432-D11A-4020-9E9A-E3A11FCB5B2D}" name="Petroleum Marketing Terminal w 28PET" dataDxfId="86"/>
    <tableColumn id="19" xr3:uid="{AC2513A4-B191-489B-8CA2-F6D2BC867104}" name="Ethylene Oxide w/MID" dataDxfId="85"/>
    <tableColumn id="20" xr3:uid="{96A4C7F2-0BD0-49AA-ACB0-26E5FDA91B77}" name="Phosgene w/MID" dataDxfId="84"/>
    <tableColumn id="21" xr3:uid="{E84BBBA9-DB7B-4C95-A968-B4F93C735163}" name="Butadiene w/MID" dataDxfId="83"/>
    <tableColumn id="22" xr3:uid="{85EA686F-22E3-4AE6-9693-3D57A01393B0}" name="Oil and Gas Production Operation" dataDxfId="82"/>
  </tableColumns>
  <tableStyleInfo name="TableStyleLight8"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494770A-CD82-42E4-98D7-AA588572D2A1}" name="species" displayName="species" ref="A3:D6714" totalsRowShown="0" headerRowDxfId="81" dataDxfId="80">
  <tableColumns count="4">
    <tableColumn id="2" xr3:uid="{530BFB6C-B97C-495A-AEC6-BA9619567BAF}" name="CAS #" dataDxfId="79"/>
    <tableColumn id="1" xr3:uid="{5DC9F5CF-C38B-499C-974C-6D79A7D0C51D}" name="Substance" dataDxfId="78"/>
    <tableColumn id="3" xr3:uid="{643067DD-5DB6-4F89-AD03-BEA4A09C4B1D}" name="Short Term ESL (ug/m3)" dataDxfId="77"/>
    <tableColumn id="4" xr3:uid="{A3065E14-50A2-4DC5-83BC-C9534F32A106}" name="Long Term ESL (ug/m3)" dataDxfId="76"/>
  </tableColumns>
  <tableStyleInfo name="TableStyleLight8"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3746A1-8818-44DA-8B24-42232ED569CD}" name="component_service_names" displayName="component_service_names" ref="A16:L78" totalsRowShown="0" dataDxfId="60">
  <autoFilter ref="A16:L78" xr:uid="{B209EAD8-20F7-43B5-9DE3-ADBC3497E14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B8FAAFD8-E495-43B9-AFF9-D83997688C5F}" name="Common Components" dataDxfId="59"/>
    <tableColumn id="2" xr3:uid="{C3B0B352-DF11-4707-9651-21410C9E3DF4}" name="Common Service" dataDxfId="58"/>
    <tableColumn id="7" xr3:uid="{44614699-E43B-4D07-9CD0-9402A8E72490}" name="OG Components" dataDxfId="57"/>
    <tableColumn id="8" xr3:uid="{ED781263-D9A0-4BC4-A6F4-0DA57CB1250E}" name="OG Service" dataDxfId="56"/>
    <tableColumn id="5" xr3:uid="{978AF3C8-689E-4B24-82EB-EE6F0B2F98F9}" name="Compound Specific Components" dataDxfId="55"/>
    <tableColumn id="6" xr3:uid="{562B2D88-6AA5-4360-BF0E-F739BB32998B}" name="Compound Specific Service" dataDxfId="54"/>
    <tableColumn id="3" xr3:uid="{78821D02-5970-41CA-BEBF-E4F77F1ABD5F}" name="PET Components" dataDxfId="53"/>
    <tableColumn id="4" xr3:uid="{E938FBAC-A0C7-4C0E-8E08-FD6B6128D2D8}" name="PET Service" dataDxfId="52"/>
    <tableColumn id="9" xr3:uid="{2D2151DA-7BD6-495E-B469-76A66FAABD04}" name="Refinery Components" dataDxfId="51"/>
    <tableColumn id="10" xr3:uid="{95B8EB7E-D951-4EA1-8482-AF9A9441203E}" name="Refinery Service" dataDxfId="50"/>
    <tableColumn id="11" xr3:uid="{E2B61DFE-38B1-440C-A3B8-CE824CE23291}" name="Phosgene Components" dataDxfId="49"/>
    <tableColumn id="12" xr3:uid="{C60F23B0-55E9-4904-A768-7046EE06A4D3}" name="Phosgene Service" dataDxfId="48"/>
  </tableColumns>
  <tableStyleInfo name="TableStyleMedium1" showFirstColumn="0" showLastColumn="0" showRowStripes="0"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DD6982-3875-4046-AF85-34C489136197}" name="industry_column_names" displayName="industry_column_names" ref="A3:C13" totalsRowShown="0">
  <autoFilter ref="A3:C13" xr:uid="{F60F5518-591A-4066-AEE1-CB4E8E3C1155}"/>
  <tableColumns count="3">
    <tableColumn id="1" xr3:uid="{92422F07-629E-4EBC-A39C-F3348F971705}" name="Industry"/>
    <tableColumn id="2" xr3:uid="{E70CF02F-4D80-41C9-A5CE-CD4D065B9744}" name="Component Class Name"/>
    <tableColumn id="3" xr3:uid="{84384078-27A7-43D3-9BDC-8C70DC2125BF}" name="Service Class Name"/>
  </tableColumns>
  <tableStyleInfo name="TableStyleMedium15" showFirstColumn="0" showLastColumn="0" showRowStripes="0"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7CE79AD-AB64-47DF-B56C-80A462C5FCB8}" name="instrument_ldar_programs" displayName="instrument_ldar_programs" ref="A2:J8" totalsRowShown="0" headerRowDxfId="46">
  <autoFilter ref="A2:J8" xr:uid="{E95592E3-E32F-4B32-BD99-ACFA1B11F9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1AF53ED-FBD7-4D67-839A-FB1BA0115777}" name="SOCMI Average" dataDxfId="45"/>
    <tableColumn id="2" xr3:uid="{AD74A508-5D64-4B7F-951C-610B0D3F233B}" name="SOCMI w/o Ethylene" dataDxfId="44"/>
    <tableColumn id="3" xr3:uid="{1A984BFC-3D68-4514-8A89-3D169B18A00B}" name="SOCMI w Ethylene" dataDxfId="43"/>
    <tableColumn id="4" xr3:uid="{763C7D0E-6D24-4C12-8F59-02FEB1616016}" name="SOCMI Non-leaker" dataDxfId="42"/>
    <tableColumn id="5" xr3:uid="{09A7DB2B-4B22-4FF8-8526-C954C1FEB09A}" name="Refinery" dataDxfId="41"/>
    <tableColumn id="6" xr3:uid="{FF4E9A50-6D5B-49DA-9343-CDA5412CDDD4}" name="Petroleum Marketing Terminal w 28PET" dataDxfId="40"/>
    <tableColumn id="7" xr3:uid="{A0AE1D6C-F226-4C4A-9877-8843D57915AD}" name="Ethylene Oxide w/MID" dataDxfId="39"/>
    <tableColumn id="8" xr3:uid="{16A52A8B-4B3A-4AD3-9F88-D48944EF6F4A}" name="Phosgene w/MID" dataDxfId="38"/>
    <tableColumn id="9" xr3:uid="{371B68AA-8BA4-433D-BF4A-86C3F919541A}" name="Butadiene w/MID" dataDxfId="37"/>
    <tableColumn id="10" xr3:uid="{710FF263-E410-47F8-91D3-381FBB0D2F4E}" name="Oil and Gas Production Operation" dataDxfId="36"/>
  </tableColumns>
  <tableStyleInfo name="TableStyleLight8" showFirstColumn="0" showLastColumn="0" showRowStripes="0"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6178104-BB91-4B4E-8424-D27F248DD713}" name="inspection_ldar_programs" displayName="inspection_ldar_programs" ref="A10:J13" totalsRowShown="0" headerRowDxfId="35">
  <autoFilter ref="A10:J13" xr:uid="{83D10E89-7D7C-4C51-883B-4E010D3A8119}"/>
  <tableColumns count="10">
    <tableColumn id="10" xr3:uid="{0402E3D1-D1AF-4552-BABD-9A0FD4263C80}" name="SOCMI Average"/>
    <tableColumn id="1" xr3:uid="{10CCA52E-D528-427B-A0B3-5B10219733DE}" name="SOCMI w/o Ethylene" dataDxfId="34"/>
    <tableColumn id="2" xr3:uid="{86C9ED02-9A80-4AD9-BB2E-ABD3FE451140}" name="SOCMI w Ethylene" dataDxfId="33"/>
    <tableColumn id="3" xr3:uid="{7E1135CC-C898-4332-A190-FB4B59DD4CFF}" name="SOCMI Non-leaker" dataDxfId="32"/>
    <tableColumn id="4" xr3:uid="{AB0E999C-A74F-49F7-A084-56AA564A73CA}" name="Refinery" dataDxfId="31"/>
    <tableColumn id="5" xr3:uid="{3F914093-A6EB-475E-8F3F-3EF8A3FF2FBC}" name="Petroleum Marketing Terminal w 28PET" dataDxfId="30"/>
    <tableColumn id="6" xr3:uid="{A3B74362-E3D0-4690-A7E0-D48853DEE54F}" name="Ethylene Oxide w/MID" dataDxfId="29"/>
    <tableColumn id="7" xr3:uid="{BFFFAB76-93A7-409D-911E-C19880932406}" name="Phosgene w/MID" dataDxfId="28"/>
    <tableColumn id="8" xr3:uid="{B3405A5F-CC01-4CDB-BF07-B808AC474CDF}" name="Butadiene w/MID" dataDxfId="27"/>
    <tableColumn id="9" xr3:uid="{E626F897-5828-4708-B506-C601649AE4CB}" name="Oil and Gas Production Operation" dataDxfId="26"/>
  </tableColumns>
  <tableStyleInfo name="TableStyleLight8"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F44B723-5E0D-48FF-95BC-17774BA702A9}" name="connector_ldar_programs" displayName="connector_ldar_programs" ref="A15:J18" totalsRowShown="0" headerRowDxfId="25" tableBorderDxfId="24">
  <autoFilter ref="A15:J18" xr:uid="{7F44B723-5E0D-48FF-95BC-17774BA702A9}"/>
  <tableColumns count="10">
    <tableColumn id="1" xr3:uid="{6CD19DBB-7BFA-4A31-A545-9FF7FF644F0E}" name="SOCMI Average" dataDxfId="23"/>
    <tableColumn id="2" xr3:uid="{790906F4-BC8C-40FC-8968-1285029A931F}" name="SOCMI w/o Ethylene" dataDxfId="22"/>
    <tableColumn id="3" xr3:uid="{FD2C7292-1CB5-4928-99B0-2DBA6B07330B}" name="SOCMI w Ethylene" dataDxfId="21"/>
    <tableColumn id="4" xr3:uid="{FFF2FD13-C124-49A2-B544-F3A516DA22F0}" name="SOCMI Non-leaker" dataDxfId="20"/>
    <tableColumn id="5" xr3:uid="{F0576F52-8458-433A-B651-DCA9505098C7}" name="Refinery" dataDxfId="19"/>
    <tableColumn id="6" xr3:uid="{F44795D5-7D7A-4CA8-AF9C-7929D1A7B386}" name="Petroleum Marketing Terminal w 28PET"/>
    <tableColumn id="7" xr3:uid="{D9436586-5581-41E6-BCED-7E46595631FE}" name="Ethylene Oxide w/MID" dataDxfId="18"/>
    <tableColumn id="8" xr3:uid="{C76D1B55-7465-4BD3-A58A-CB525B96ED9B}" name="Phosgene w/MID"/>
    <tableColumn id="9" xr3:uid="{1DD16619-58CF-428D-B8F8-77DB3737935F}" name="Butadiene w/MID"/>
    <tableColumn id="10" xr3:uid="{DD0A6D02-7700-4211-B161-05956B2BE728}" name="Oil and Gas Production Operation" dataDxfId="17"/>
  </tableColumns>
  <tableStyleInfo name="TableStyleLight8"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AB651FD-5DCA-466D-996F-631AEDEF866D}" name="Table18" displayName="Table18" ref="A3:D7" totalsRowShown="0" headerRowDxfId="16" dataDxfId="15">
  <autoFilter ref="A3:D7" xr:uid="{4AB651FD-5DCA-466D-996F-631AEDEF866D}"/>
  <tableColumns count="4">
    <tableColumn id="1" xr3:uid="{3FE11D3A-952B-4BAD-9BB2-5D9D8B13AD57}" name="To convert from" dataDxfId="14"/>
    <tableColumn id="2" xr3:uid="{7F02F816-F131-4258-81C0-0BEABC2B69B7}" name="To" dataDxfId="13"/>
    <tableColumn id="3" xr3:uid="{380FDA03-526E-4A0B-9F4D-18D91F4AFDA5}" name="Multiply by" dataDxfId="12"/>
    <tableColumn id="4" xr3:uid="{1503216E-2A2D-4F18-BFA5-860F5FD89934}" name="Defined name in this workbook" dataDxfId="11"/>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B4A58FE-7F3F-4EC8-A4BB-DD12DFD7B5C7}" name="unique_components_122" displayName="unique_components_122" ref="A106:G127" totalsRowCount="1" headerRowDxfId="2228" dataDxfId="2226" totalsRowDxfId="2224" headerRowBorderDxfId="2227" tableBorderDxfId="2225" totalsRowBorderDxfId="2223">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7B11978-667B-467E-BA7D-440ECB7F5D31}" name="Component" totalsRowLabel="Total Component Count, Total Emission Rate (lbs/hr and tpy)" dataDxfId="2222" totalsRowDxfId="2221"/>
    <tableColumn id="2" xr3:uid="{0C9A52E1-32EA-4CD1-96C0-BB3C83C88CA5}" name="Service" dataDxfId="2220" totalsRowDxfId="2219"/>
    <tableColumn id="3" xr3:uid="{7185B32C-A5CE-43F1-A4B8-57CE451348FA}" name="Count" totalsRowFunction="sum" dataDxfId="2218" totalsRowDxfId="2217"/>
    <tableColumn id="5" xr3:uid="{EFC2D302-89FE-41F9-895D-3F70FE1B2E56}" name="Proposed Emission Factor" dataDxfId="2216" totalsRowDxfId="2215"/>
    <tableColumn id="7" xr3:uid="{26786DC0-2DB7-4B24-ADD4-6363851FF36B}" name="Proposed Control Efficiency" dataDxfId="2214" totalsRowDxfId="2213"/>
    <tableColumn id="9" xr3:uid="{B3F62AC0-FA6A-44A0-8410-BDA28EE9A1B5}" name="Controlled lb/hr" totalsRowFunction="sum" dataDxfId="2212" totalsRowDxfId="2211">
      <calculatedColumnFormula>unique_components_122[[#This Row],[Count]]*unique_components_122[[#This Row],[Proposed Emission Factor]]*(1-unique_components_122[[#This Row],[Proposed Control Efficiency]])</calculatedColumnFormula>
    </tableColumn>
    <tableColumn id="10" xr3:uid="{41C84437-DBB1-4D07-8A99-4ED35B361D26}" name="Controlled_x000a_tpy" totalsRowFunction="sum" dataDxfId="2210" totalsRowDxfId="2209">
      <calculatedColumnFormula>IFERROR(unique_components_122[[#This Row],[Controlled lb/hr]]*4.38,"")</calculatedColumnFormula>
    </tableColumn>
  </tableColumns>
  <tableStyleInfo name="Table Style 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1F41936-C1F4-466D-B273-A641843CC836}" name="helper_var_list" displayName="helper_var_list" ref="A9:C11" totalsRowShown="0" headerRowDxfId="10" dataDxfId="9">
  <autoFilter ref="A9:C11" xr:uid="{51F41936-C1F4-466D-B273-A641843CC836}"/>
  <tableColumns count="3">
    <tableColumn id="1" xr3:uid="{0C688FEB-5DF7-44E0-AD97-BFAFC37D1540}" name="yes_no_list" dataDxfId="8"/>
    <tableColumn id="2" xr3:uid="{E105E377-F424-4107-A9B6-EAED031C6935}" name="process_drains_effs" dataDxfId="7"/>
    <tableColumn id="3" xr3:uid="{13581A57-1678-4EDD-8A1E-86E5B0E01DE5}" name="ldar_error_msg" dataDxfId="6"/>
  </tableColumns>
  <tableStyleInfo name="TableStyleLight8"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B7CED96-577B-4003-85A6-4C7F422316B0}" name="gwp_table" displayName="gwp_table" ref="A3:D170" totalsRowShown="0">
  <autoFilter ref="A3:D170" xr:uid="{DB7CED96-577B-4003-85A6-4C7F422316B0}">
    <filterColumn colId="0" hiddenButton="1"/>
    <filterColumn colId="1" hiddenButton="1"/>
    <filterColumn colId="2" hiddenButton="1"/>
    <filterColumn colId="3" hiddenButton="1"/>
  </autoFilter>
  <tableColumns count="4">
    <tableColumn id="1" xr3:uid="{57504ECD-86E2-4068-AAA6-B840E2C357D6}" name="Name" dataDxfId="5"/>
    <tableColumn id="2" xr3:uid="{9D43671C-46AC-4D5C-BA65-D72FF121DA64}" name="CAS No." dataDxfId="4"/>
    <tableColumn id="3" xr3:uid="{801923DF-B557-48DC-B875-870A93B6B917}" name="Chemical formula" dataDxfId="3"/>
    <tableColumn id="4" xr3:uid="{65AB3E73-8B67-4649-8FE7-536304EA8E89}" name="Global warming potential" dataDxfId="2"/>
  </tableColumns>
  <tableStyleInfo name="TableStyleLight8" showFirstColumn="0" showLastColumn="0" showRowStripes="0"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7245ABD-F378-4EC1-89D7-3E270C55C41A}" name="gwp_fluorinated" displayName="gwp_fluorinated" ref="A172:B184" totalsRowShown="0">
  <autoFilter ref="A172:B184" xr:uid="{67245ABD-F378-4EC1-89D7-3E270C55C41A}"/>
  <tableColumns count="2">
    <tableColumn id="1" xr3:uid="{399D4E86-41A4-40D9-A31E-09A60A9BE768}" name="Fluorinated GHG Group" dataDxfId="1"/>
    <tableColumn id="2" xr3:uid="{39000CFD-5D82-4C53-8590-43BF9D1FBA7F}" name="Global warming potential" dataDxfId="0"/>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762DD52-EBE0-4A65-BEED-0357590DB0FE}" name="speciated_chemicals_123" displayName="speciated_chemicals_123" ref="A130:J181" totalsRowCount="1" headerRowDxfId="2208" dataDxfId="2206" totalsRowDxfId="2204" headerRowBorderDxfId="2207" tableBorderDxfId="2205" totalsRowBorderDxfId="2203">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C96FE09-82F4-43B3-A84A-B1E3F602771E}" name="CAS #" totalsRowLabel="Total Weight Percent, Hourly Emissions and Annual Emissions (excluding Inert / Not a Contaminant)" dataDxfId="2202" totalsRowDxfId="2201"/>
    <tableColumn id="2" xr3:uid="{6274963C-5A06-434B-BE79-EABB32B6D0B8}" name="Chemical Constituent" dataDxfId="2200" totalsRowDxfId="2199">
      <calculatedColumnFormula>IFERROR(VLOOKUP(speciated_chemicals_123[[#This Row],[CAS '#]],species[],MATCH("Substance", species[#Headers], 0),FALSE),"No CAS Number Entered")</calculatedColumnFormula>
    </tableColumn>
    <tableColumn id="5" xr3:uid="{16DDB1B4-E277-42C6-A6D3-13402920F705}" name="Other Species?" dataDxfId="2198" totalsRowDxfId="2197"/>
    <tableColumn id="4" xr3:uid="{898FB76A-2CE9-4B23-9818-28A9A238B15E}" name="VOC?" dataDxfId="2196" totalsRowDxfId="2195"/>
    <tableColumn id="3" xr3:uid="{B3639287-EDCF-4EAC-ACC3-21F2C2FD8D88}" name="Inorganic?" dataDxfId="2194" totalsRowDxfId="2193"/>
    <tableColumn id="10" xr3:uid="{C93EC1C2-3E3D-406E-83A5-5C89A3CFDCC7}" name="VOC-Exempt Solvent?" dataDxfId="2192" totalsRowDxfId="2191"/>
    <tableColumn id="6" xr3:uid="{A1FACD7B-CFF0-4D63-A0A8-4AB0B4286E53}" name="Inert / Not a Contaminant?" dataDxfId="2190" totalsRowDxfId="2189"/>
    <tableColumn id="7" xr3:uid="{7D33D36B-6B5D-4518-A562-2C820A3DE40F}" name="Weight Percent" totalsRowFunction="sum" dataDxfId="2188" totalsRowDxfId="2187"/>
    <tableColumn id="8" xr3:uid="{591624C2-EA4B-499F-A60A-C69E8DE1A6BD}" name="lb/hr" totalsRowFunction="sum" dataDxfId="2186" totalsRowDxfId="2185">
      <calculatedColumnFormula>IF(speciated_chemicals_123[[#This Row],[Inert / Not a Contaminant?]]="Yes", 0, speciated_chemicals_123[[#This Row],[Weight Percent]]*(unique_components_122[[#Totals],[Controlled lb/hr]]+standard_components_121[[#Totals],[Controlled
lb/hr]]))</calculatedColumnFormula>
    </tableColumn>
    <tableColumn id="9" xr3:uid="{7C6BDFEB-E784-42DF-84FA-76182EC0722E}" name="tpy" totalsRowFunction="sum" dataDxfId="2184" totalsRowDxfId="2183">
      <calculatedColumnFormula>IF(speciated_chemicals_123[[#This Row],[Inert / Not a Contaminant?]]="Yes", 0, speciated_chemicals_123[[#This Row],[Weight Percent]]*(unique_components_122[[#Totals],[Controlled
tpy]]+standard_components_121[[#Totals],[Controlled
tpy]]))</calculatedColumnFormula>
    </tableColumn>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89FD9CF-9B41-4070-8F63-0310BF31596F}" name="speciated_ghg_124" displayName="speciated_ghg_124" ref="A184:F204" totalsRowCount="1" headerRowDxfId="2182" dataDxfId="2180" totalsRowDxfId="2178" headerRowBorderDxfId="2181" tableBorderDxfId="2179" totalsRowBorderDxfId="2177">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261FAFA8-D9A9-48E1-B4AB-D52263224086}" name="CAS #" totalsRowLabel="Total GHG Emissions (Mass Basis and Carbon dioxide-equivalent Basis)" dataDxfId="2176" totalsRowDxfId="2175"/>
    <tableColumn id="2" xr3:uid="{CDD98EE9-C1B2-427B-900A-48170967D246}" name="Chemical Constituent Name" dataDxfId="2174" totalsRowDxfId="2173">
      <calculatedColumnFormula>IFERROR(INDEX(gwp_table[], MATCH(speciated_ghg_124[[#This Row],[CAS '#]], gwp_table[CAS No.], 0), MATCH("Name", gwp_table[#Headers], 0)),"No CAS Number Entered")</calculatedColumnFormula>
    </tableColumn>
    <tableColumn id="3" xr3:uid="{B0BFC89A-AC38-4C5D-B196-9E003E494B7E}" name="Global Warming Potential (GWP)" dataDxfId="2172" totalsRowDxfId="2171">
      <calculatedColumnFormula>IFERROR(INDEX(gwp_table[], MATCH(speciated_ghg_124[[#This Row],[CAS '#]], gwp_table[CAS No.], 0), MATCH("Global warming potential", gwp_table[#Headers], 0)),"No CAS Number Entered")</calculatedColumnFormula>
    </tableColumn>
    <tableColumn id="4" xr3:uid="{FD9CBE2B-97CF-4D94-85C6-2C6A1125F11F}" name="Weight Percent" dataDxfId="2170" totalsRowDxfId="2169"/>
    <tableColumn id="10" xr3:uid="{0E416D98-95DC-4DD6-BB05-47EDED422A2A}" name="Mass Emissions (U.S. tons per year)" totalsRowFunction="sum" dataDxfId="2168" totalsRowDxfId="2167">
      <calculatedColumnFormula>IFERROR(speciated_ghg_124[[#This Row],[Weight Percent]]*(unique_components_122[[#Totals],[Controlled
tpy]]+standard_components_121[[#Totals],[Controlled
tpy]]), "-")</calculatedColumnFormula>
    </tableColumn>
    <tableColumn id="6" xr3:uid="{01E833F6-E0E2-43C7-A55C-52CB28C381EE}" name="CO2e Emissions (U.S. tons per year)" totalsRowFunction="sum" dataDxfId="2166" totalsRowDxfId="2165">
      <calculatedColumnFormula>IFERROR(speciated_ghg_124[[#This Row],[Mass Emissions (U.S. tons per year)]]*speciated_ghg_124[[#This Row],[Global Warming Potential (GWP)]], "-")</calculatedColumnFormula>
    </tableColumn>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227A471-733B-4DC3-98F5-FDF89B90E231}" name="standard_components_125" displayName="standard_components_125" ref="A24:I101" totalsRowCount="1" headerRowDxfId="2159" dataDxfId="2157" totalsRowDxfId="2155" headerRowBorderDxfId="2158" tableBorderDxfId="2156" totalsRowBorderDxfId="2154">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329206D-CDED-47E1-B00B-39F9CE88BA1D}" name="Component" totalsRowLabel="Total Count, Total Emission Rates (lbs/hr and tpy)" dataDxfId="2153" totalsRowDxfId="2152">
      <calculatedColumnFormula array="1">IFERROR(INDEX(INDEX(component_service_names[], , MATCH(VLOOKUP(industry_type, industry_column_names[], 2, FALSE), component_service_names[#Headers], 0)), ROW($A1)), "-")</calculatedColumnFormula>
    </tableColumn>
    <tableColumn id="2" xr3:uid="{5819A3BD-5EE8-4353-BB20-BA75A8397313}" name="Service" dataDxfId="2151" totalsRowDxfId="2150">
      <calculatedColumnFormula array="1">IFERROR(INDEX(INDEX(component_service_names[], , MATCH(VLOOKUP(industry_type, industry_column_names[], 3, FALSE), component_service_names[#Headers], 0)), ROW($A1)), "-")</calculatedColumnFormula>
    </tableColumn>
    <tableColumn id="3" xr3:uid="{FFF3EC5D-4D90-4EDB-8927-CBB687C1F2B3}" name="Count" totalsRowFunction="sum" dataDxfId="2149" totalsRowDxfId="2148"/>
    <tableColumn id="4" xr3:uid="{0620D156-55DF-4EB4-987E-A82255B50059}" name="Industry Emission Factor" dataDxfId="2147" totalsRowDxfId="2146">
      <calculatedColumnFormula array="1">IFERROR(
INDEX(
INDEX(factor_eff_table[], , MATCH(industry_type, factor_eff_table[#Headers], 0)),
MATCH(1, INDEX((standard_components_125[[#This Row],[Component]]=factor_eff_table[Component])*(standard_components_125[[#This Row],[Service]]=factor_eff_table[Service]), 0, 1), 0)),
 "-")</calculatedColumnFormula>
    </tableColumn>
    <tableColumn id="5" xr3:uid="{C955D333-EDF5-44D7-A4F6-712610AF7CEF}" name="Instrument Monitoring LDAR Control Efficiency" dataDxfId="2145" totalsRowDxfId="2144">
      <calculatedColumnFormula array="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calculatedColumnFormula>
    </tableColumn>
    <tableColumn id="6" xr3:uid="{5AFB4A1D-6AA6-43F3-A582-4255B324141B}" name="Connector Monitoring LDAR Control Efficiency" dataDxfId="2143" totalsRowDxfId="2142">
      <calculatedColumnFormula array="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calculatedColumnFormula>
    </tableColumn>
    <tableColumn id="7" xr3:uid="{C9FAC954-0F5A-4F6B-B0B9-B93F1019D008}" name="Physical Inspection LDAR Control Efficiency" dataDxfId="2141" totalsRowDxfId="2140">
      <calculatedColumnFormula array="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calculatedColumnFormula>
    </tableColumn>
    <tableColumn id="9" xr3:uid="{27686BE7-3FF6-44FF-A877-80F713FAD879}" name="Controlled_x000a_lb/hr" totalsRowFunction="sum" dataDxfId="2139" totalsRowDxfId="2138">
      <calculatedColumnFormula>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calculatedColumnFormula>
    </tableColumn>
    <tableColumn id="10" xr3:uid="{9BEDCA4A-FF1E-4AD4-A1EF-2A177436FA99}" name="Controlled_x000a_tpy" totalsRowFunction="sum" dataDxfId="2137" totalsRowDxfId="2136">
      <calculatedColumnFormula>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calculatedColumnFormula>
    </tableColumn>
  </tableColumns>
  <tableStyleInfo name="Table Style 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CBA6510-61E7-4684-9BE2-FF7E4F7AFCE7}" name="unique_components_126" displayName="unique_components_126" ref="A106:G127" totalsRowCount="1" headerRowDxfId="2135" dataDxfId="2133" totalsRowDxfId="2131" headerRowBorderDxfId="2134" tableBorderDxfId="2132" totalsRowBorderDxfId="2130">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F1C7B5D-9900-46B7-BEAC-722FD8A986B9}" name="Component" totalsRowLabel="Total Component Count, Total Emission Rate (lbs/hr and tpy)" dataDxfId="2129" totalsRowDxfId="2128"/>
    <tableColumn id="2" xr3:uid="{81D172A2-A97D-4069-A5B0-FAB84C65F029}" name="Service" dataDxfId="2127" totalsRowDxfId="2126"/>
    <tableColumn id="3" xr3:uid="{19E0A295-3F9D-4C93-BE31-3E511755A8F8}" name="Count" totalsRowFunction="sum" dataDxfId="2125" totalsRowDxfId="2124"/>
    <tableColumn id="5" xr3:uid="{552BEFCA-8252-45D5-A70A-F1B3052068AC}" name="Proposed Emission Factor" dataDxfId="2123" totalsRowDxfId="2122"/>
    <tableColumn id="7" xr3:uid="{87BE274C-56ED-4834-9338-1673C7137F04}" name="Proposed Control Efficiency" dataDxfId="2121" totalsRowDxfId="2120"/>
    <tableColumn id="9" xr3:uid="{949EF303-74ED-4E63-BB2F-67DA8B6FA6F9}" name="Controlled lb/hr" totalsRowFunction="sum" dataDxfId="2119" totalsRowDxfId="2118">
      <calculatedColumnFormula>unique_components_126[[#This Row],[Count]]*unique_components_126[[#This Row],[Proposed Emission Factor]]*(1-unique_components_126[[#This Row],[Proposed Control Efficiency]])</calculatedColumnFormula>
    </tableColumn>
    <tableColumn id="10" xr3:uid="{22D78E74-2F21-4163-8427-911FB8B59DEF}" name="Controlled_x000a_tpy" totalsRowFunction="sum" dataDxfId="2117" totalsRowDxfId="2116">
      <calculatedColumnFormula>IFERROR(unique_components_126[[#This Row],[Controlled lb/hr]]*4.38,"")</calculatedColumnFormula>
    </tableColumn>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257C0F-24FA-465A-BF90-4EF56D620F9A}" name="speciated_chemicals_127" displayName="speciated_chemicals_127" ref="A130:J181" totalsRowCount="1" headerRowDxfId="2115" dataDxfId="2113" totalsRowDxfId="2111" headerRowBorderDxfId="2114" tableBorderDxfId="2112" totalsRowBorderDxfId="2110">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8268DE2-65D1-4E6D-A3D4-4FF2EE72A25A}" name="CAS #" totalsRowLabel="Total Weight Percent, Hourly Emissions and Annual Emissions (excluding Inert / Not a Contaminant)" dataDxfId="2109" totalsRowDxfId="2108"/>
    <tableColumn id="2" xr3:uid="{4F787B43-6E2A-43F2-B403-FFEB037AFB5E}" name="Chemical Constituent" dataDxfId="2107" totalsRowDxfId="2106">
      <calculatedColumnFormula>IFERROR(VLOOKUP(speciated_chemicals_127[[#This Row],[CAS '#]],species[],MATCH("Substance", species[#Headers], 0),FALSE),"No CAS Number Entered")</calculatedColumnFormula>
    </tableColumn>
    <tableColumn id="5" xr3:uid="{8EC6412C-C50B-4ABC-BE1D-5BEDDD340BFB}" name="Other Species?" dataDxfId="2105" totalsRowDxfId="2104"/>
    <tableColumn id="4" xr3:uid="{AC95296F-B18E-4BD6-BFF1-568ADB9911DF}" name="VOC?" dataDxfId="2103" totalsRowDxfId="2102"/>
    <tableColumn id="3" xr3:uid="{76A42059-42F0-4F11-8859-5E14A71C1C48}" name="Inorganic?" dataDxfId="2101" totalsRowDxfId="2100"/>
    <tableColumn id="10" xr3:uid="{FE64E172-BD24-4DFE-B286-28FAA834A289}" name="VOC-Exempt Solvent?" dataDxfId="2099" totalsRowDxfId="2098"/>
    <tableColumn id="6" xr3:uid="{60C356E6-9ED3-4070-9FB3-CE2B807A4BA7}" name="Inert / Not a Contaminant?" dataDxfId="2097" totalsRowDxfId="2096"/>
    <tableColumn id="7" xr3:uid="{87667227-1244-4322-9FF5-73758B58936A}" name="Weight Percent" totalsRowFunction="sum" dataDxfId="2095" totalsRowDxfId="2094"/>
    <tableColumn id="8" xr3:uid="{D04023DD-6DDA-4BE0-BC68-DABB6593DC8A}" name="lb/hr" totalsRowFunction="sum" dataDxfId="2093" totalsRowDxfId="2092">
      <calculatedColumnFormula>IF(speciated_chemicals_127[[#This Row],[Inert / Not a Contaminant?]]="Yes", 0, speciated_chemicals_127[[#This Row],[Weight Percent]]*(unique_components_126[[#Totals],[Controlled lb/hr]]+standard_components_125[[#Totals],[Controlled
lb/hr]]))</calculatedColumnFormula>
    </tableColumn>
    <tableColumn id="9" xr3:uid="{7269661F-8CE7-4A81-9C17-ECFE32B6CD7A}" name="tpy" totalsRowFunction="sum" dataDxfId="2091" totalsRowDxfId="2090">
      <calculatedColumnFormula>IF(speciated_chemicals_127[[#This Row],[Inert / Not a Contaminant?]]="Yes", 0, speciated_chemicals_127[[#This Row],[Weight Percent]]*(unique_components_126[[#Totals],[Controlled
tpy]]+standard_components_125[[#Totals],[Controlled
tpy]]))</calculatedColumnFormula>
    </tableColumn>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CABF18F-AC23-49AA-8889-66AFBDFFD051}" name="speciated_ghg_128" displayName="speciated_ghg_128" ref="A184:F204" totalsRowCount="1" headerRowDxfId="2089" dataDxfId="2087" totalsRowDxfId="2085" headerRowBorderDxfId="2088" tableBorderDxfId="2086" totalsRowBorderDxfId="2084">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103ACB9B-67D0-48BF-ADDC-E2904AD22F57}" name="CAS #" totalsRowLabel="Total GHG Emissions (Mass Basis and Carbon dioxide-equivalent Basis)" dataDxfId="2083" totalsRowDxfId="2082"/>
    <tableColumn id="2" xr3:uid="{C3FB8072-7409-4470-AE62-8DE6A8BCBE47}" name="Chemical Constituent Name" dataDxfId="2081" totalsRowDxfId="2080">
      <calculatedColumnFormula>IFERROR(INDEX(gwp_table[], MATCH(speciated_ghg_128[[#This Row],[CAS '#]], gwp_table[CAS No.], 0), MATCH("Name", gwp_table[#Headers], 0)),"No CAS Number Entered")</calculatedColumnFormula>
    </tableColumn>
    <tableColumn id="3" xr3:uid="{608C1254-4C54-42AD-81B4-B06C2934B1D0}" name="Global Warming Potential (GWP)" dataDxfId="2079" totalsRowDxfId="2078">
      <calculatedColumnFormula>IFERROR(INDEX(gwp_table[], MATCH(speciated_ghg_128[[#This Row],[CAS '#]], gwp_table[CAS No.], 0), MATCH("Global warming potential", gwp_table[#Headers], 0)),"No CAS Number Entered")</calculatedColumnFormula>
    </tableColumn>
    <tableColumn id="4" xr3:uid="{71DDB476-475A-41C4-8E08-5FD73976F2F6}" name="Weight Percent" dataDxfId="2077" totalsRowDxfId="2076"/>
    <tableColumn id="10" xr3:uid="{7FC0BCA3-4E1D-43D3-B468-97BEB16C03D9}" name="Mass Emissions (U.S. tons per year)" totalsRowFunction="sum" dataDxfId="2075" totalsRowDxfId="2074">
      <calculatedColumnFormula>IFERROR(speciated_ghg_128[[#This Row],[Weight Percent]]*(unique_components_126[[#Totals],[Controlled
tpy]]+standard_components_125[[#Totals],[Controlled
tpy]]), "-")</calculatedColumnFormula>
    </tableColumn>
    <tableColumn id="6" xr3:uid="{1652AC37-9BA7-4ED4-8D00-F3A519030F3C}" name="CO2e Emissions (U.S. tons per year)" totalsRowFunction="sum" dataDxfId="2073" totalsRowDxfId="2072">
      <calculatedColumnFormula>IFERROR(speciated_ghg_128[[#This Row],[Mass Emissions (U.S. tons per year)]]*speciated_ghg_128[[#This Row],[Global Warming Potential (GWP)]], "-")</calculatedColumnFormula>
    </tableColumn>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46E8AEE-41C2-473C-A016-25D3408896F5}" name="standard_components_129" displayName="standard_components_129" ref="A24:I101" totalsRowCount="1" headerRowDxfId="2066" dataDxfId="2064" totalsRowDxfId="2062" headerRowBorderDxfId="2065" tableBorderDxfId="2063" totalsRowBorderDxfId="2061">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3E61BAD-0F68-4A76-A9D2-C843C25153B8}" name="Component" totalsRowLabel="Total Count, Total Emission Rates (lbs/hr and tpy)" dataDxfId="2060" totalsRowDxfId="2059">
      <calculatedColumnFormula array="1">IFERROR(INDEX(INDEX(component_service_names[], , MATCH(VLOOKUP(industry_type, industry_column_names[], 2, FALSE), component_service_names[#Headers], 0)), ROW($A1)), "-")</calculatedColumnFormula>
    </tableColumn>
    <tableColumn id="2" xr3:uid="{A80D6D1F-F1A4-4192-95BF-691B5DE4906B}" name="Service" dataDxfId="2058" totalsRowDxfId="2057">
      <calculatedColumnFormula array="1">IFERROR(INDEX(INDEX(component_service_names[], , MATCH(VLOOKUP(industry_type, industry_column_names[], 3, FALSE), component_service_names[#Headers], 0)), ROW($A1)), "-")</calculatedColumnFormula>
    </tableColumn>
    <tableColumn id="3" xr3:uid="{6243885B-8918-42BA-AA1F-A2B7FB592E74}" name="Count" totalsRowFunction="sum" dataDxfId="2056" totalsRowDxfId="2055"/>
    <tableColumn id="4" xr3:uid="{2451C217-7001-46DB-8CBD-225B3A90EFA0}" name="Industry Emission Factor" dataDxfId="2054" totalsRowDxfId="2053">
      <calculatedColumnFormula array="1">IFERROR(
INDEX(
INDEX(factor_eff_table[], , MATCH(industry_type, factor_eff_table[#Headers], 0)),
MATCH(1, INDEX((standard_components_129[[#This Row],[Component]]=factor_eff_table[Component])*(standard_components_129[[#This Row],[Service]]=factor_eff_table[Service]), 0, 1), 0)),
 "-")</calculatedColumnFormula>
    </tableColumn>
    <tableColumn id="5" xr3:uid="{67163A3E-2584-466B-B009-644380E1731C}" name="Instrument Monitoring LDAR Control Efficiency" dataDxfId="2052" totalsRowDxfId="2051">
      <calculatedColumnFormula array="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calculatedColumnFormula>
    </tableColumn>
    <tableColumn id="6" xr3:uid="{673C4BDC-616F-4AC2-A140-A651C564C04A}" name="Connector Monitoring LDAR Control Efficiency" dataDxfId="2050" totalsRowDxfId="2049">
      <calculatedColumnFormula array="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calculatedColumnFormula>
    </tableColumn>
    <tableColumn id="7" xr3:uid="{716DB2E5-7FB7-419F-9DA3-C809124C5E06}" name="Physical Inspection LDAR Control Efficiency" dataDxfId="2048" totalsRowDxfId="2047">
      <calculatedColumnFormula array="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calculatedColumnFormula>
    </tableColumn>
    <tableColumn id="9" xr3:uid="{AF13BA35-ED50-44BD-89E8-4A4654946846}" name="Controlled_x000a_lb/hr" totalsRowFunction="sum" dataDxfId="2046" totalsRowDxfId="2045">
      <calculatedColumnFormula>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calculatedColumnFormula>
    </tableColumn>
    <tableColumn id="10" xr3:uid="{4BAF7CA2-8D99-4D7D-88EF-12567142415B}" name="Controlled_x000a_tpy" totalsRowFunction="sum" dataDxfId="2044" totalsRowDxfId="2043">
      <calculatedColumnFormula>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calculatedColumnFormula>
    </tableColumn>
  </tableColumns>
  <tableStyleInfo name="Table Style 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63B54CC-C16F-44AC-ADA3-7603104C851F}" name="unique_components_130" displayName="unique_components_130" ref="A106:G127" totalsRowCount="1" headerRowDxfId="2042" dataDxfId="2040" totalsRowDxfId="2038" headerRowBorderDxfId="2041" tableBorderDxfId="2039" totalsRowBorderDxfId="2037">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E0674FA-A09E-4218-88B8-D7FDDB93CD9E}" name="Component" totalsRowLabel="Total Component Count, Total Emission Rate (lbs/hr and tpy)" dataDxfId="2036" totalsRowDxfId="2035"/>
    <tableColumn id="2" xr3:uid="{C767095F-6973-47A3-8E9F-C3E0B891BEE4}" name="Service" dataDxfId="2034" totalsRowDxfId="2033"/>
    <tableColumn id="3" xr3:uid="{09C7E1FA-DDA4-4869-93B4-F01E7A33CBC3}" name="Count" totalsRowFunction="sum" dataDxfId="2032" totalsRowDxfId="2031"/>
    <tableColumn id="5" xr3:uid="{9DFC856B-D7BB-4002-A2DB-BBD4E06D3968}" name="Proposed Emission Factor" dataDxfId="2030" totalsRowDxfId="2029"/>
    <tableColumn id="7" xr3:uid="{2A654E12-DA27-4E68-A8A0-EEE03AA30CA7}" name="Proposed Control Efficiency" dataDxfId="2028" totalsRowDxfId="2027"/>
    <tableColumn id="9" xr3:uid="{2B367919-48CA-4B25-BDAE-9E13F7CB34CA}" name="Controlled lb/hr" totalsRowFunction="sum" dataDxfId="2026" totalsRowDxfId="2025">
      <calculatedColumnFormula>unique_components_130[[#This Row],[Count]]*unique_components_130[[#This Row],[Proposed Emission Factor]]*(1-unique_components_130[[#This Row],[Proposed Control Efficiency]])</calculatedColumnFormula>
    </tableColumn>
    <tableColumn id="10" xr3:uid="{E95BFBF4-3ECA-4BFD-A9D3-9509C2D3463A}" name="Controlled_x000a_tpy" totalsRowFunction="sum" dataDxfId="2024" totalsRowDxfId="2023">
      <calculatedColumnFormula>IFERROR(unique_components_130[[#This Row],[Controlled lb/hr]]*4.38,"")</calculatedColumnFormula>
    </tableColumn>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56F1823-3DAA-4C08-959D-0D5C47BA2E2D}" name="standard_components_1" displayName="standard_components_1" ref="A24:I101" totalsRowCount="1" headerRowDxfId="2438" dataDxfId="2436" totalsRowDxfId="2434" headerRowBorderDxfId="2437" tableBorderDxfId="2435" totalsRowBorderDxfId="2433">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2350D76-2313-45AA-82B9-E036A09F4B67}" name="Component" totalsRowLabel="Total Count, Total Emission Rates (lbs/hr and tpy)" dataDxfId="2432" totalsRowDxfId="2431">
      <calculatedColumnFormula array="1">IFERROR(INDEX(INDEX(component_service_names[], , MATCH(VLOOKUP(industry_type, industry_column_names[], 2, FALSE), component_service_names[#Headers], 0)), ROW($A1)), "-")</calculatedColumnFormula>
    </tableColumn>
    <tableColumn id="2" xr3:uid="{5A61689B-40DA-43B7-99FA-44CFFEF527FC}" name="Service" dataDxfId="2430" totalsRowDxfId="2429">
      <calculatedColumnFormula array="1">IFERROR(INDEX(INDEX(component_service_names[], , MATCH(VLOOKUP(industry_type, industry_column_names[], 3, FALSE), component_service_names[#Headers], 0)), ROW($A1)), "-")</calculatedColumnFormula>
    </tableColumn>
    <tableColumn id="3" xr3:uid="{57BE5BB7-D74C-4DB8-B117-A2E2E3653BEA}" name="Count" totalsRowFunction="sum" dataDxfId="2428" totalsRowDxfId="2427"/>
    <tableColumn id="4" xr3:uid="{6A0FC08C-4476-4142-85EF-772FEE2A4DAD}" name="Industry Emission Factor" dataDxfId="2426" totalsRowDxfId="2425">
      <calculatedColumnFormula array="1">IFERROR(
INDEX(
INDEX(factor_eff_table[], , MATCH(industry_type, factor_eff_table[#Headers], 0)),
MATCH(1, INDEX((standard_components_1[[#This Row],[Component]]=factor_eff_table[Component])*(standard_components_1[[#This Row],[Service]]=factor_eff_table[Service]), 0, 1), 0)),
 "-")</calculatedColumnFormula>
    </tableColumn>
    <tableColumn id="5" xr3:uid="{4B77D87C-FE43-4D63-BA19-E512873BFE75}" name="Instrument Monitoring LDAR Control Efficiency" dataDxfId="2424" totalsRowDxfId="2423">
      <calculatedColumnFormula array="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calculatedColumnFormula>
    </tableColumn>
    <tableColumn id="6" xr3:uid="{763C7B1F-7433-4607-AD4A-9C1E7D3B738E}" name="Connector Monitoring LDAR Control Efficiency" dataDxfId="2422" totalsRowDxfId="2421">
      <calculatedColumnFormula array="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calculatedColumnFormula>
    </tableColumn>
    <tableColumn id="7" xr3:uid="{E8FA6354-099F-46CC-8FE4-1216F04721FA}" name="Physical Inspection LDAR Control Efficiency" dataDxfId="2420" totalsRowDxfId="2419">
      <calculatedColumnFormula array="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calculatedColumnFormula>
    </tableColumn>
    <tableColumn id="9" xr3:uid="{AB891029-42BE-4B7E-9CA7-D84BE3E0BE1B}" name="Controlled_x000a_lb/hr" totalsRowFunction="sum" dataDxfId="2418" totalsRowDxfId="2417">
      <calculatedColumnFormula>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calculatedColumnFormula>
    </tableColumn>
    <tableColumn id="10" xr3:uid="{06FA5421-E137-494A-B0ED-B245A58D5E75}" name="Controlled_x000a_tpy" totalsRowFunction="sum" dataDxfId="2416" totalsRowDxfId="2415">
      <calculatedColumnFormula>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calculatedColumnFormula>
    </tableColumn>
  </tableColumns>
  <tableStyleInfo name="Table Style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CBC7EBC-56D8-4842-B472-BBDA8062242B}" name="speciated_chemicals_131" displayName="speciated_chemicals_131" ref="A130:J181" totalsRowCount="1" headerRowDxfId="2022" dataDxfId="2020" totalsRowDxfId="2018" headerRowBorderDxfId="2021" tableBorderDxfId="2019" totalsRowBorderDxfId="2017">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8B53559-A689-4397-B58D-911F5D33A584}" name="CAS #" totalsRowLabel="Total Weight Percent, Hourly Emissions and Annual Emissions (excluding Inert / Not a Contaminant)" dataDxfId="2016" totalsRowDxfId="2015"/>
    <tableColumn id="2" xr3:uid="{5D56B878-6089-4491-8F7F-55262528486D}" name="Chemical Constituent" dataDxfId="2014" totalsRowDxfId="2013">
      <calculatedColumnFormula>IFERROR(VLOOKUP(speciated_chemicals_131[[#This Row],[CAS '#]],species[],MATCH("Substance", species[#Headers], 0),FALSE),"No CAS Number Entered")</calculatedColumnFormula>
    </tableColumn>
    <tableColumn id="5" xr3:uid="{6BD3E0BF-FE1C-4410-87CD-455DEE04C13C}" name="Other Species?" dataDxfId="2012" totalsRowDxfId="2011"/>
    <tableColumn id="4" xr3:uid="{2943D2F9-F56B-4C02-B9B0-330E99FD1488}" name="VOC?" dataDxfId="2010" totalsRowDxfId="2009"/>
    <tableColumn id="3" xr3:uid="{63BDE891-821B-4FB0-A783-F772853DDB69}" name="Inorganic?" dataDxfId="2008" totalsRowDxfId="2007"/>
    <tableColumn id="10" xr3:uid="{3E01388A-17BE-4005-A4EA-5F3654F76B6F}" name="VOC-Exempt Solvent?" dataDxfId="2006" totalsRowDxfId="2005"/>
    <tableColumn id="6" xr3:uid="{19ECBC63-CB79-4F1D-843F-E1433A186A21}" name="Inert / Not a Contaminant?" dataDxfId="2004" totalsRowDxfId="2003"/>
    <tableColumn id="7" xr3:uid="{D22393FE-744F-42AF-8EF5-00A1016732B3}" name="Weight Percent" totalsRowFunction="sum" dataDxfId="2002" totalsRowDxfId="2001"/>
    <tableColumn id="8" xr3:uid="{1C74F5C2-A74C-46AC-AA9C-D25C6D1FED55}" name="lb/hr" totalsRowFunction="sum" dataDxfId="2000" totalsRowDxfId="1999">
      <calculatedColumnFormula>IF(speciated_chemicals_131[[#This Row],[Inert / Not a Contaminant?]]="Yes", 0, speciated_chemicals_131[[#This Row],[Weight Percent]]*(unique_components_130[[#Totals],[Controlled lb/hr]]+standard_components_129[[#Totals],[Controlled
lb/hr]]))</calculatedColumnFormula>
    </tableColumn>
    <tableColumn id="9" xr3:uid="{7B4A5832-BC3D-4E21-AA1C-1F94F30BFC91}" name="tpy" totalsRowFunction="sum" dataDxfId="1998" totalsRowDxfId="1997">
      <calculatedColumnFormula>IF(speciated_chemicals_131[[#This Row],[Inert / Not a Contaminant?]]="Yes", 0, speciated_chemicals_131[[#This Row],[Weight Percent]]*(unique_components_130[[#Totals],[Controlled
tpy]]+standard_components_129[[#Totals],[Controlled
tpy]]))</calculatedColumnFormula>
    </tableColumn>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7B650A1-00CE-450B-B212-F53EAB0F333E}" name="speciated_ghg_132" displayName="speciated_ghg_132" ref="A184:F204" totalsRowCount="1" headerRowDxfId="1996" dataDxfId="1994" totalsRowDxfId="1992" headerRowBorderDxfId="1995" tableBorderDxfId="1993" totalsRowBorderDxfId="1991">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E4A69FB5-A22A-4462-804B-378302253879}" name="CAS #" totalsRowLabel="Total GHG Emissions (Mass Basis and Carbon dioxide-equivalent Basis)" dataDxfId="1990" totalsRowDxfId="1989"/>
    <tableColumn id="2" xr3:uid="{1868771C-FA58-4F1B-90DF-1BBB85457739}" name="Chemical Constituent Name" dataDxfId="1988" totalsRowDxfId="1987">
      <calculatedColumnFormula>IFERROR(INDEX(gwp_table[], MATCH(speciated_ghg_132[[#This Row],[CAS '#]], gwp_table[CAS No.], 0), MATCH("Name", gwp_table[#Headers], 0)),"No CAS Number Entered")</calculatedColumnFormula>
    </tableColumn>
    <tableColumn id="3" xr3:uid="{65C6208F-222A-44CF-81AD-903316892564}" name="Global Warming Potential (GWP)" dataDxfId="1986" totalsRowDxfId="1985">
      <calculatedColumnFormula>IFERROR(INDEX(gwp_table[], MATCH(speciated_ghg_132[[#This Row],[CAS '#]], gwp_table[CAS No.], 0), MATCH("Global warming potential", gwp_table[#Headers], 0)),"No CAS Number Entered")</calculatedColumnFormula>
    </tableColumn>
    <tableColumn id="4" xr3:uid="{CFE0BEF5-A12F-445F-A4C3-8D2757D285DF}" name="Weight Percent" dataDxfId="1984" totalsRowDxfId="1983"/>
    <tableColumn id="10" xr3:uid="{D3C2D105-8A04-4F94-A24E-3F068B33487A}" name="Mass Emissions (U.S. tons per year)" totalsRowFunction="sum" dataDxfId="1982" totalsRowDxfId="1981">
      <calculatedColumnFormula>IFERROR(speciated_ghg_132[[#This Row],[Weight Percent]]*(unique_components_130[[#Totals],[Controlled
tpy]]+standard_components_129[[#Totals],[Controlled
tpy]]), "-")</calculatedColumnFormula>
    </tableColumn>
    <tableColumn id="6" xr3:uid="{71987EC3-C651-40A1-894A-8EFC3EE68AEA}" name="CO2e Emissions (U.S. tons per year)" totalsRowFunction="sum" dataDxfId="1980" totalsRowDxfId="1979">
      <calculatedColumnFormula>IFERROR(speciated_ghg_132[[#This Row],[Mass Emissions (U.S. tons per year)]]*speciated_ghg_132[[#This Row],[Global Warming Potential (GWP)]], "-")</calculatedColumnFormula>
    </tableColumn>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5748F94-C4A5-424E-816E-9C5C5CB7C58C}" name="standard_components_133" displayName="standard_components_133" ref="A24:I101" totalsRowCount="1" headerRowDxfId="1973" dataDxfId="1971" totalsRowDxfId="1969" headerRowBorderDxfId="1972" tableBorderDxfId="1970" totalsRowBorderDxfId="1968">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FB018E0-19F4-44DA-97CF-F5C908BF386E}" name="Component" totalsRowLabel="Total Count, Total Emission Rates (lbs/hr and tpy)" dataDxfId="1967" totalsRowDxfId="1966">
      <calculatedColumnFormula array="1">IFERROR(INDEX(INDEX(component_service_names[], , MATCH(VLOOKUP(industry_type, industry_column_names[], 2, FALSE), component_service_names[#Headers], 0)), ROW($A1)), "-")</calculatedColumnFormula>
    </tableColumn>
    <tableColumn id="2" xr3:uid="{06C3404F-71F5-47BD-AF6D-82F4237CAB0C}" name="Service" dataDxfId="1965" totalsRowDxfId="1964">
      <calculatedColumnFormula array="1">IFERROR(INDEX(INDEX(component_service_names[], , MATCH(VLOOKUP(industry_type, industry_column_names[], 3, FALSE), component_service_names[#Headers], 0)), ROW($A1)), "-")</calculatedColumnFormula>
    </tableColumn>
    <tableColumn id="3" xr3:uid="{5FD387D3-0A8C-4C90-A110-C29574118A61}" name="Count" totalsRowFunction="sum" dataDxfId="1963" totalsRowDxfId="1962"/>
    <tableColumn id="4" xr3:uid="{626FA0C6-A6F3-40FE-920F-36BF5C419AE4}" name="Industry Emission Factor" dataDxfId="1961" totalsRowDxfId="1960">
      <calculatedColumnFormula array="1">IFERROR(
INDEX(
INDEX(factor_eff_table[], , MATCH(industry_type, factor_eff_table[#Headers], 0)),
MATCH(1, INDEX((standard_components_133[[#This Row],[Component]]=factor_eff_table[Component])*(standard_components_133[[#This Row],[Service]]=factor_eff_table[Service]), 0, 1), 0)),
 "-")</calculatedColumnFormula>
    </tableColumn>
    <tableColumn id="5" xr3:uid="{C7B58D9D-0201-44C2-9F93-81A6C2DCFE96}" name="Instrument Monitoring LDAR Control Efficiency" dataDxfId="1959" totalsRowDxfId="1958">
      <calculatedColumnFormula array="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calculatedColumnFormula>
    </tableColumn>
    <tableColumn id="6" xr3:uid="{590928F1-3B68-4CFB-926B-0DC260A04E0F}" name="Connector Monitoring LDAR Control Efficiency" dataDxfId="1957" totalsRowDxfId="1956">
      <calculatedColumnFormula array="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calculatedColumnFormula>
    </tableColumn>
    <tableColumn id="7" xr3:uid="{50133E5F-D8E1-4AA4-BFB8-81CC8B2A0B60}" name="Physical Inspection LDAR Control Efficiency" dataDxfId="1955" totalsRowDxfId="1954">
      <calculatedColumnFormula array="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calculatedColumnFormula>
    </tableColumn>
    <tableColumn id="9" xr3:uid="{AAA11E12-AA67-41EF-9AFD-2A39960456F0}" name="Controlled_x000a_lb/hr" totalsRowFunction="sum" dataDxfId="1953" totalsRowDxfId="1952">
      <calculatedColumnFormula>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calculatedColumnFormula>
    </tableColumn>
    <tableColumn id="10" xr3:uid="{C81632E4-5E95-4765-A1B1-C29BB438A61A}" name="Controlled_x000a_tpy" totalsRowFunction="sum" dataDxfId="1951" totalsRowDxfId="1950">
      <calculatedColumnFormula>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calculatedColumnFormula>
    </tableColumn>
  </tableColumns>
  <tableStyleInfo name="Table Style 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94CEF7E-1387-4AB4-9E69-402A80C08A91}" name="unique_components_134" displayName="unique_components_134" ref="A106:G127" totalsRowCount="1" headerRowDxfId="1949" dataDxfId="1947" totalsRowDxfId="1945" headerRowBorderDxfId="1948" tableBorderDxfId="1946" totalsRowBorderDxfId="1944">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8DB895B-D970-481B-B2BF-1B83D84EAE6B}" name="Component" totalsRowLabel="Total Component Count, Total Emission Rate (lbs/hr and tpy)" dataDxfId="1943" totalsRowDxfId="1942"/>
    <tableColumn id="2" xr3:uid="{2F4C99CD-5CCD-40E7-B1B7-C9D210592A17}" name="Service" dataDxfId="1941" totalsRowDxfId="1940"/>
    <tableColumn id="3" xr3:uid="{F2642A39-3FFE-472E-949A-92264FF241DD}" name="Count" totalsRowFunction="sum" dataDxfId="1939" totalsRowDxfId="1938"/>
    <tableColumn id="5" xr3:uid="{82A246D3-F275-4581-8444-DB16D75CF021}" name="Proposed Emission Factor" dataDxfId="1937" totalsRowDxfId="1936"/>
    <tableColumn id="7" xr3:uid="{5085FF1E-F93E-4386-9FDE-04CE5E80557E}" name="Proposed Control Efficiency" dataDxfId="1935" totalsRowDxfId="1934"/>
    <tableColumn id="9" xr3:uid="{A06C6A23-74B8-4D91-B06A-523B62E29044}" name="Controlled lb/hr" totalsRowFunction="sum" dataDxfId="1933" totalsRowDxfId="1932">
      <calculatedColumnFormula>unique_components_134[[#This Row],[Count]]*unique_components_134[[#This Row],[Proposed Emission Factor]]*(1-unique_components_134[[#This Row],[Proposed Control Efficiency]])</calculatedColumnFormula>
    </tableColumn>
    <tableColumn id="10" xr3:uid="{86F27A91-AB23-41B6-A6A2-F134D69A0C2E}" name="Controlled_x000a_tpy" totalsRowFunction="sum" dataDxfId="1931" totalsRowDxfId="1930">
      <calculatedColumnFormula>IFERROR(unique_components_134[[#This Row],[Controlled lb/hr]]*4.38,"")</calculatedColumnFormula>
    </tableColumn>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AD19E2-C66F-49D9-AE9B-2FE230CCCB3A}" name="speciated_chemicals_135" displayName="speciated_chemicals_135" ref="A130:J181" totalsRowCount="1" headerRowDxfId="1929" dataDxfId="1927" totalsRowDxfId="1925" headerRowBorderDxfId="1928" tableBorderDxfId="1926" totalsRowBorderDxfId="1924">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8AE76A2-542B-4C60-9FC9-1B7178B7E41F}" name="CAS #" totalsRowLabel="Total Weight Percent, Hourly Emissions and Annual Emissions (excluding Inert / Not a Contaminant)" dataDxfId="1923" totalsRowDxfId="1922"/>
    <tableColumn id="2" xr3:uid="{A021223D-AAF6-4846-9D90-39008CF733D6}" name="Chemical Constituent" dataDxfId="1921" totalsRowDxfId="1920">
      <calculatedColumnFormula>IFERROR(VLOOKUP(speciated_chemicals_135[[#This Row],[CAS '#]],species[],MATCH("Substance", species[#Headers], 0),FALSE),"No CAS Number Entered")</calculatedColumnFormula>
    </tableColumn>
    <tableColumn id="5" xr3:uid="{86718A74-B51A-47BD-94FE-E38D94E0FCC1}" name="Other Species?" dataDxfId="1919" totalsRowDxfId="1918"/>
    <tableColumn id="4" xr3:uid="{3AB9FBD4-97EE-4EA1-9CC5-C375543537C0}" name="VOC?" dataDxfId="1917" totalsRowDxfId="1916"/>
    <tableColumn id="3" xr3:uid="{7E13B206-C375-4883-A78D-47C9F425B0BC}" name="Inorganic?" dataDxfId="1915" totalsRowDxfId="1914"/>
    <tableColumn id="10" xr3:uid="{DD9442D8-1E4A-42D1-A0A6-7BB8FCF0DA09}" name="VOC-Exempt Solvent?" dataDxfId="1913" totalsRowDxfId="1912"/>
    <tableColumn id="6" xr3:uid="{0A81E315-1F5D-4D31-90EE-E3E37EAF7DE4}" name="Inert / Not a Contaminant?" dataDxfId="1911" totalsRowDxfId="1910"/>
    <tableColumn id="7" xr3:uid="{1FE39CD6-0B95-4020-BBB2-4DE55B892F91}" name="Weight Percent" totalsRowFunction="sum" dataDxfId="1909" totalsRowDxfId="1908"/>
    <tableColumn id="8" xr3:uid="{7968677B-0BFA-4FCC-811F-0BE4CE268860}" name="lb/hr" totalsRowFunction="sum" dataDxfId="1907" totalsRowDxfId="1906">
      <calculatedColumnFormula>IF(speciated_chemicals_135[[#This Row],[Inert / Not a Contaminant?]]="Yes", 0, speciated_chemicals_135[[#This Row],[Weight Percent]]*(unique_components_134[[#Totals],[Controlled lb/hr]]+standard_components_133[[#Totals],[Controlled
lb/hr]]))</calculatedColumnFormula>
    </tableColumn>
    <tableColumn id="9" xr3:uid="{7BFC3CCD-4F22-4D77-AB11-C2377379809F}" name="tpy" totalsRowFunction="sum" dataDxfId="1905" totalsRowDxfId="1904">
      <calculatedColumnFormula>IF(speciated_chemicals_135[[#This Row],[Inert / Not a Contaminant?]]="Yes", 0, speciated_chemicals_135[[#This Row],[Weight Percent]]*(unique_components_134[[#Totals],[Controlled
tpy]]+standard_components_133[[#Totals],[Controlled
tpy]]))</calculatedColumnFormula>
    </tableColumn>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60CCF7C-7542-44AB-9D8F-2A7E1457F9D8}" name="speciated_ghg_136" displayName="speciated_ghg_136" ref="A184:F204" totalsRowCount="1" headerRowDxfId="1903" dataDxfId="1901" totalsRowDxfId="1899" headerRowBorderDxfId="1902" tableBorderDxfId="1900" totalsRowBorderDxfId="1898">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12A4F209-631A-4A37-9636-040B7E7D2ED0}" name="CAS #" totalsRowLabel="Total GHG Emissions (Mass Basis and Carbon dioxide-equivalent Basis)" dataDxfId="1897" totalsRowDxfId="1896"/>
    <tableColumn id="2" xr3:uid="{86E0E29A-D054-4631-9709-354A7C5B709B}" name="Chemical Constituent Name" dataDxfId="1895" totalsRowDxfId="1894">
      <calculatedColumnFormula>IFERROR(INDEX(gwp_table[], MATCH(speciated_ghg_136[[#This Row],[CAS '#]], gwp_table[CAS No.], 0), MATCH("Name", gwp_table[#Headers], 0)),"No CAS Number Entered")</calculatedColumnFormula>
    </tableColumn>
    <tableColumn id="3" xr3:uid="{05A9BC1E-5AEB-4271-93A8-C7159D24661D}" name="Global Warming Potential (GWP)" dataDxfId="1893" totalsRowDxfId="1892">
      <calculatedColumnFormula>IFERROR(INDEX(gwp_table[], MATCH(speciated_ghg_136[[#This Row],[CAS '#]], gwp_table[CAS No.], 0), MATCH("Global warming potential", gwp_table[#Headers], 0)),"No CAS Number Entered")</calculatedColumnFormula>
    </tableColumn>
    <tableColumn id="4" xr3:uid="{A75F0CA3-95E5-4CF4-8818-0B374B79421D}" name="Weight Percent" dataDxfId="1891" totalsRowDxfId="1890"/>
    <tableColumn id="10" xr3:uid="{597F26BC-D263-4244-8A63-AE148478DE92}" name="Mass Emissions (U.S. tons per year)" totalsRowFunction="sum" dataDxfId="1889" totalsRowDxfId="1888">
      <calculatedColumnFormula>IFERROR(speciated_ghg_136[[#This Row],[Weight Percent]]*(unique_components_134[[#Totals],[Controlled
tpy]]+standard_components_133[[#Totals],[Controlled
tpy]]), "-")</calculatedColumnFormula>
    </tableColumn>
    <tableColumn id="6" xr3:uid="{B056F7D7-3A8F-4CCC-A49C-93A77F85C4CF}" name="CO2e Emissions (U.S. tons per year)" totalsRowFunction="sum" dataDxfId="1887" totalsRowDxfId="1886">
      <calculatedColumnFormula>IFERROR(speciated_ghg_136[[#This Row],[Mass Emissions (U.S. tons per year)]]*speciated_ghg_136[[#This Row],[Global Warming Potential (GWP)]], "-")</calculatedColumnFormula>
    </tableColumn>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1AC712D-8638-4790-A64E-575AAFFE6456}" name="standard_components_137" displayName="standard_components_137" ref="A24:I101" totalsRowCount="1" headerRowDxfId="1880" dataDxfId="1878" totalsRowDxfId="1876" headerRowBorderDxfId="1879" tableBorderDxfId="1877" totalsRowBorderDxfId="1875">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6879D66-7700-472D-BACC-1B73F7364D63}" name="Component" totalsRowLabel="Total Count, Total Emission Rates (lbs/hr and tpy)" dataDxfId="1874" totalsRowDxfId="1873">
      <calculatedColumnFormula array="1">IFERROR(INDEX(INDEX(component_service_names[], , MATCH(VLOOKUP(industry_type, industry_column_names[], 2, FALSE), component_service_names[#Headers], 0)), ROW($A1)), "-")</calculatedColumnFormula>
    </tableColumn>
    <tableColumn id="2" xr3:uid="{3E29EE0E-95FD-4570-8A20-438670C5AF04}" name="Service" dataDxfId="1872" totalsRowDxfId="1871">
      <calculatedColumnFormula array="1">IFERROR(INDEX(INDEX(component_service_names[], , MATCH(VLOOKUP(industry_type, industry_column_names[], 3, FALSE), component_service_names[#Headers], 0)), ROW($A1)), "-")</calculatedColumnFormula>
    </tableColumn>
    <tableColumn id="3" xr3:uid="{924450B9-8C83-4EA5-8FDA-8D3D86EAC0E3}" name="Count" totalsRowFunction="sum" dataDxfId="1870" totalsRowDxfId="1869"/>
    <tableColumn id="4" xr3:uid="{274B12F7-46EF-4DFC-A3BA-9E55D59AC7AC}" name="Industry Emission Factor" dataDxfId="1868" totalsRowDxfId="1867">
      <calculatedColumnFormula array="1">IFERROR(
INDEX(
INDEX(factor_eff_table[], , MATCH(industry_type, factor_eff_table[#Headers], 0)),
MATCH(1, INDEX((standard_components_137[[#This Row],[Component]]=factor_eff_table[Component])*(standard_components_137[[#This Row],[Service]]=factor_eff_table[Service]), 0, 1), 0)),
 "-")</calculatedColumnFormula>
    </tableColumn>
    <tableColumn id="5" xr3:uid="{2AC249B2-2621-4F9B-9478-F1443DB7FCD2}" name="Instrument Monitoring LDAR Control Efficiency" dataDxfId="1866" totalsRowDxfId="1865">
      <calculatedColumnFormula array="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calculatedColumnFormula>
    </tableColumn>
    <tableColumn id="6" xr3:uid="{7B810C45-B078-448B-A059-E6FC52A19B97}" name="Connector Monitoring LDAR Control Efficiency" dataDxfId="1864" totalsRowDxfId="1863">
      <calculatedColumnFormula array="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calculatedColumnFormula>
    </tableColumn>
    <tableColumn id="7" xr3:uid="{0C1A1C63-A325-4C93-A27C-BB0936D0060C}" name="Physical Inspection LDAR Control Efficiency" dataDxfId="1862" totalsRowDxfId="1861">
      <calculatedColumnFormula array="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calculatedColumnFormula>
    </tableColumn>
    <tableColumn id="9" xr3:uid="{A7A0AA1C-CE87-499F-8ABB-621BD0DF161D}" name="Controlled_x000a_lb/hr" totalsRowFunction="sum" dataDxfId="1860" totalsRowDxfId="1859">
      <calculatedColumnFormula>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calculatedColumnFormula>
    </tableColumn>
    <tableColumn id="10" xr3:uid="{BB101B07-1EE1-4BB4-A0EA-84A0A1FE2594}" name="Controlled_x000a_tpy" totalsRowFunction="sum" dataDxfId="1858" totalsRowDxfId="1857">
      <calculatedColumnFormula>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calculatedColumnFormula>
    </tableColumn>
  </tableColumns>
  <tableStyleInfo name="Table Style 1"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BB6C82F-1359-4AEA-9E4D-3721B98EADAC}" name="unique_components_138" displayName="unique_components_138" ref="A106:G127" totalsRowCount="1" headerRowDxfId="1856" dataDxfId="1854" totalsRowDxfId="1852" headerRowBorderDxfId="1855" tableBorderDxfId="1853" totalsRowBorderDxfId="1851">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36E906-0DE1-4824-9B03-B5DE03494820}" name="Component" totalsRowLabel="Total Component Count, Total Emission Rate (lbs/hr and tpy)" dataDxfId="1850" totalsRowDxfId="1849"/>
    <tableColumn id="2" xr3:uid="{00E2F770-30D1-4186-A031-4DF9BE078134}" name="Service" dataDxfId="1848" totalsRowDxfId="1847"/>
    <tableColumn id="3" xr3:uid="{8D5CA45E-1E97-4C0E-A179-02DD48FD99DD}" name="Count" totalsRowFunction="sum" dataDxfId="1846" totalsRowDxfId="1845"/>
    <tableColumn id="5" xr3:uid="{3BE3CA80-CBCB-47CF-8616-495EED2CBB67}" name="Proposed Emission Factor" dataDxfId="1844" totalsRowDxfId="1843"/>
    <tableColumn id="7" xr3:uid="{F2408425-B9B2-449C-A82B-F9249D357B4F}" name="Proposed Control Efficiency" dataDxfId="1842" totalsRowDxfId="1841"/>
    <tableColumn id="9" xr3:uid="{FACBF4D2-44D1-4DD0-A6BD-24AF2B568DED}" name="Controlled lb/hr" totalsRowFunction="sum" dataDxfId="1840" totalsRowDxfId="1839">
      <calculatedColumnFormula>unique_components_138[[#This Row],[Count]]*unique_components_138[[#This Row],[Proposed Emission Factor]]*(1-unique_components_138[[#This Row],[Proposed Control Efficiency]])</calculatedColumnFormula>
    </tableColumn>
    <tableColumn id="10" xr3:uid="{FC32B4E4-6C23-4B88-BA46-59FF19CABBAE}" name="Controlled_x000a_tpy" totalsRowFunction="sum" dataDxfId="1838" totalsRowDxfId="1837">
      <calculatedColumnFormula>IFERROR(unique_components_138[[#This Row],[Controlled lb/hr]]*4.38,"")</calculatedColumnFormula>
    </tableColumn>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69C49FB-8554-437C-A5B3-EB8DC3E8400A}" name="speciated_chemicals_139" displayName="speciated_chemicals_139" ref="A130:J181" totalsRowCount="1" headerRowDxfId="1836" dataDxfId="1834" totalsRowDxfId="1832" headerRowBorderDxfId="1835" tableBorderDxfId="1833" totalsRowBorderDxfId="1831">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B43FB2D-5115-4107-8A61-6A6123FBF8D3}" name="CAS #" totalsRowLabel="Total Weight Percent, Hourly Emissions and Annual Emissions (excluding Inert / Not a Contaminant)" dataDxfId="1830" totalsRowDxfId="1829"/>
    <tableColumn id="2" xr3:uid="{9360C1F8-DC27-4E1B-8EF9-3E85FCDE0706}" name="Chemical Constituent" dataDxfId="1828" totalsRowDxfId="1827">
      <calculatedColumnFormula>IFERROR(VLOOKUP(speciated_chemicals_139[[#This Row],[CAS '#]],species[],MATCH("Substance", species[#Headers], 0),FALSE),"No CAS Number Entered")</calculatedColumnFormula>
    </tableColumn>
    <tableColumn id="5" xr3:uid="{1EE02B41-C3C7-4DD6-BAFF-4A19C53D95CE}" name="Other Species?" dataDxfId="1826" totalsRowDxfId="1825"/>
    <tableColumn id="4" xr3:uid="{EE4EF644-2A60-483F-8FD5-C976302395CA}" name="VOC?" dataDxfId="1824" totalsRowDxfId="1823"/>
    <tableColumn id="3" xr3:uid="{00F3E09E-C3DD-47D1-A491-D3BAD5A5A402}" name="Inorganic?" dataDxfId="1822" totalsRowDxfId="1821"/>
    <tableColumn id="10" xr3:uid="{61D7F4CD-8A7C-4D2A-A06E-5AEEF70979BA}" name="VOC-Exempt Solvent?" dataDxfId="1820" totalsRowDxfId="1819"/>
    <tableColumn id="6" xr3:uid="{F6754EFE-F44E-4124-8415-594E3E3E769F}" name="Inert / Not a Contaminant?" dataDxfId="1818" totalsRowDxfId="1817"/>
    <tableColumn id="7" xr3:uid="{E30AFB05-70F4-44FF-8652-78E38FD0F5F4}" name="Weight Percent" totalsRowFunction="sum" dataDxfId="1816" totalsRowDxfId="1815"/>
    <tableColumn id="8" xr3:uid="{EA628F10-C0BD-4A54-A3E4-F1621F0B0DDA}" name="lb/hr" totalsRowFunction="sum" dataDxfId="1814" totalsRowDxfId="1813">
      <calculatedColumnFormula>IF(speciated_chemicals_139[[#This Row],[Inert / Not a Contaminant?]]="Yes", 0, speciated_chemicals_139[[#This Row],[Weight Percent]]*(unique_components_138[[#Totals],[Controlled lb/hr]]+standard_components_137[[#Totals],[Controlled
lb/hr]]))</calculatedColumnFormula>
    </tableColumn>
    <tableColumn id="9" xr3:uid="{7D2AF89F-50E8-40F7-B9BA-CD44BD573554}" name="tpy" totalsRowFunction="sum" dataDxfId="1812" totalsRowDxfId="1811">
      <calculatedColumnFormula>IF(speciated_chemicals_139[[#This Row],[Inert / Not a Contaminant?]]="Yes", 0, speciated_chemicals_139[[#This Row],[Weight Percent]]*(unique_components_138[[#Totals],[Controlled
tpy]]+standard_components_137[[#Totals],[Controlled
tpy]]))</calculatedColumnFormula>
    </tableColumn>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7B76B6-9D5A-4363-B1F0-96A236D7E3CB}" name="speciated_ghg_140" displayName="speciated_ghg_140" ref="A184:F204" totalsRowCount="1" headerRowDxfId="1810" dataDxfId="1808" totalsRowDxfId="1806" headerRowBorderDxfId="1809" tableBorderDxfId="1807" totalsRowBorderDxfId="1805">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9DDD88A5-1EF5-4698-8334-8549BD3E0E87}" name="CAS #" totalsRowLabel="Total GHG Emissions (Mass Basis and Carbon dioxide-equivalent Basis)" dataDxfId="1804" totalsRowDxfId="1803"/>
    <tableColumn id="2" xr3:uid="{042CA3A1-B4D1-4CD7-9793-3D0085AE6D09}" name="Chemical Constituent Name" dataDxfId="1802" totalsRowDxfId="1801">
      <calculatedColumnFormula>IFERROR(INDEX(gwp_table[], MATCH(speciated_ghg_140[[#This Row],[CAS '#]], gwp_table[CAS No.], 0), MATCH("Name", gwp_table[#Headers], 0)),"No CAS Number Entered")</calculatedColumnFormula>
    </tableColumn>
    <tableColumn id="3" xr3:uid="{3A1FC425-BBEB-473E-B2A5-624344651DD3}" name="Global Warming Potential (GWP)" dataDxfId="1800" totalsRowDxfId="1799">
      <calculatedColumnFormula>IFERROR(INDEX(gwp_table[], MATCH(speciated_ghg_140[[#This Row],[CAS '#]], gwp_table[CAS No.], 0), MATCH("Global warming potential", gwp_table[#Headers], 0)),"No CAS Number Entered")</calculatedColumnFormula>
    </tableColumn>
    <tableColumn id="4" xr3:uid="{CFAFF715-56FA-4D4A-9B6E-EA7D46880860}" name="Weight Percent" dataDxfId="1798" totalsRowDxfId="1797"/>
    <tableColumn id="10" xr3:uid="{82DB364E-4A6C-476E-9A5B-23941812C972}" name="Mass Emissions (U.S. tons per year)" totalsRowFunction="sum" dataDxfId="1796" totalsRowDxfId="1795">
      <calculatedColumnFormula>IFERROR(speciated_ghg_140[[#This Row],[Weight Percent]]*(unique_components_138[[#Totals],[Controlled
tpy]]+standard_components_137[[#Totals],[Controlled
tpy]]), "-")</calculatedColumnFormula>
    </tableColumn>
    <tableColumn id="6" xr3:uid="{59F8F10F-1DEC-47BE-970A-A76A7C113575}" name="CO2e Emissions (U.S. tons per year)" totalsRowFunction="sum" dataDxfId="1794" totalsRowDxfId="1793">
      <calculatedColumnFormula>IFERROR(speciated_ghg_140[[#This Row],[Mass Emissions (U.S. tons per year)]]*speciated_ghg_140[[#This Row],[Global Warming Potential (GWP)]], "-")</calculatedColumnFormula>
    </tableColumn>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A915A54-FAC9-4005-8F37-8D0F1B8C9B76}" name="unique_components_1" displayName="unique_components_1" ref="A106:G127" totalsRowCount="1" headerRowDxfId="2414" dataDxfId="2412" totalsRowDxfId="2410" headerRowBorderDxfId="2413" tableBorderDxfId="2411" totalsRowBorderDxfId="2409">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064910-D4B9-4E14-988E-D060A84508D5}" name="Component" totalsRowLabel="Total Component Count, Total Emission Rate (lbs/hr and tpy)" dataDxfId="2408" totalsRowDxfId="2407"/>
    <tableColumn id="2" xr3:uid="{09F64FD9-4EBF-4DA8-A3DC-396CB90687CE}" name="Service" dataDxfId="2406" totalsRowDxfId="2405"/>
    <tableColumn id="3" xr3:uid="{18CE4905-8330-4D73-B11A-A1703A4D4612}" name="Count" totalsRowFunction="sum" dataDxfId="2404" totalsRowDxfId="2403"/>
    <tableColumn id="5" xr3:uid="{EB6F5CF7-89E4-4B92-950F-7FEC85452234}" name="Proposed Emission Factor" dataDxfId="2402" totalsRowDxfId="2401"/>
    <tableColumn id="7" xr3:uid="{E4F62788-DF51-4EE1-8BF2-3059776ED4AA}" name="Proposed Control Efficiency" dataDxfId="2400" totalsRowDxfId="2399"/>
    <tableColumn id="9" xr3:uid="{DAD41628-8BCE-4C1C-8608-1A4994824E87}" name="Controlled lb/hr" totalsRowFunction="sum" dataDxfId="2398" totalsRowDxfId="2397">
      <calculatedColumnFormula>unique_components_1[[#This Row],[Count]]*unique_components_1[[#This Row],[Proposed Emission Factor]]*(1-unique_components_1[[#This Row],[Proposed Control Efficiency]])</calculatedColumnFormula>
    </tableColumn>
    <tableColumn id="10" xr3:uid="{53DD4D62-F652-40A0-9DBA-A03094C074D7}" name="Controlled_x000a_tpy" totalsRowFunction="sum" dataDxfId="2396" totalsRowDxfId="2395">
      <calculatedColumnFormula>IFERROR(unique_components_1[[#This Row],[Controlled lb/hr]]*4.38,"")</calculatedColumnFormula>
    </tableColumn>
  </tableColumns>
  <tableStyleInfo name="Table Style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608065D-EDB4-4061-BD10-94B76F231609}" name="standard_components_141" displayName="standard_components_141" ref="A24:I101" totalsRowCount="1" headerRowDxfId="1787" dataDxfId="1785" totalsRowDxfId="1783" headerRowBorderDxfId="1786" tableBorderDxfId="1784" totalsRowBorderDxfId="1782">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9925671-ED10-400C-9AB3-6F99611D5E3D}" name="Component" totalsRowLabel="Total Count, Total Emission Rates (lbs/hr and tpy)" dataDxfId="1781" totalsRowDxfId="1780">
      <calculatedColumnFormula array="1">IFERROR(INDEX(INDEX(component_service_names[], , MATCH(VLOOKUP(industry_type, industry_column_names[], 2, FALSE), component_service_names[#Headers], 0)), ROW($A1)), "-")</calculatedColumnFormula>
    </tableColumn>
    <tableColumn id="2" xr3:uid="{AFE92AF9-D266-4249-AE72-F8810D89A813}" name="Service" dataDxfId="1779" totalsRowDxfId="1778">
      <calculatedColumnFormula array="1">IFERROR(INDEX(INDEX(component_service_names[], , MATCH(VLOOKUP(industry_type, industry_column_names[], 3, FALSE), component_service_names[#Headers], 0)), ROW($A1)), "-")</calculatedColumnFormula>
    </tableColumn>
    <tableColumn id="3" xr3:uid="{1C928D4B-CDEC-4B7F-B659-80CE59ADA78D}" name="Count" totalsRowFunction="sum" dataDxfId="1777" totalsRowDxfId="1776"/>
    <tableColumn id="4" xr3:uid="{8490CF1B-89E3-4E3D-B059-3E0097A0D757}" name="Industry Emission Factor" dataDxfId="1775" totalsRowDxfId="1774">
      <calculatedColumnFormula array="1">IFERROR(
INDEX(
INDEX(factor_eff_table[], , MATCH(industry_type, factor_eff_table[#Headers], 0)),
MATCH(1, INDEX((standard_components_141[[#This Row],[Component]]=factor_eff_table[Component])*(standard_components_141[[#This Row],[Service]]=factor_eff_table[Service]), 0, 1), 0)),
 "-")</calculatedColumnFormula>
    </tableColumn>
    <tableColumn id="5" xr3:uid="{C2D32871-A4D4-4C65-9E03-7E381F59B1A9}" name="Instrument Monitoring LDAR Control Efficiency" dataDxfId="1773" totalsRowDxfId="1772">
      <calculatedColumnFormula array="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calculatedColumnFormula>
    </tableColumn>
    <tableColumn id="6" xr3:uid="{C4FD023D-5774-4D10-AACC-F7D4369EABD0}" name="Connector Monitoring LDAR Control Efficiency" dataDxfId="1771" totalsRowDxfId="1770">
      <calculatedColumnFormula array="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calculatedColumnFormula>
    </tableColumn>
    <tableColumn id="7" xr3:uid="{C514CA91-C4C3-4866-938C-E3AADDB34109}" name="Physical Inspection LDAR Control Efficiency" dataDxfId="1769" totalsRowDxfId="1768">
      <calculatedColumnFormula array="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calculatedColumnFormula>
    </tableColumn>
    <tableColumn id="9" xr3:uid="{6DCAAF05-EE53-424C-BCFF-0B9E18317B71}" name="Controlled_x000a_lb/hr" totalsRowFunction="sum" dataDxfId="1767" totalsRowDxfId="1766">
      <calculatedColumnFormula>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calculatedColumnFormula>
    </tableColumn>
    <tableColumn id="10" xr3:uid="{B89E1325-4801-43ED-B668-40095952760C}" name="Controlled_x000a_tpy" totalsRowFunction="sum" dataDxfId="1765" totalsRowDxfId="1764">
      <calculatedColumnFormula>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calculatedColumnFormula>
    </tableColumn>
  </tableColumns>
  <tableStyleInfo name="Table Style 1"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B501C2B-801C-43C6-95D6-384B1CF0EC54}" name="unique_components_142" displayName="unique_components_142" ref="A106:G127" totalsRowCount="1" headerRowDxfId="1763" dataDxfId="1761" totalsRowDxfId="1759" headerRowBorderDxfId="1762" tableBorderDxfId="1760" totalsRowBorderDxfId="1758">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3C53DFA-F910-44B4-AECA-18AD75A97E46}" name="Component" totalsRowLabel="Total Component Count, Total Emission Rate (lbs/hr and tpy)" dataDxfId="1757" totalsRowDxfId="1756"/>
    <tableColumn id="2" xr3:uid="{D3E3C3CA-9245-43C9-9196-16471BBB561C}" name="Service" dataDxfId="1755" totalsRowDxfId="1754"/>
    <tableColumn id="3" xr3:uid="{C0EFD975-9B3C-4111-86F8-EA77B5E4AE62}" name="Count" totalsRowFunction="sum" dataDxfId="1753" totalsRowDxfId="1752"/>
    <tableColumn id="5" xr3:uid="{40ABDE2F-7CFF-42CA-A727-117FFA89F922}" name="Proposed Emission Factor" dataDxfId="1751" totalsRowDxfId="1750"/>
    <tableColumn id="7" xr3:uid="{2C7D582B-37B2-465D-8287-B63F777FBB5C}" name="Proposed Control Efficiency" dataDxfId="1749" totalsRowDxfId="1748"/>
    <tableColumn id="9" xr3:uid="{A17E2591-6F09-4ABE-8F96-4E596FF3596A}" name="Controlled lb/hr" totalsRowFunction="sum" dataDxfId="1747" totalsRowDxfId="1746">
      <calculatedColumnFormula>unique_components_142[[#This Row],[Count]]*unique_components_142[[#This Row],[Proposed Emission Factor]]*(1-unique_components_142[[#This Row],[Proposed Control Efficiency]])</calculatedColumnFormula>
    </tableColumn>
    <tableColumn id="10" xr3:uid="{2EB526C2-34F9-4D1E-95B7-0455C4AFA65D}" name="Controlled_x000a_tpy" totalsRowFunction="sum" dataDxfId="1745" totalsRowDxfId="1744">
      <calculatedColumnFormula>IFERROR(unique_components_142[[#This Row],[Controlled lb/hr]]*4.38,"")</calculatedColumnFormula>
    </tableColumn>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74A4607-187A-4C91-B8EB-EF49A68C61D4}" name="speciated_chemicals_143" displayName="speciated_chemicals_143" ref="A130:J181" totalsRowCount="1" headerRowDxfId="1743" dataDxfId="1741" totalsRowDxfId="1739" headerRowBorderDxfId="1742" tableBorderDxfId="1740" totalsRowBorderDxfId="1738">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F13B7E7-EBE9-4A37-99A8-32A96DD79F3B}" name="CAS #" totalsRowLabel="Total Weight Percent, Hourly Emissions and Annual Emissions (excluding Inert / Not a Contaminant)" dataDxfId="1737" totalsRowDxfId="1736"/>
    <tableColumn id="2" xr3:uid="{55F226A6-AAE8-4521-8531-C4C2C760F2A6}" name="Chemical Constituent" dataDxfId="1735" totalsRowDxfId="1734">
      <calculatedColumnFormula>IFERROR(VLOOKUP(speciated_chemicals_143[[#This Row],[CAS '#]],species[],MATCH("Substance", species[#Headers], 0),FALSE),"No CAS Number Entered")</calculatedColumnFormula>
    </tableColumn>
    <tableColumn id="5" xr3:uid="{004784B7-7C75-4719-BFE1-74093D0715EE}" name="Other Species?" dataDxfId="1733" totalsRowDxfId="1732"/>
    <tableColumn id="4" xr3:uid="{91BDFC6E-C869-4DE5-9A0D-B456DFD6E37B}" name="VOC?" dataDxfId="1731" totalsRowDxfId="1730"/>
    <tableColumn id="3" xr3:uid="{5CEDD2E4-53E0-468B-B1CE-A74D9B78398F}" name="Inorganic?" dataDxfId="1729" totalsRowDxfId="1728"/>
    <tableColumn id="10" xr3:uid="{41109DCA-E1EB-4156-8407-3B10D9E0BFEE}" name="VOC-Exempt Solvent?" dataDxfId="1727" totalsRowDxfId="1726"/>
    <tableColumn id="6" xr3:uid="{4BCC4727-1F91-4272-920C-AA3647E497AF}" name="Inert / Not a Contaminant?" dataDxfId="1725" totalsRowDxfId="1724"/>
    <tableColumn id="7" xr3:uid="{B967BEC2-461C-4DF5-A188-888BEEC316E1}" name="Weight Percent" totalsRowFunction="sum" dataDxfId="1723" totalsRowDxfId="1722"/>
    <tableColumn id="8" xr3:uid="{F8F5FCF4-836B-4AF3-9CBA-B931F6AF18DB}" name="lb/hr" totalsRowFunction="sum" dataDxfId="1721" totalsRowDxfId="1720">
      <calculatedColumnFormula>IF(speciated_chemicals_143[[#This Row],[Inert / Not a Contaminant?]]="Yes", 0, speciated_chemicals_143[[#This Row],[Weight Percent]]*(unique_components_142[[#Totals],[Controlled lb/hr]]+standard_components_141[[#Totals],[Controlled
lb/hr]]))</calculatedColumnFormula>
    </tableColumn>
    <tableColumn id="9" xr3:uid="{A4B7B399-61F7-4990-ABC8-96451F9E7691}" name="tpy" totalsRowFunction="sum" dataDxfId="1719" totalsRowDxfId="1718">
      <calculatedColumnFormula>IF(speciated_chemicals_143[[#This Row],[Inert / Not a Contaminant?]]="Yes", 0, speciated_chemicals_143[[#This Row],[Weight Percent]]*(unique_components_142[[#Totals],[Controlled
tpy]]+standard_components_141[[#Totals],[Controlled
tpy]]))</calculatedColumnFormula>
    </tableColumn>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FBE23AA-C3CA-4ED5-93E7-9BA1289A8D18}" name="speciated_ghg_144" displayName="speciated_ghg_144" ref="A184:F204" totalsRowCount="1" headerRowDxfId="1717" dataDxfId="1715" totalsRowDxfId="1713" headerRowBorderDxfId="1716" tableBorderDxfId="1714" totalsRowBorderDxfId="1712">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857A4506-0D0E-48C4-A4C0-255B21756DD8}" name="CAS #" totalsRowLabel="Total GHG Emissions (Mass Basis and Carbon dioxide-equivalent Basis)" dataDxfId="1711" totalsRowDxfId="1710"/>
    <tableColumn id="2" xr3:uid="{BF7FEF8C-DB4D-429F-A86A-8852E3EF600C}" name="Chemical Constituent Name" dataDxfId="1709" totalsRowDxfId="1708">
      <calculatedColumnFormula>IFERROR(INDEX(gwp_table[], MATCH(speciated_ghg_144[[#This Row],[CAS '#]], gwp_table[CAS No.], 0), MATCH("Name", gwp_table[#Headers], 0)),"No CAS Number Entered")</calculatedColumnFormula>
    </tableColumn>
    <tableColumn id="3" xr3:uid="{5E2B92E2-1CCB-4854-AFA5-1B167326DE8F}" name="Global Warming Potential (GWP)" dataDxfId="1707" totalsRowDxfId="1706">
      <calculatedColumnFormula>IFERROR(INDEX(gwp_table[], MATCH(speciated_ghg_144[[#This Row],[CAS '#]], gwp_table[CAS No.], 0), MATCH("Global warming potential", gwp_table[#Headers], 0)),"No CAS Number Entered")</calculatedColumnFormula>
    </tableColumn>
    <tableColumn id="4" xr3:uid="{67F500E4-84FB-41B0-8857-3DE6A9ECB928}" name="Weight Percent" dataDxfId="1705" totalsRowDxfId="1704"/>
    <tableColumn id="10" xr3:uid="{E9B95FD6-9426-447F-A5B2-E9E2AB8C9A83}" name="Mass Emissions (U.S. tons per year)" totalsRowFunction="sum" dataDxfId="1703" totalsRowDxfId="1702">
      <calculatedColumnFormula>IFERROR(speciated_ghg_144[[#This Row],[Weight Percent]]*(unique_components_142[[#Totals],[Controlled
tpy]]+standard_components_141[[#Totals],[Controlled
tpy]]), "-")</calculatedColumnFormula>
    </tableColumn>
    <tableColumn id="6" xr3:uid="{F00267B7-6DE7-4C71-84CB-0A824280792F}" name="CO2e Emissions (U.S. tons per year)" totalsRowFunction="sum" dataDxfId="1701" totalsRowDxfId="1700">
      <calculatedColumnFormula>IFERROR(speciated_ghg_144[[#This Row],[Mass Emissions (U.S. tons per year)]]*speciated_ghg_144[[#This Row],[Global Warming Potential (GWP)]], "-")</calculatedColumnFormula>
    </tableColumn>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8378EBC-02EE-4ED4-B843-D3C1CA757616}" name="standard_components_145" displayName="standard_components_145" ref="A24:I101" totalsRowCount="1" headerRowDxfId="1694" dataDxfId="1692" totalsRowDxfId="1690" headerRowBorderDxfId="1693" tableBorderDxfId="1691" totalsRowBorderDxfId="1689">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3FBD525-CDCC-496C-B510-E5AD8A8621F8}" name="Component" totalsRowLabel="Total Count, Total Emission Rates (lbs/hr and tpy)" dataDxfId="1688" totalsRowDxfId="1687">
      <calculatedColumnFormula array="1">IFERROR(INDEX(INDEX(component_service_names[], , MATCH(VLOOKUP(industry_type, industry_column_names[], 2, FALSE), component_service_names[#Headers], 0)), ROW($A1)), "-")</calculatedColumnFormula>
    </tableColumn>
    <tableColumn id="2" xr3:uid="{B91CB93E-600E-42B0-AF65-84CCD9C6FCC6}" name="Service" dataDxfId="1686" totalsRowDxfId="1685">
      <calculatedColumnFormula array="1">IFERROR(INDEX(INDEX(component_service_names[], , MATCH(VLOOKUP(industry_type, industry_column_names[], 3, FALSE), component_service_names[#Headers], 0)), ROW($A1)), "-")</calculatedColumnFormula>
    </tableColumn>
    <tableColumn id="3" xr3:uid="{902C3BB8-4F6D-467F-9F64-A5AB12BC11B0}" name="Count" totalsRowFunction="sum" dataDxfId="1684" totalsRowDxfId="1683"/>
    <tableColumn id="4" xr3:uid="{61786177-D4C0-4261-963F-5B1CC1C2F8C1}" name="Industry Emission Factor" dataDxfId="1682" totalsRowDxfId="1681">
      <calculatedColumnFormula array="1">IFERROR(
INDEX(
INDEX(factor_eff_table[], , MATCH(industry_type, factor_eff_table[#Headers], 0)),
MATCH(1, INDEX((standard_components_145[[#This Row],[Component]]=factor_eff_table[Component])*(standard_components_145[[#This Row],[Service]]=factor_eff_table[Service]), 0, 1), 0)),
 "-")</calculatedColumnFormula>
    </tableColumn>
    <tableColumn id="5" xr3:uid="{E75F43D5-AE03-4900-B2B1-13B56C2C1296}" name="Instrument Monitoring LDAR Control Efficiency" dataDxfId="1680" totalsRowDxfId="1679">
      <calculatedColumnFormula array="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calculatedColumnFormula>
    </tableColumn>
    <tableColumn id="6" xr3:uid="{9C81FEAB-1FB1-4156-AA5A-055A85A23884}" name="Connector Monitoring LDAR Control Efficiency" dataDxfId="1678" totalsRowDxfId="1677">
      <calculatedColumnFormula array="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calculatedColumnFormula>
    </tableColumn>
    <tableColumn id="7" xr3:uid="{B1C52296-F744-4CAE-8C96-68FDA1C11335}" name="Physical Inspection LDAR Control Efficiency" dataDxfId="1676" totalsRowDxfId="1675">
      <calculatedColumnFormula array="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calculatedColumnFormula>
    </tableColumn>
    <tableColumn id="9" xr3:uid="{083B8B25-55F4-4270-9D03-C1E6EE28E8DC}" name="Controlled_x000a_lb/hr" totalsRowFunction="sum" dataDxfId="1674" totalsRowDxfId="1673">
      <calculatedColumnFormula>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calculatedColumnFormula>
    </tableColumn>
    <tableColumn id="10" xr3:uid="{98FA2944-B991-4ABD-9434-DCF43773F731}" name="Controlled_x000a_tpy" totalsRowFunction="sum" dataDxfId="1672" totalsRowDxfId="1671">
      <calculatedColumnFormula>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calculatedColumnFormula>
    </tableColumn>
  </tableColumns>
  <tableStyleInfo name="Table Style 1"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D4668D8-9E67-4E8C-B4C9-662CA0B88048}" name="unique_components_146" displayName="unique_components_146" ref="A106:G127" totalsRowCount="1" headerRowDxfId="1670" dataDxfId="1668" totalsRowDxfId="1666" headerRowBorderDxfId="1669" tableBorderDxfId="1667" totalsRowBorderDxfId="1665">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F39EECA-4FA6-4680-A5D1-A94F6E009231}" name="Component" totalsRowLabel="Total Component Count, Total Emission Rate (lbs/hr and tpy)" dataDxfId="1664" totalsRowDxfId="1663"/>
    <tableColumn id="2" xr3:uid="{7BDA3033-14E1-4797-91CB-BA2A54A629A9}" name="Service" dataDxfId="1662" totalsRowDxfId="1661"/>
    <tableColumn id="3" xr3:uid="{70728973-19A9-4711-B6C8-05314C5C7D28}" name="Count" totalsRowFunction="sum" dataDxfId="1660" totalsRowDxfId="1659"/>
    <tableColumn id="5" xr3:uid="{6E2280E6-FD5E-4249-8EA3-BAC9B130BB6A}" name="Proposed Emission Factor" dataDxfId="1658" totalsRowDxfId="1657"/>
    <tableColumn id="7" xr3:uid="{2D34B72B-E285-486D-8B35-950E0A474363}" name="Proposed Control Efficiency" dataDxfId="1656" totalsRowDxfId="1655"/>
    <tableColumn id="9" xr3:uid="{BE388C90-FE3F-4723-BFF3-0C09366B3D6D}" name="Controlled lb/hr" totalsRowFunction="sum" dataDxfId="1654" totalsRowDxfId="1653">
      <calculatedColumnFormula>unique_components_146[[#This Row],[Count]]*unique_components_146[[#This Row],[Proposed Emission Factor]]*(1-unique_components_146[[#This Row],[Proposed Control Efficiency]])</calculatedColumnFormula>
    </tableColumn>
    <tableColumn id="10" xr3:uid="{029B8DB1-266D-4912-B49B-3BA03EACA5AD}" name="Controlled_x000a_tpy" totalsRowFunction="sum" dataDxfId="1652" totalsRowDxfId="1651">
      <calculatedColumnFormula>IFERROR(unique_components_146[[#This Row],[Controlled lb/hr]]*4.38,"")</calculatedColumnFormula>
    </tableColumn>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4900BFF-0F33-49F1-9AA4-922F0A4D765C}" name="speciated_chemicals_147" displayName="speciated_chemicals_147" ref="A130:J181" totalsRowCount="1" headerRowDxfId="1650" dataDxfId="1648" totalsRowDxfId="1646" headerRowBorderDxfId="1649" tableBorderDxfId="1647" totalsRowBorderDxfId="1645">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A2DED86-16B1-4989-AE47-70E06781CEEE}" name="CAS #" totalsRowLabel="Total Weight Percent, Hourly Emissions and Annual Emissions (excluding Inert / Not a Contaminant)" dataDxfId="1644" totalsRowDxfId="1643"/>
    <tableColumn id="2" xr3:uid="{A0194893-6C44-472D-A4F6-57D8DB86A586}" name="Chemical Constituent" dataDxfId="1642" totalsRowDxfId="1641">
      <calculatedColumnFormula>IFERROR(VLOOKUP(speciated_chemicals_147[[#This Row],[CAS '#]],species[],MATCH("Substance", species[#Headers], 0),FALSE),"No CAS Number Entered")</calculatedColumnFormula>
    </tableColumn>
    <tableColumn id="5" xr3:uid="{2F90967E-5A18-4B15-80FD-416FCC419FB0}" name="Other Species?" dataDxfId="1640" totalsRowDxfId="1639"/>
    <tableColumn id="4" xr3:uid="{8ABC216D-9A0E-4967-9750-4F21E98E4A0B}" name="VOC?" dataDxfId="1638" totalsRowDxfId="1637"/>
    <tableColumn id="3" xr3:uid="{A7623F26-ADEB-440A-ABE0-685A3FBD917D}" name="Inorganic?" dataDxfId="1636" totalsRowDxfId="1635"/>
    <tableColumn id="10" xr3:uid="{E2E32A3C-CC02-4199-B747-CA7B3C08215C}" name="VOC-Exempt Solvent?" dataDxfId="1634" totalsRowDxfId="1633"/>
    <tableColumn id="6" xr3:uid="{B12A721D-FA54-4F35-91A7-56D6EB2DB9CE}" name="Inert / Not a Contaminant?" dataDxfId="1632" totalsRowDxfId="1631"/>
    <tableColumn id="7" xr3:uid="{2D715D78-6AAA-4C1C-9036-708D5A398E45}" name="Weight Percent" totalsRowFunction="sum" dataDxfId="1630" totalsRowDxfId="1629"/>
    <tableColumn id="8" xr3:uid="{ABB99133-5D10-4197-8899-2A171F91E872}" name="lb/hr" totalsRowFunction="sum" dataDxfId="1628" totalsRowDxfId="1627">
      <calculatedColumnFormula>IF(speciated_chemicals_147[[#This Row],[Inert / Not a Contaminant?]]="Yes", 0, speciated_chemicals_147[[#This Row],[Weight Percent]]*(unique_components_146[[#Totals],[Controlled lb/hr]]+standard_components_145[[#Totals],[Controlled
lb/hr]]))</calculatedColumnFormula>
    </tableColumn>
    <tableColumn id="9" xr3:uid="{7F84556F-9B6D-4188-BED7-441658757920}" name="tpy" totalsRowFunction="sum" dataDxfId="1626" totalsRowDxfId="1625">
      <calculatedColumnFormula>IF(speciated_chemicals_147[[#This Row],[Inert / Not a Contaminant?]]="Yes", 0, speciated_chemicals_147[[#This Row],[Weight Percent]]*(unique_components_146[[#Totals],[Controlled
tpy]]+standard_components_145[[#Totals],[Controlled
tpy]]))</calculatedColumnFormula>
    </tableColumn>
  </tableColumns>
  <tableStyleInfo name="Table Style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42490D8-74AD-4952-917A-73CBFEDD9AC8}" name="speciated_ghg_148" displayName="speciated_ghg_148" ref="A184:F204" totalsRowCount="1" headerRowDxfId="1624" dataDxfId="1622" totalsRowDxfId="1620" headerRowBorderDxfId="1623" tableBorderDxfId="1621" totalsRowBorderDxfId="1619">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DE5DBBD7-0E97-42C2-97A8-7B1CDD008A00}" name="CAS #" totalsRowLabel="Total GHG Emissions (Mass Basis and Carbon dioxide-equivalent Basis)" dataDxfId="1618" totalsRowDxfId="1617"/>
    <tableColumn id="2" xr3:uid="{D4B068B3-2220-4E12-90F3-86AB8ABEBCB9}" name="Chemical Constituent Name" dataDxfId="1616" totalsRowDxfId="1615">
      <calculatedColumnFormula>IFERROR(INDEX(gwp_table[], MATCH(speciated_ghg_148[[#This Row],[CAS '#]], gwp_table[CAS No.], 0), MATCH("Name", gwp_table[#Headers], 0)),"No CAS Number Entered")</calculatedColumnFormula>
    </tableColumn>
    <tableColumn id="3" xr3:uid="{780728DB-6135-41EA-A80E-9E3FF279D41A}" name="Global Warming Potential (GWP)" dataDxfId="1614" totalsRowDxfId="1613">
      <calculatedColumnFormula>IFERROR(INDEX(gwp_table[], MATCH(speciated_ghg_148[[#This Row],[CAS '#]], gwp_table[CAS No.], 0), MATCH("Global warming potential", gwp_table[#Headers], 0)),"No CAS Number Entered")</calculatedColumnFormula>
    </tableColumn>
    <tableColumn id="4" xr3:uid="{12826E7F-A4C1-4D39-AB30-E07C20721642}" name="Weight Percent" dataDxfId="1612" totalsRowDxfId="1611"/>
    <tableColumn id="10" xr3:uid="{24AC8289-EE19-4DA7-8F93-BC14022DCF15}" name="Mass Emissions (U.S. tons per year)" totalsRowFunction="sum" dataDxfId="1610" totalsRowDxfId="1609">
      <calculatedColumnFormula>IFERROR(speciated_ghg_148[[#This Row],[Weight Percent]]*(unique_components_146[[#Totals],[Controlled
tpy]]+standard_components_145[[#Totals],[Controlled
tpy]]), "-")</calculatedColumnFormula>
    </tableColumn>
    <tableColumn id="6" xr3:uid="{B103E8BD-BD4E-41C9-AB66-87BB4CFF6B8F}" name="CO2e Emissions (U.S. tons per year)" totalsRowFunction="sum" dataDxfId="1608" totalsRowDxfId="1607">
      <calculatedColumnFormula>IFERROR(speciated_ghg_148[[#This Row],[Mass Emissions (U.S. tons per year)]]*speciated_ghg_148[[#This Row],[Global Warming Potential (GWP)]], "-")</calculatedColumnFormula>
    </tableColumn>
  </tableColumns>
  <tableStyleInfo name="Table Style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3B64FC-5CCE-471C-8FCD-59AE4614F4AA}" name="standard_components_149" displayName="standard_components_149" ref="A24:I101" totalsRowCount="1" headerRowDxfId="1601" dataDxfId="1599" totalsRowDxfId="1597" headerRowBorderDxfId="1600" tableBorderDxfId="1598" totalsRowBorderDxfId="1596">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8C0820-7567-4624-AE7E-D1ABF5D07BEB}" name="Component" totalsRowLabel="Total Count, Total Emission Rates (lbs/hr and tpy)" dataDxfId="1595" totalsRowDxfId="1594">
      <calculatedColumnFormula array="1">IFERROR(INDEX(INDEX(component_service_names[], , MATCH(VLOOKUP(industry_type, industry_column_names[], 2, FALSE), component_service_names[#Headers], 0)), ROW($A1)), "-")</calculatedColumnFormula>
    </tableColumn>
    <tableColumn id="2" xr3:uid="{9A806ACD-B277-4EA8-A6C5-5FAD2E4083CB}" name="Service" dataDxfId="1593" totalsRowDxfId="1592">
      <calculatedColumnFormula array="1">IFERROR(INDEX(INDEX(component_service_names[], , MATCH(VLOOKUP(industry_type, industry_column_names[], 3, FALSE), component_service_names[#Headers], 0)), ROW($A1)), "-")</calculatedColumnFormula>
    </tableColumn>
    <tableColumn id="3" xr3:uid="{8D37AB7D-5D5F-4D29-B06D-E7FD617B8A01}" name="Count" totalsRowFunction="sum" dataDxfId="1591" totalsRowDxfId="1590"/>
    <tableColumn id="4" xr3:uid="{C9B8AB32-FAEE-4599-95AE-5B0622C6FF5B}" name="Industry Emission Factor" dataDxfId="1589" totalsRowDxfId="1588">
      <calculatedColumnFormula array="1">IFERROR(
INDEX(
INDEX(factor_eff_table[], , MATCH(industry_type, factor_eff_table[#Headers], 0)),
MATCH(1, INDEX((standard_components_149[[#This Row],[Component]]=factor_eff_table[Component])*(standard_components_149[[#This Row],[Service]]=factor_eff_table[Service]), 0, 1), 0)),
 "-")</calculatedColumnFormula>
    </tableColumn>
    <tableColumn id="5" xr3:uid="{3427E306-E7F6-4E15-A8F4-9C400FF71A56}" name="Instrument Monitoring LDAR Control Efficiency" dataDxfId="1587" totalsRowDxfId="1586">
      <calculatedColumnFormula array="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calculatedColumnFormula>
    </tableColumn>
    <tableColumn id="6" xr3:uid="{604E027A-8675-4059-9703-105A7F630896}" name="Connector Monitoring LDAR Control Efficiency" dataDxfId="1585" totalsRowDxfId="1584">
      <calculatedColumnFormula array="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calculatedColumnFormula>
    </tableColumn>
    <tableColumn id="7" xr3:uid="{F0A5612B-6166-4A70-AAAB-2B58EDDE4214}" name="Physical Inspection LDAR Control Efficiency" dataDxfId="1583" totalsRowDxfId="1582">
      <calculatedColumnFormula array="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calculatedColumnFormula>
    </tableColumn>
    <tableColumn id="9" xr3:uid="{82BB4F26-27FF-4B00-9703-739A24B07A59}" name="Controlled_x000a_lb/hr" totalsRowFunction="sum" dataDxfId="1581" totalsRowDxfId="1580">
      <calculatedColumnFormula>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calculatedColumnFormula>
    </tableColumn>
    <tableColumn id="10" xr3:uid="{4AF2DEA4-485B-4050-9150-F6F85F1DFAB9}" name="Controlled_x000a_tpy" totalsRowFunction="sum" dataDxfId="1579" totalsRowDxfId="1578">
      <calculatedColumnFormula>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calculatedColumnFormula>
    </tableColumn>
  </tableColumns>
  <tableStyleInfo name="Table Style 1" showFirstColumn="0" showLastColumn="0" showRowStripes="0"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42D346F-70F7-4CE2-8EC5-79415D6B0A75}" name="unique_components_150" displayName="unique_components_150" ref="A106:G127" totalsRowCount="1" headerRowDxfId="1577" dataDxfId="1575" totalsRowDxfId="1573" headerRowBorderDxfId="1576" tableBorderDxfId="1574" totalsRowBorderDxfId="1572">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4F9DD57-B558-49F5-9CD1-1A08BC909369}" name="Component" totalsRowLabel="Total Component Count, Total Emission Rate (lbs/hr and tpy)" dataDxfId="1571" totalsRowDxfId="1570"/>
    <tableColumn id="2" xr3:uid="{5852740F-7468-45ED-86D7-F1CAD6E9ECC3}" name="Service" dataDxfId="1569" totalsRowDxfId="1568"/>
    <tableColumn id="3" xr3:uid="{BB748846-EB66-4BF7-8BFA-964F80872C0A}" name="Count" totalsRowFunction="sum" dataDxfId="1567" totalsRowDxfId="1566"/>
    <tableColumn id="5" xr3:uid="{5A075859-6A28-4FEF-A8B0-72301ADEDC22}" name="Proposed Emission Factor" dataDxfId="1565" totalsRowDxfId="1564"/>
    <tableColumn id="7" xr3:uid="{5D6BC74A-B577-4F45-AB1F-9B3D1229F4E3}" name="Proposed Control Efficiency" dataDxfId="1563" totalsRowDxfId="1562"/>
    <tableColumn id="9" xr3:uid="{613134D1-576B-4E2A-A915-12809293417A}" name="Controlled lb/hr" totalsRowFunction="sum" dataDxfId="1561" totalsRowDxfId="1560">
      <calculatedColumnFormula>unique_components_150[[#This Row],[Count]]*unique_components_150[[#This Row],[Proposed Emission Factor]]*(1-unique_components_150[[#This Row],[Proposed Control Efficiency]])</calculatedColumnFormula>
    </tableColumn>
    <tableColumn id="10" xr3:uid="{5F1C0EDC-70E1-4205-9ACD-EAD52BDACDFD}" name="Controlled_x000a_tpy" totalsRowFunction="sum" dataDxfId="1559" totalsRowDxfId="1558">
      <calculatedColumnFormula>IFERROR(unique_components_150[[#This Row],[Controlled lb/hr]]*4.38,"")</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9672489-03AA-44FF-946F-AC7447C08206}" name="speciated_chemicals_1" displayName="speciated_chemicals_1" ref="A130:J181" totalsRowCount="1" headerRowDxfId="2394" dataDxfId="2392" totalsRowDxfId="2390" headerRowBorderDxfId="2393" tableBorderDxfId="2391" totalsRowBorderDxfId="2389">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D0196B7-3F51-4757-88AE-080EAFF64499}" name="CAS #" totalsRowLabel="Total Weight Percent, Hourly Emissions and Annual Emissions (excluding Inert / Not a Contaminant)" dataDxfId="2388" totalsRowDxfId="2387"/>
    <tableColumn id="2" xr3:uid="{25E816E1-F725-4B4E-A0B6-A5AF6FC23770}" name="Chemical Constituent" dataDxfId="2386" totalsRowDxfId="2385">
      <calculatedColumnFormula>IFERROR(VLOOKUP(speciated_chemicals_1[[#This Row],[CAS '#]],species[],MATCH("Substance", species[#Headers], 0),FALSE),"No CAS Number Entered")</calculatedColumnFormula>
    </tableColumn>
    <tableColumn id="5" xr3:uid="{1667CCA2-F8BC-4147-A79D-6C7DFA309FB3}" name="Other Species?" dataDxfId="2384" totalsRowDxfId="2383"/>
    <tableColumn id="4" xr3:uid="{33250424-6467-4916-B4BC-06DCF930B8C8}" name="VOC?" dataDxfId="2382" totalsRowDxfId="2381"/>
    <tableColumn id="3" xr3:uid="{AD82FAB7-A2EF-45EF-9545-93D2289CFF13}" name="Inorganic?" dataDxfId="2380" totalsRowDxfId="2379"/>
    <tableColumn id="10" xr3:uid="{55E17EE3-79FC-4721-8089-2814CCF94C9A}" name="VOC-Exempt Solvent?" dataDxfId="2378" totalsRowDxfId="2377"/>
    <tableColumn id="6" xr3:uid="{F11D67EC-DFCA-4009-8C3C-5051F7C94D74}" name="Inert / Not a Contaminant?" dataDxfId="2376" totalsRowDxfId="2375"/>
    <tableColumn id="7" xr3:uid="{1683C309-048E-46E0-9BF9-EB51C798EE70}" name="Weight Percent" totalsRowFunction="sum" dataDxfId="2374" totalsRowDxfId="2373"/>
    <tableColumn id="8" xr3:uid="{9C0F5F66-3413-4762-BF6B-94B64D522EFF}" name="lb/hr" totalsRowFunction="sum" dataDxfId="2372" totalsRowDxfId="2371">
      <calculatedColumnFormula>IF(speciated_chemicals_1[[#This Row],[Inert / Not a Contaminant?]]="Yes", 0, speciated_chemicals_1[[#This Row],[Weight Percent]]*(unique_components_1[[#Totals],[Controlled lb/hr]]+standard_components_1[[#Totals],[Controlled
lb/hr]]))</calculatedColumnFormula>
    </tableColumn>
    <tableColumn id="9" xr3:uid="{0EE02C60-0A3A-44B1-9991-25299EF4D28C}" name="tpy" totalsRowFunction="sum" dataDxfId="2370" totalsRowDxfId="2369">
      <calculatedColumnFormula>IF(speciated_chemicals_1[[#This Row],[Inert / Not a Contaminant?]]="Yes", 0, speciated_chemicals_1[[#This Row],[Weight Percent]]*(unique_components_1[[#Totals],[Controlled
tpy]]+standard_components_1[[#Totals],[Controlled
tpy]]))</calculatedColumnFormula>
    </tableColumn>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C7CA04F-27C7-42E4-9D6D-EE6AF9317DAE}" name="speciated_chemicals_151" displayName="speciated_chemicals_151" ref="A130:J181" totalsRowCount="1" headerRowDxfId="1557" dataDxfId="1555" totalsRowDxfId="1553" headerRowBorderDxfId="1556" tableBorderDxfId="1554" totalsRowBorderDxfId="1552">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6E35EC1-EFA6-436A-8A0F-9BABEF90F7D0}" name="CAS #" totalsRowLabel="Total Weight Percent, Hourly Emissions and Annual Emissions (excluding Inert / Not a Contaminant)" dataDxfId="1551" totalsRowDxfId="1550"/>
    <tableColumn id="2" xr3:uid="{C696EFE1-28B8-42CB-A454-7731D405EA19}" name="Chemical Constituent" dataDxfId="1549" totalsRowDxfId="1548">
      <calculatedColumnFormula>IFERROR(VLOOKUP(speciated_chemicals_151[[#This Row],[CAS '#]],species[],MATCH("Substance", species[#Headers], 0),FALSE),"No CAS Number Entered")</calculatedColumnFormula>
    </tableColumn>
    <tableColumn id="5" xr3:uid="{DD906334-B428-4C54-B0CE-2D31EBF6E0FE}" name="Other Species?" dataDxfId="1547" totalsRowDxfId="1546"/>
    <tableColumn id="4" xr3:uid="{87A72AD5-E65B-483C-9370-FE23EB3A9FC3}" name="VOC?" dataDxfId="1545" totalsRowDxfId="1544"/>
    <tableColumn id="3" xr3:uid="{633B8A78-F789-4D75-81C2-41B13988D2A3}" name="Inorganic?" dataDxfId="1543" totalsRowDxfId="1542"/>
    <tableColumn id="10" xr3:uid="{9336D756-8A90-47D5-A43E-B6B956217F5D}" name="VOC-Exempt Solvent?" dataDxfId="1541" totalsRowDxfId="1540"/>
    <tableColumn id="6" xr3:uid="{C4A8E578-5872-4FD6-9190-F312B10553C2}" name="Inert / Not a Contaminant?" dataDxfId="1539" totalsRowDxfId="1538"/>
    <tableColumn id="7" xr3:uid="{B0BF37A6-8561-4F64-8EE5-52F95DBFB123}" name="Weight Percent" totalsRowFunction="sum" dataDxfId="1537" totalsRowDxfId="1536"/>
    <tableColumn id="8" xr3:uid="{50603FEC-3D5F-4215-AD62-B8E64A763D93}" name="lb/hr" totalsRowFunction="sum" dataDxfId="1535" totalsRowDxfId="1534">
      <calculatedColumnFormula>IF(speciated_chemicals_151[[#This Row],[Inert / Not a Contaminant?]]="Yes", 0, speciated_chemicals_151[[#This Row],[Weight Percent]]*(unique_components_150[[#Totals],[Controlled lb/hr]]+standard_components_149[[#Totals],[Controlled
lb/hr]]))</calculatedColumnFormula>
    </tableColumn>
    <tableColumn id="9" xr3:uid="{562B514B-B44F-4513-AE14-1F46A5E9015D}" name="tpy" totalsRowFunction="sum" dataDxfId="1533" totalsRowDxfId="1532">
      <calculatedColumnFormula>IF(speciated_chemicals_151[[#This Row],[Inert / Not a Contaminant?]]="Yes", 0, speciated_chemicals_151[[#This Row],[Weight Percent]]*(unique_components_150[[#Totals],[Controlled
tpy]]+standard_components_149[[#Totals],[Controlled
tpy]]))</calculatedColumnFormula>
    </tableColumn>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9E1E3D-C540-4371-B6EC-B590E588DB62}" name="speciated_ghg_152" displayName="speciated_ghg_152" ref="A184:F204" totalsRowCount="1" headerRowDxfId="1531" dataDxfId="1529" totalsRowDxfId="1527" headerRowBorderDxfId="1530" tableBorderDxfId="1528" totalsRowBorderDxfId="1526">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7100BDFC-09D4-4ECC-9215-F1A91896758A}" name="CAS #" totalsRowLabel="Total GHG Emissions (Mass Basis and Carbon dioxide-equivalent Basis)" dataDxfId="1525" totalsRowDxfId="1524"/>
    <tableColumn id="2" xr3:uid="{4CAE4A9C-EBD0-4C06-9C86-F15878078325}" name="Chemical Constituent Name" dataDxfId="1523" totalsRowDxfId="1522">
      <calculatedColumnFormula>IFERROR(INDEX(gwp_table[], MATCH(speciated_ghg_152[[#This Row],[CAS '#]], gwp_table[CAS No.], 0), MATCH("Name", gwp_table[#Headers], 0)),"No CAS Number Entered")</calculatedColumnFormula>
    </tableColumn>
    <tableColumn id="3" xr3:uid="{EE7D6EB5-E991-4869-A9DA-F3F91CECE248}" name="Global Warming Potential (GWP)" dataDxfId="1521" totalsRowDxfId="1520">
      <calculatedColumnFormula>IFERROR(INDEX(gwp_table[], MATCH(speciated_ghg_152[[#This Row],[CAS '#]], gwp_table[CAS No.], 0), MATCH("Global warming potential", gwp_table[#Headers], 0)),"No CAS Number Entered")</calculatedColumnFormula>
    </tableColumn>
    <tableColumn id="4" xr3:uid="{1C1DE9C4-ECBC-46FE-9FEE-6072EEA24093}" name="Weight Percent" dataDxfId="1519" totalsRowDxfId="1518"/>
    <tableColumn id="10" xr3:uid="{C87C32AF-39A8-4CC8-9E5C-C1D33B1DE950}" name="Mass Emissions (U.S. tons per year)" totalsRowFunction="sum" dataDxfId="1517" totalsRowDxfId="1516">
      <calculatedColumnFormula>IFERROR(speciated_ghg_152[[#This Row],[Weight Percent]]*(unique_components_150[[#Totals],[Controlled
tpy]]+standard_components_149[[#Totals],[Controlled
tpy]]), "-")</calculatedColumnFormula>
    </tableColumn>
    <tableColumn id="6" xr3:uid="{C982A50C-C37E-4BD0-A305-3AE6CDD4B9B8}" name="CO2e Emissions (U.S. tons per year)" totalsRowFunction="sum" dataDxfId="1515" totalsRowDxfId="1514">
      <calculatedColumnFormula>IFERROR(speciated_ghg_152[[#This Row],[Mass Emissions (U.S. tons per year)]]*speciated_ghg_152[[#This Row],[Global Warming Potential (GWP)]], "-")</calculatedColumnFormula>
    </tableColumn>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5F504A9-5852-4C60-97E8-ED38EB5A9CC0}" name="standard_components_153" displayName="standard_components_153" ref="A24:I101" totalsRowCount="1" headerRowDxfId="1508" dataDxfId="1506" totalsRowDxfId="1504" headerRowBorderDxfId="1507" tableBorderDxfId="1505" totalsRowBorderDxfId="1503">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34368E-47AB-4143-95E0-C5E2C5645CFA}" name="Component" totalsRowLabel="Total Count, Total Emission Rates (lbs/hr and tpy)" dataDxfId="1502" totalsRowDxfId="1501">
      <calculatedColumnFormula array="1">IFERROR(INDEX(INDEX(component_service_names[], , MATCH(VLOOKUP(industry_type, industry_column_names[], 2, FALSE), component_service_names[#Headers], 0)), ROW($A1)), "-")</calculatedColumnFormula>
    </tableColumn>
    <tableColumn id="2" xr3:uid="{E08F9E15-3CE8-412A-9CD2-D7CAA8329504}" name="Service" dataDxfId="1500" totalsRowDxfId="1499">
      <calculatedColumnFormula array="1">IFERROR(INDEX(INDEX(component_service_names[], , MATCH(VLOOKUP(industry_type, industry_column_names[], 3, FALSE), component_service_names[#Headers], 0)), ROW($A1)), "-")</calculatedColumnFormula>
    </tableColumn>
    <tableColumn id="3" xr3:uid="{8F78A0B9-59D9-4B94-9F2E-7E852CFC14CD}" name="Count" totalsRowFunction="sum" dataDxfId="1498" totalsRowDxfId="1497"/>
    <tableColumn id="4" xr3:uid="{336465B0-A942-4C69-81EE-A34C88215BE2}" name="Industry Emission Factor" dataDxfId="1496" totalsRowDxfId="1495">
      <calculatedColumnFormula array="1">IFERROR(
INDEX(
INDEX(factor_eff_table[], , MATCH(industry_type, factor_eff_table[#Headers], 0)),
MATCH(1, INDEX((standard_components_153[[#This Row],[Component]]=factor_eff_table[Component])*(standard_components_153[[#This Row],[Service]]=factor_eff_table[Service]), 0, 1), 0)),
 "-")</calculatedColumnFormula>
    </tableColumn>
    <tableColumn id="5" xr3:uid="{2A06EFE4-94E4-42D0-8E39-891B0BA5DB72}" name="Instrument Monitoring LDAR Control Efficiency" dataDxfId="1494" totalsRowDxfId="1493">
      <calculatedColumnFormula array="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calculatedColumnFormula>
    </tableColumn>
    <tableColumn id="6" xr3:uid="{73D8964D-00D6-4778-B731-5B65B08C5797}" name="Connector Monitoring LDAR Control Efficiency" dataDxfId="1492" totalsRowDxfId="1491">
      <calculatedColumnFormula array="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calculatedColumnFormula>
    </tableColumn>
    <tableColumn id="7" xr3:uid="{EEF0A34F-2335-4FB2-8B51-94E54E7B7AB7}" name="Physical Inspection LDAR Control Efficiency" dataDxfId="1490" totalsRowDxfId="1489">
      <calculatedColumnFormula array="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calculatedColumnFormula>
    </tableColumn>
    <tableColumn id="9" xr3:uid="{4499F3B3-D97E-4DE4-9F22-3224C5A4D75F}" name="Controlled_x000a_lb/hr" totalsRowFunction="sum" dataDxfId="1488" totalsRowDxfId="1487">
      <calculatedColumnFormula>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calculatedColumnFormula>
    </tableColumn>
    <tableColumn id="10" xr3:uid="{86E2F3A2-74D6-457B-B92B-66D98F2F5CA1}" name="Controlled_x000a_tpy" totalsRowFunction="sum" dataDxfId="1486" totalsRowDxfId="1485">
      <calculatedColumnFormula>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calculatedColumnFormula>
    </tableColumn>
  </tableColumns>
  <tableStyleInfo name="Table Style 1" showFirstColumn="0"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5B0C9F8-08E1-49B6-B306-D9BC082DCA65}" name="unique_components_154" displayName="unique_components_154" ref="A106:G127" totalsRowCount="1" headerRowDxfId="1484" dataDxfId="1482" totalsRowDxfId="1480" headerRowBorderDxfId="1483" tableBorderDxfId="1481" totalsRowBorderDxfId="1479">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47FB577-E5C7-4C6E-BFC4-7A902EB49C43}" name="Component" totalsRowLabel="Total Component Count, Total Emission Rate (lbs/hr and tpy)" dataDxfId="1478" totalsRowDxfId="1477"/>
    <tableColumn id="2" xr3:uid="{782596ED-CB25-4793-9B2C-9B0D326675AD}" name="Service" dataDxfId="1476" totalsRowDxfId="1475"/>
    <tableColumn id="3" xr3:uid="{47C3381B-FD6A-408C-AA47-8F9E0C4E601A}" name="Count" totalsRowFunction="sum" dataDxfId="1474" totalsRowDxfId="1473"/>
    <tableColumn id="5" xr3:uid="{F43D04B7-6D23-435B-A412-D7679841410C}" name="Proposed Emission Factor" dataDxfId="1472" totalsRowDxfId="1471"/>
    <tableColumn id="7" xr3:uid="{B3C76E14-ED6F-4DAC-9F17-128D20EE8984}" name="Proposed Control Efficiency" dataDxfId="1470" totalsRowDxfId="1469"/>
    <tableColumn id="9" xr3:uid="{63BE6E0C-B068-43AB-AAF0-DB5FAA5214ED}" name="Controlled lb/hr" totalsRowFunction="sum" dataDxfId="1468" totalsRowDxfId="1467">
      <calculatedColumnFormula>unique_components_154[[#This Row],[Count]]*unique_components_154[[#This Row],[Proposed Emission Factor]]*(1-unique_components_154[[#This Row],[Proposed Control Efficiency]])</calculatedColumnFormula>
    </tableColumn>
    <tableColumn id="10" xr3:uid="{7AE1AC12-CCC3-456F-8610-F5D57F8CF928}" name="Controlled_x000a_tpy" totalsRowFunction="sum" dataDxfId="1466" totalsRowDxfId="1465">
      <calculatedColumnFormula>IFERROR(unique_components_154[[#This Row],[Controlled lb/hr]]*4.38,"")</calculatedColumnFormula>
    </tableColumn>
  </tableColumns>
  <tableStyleInfo name="Table Style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47C0081-B8C3-47C0-9278-490D8311BB76}" name="speciated_chemicals_155" displayName="speciated_chemicals_155" ref="A130:J181" totalsRowCount="1" headerRowDxfId="1464" dataDxfId="1462" totalsRowDxfId="1460" headerRowBorderDxfId="1463" tableBorderDxfId="1461" totalsRowBorderDxfId="1459">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3FA7901-EC6B-4210-9DD8-EE197A027B84}" name="CAS #" totalsRowLabel="Total Weight Percent, Hourly Emissions and Annual Emissions (excluding Inert / Not a Contaminant)" dataDxfId="1458" totalsRowDxfId="1457"/>
    <tableColumn id="2" xr3:uid="{FE394F24-E0A4-41A1-B2ED-1730BB5B9826}" name="Chemical Constituent" dataDxfId="1456" totalsRowDxfId="1455">
      <calculatedColumnFormula>IFERROR(VLOOKUP(speciated_chemicals_155[[#This Row],[CAS '#]],species[],MATCH("Substance", species[#Headers], 0),FALSE),"No CAS Number Entered")</calculatedColumnFormula>
    </tableColumn>
    <tableColumn id="5" xr3:uid="{85531683-4B47-4FEC-9ED0-748247B898D8}" name="Other Species?" dataDxfId="1454" totalsRowDxfId="1453"/>
    <tableColumn id="4" xr3:uid="{D55433D1-3A07-4F3F-96DB-49D6688E280A}" name="VOC?" dataDxfId="1452" totalsRowDxfId="1451"/>
    <tableColumn id="3" xr3:uid="{EAF6403E-9D49-4F7C-AF79-800A08E7181E}" name="Inorganic?" dataDxfId="1450" totalsRowDxfId="1449"/>
    <tableColumn id="10" xr3:uid="{0AF1C281-0708-4BC1-91B3-F6D1D2E45F34}" name="VOC-Exempt Solvent?" dataDxfId="1448" totalsRowDxfId="1447"/>
    <tableColumn id="6" xr3:uid="{2EECC7D2-8C54-4FD9-9B1F-31B3E5742904}" name="Inert / Not a Contaminant?" dataDxfId="1446" totalsRowDxfId="1445"/>
    <tableColumn id="7" xr3:uid="{3068F283-346C-4972-B043-9EE79C02E543}" name="Weight Percent" totalsRowFunction="sum" dataDxfId="1444" totalsRowDxfId="1443"/>
    <tableColumn id="8" xr3:uid="{E8203BEF-0982-44CA-9C77-34ACF9DE8383}" name="lb/hr" totalsRowFunction="sum" dataDxfId="1442" totalsRowDxfId="1441">
      <calculatedColumnFormula>IF(speciated_chemicals_155[[#This Row],[Inert / Not a Contaminant?]]="Yes", 0, speciated_chemicals_155[[#This Row],[Weight Percent]]*(unique_components_154[[#Totals],[Controlled lb/hr]]+standard_components_153[[#Totals],[Controlled
lb/hr]]))</calculatedColumnFormula>
    </tableColumn>
    <tableColumn id="9" xr3:uid="{9C9A75CB-490A-40A7-A9E2-923A4870A30D}" name="tpy" totalsRowFunction="sum" dataDxfId="1440" totalsRowDxfId="1439">
      <calculatedColumnFormula>IF(speciated_chemicals_155[[#This Row],[Inert / Not a Contaminant?]]="Yes", 0, speciated_chemicals_155[[#This Row],[Weight Percent]]*(unique_components_154[[#Totals],[Controlled
tpy]]+standard_components_153[[#Totals],[Controlled
tpy]]))</calculatedColumnFormula>
    </tableColumn>
  </tableColumns>
  <tableStyleInfo name="Table Style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C4053CC-C9B8-4139-8D11-DDB6F31EAD17}" name="speciated_ghg_156" displayName="speciated_ghg_156" ref="A184:F204" totalsRowCount="1" headerRowDxfId="1438" dataDxfId="1436" totalsRowDxfId="1434" headerRowBorderDxfId="1437" tableBorderDxfId="1435" totalsRowBorderDxfId="1433">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265F43FD-39DD-4338-B1AB-85C749AC5387}" name="CAS #" totalsRowLabel="Total GHG Emissions (Mass Basis and Carbon dioxide-equivalent Basis)" dataDxfId="1432" totalsRowDxfId="1431"/>
    <tableColumn id="2" xr3:uid="{074BF12B-4577-4D17-B602-CAE19B207791}" name="Chemical Constituent Name" dataDxfId="1430" totalsRowDxfId="1429">
      <calculatedColumnFormula>IFERROR(INDEX(gwp_table[], MATCH(speciated_ghg_156[[#This Row],[CAS '#]], gwp_table[CAS No.], 0), MATCH("Name", gwp_table[#Headers], 0)),"No CAS Number Entered")</calculatedColumnFormula>
    </tableColumn>
    <tableColumn id="3" xr3:uid="{B593312F-C5A3-4CD6-B3C8-95447ACB5348}" name="Global Warming Potential (GWP)" dataDxfId="1428" totalsRowDxfId="1427">
      <calculatedColumnFormula>IFERROR(INDEX(gwp_table[], MATCH(speciated_ghg_156[[#This Row],[CAS '#]], gwp_table[CAS No.], 0), MATCH("Global warming potential", gwp_table[#Headers], 0)),"No CAS Number Entered")</calculatedColumnFormula>
    </tableColumn>
    <tableColumn id="4" xr3:uid="{05D1F736-2C9C-426A-821C-DD9EA80E1F35}" name="Weight Percent" dataDxfId="1426" totalsRowDxfId="1425"/>
    <tableColumn id="10" xr3:uid="{4CD28B31-0574-4F1D-BD3A-BE9647B04BBC}" name="Mass Emissions (U.S. tons per year)" totalsRowFunction="sum" dataDxfId="1424" totalsRowDxfId="1423">
      <calculatedColumnFormula>IFERROR(speciated_ghg_156[[#This Row],[Weight Percent]]*(unique_components_154[[#Totals],[Controlled
tpy]]+standard_components_153[[#Totals],[Controlled
tpy]]), "-")</calculatedColumnFormula>
    </tableColumn>
    <tableColumn id="6" xr3:uid="{58B48E77-3FBA-40DB-99B4-A9FD774325EA}" name="CO2e Emissions (U.S. tons per year)" totalsRowFunction="sum" dataDxfId="1422" totalsRowDxfId="1421">
      <calculatedColumnFormula>IFERROR(speciated_ghg_156[[#This Row],[Mass Emissions (U.S. tons per year)]]*speciated_ghg_156[[#This Row],[Global Warming Potential (GWP)]], "-")</calculatedColumnFormula>
    </tableColumn>
  </tableColumns>
  <tableStyleInfo name="Table Style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8D8BD0A-10F7-445C-B2B6-C87040F3B275}" name="standard_components_157" displayName="standard_components_157" ref="A24:I101" totalsRowCount="1" headerRowDxfId="1415" dataDxfId="1413" totalsRowDxfId="1411" headerRowBorderDxfId="1414" tableBorderDxfId="1412" totalsRowBorderDxfId="1410">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9414360-8E81-493B-957A-17A2CCBCEB94}" name="Component" totalsRowLabel="Total Count, Total Emission Rates (lbs/hr and tpy)" dataDxfId="1409" totalsRowDxfId="1408">
      <calculatedColumnFormula array="1">IFERROR(INDEX(INDEX(component_service_names[], , MATCH(VLOOKUP(industry_type, industry_column_names[], 2, FALSE), component_service_names[#Headers], 0)), ROW($A1)), "-")</calculatedColumnFormula>
    </tableColumn>
    <tableColumn id="2" xr3:uid="{E125447D-6AB5-4DC0-91C5-843F2BCFD252}" name="Service" dataDxfId="1407" totalsRowDxfId="1406">
      <calculatedColumnFormula array="1">IFERROR(INDEX(INDEX(component_service_names[], , MATCH(VLOOKUP(industry_type, industry_column_names[], 3, FALSE), component_service_names[#Headers], 0)), ROW($A1)), "-")</calculatedColumnFormula>
    </tableColumn>
    <tableColumn id="3" xr3:uid="{61F8AF5C-B032-4554-A437-8EDBB1AFD272}" name="Count" totalsRowFunction="sum" dataDxfId="1405" totalsRowDxfId="1404"/>
    <tableColumn id="4" xr3:uid="{15149FB8-B364-4422-A79A-FF085E643298}" name="Industry Emission Factor" dataDxfId="1403" totalsRowDxfId="1402">
      <calculatedColumnFormula array="1">IFERROR(
INDEX(
INDEX(factor_eff_table[], , MATCH(industry_type, factor_eff_table[#Headers], 0)),
MATCH(1, INDEX((standard_components_157[[#This Row],[Component]]=factor_eff_table[Component])*(standard_components_157[[#This Row],[Service]]=factor_eff_table[Service]), 0, 1), 0)),
 "-")</calculatedColumnFormula>
    </tableColumn>
    <tableColumn id="5" xr3:uid="{A9FCBEF1-7FEA-450B-87A0-4AC842145D45}" name="Instrument Monitoring LDAR Control Efficiency" dataDxfId="1401" totalsRowDxfId="1400">
      <calculatedColumnFormula array="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calculatedColumnFormula>
    </tableColumn>
    <tableColumn id="6" xr3:uid="{196CE408-F651-477B-BADF-3B82B9A417D2}" name="Connector Monitoring LDAR Control Efficiency" dataDxfId="1399" totalsRowDxfId="1398">
      <calculatedColumnFormula array="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calculatedColumnFormula>
    </tableColumn>
    <tableColumn id="7" xr3:uid="{6BC3C830-DA69-4B5B-A9CE-697F029101C4}" name="Physical Inspection LDAR Control Efficiency" dataDxfId="1397" totalsRowDxfId="1396">
      <calculatedColumnFormula array="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calculatedColumnFormula>
    </tableColumn>
    <tableColumn id="9" xr3:uid="{A14F2842-E705-4C9B-8D67-14F3C21CD7F6}" name="Controlled_x000a_lb/hr" totalsRowFunction="sum" dataDxfId="1395" totalsRowDxfId="1394">
      <calculatedColumnFormula>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calculatedColumnFormula>
    </tableColumn>
    <tableColumn id="10" xr3:uid="{8A58F20B-692C-4B08-AFC8-242736A91EA7}" name="Controlled_x000a_tpy" totalsRowFunction="sum" dataDxfId="1393" totalsRowDxfId="1392">
      <calculatedColumnFormula>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calculatedColumnFormula>
    </tableColumn>
  </tableColumns>
  <tableStyleInfo name="Table Style 1" showFirstColumn="0" showLastColumn="0" showRowStripes="0"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6AAE4A1-DB44-4E70-9A2C-84378A42CD9A}" name="unique_components_158" displayName="unique_components_158" ref="A106:G127" totalsRowCount="1" headerRowDxfId="1391" dataDxfId="1389" totalsRowDxfId="1387" headerRowBorderDxfId="1390" tableBorderDxfId="1388" totalsRowBorderDxfId="1386">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2CED524-1B32-40CA-8636-DAEECBC3B7DA}" name="Component" totalsRowLabel="Total Component Count, Total Emission Rate (lbs/hr and tpy)" dataDxfId="1385" totalsRowDxfId="1384"/>
    <tableColumn id="2" xr3:uid="{93B2D308-CD02-434A-9FA8-DE18334B1D45}" name="Service" dataDxfId="1383" totalsRowDxfId="1382"/>
    <tableColumn id="3" xr3:uid="{5882A82A-AE7C-4793-B57F-A0967B0D1513}" name="Count" totalsRowFunction="sum" dataDxfId="1381" totalsRowDxfId="1380"/>
    <tableColumn id="5" xr3:uid="{C8A522DF-6812-4E50-9754-D30CADC17C77}" name="Proposed Emission Factor" dataDxfId="1379" totalsRowDxfId="1378"/>
    <tableColumn id="7" xr3:uid="{F4494CE5-F363-41DF-9132-EDAB4A12A169}" name="Proposed Control Efficiency" dataDxfId="1377" totalsRowDxfId="1376"/>
    <tableColumn id="9" xr3:uid="{D986CDAE-F2A3-4E0E-A5B5-A86A7FB10796}" name="Controlled lb/hr" totalsRowFunction="sum" dataDxfId="1375" totalsRowDxfId="1374">
      <calculatedColumnFormula>unique_components_158[[#This Row],[Count]]*unique_components_158[[#This Row],[Proposed Emission Factor]]*(1-unique_components_158[[#This Row],[Proposed Control Efficiency]])</calculatedColumnFormula>
    </tableColumn>
    <tableColumn id="10" xr3:uid="{EC0D7937-CC3F-4991-8C24-A7076ECBBC7D}" name="Controlled_x000a_tpy" totalsRowFunction="sum" dataDxfId="1373" totalsRowDxfId="1372">
      <calculatedColumnFormula>IFERROR(unique_components_158[[#This Row],[Controlled lb/hr]]*4.38,"")</calculatedColumnFormula>
    </tableColumn>
  </tableColumns>
  <tableStyleInfo name="Table Style 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DA1718C-6A88-492D-8216-333C945ED5A4}" name="speciated_chemicals_159" displayName="speciated_chemicals_159" ref="A130:J181" totalsRowCount="1" headerRowDxfId="1371" dataDxfId="1369" totalsRowDxfId="1367" headerRowBorderDxfId="1370" tableBorderDxfId="1368" totalsRowBorderDxfId="1366">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FA201DB-9815-45DC-9557-D8DB75746AFA}" name="CAS #" totalsRowLabel="Total Weight Percent, Hourly Emissions and Annual Emissions (excluding Inert / Not a Contaminant)" dataDxfId="1365" totalsRowDxfId="1364"/>
    <tableColumn id="2" xr3:uid="{0467E97D-ECFB-4B57-B099-DC9224BDEA00}" name="Chemical Constituent" dataDxfId="1363" totalsRowDxfId="1362">
      <calculatedColumnFormula>IFERROR(VLOOKUP(speciated_chemicals_159[[#This Row],[CAS '#]],species[],MATCH("Substance", species[#Headers], 0),FALSE),"No CAS Number Entered")</calculatedColumnFormula>
    </tableColumn>
    <tableColumn id="5" xr3:uid="{531851B5-7F5D-47A1-BFA8-9E5D0C99131E}" name="Other Species?" dataDxfId="1361" totalsRowDxfId="1360"/>
    <tableColumn id="4" xr3:uid="{E2323AB3-6A21-4BA3-9F2F-B6F91A8DF057}" name="VOC?" dataDxfId="1359" totalsRowDxfId="1358"/>
    <tableColumn id="3" xr3:uid="{F94692AB-13E6-4373-8C80-C016711FA085}" name="Inorganic?" dataDxfId="1357" totalsRowDxfId="1356"/>
    <tableColumn id="10" xr3:uid="{6FF563A3-57A4-4DB3-94BC-1CF9048BE038}" name="VOC-Exempt Solvent?" dataDxfId="1355" totalsRowDxfId="1354"/>
    <tableColumn id="6" xr3:uid="{2D473A21-02D6-40BE-A546-E118F48D6E95}" name="Inert / Not a Contaminant?" dataDxfId="1353" totalsRowDxfId="1352"/>
    <tableColumn id="7" xr3:uid="{5612F487-C998-473B-BE2E-2E1EFC7E520E}" name="Weight Percent" totalsRowFunction="sum" dataDxfId="1351" totalsRowDxfId="1350"/>
    <tableColumn id="8" xr3:uid="{7202C4C3-4D74-46E8-9743-B317265F8D3B}" name="lb/hr" totalsRowFunction="sum" dataDxfId="1349" totalsRowDxfId="1348">
      <calculatedColumnFormula>IF(speciated_chemicals_159[[#This Row],[Inert / Not a Contaminant?]]="Yes", 0, speciated_chemicals_159[[#This Row],[Weight Percent]]*(unique_components_158[[#Totals],[Controlled lb/hr]]+standard_components_157[[#Totals],[Controlled
lb/hr]]))</calculatedColumnFormula>
    </tableColumn>
    <tableColumn id="9" xr3:uid="{27A09112-B0E6-44FB-857E-AEC0206FB79E}" name="tpy" totalsRowFunction="sum" dataDxfId="1347" totalsRowDxfId="1346">
      <calculatedColumnFormula>IF(speciated_chemicals_159[[#This Row],[Inert / Not a Contaminant?]]="Yes", 0, speciated_chemicals_159[[#This Row],[Weight Percent]]*(unique_components_158[[#Totals],[Controlled
tpy]]+standard_components_157[[#Totals],[Controlled
tpy]]))</calculatedColumnFormula>
    </tableColumn>
  </tableColumns>
  <tableStyleInfo name="Table Style 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2C76CD8-07D5-4185-ABDD-5A234FCE99A4}" name="speciated_ghg_160" displayName="speciated_ghg_160" ref="A184:F204" totalsRowCount="1" headerRowDxfId="1345" dataDxfId="1343" totalsRowDxfId="1341" headerRowBorderDxfId="1344" tableBorderDxfId="1342" totalsRowBorderDxfId="1340">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564669DE-F567-4762-8967-42715401E347}" name="CAS #" totalsRowLabel="Total GHG Emissions (Mass Basis and Carbon dioxide-equivalent Basis)" dataDxfId="1339" totalsRowDxfId="1338"/>
    <tableColumn id="2" xr3:uid="{EBA40F4E-73AE-4435-B3F3-7E1AC4971240}" name="Chemical Constituent Name" dataDxfId="1337" totalsRowDxfId="1336">
      <calculatedColumnFormula>IFERROR(INDEX(gwp_table[], MATCH(speciated_ghg_160[[#This Row],[CAS '#]], gwp_table[CAS No.], 0), MATCH("Name", gwp_table[#Headers], 0)),"No CAS Number Entered")</calculatedColumnFormula>
    </tableColumn>
    <tableColumn id="3" xr3:uid="{E8985292-49AB-48C0-BFD3-81F3DF456326}" name="Global Warming Potential (GWP)" dataDxfId="1335" totalsRowDxfId="1334">
      <calculatedColumnFormula>IFERROR(INDEX(gwp_table[], MATCH(speciated_ghg_160[[#This Row],[CAS '#]], gwp_table[CAS No.], 0), MATCH("Global warming potential", gwp_table[#Headers], 0)),"No CAS Number Entered")</calculatedColumnFormula>
    </tableColumn>
    <tableColumn id="4" xr3:uid="{7000E294-FA09-4C44-BC75-898B2281B652}" name="Weight Percent" dataDxfId="1333" totalsRowDxfId="1332"/>
    <tableColumn id="10" xr3:uid="{AFE68165-22A3-4FF0-926D-3EC44AE0AFCA}" name="Mass Emissions (U.S. tons per year)" totalsRowFunction="sum" dataDxfId="1331" totalsRowDxfId="1330">
      <calculatedColumnFormula>IFERROR(speciated_ghg_160[[#This Row],[Weight Percent]]*(unique_components_158[[#Totals],[Controlled
tpy]]+standard_components_157[[#Totals],[Controlled
tpy]]), "-")</calculatedColumnFormula>
    </tableColumn>
    <tableColumn id="6" xr3:uid="{E765329A-599A-4F89-81C6-EC23FBE4856C}" name="CO2e Emissions (U.S. tons per year)" totalsRowFunction="sum" dataDxfId="1329" totalsRowDxfId="1328">
      <calculatedColumnFormula>IFERROR(speciated_ghg_160[[#This Row],[Mass Emissions (U.S. tons per year)]]*speciated_ghg_160[[#This Row],[Global Warming Potential (GWP)]], "-")</calculatedColumnFormula>
    </tableColumn>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9F1FC0C-0629-48DE-8D76-06B65EEFC2CD}" name="speciated_ghg_1" displayName="speciated_ghg_1" ref="A184:F204" totalsRowCount="1" headerRowDxfId="2368" dataDxfId="2366" totalsRowDxfId="2364" headerRowBorderDxfId="2367" tableBorderDxfId="2365" totalsRowBorderDxfId="2363">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E2CA0A05-B494-4F8C-88D5-FC3FB0E9E0E9}" name="CAS #" totalsRowLabel="Total GHG Emissions (Mass Basis and Carbon dioxide-equivalent Basis)" dataDxfId="2362" totalsRowDxfId="2361"/>
    <tableColumn id="2" xr3:uid="{07D43849-9BA2-4D7E-8CE1-878BC0FA5BC9}" name="Chemical Constituent Name" dataDxfId="2360" totalsRowDxfId="2359">
      <calculatedColumnFormula>IFERROR(INDEX(gwp_table[], MATCH(speciated_ghg_1[[#This Row],[CAS '#]], gwp_table[CAS No.], 0), MATCH("Name", gwp_table[#Headers], 0)),"No CAS Number Entered")</calculatedColumnFormula>
    </tableColumn>
    <tableColumn id="3" xr3:uid="{CE6A4ACC-E41C-4ECB-AEEF-44413ACD7D79}" name="Global Warming Potential (GWP)" dataDxfId="2358" totalsRowDxfId="2357">
      <calculatedColumnFormula>IFERROR(INDEX(gwp_table[], MATCH(speciated_ghg_1[[#This Row],[CAS '#]], gwp_table[CAS No.], 0), MATCH("Global warming potential", gwp_table[#Headers], 0)),"No CAS Number Entered")</calculatedColumnFormula>
    </tableColumn>
    <tableColumn id="4" xr3:uid="{BE718B06-486F-4EFC-B064-AA2972E8B210}" name="Weight Percent" dataDxfId="2356" totalsRowDxfId="2355"/>
    <tableColumn id="10" xr3:uid="{C2887E5E-F0A0-4BE6-B929-8984179E4D21}" name="Mass Emissions (U.S. tons per year)" totalsRowFunction="sum" dataDxfId="2354" totalsRowDxfId="2353">
      <calculatedColumnFormula>IFERROR(speciated_ghg_1[[#This Row],[Weight Percent]]*(unique_components_1[[#Totals],[Controlled
tpy]]+standard_components_1[[#Totals],[Controlled
tpy]]), "-")</calculatedColumnFormula>
    </tableColumn>
    <tableColumn id="6" xr3:uid="{0212E083-A017-49A0-A998-DD04B11EEBE1}" name="CO2e Emissions (U.S. tons per year)" totalsRowFunction="sum" dataDxfId="2352" totalsRowDxfId="2351">
      <calculatedColumnFormula>IFERROR(speciated_ghg_1[[#This Row],[Mass Emissions (U.S. tons per year)]]*speciated_ghg_1[[#This Row],[Global Warming Potential (GWP)]], "-")</calculatedColumnFormula>
    </tableColumn>
  </tableColumns>
  <tableStyleInfo name="Table Style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E0D8A62A-3B72-4632-B4BA-F09BAC3C204B}" name="standard_components_161" displayName="standard_components_161" ref="A24:I101" totalsRowCount="1" headerRowDxfId="1322" dataDxfId="1320" totalsRowDxfId="1318" headerRowBorderDxfId="1321" tableBorderDxfId="1319" totalsRowBorderDxfId="1317">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F92D239-27BC-482C-973D-29D588E42A4A}" name="Component" totalsRowLabel="Total Count, Total Emission Rates (lbs/hr and tpy)" dataDxfId="1316" totalsRowDxfId="1315">
      <calculatedColumnFormula array="1">IFERROR(INDEX(INDEX(component_service_names[], , MATCH(VLOOKUP(industry_type, industry_column_names[], 2, FALSE), component_service_names[#Headers], 0)), ROW($A1)), "-")</calculatedColumnFormula>
    </tableColumn>
    <tableColumn id="2" xr3:uid="{F06A1C14-6C2E-4B39-A938-7A9AAAA5FA71}" name="Service" dataDxfId="1314" totalsRowDxfId="1313">
      <calculatedColumnFormula array="1">IFERROR(INDEX(INDEX(component_service_names[], , MATCH(VLOOKUP(industry_type, industry_column_names[], 3, FALSE), component_service_names[#Headers], 0)), ROW($A1)), "-")</calculatedColumnFormula>
    </tableColumn>
    <tableColumn id="3" xr3:uid="{62E6F592-E553-47E5-ABBA-D64667FE0231}" name="Count" totalsRowFunction="sum" dataDxfId="1312" totalsRowDxfId="1311"/>
    <tableColumn id="4" xr3:uid="{A683186A-09D7-4C77-BE5C-68625B7081AD}" name="Industry Emission Factor" dataDxfId="1310" totalsRowDxfId="1309">
      <calculatedColumnFormula array="1">IFERROR(
INDEX(
INDEX(factor_eff_table[], , MATCH(industry_type, factor_eff_table[#Headers], 0)),
MATCH(1, INDEX((standard_components_161[[#This Row],[Component]]=factor_eff_table[Component])*(standard_components_161[[#This Row],[Service]]=factor_eff_table[Service]), 0, 1), 0)),
 "-")</calculatedColumnFormula>
    </tableColumn>
    <tableColumn id="5" xr3:uid="{9E5D7AB7-34F4-4790-9EE7-356DCACDDA76}" name="Instrument Monitoring LDAR Control Efficiency" dataDxfId="1308" totalsRowDxfId="1307">
      <calculatedColumnFormula array="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calculatedColumnFormula>
    </tableColumn>
    <tableColumn id="6" xr3:uid="{8BC50F80-227E-4DA5-A4A5-E678EEF22ED6}" name="Connector Monitoring LDAR Control Efficiency" dataDxfId="1306" totalsRowDxfId="1305">
      <calculatedColumnFormula array="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calculatedColumnFormula>
    </tableColumn>
    <tableColumn id="7" xr3:uid="{E6903D5B-5818-4B9A-A1BC-D93386340E30}" name="Physical Inspection LDAR Control Efficiency" dataDxfId="1304" totalsRowDxfId="1303">
      <calculatedColumnFormula array="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calculatedColumnFormula>
    </tableColumn>
    <tableColumn id="9" xr3:uid="{EA6E84E0-F808-41B9-B61B-B52A83E07C94}" name="Controlled_x000a_lb/hr" totalsRowFunction="sum" dataDxfId="1302" totalsRowDxfId="1301">
      <calculatedColumnFormula>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calculatedColumnFormula>
    </tableColumn>
    <tableColumn id="10" xr3:uid="{DAA6956E-7EF0-4EA6-B885-308E14D25953}" name="Controlled_x000a_tpy" totalsRowFunction="sum" dataDxfId="1300" totalsRowDxfId="1299">
      <calculatedColumnFormula>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calculatedColumnFormula>
    </tableColumn>
  </tableColumns>
  <tableStyleInfo name="Table Style 1" showFirstColumn="0" showLastColumn="0" showRowStripes="0"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DE1E83D6-617C-4089-83FC-06DF51AA79FE}" name="unique_components_162" displayName="unique_components_162" ref="A106:G127" totalsRowCount="1" headerRowDxfId="1298" dataDxfId="1296" totalsRowDxfId="1294" headerRowBorderDxfId="1297" tableBorderDxfId="1295" totalsRowBorderDxfId="1293">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A7B8DC2-4C01-443A-A81E-DB3F02C22575}" name="Component" totalsRowLabel="Total Component Count, Total Emission Rate (lbs/hr and tpy)" dataDxfId="1292" totalsRowDxfId="1291"/>
    <tableColumn id="2" xr3:uid="{BFB3A5BB-93D3-4935-BD1A-869DC4D054FA}" name="Service" dataDxfId="1290" totalsRowDxfId="1289"/>
    <tableColumn id="3" xr3:uid="{46AA5EED-D8C2-43DF-B448-1BF2D117D6D6}" name="Count" totalsRowFunction="sum" dataDxfId="1288" totalsRowDxfId="1287"/>
    <tableColumn id="5" xr3:uid="{964C8038-2E45-4BE7-9AF8-E421B26AF062}" name="Proposed Emission Factor" dataDxfId="1286" totalsRowDxfId="1285"/>
    <tableColumn id="7" xr3:uid="{91D537C7-7FCE-4B7F-AA28-EBF0FB0205BD}" name="Proposed Control Efficiency" dataDxfId="1284" totalsRowDxfId="1283"/>
    <tableColumn id="9" xr3:uid="{79BF3562-3644-4DBF-9031-B7F115B69C50}" name="Controlled lb/hr" totalsRowFunction="sum" dataDxfId="1282" totalsRowDxfId="1281">
      <calculatedColumnFormula>unique_components_162[[#This Row],[Count]]*unique_components_162[[#This Row],[Proposed Emission Factor]]*(1-unique_components_162[[#This Row],[Proposed Control Efficiency]])</calculatedColumnFormula>
    </tableColumn>
    <tableColumn id="10" xr3:uid="{0D5F2954-4256-48B8-A0EF-C17577A82075}" name="Controlled_x000a_tpy" totalsRowFunction="sum" dataDxfId="1280" totalsRowDxfId="1279">
      <calculatedColumnFormula>IFERROR(unique_components_162[[#This Row],[Controlled lb/hr]]*4.38,"")</calculatedColumnFormula>
    </tableColumn>
  </tableColumns>
  <tableStyleInfo name="Table Style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A52DCE6-B05F-4239-9EBD-C04B0E01288F}" name="speciated_chemicals_163" displayName="speciated_chemicals_163" ref="A130:J181" totalsRowCount="1" headerRowDxfId="1278" dataDxfId="1276" totalsRowDxfId="1274" headerRowBorderDxfId="1277" tableBorderDxfId="1275" totalsRowBorderDxfId="1273">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AF6CDAD-33C0-48F3-B2CF-F73DF5FC3A48}" name="CAS #" totalsRowLabel="Total Weight Percent, Hourly Emissions and Annual Emissions (excluding Inert / Not a Contaminant)" dataDxfId="1272" totalsRowDxfId="1271"/>
    <tableColumn id="2" xr3:uid="{7B53EFA3-C00C-4E3D-81CF-E22A57874FAB}" name="Chemical Constituent" dataDxfId="1270" totalsRowDxfId="1269">
      <calculatedColumnFormula>IFERROR(VLOOKUP(speciated_chemicals_163[[#This Row],[CAS '#]],species[],MATCH("Substance", species[#Headers], 0),FALSE),"No CAS Number Entered")</calculatedColumnFormula>
    </tableColumn>
    <tableColumn id="5" xr3:uid="{5AB587E3-F80D-4A38-8D55-85E87832BF55}" name="Other Species?" dataDxfId="1268" totalsRowDxfId="1267"/>
    <tableColumn id="4" xr3:uid="{13BCA5B7-D2E5-4657-B961-3A3E3295DACA}" name="VOC?" dataDxfId="1266" totalsRowDxfId="1265"/>
    <tableColumn id="3" xr3:uid="{14A7C5D1-6BED-4F01-A2E4-2F5A62D82777}" name="Inorganic?" dataDxfId="1264" totalsRowDxfId="1263"/>
    <tableColumn id="10" xr3:uid="{557C84AE-5135-417C-B41D-FDB261875A2B}" name="VOC-Exempt Solvent?" dataDxfId="1262" totalsRowDxfId="1261"/>
    <tableColumn id="6" xr3:uid="{66F39AE9-F8FB-49DB-B7FD-77070F97F412}" name="Inert / Not a Contaminant?" dataDxfId="1260" totalsRowDxfId="1259"/>
    <tableColumn id="7" xr3:uid="{E35CC38E-3160-4D24-B759-EC6906CA0725}" name="Weight Percent" totalsRowFunction="sum" dataDxfId="1258" totalsRowDxfId="1257"/>
    <tableColumn id="8" xr3:uid="{06DBCE53-E5D3-4427-88FC-34F540F95779}" name="lb/hr" totalsRowFunction="sum" dataDxfId="1256" totalsRowDxfId="1255">
      <calculatedColumnFormula>IF(speciated_chemicals_163[[#This Row],[Inert / Not a Contaminant?]]="Yes", 0, speciated_chemicals_163[[#This Row],[Weight Percent]]*(unique_components_162[[#Totals],[Controlled lb/hr]]+standard_components_161[[#Totals],[Controlled
lb/hr]]))</calculatedColumnFormula>
    </tableColumn>
    <tableColumn id="9" xr3:uid="{357E5B4A-8168-4157-919D-406FE580838F}" name="tpy" totalsRowFunction="sum" dataDxfId="1254" totalsRowDxfId="1253">
      <calculatedColumnFormula>IF(speciated_chemicals_163[[#This Row],[Inert / Not a Contaminant?]]="Yes", 0, speciated_chemicals_163[[#This Row],[Weight Percent]]*(unique_components_162[[#Totals],[Controlled
tpy]]+standard_components_161[[#Totals],[Controlled
tpy]]))</calculatedColumnFormula>
    </tableColumn>
  </tableColumns>
  <tableStyleInfo name="Table Style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3428874-CC74-4D56-BF3C-9CA591CD62B7}" name="speciated_ghg_164" displayName="speciated_ghg_164" ref="A184:F204" totalsRowCount="1" headerRowDxfId="1252" dataDxfId="1250" totalsRowDxfId="1248" headerRowBorderDxfId="1251" tableBorderDxfId="1249" totalsRowBorderDxfId="1247">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38D7E963-82A0-4D7F-8AE1-B4E79C85E325}" name="CAS #" totalsRowLabel="Total GHG Emissions (Mass Basis and Carbon dioxide-equivalent Basis)" dataDxfId="1246" totalsRowDxfId="1245"/>
    <tableColumn id="2" xr3:uid="{E306B6F0-3AFC-4AF8-92C9-0237626F1970}" name="Chemical Constituent Name" dataDxfId="1244" totalsRowDxfId="1243">
      <calculatedColumnFormula>IFERROR(INDEX(gwp_table[], MATCH(speciated_ghg_164[[#This Row],[CAS '#]], gwp_table[CAS No.], 0), MATCH("Name", gwp_table[#Headers], 0)),"No CAS Number Entered")</calculatedColumnFormula>
    </tableColumn>
    <tableColumn id="3" xr3:uid="{96EBDE3A-1E36-4A83-8648-0ABBC89F9E19}" name="Global Warming Potential (GWP)" dataDxfId="1242" totalsRowDxfId="1241">
      <calculatedColumnFormula>IFERROR(INDEX(gwp_table[], MATCH(speciated_ghg_164[[#This Row],[CAS '#]], gwp_table[CAS No.], 0), MATCH("Global warming potential", gwp_table[#Headers], 0)),"No CAS Number Entered")</calculatedColumnFormula>
    </tableColumn>
    <tableColumn id="4" xr3:uid="{C156D733-D587-4D98-815A-0F69AAEAD8AA}" name="Weight Percent" dataDxfId="1240" totalsRowDxfId="1239"/>
    <tableColumn id="10" xr3:uid="{D5799086-1554-4916-9F57-757F69D64A29}" name="Mass Emissions (U.S. tons per year)" totalsRowFunction="sum" dataDxfId="1238" totalsRowDxfId="1237">
      <calculatedColumnFormula>IFERROR(speciated_ghg_164[[#This Row],[Weight Percent]]*(unique_components_162[[#Totals],[Controlled
tpy]]+standard_components_161[[#Totals],[Controlled
tpy]]), "-")</calculatedColumnFormula>
    </tableColumn>
    <tableColumn id="6" xr3:uid="{82280DC7-3E0F-4BD4-B345-FB73D469A093}" name="CO2e Emissions (U.S. tons per year)" totalsRowFunction="sum" dataDxfId="1236" totalsRowDxfId="1235">
      <calculatedColumnFormula>IFERROR(speciated_ghg_164[[#This Row],[Mass Emissions (U.S. tons per year)]]*speciated_ghg_164[[#This Row],[Global Warming Potential (GWP)]], "-")</calculatedColumnFormula>
    </tableColumn>
  </tableColumns>
  <tableStyleInfo name="Table Style 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9A982CC-C535-406F-B085-EC7E733F6896}" name="standard_components_165" displayName="standard_components_165" ref="A24:I101" totalsRowCount="1" headerRowDxfId="1229" dataDxfId="1227" totalsRowDxfId="1225" headerRowBorderDxfId="1228" tableBorderDxfId="1226" totalsRowBorderDxfId="1224">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88B1E51-2242-4F86-8A05-85B8EB0327E8}" name="Component" totalsRowLabel="Total Count, Total Emission Rates (lbs/hr and tpy)" dataDxfId="1223" totalsRowDxfId="1222">
      <calculatedColumnFormula array="1">IFERROR(INDEX(INDEX(component_service_names[], , MATCH(VLOOKUP(industry_type, industry_column_names[], 2, FALSE), component_service_names[#Headers], 0)), ROW($A1)), "-")</calculatedColumnFormula>
    </tableColumn>
    <tableColumn id="2" xr3:uid="{D0856DBF-4F7C-4B44-8F50-0AFA82E7344F}" name="Service" dataDxfId="1221" totalsRowDxfId="1220">
      <calculatedColumnFormula array="1">IFERROR(INDEX(INDEX(component_service_names[], , MATCH(VLOOKUP(industry_type, industry_column_names[], 3, FALSE), component_service_names[#Headers], 0)), ROW($A1)), "-")</calculatedColumnFormula>
    </tableColumn>
    <tableColumn id="3" xr3:uid="{6B342F88-2441-47C9-8ED5-EE6B21F00B11}" name="Count" totalsRowFunction="sum" dataDxfId="1219" totalsRowDxfId="1218"/>
    <tableColumn id="4" xr3:uid="{E2A53688-67CC-41C5-AC0E-B7B3FBCDAD6F}" name="Industry Emission Factor" dataDxfId="1217" totalsRowDxfId="1216">
      <calculatedColumnFormula array="1">IFERROR(
INDEX(
INDEX(factor_eff_table[], , MATCH(industry_type, factor_eff_table[#Headers], 0)),
MATCH(1, INDEX((standard_components_165[[#This Row],[Component]]=factor_eff_table[Component])*(standard_components_165[[#This Row],[Service]]=factor_eff_table[Service]), 0, 1), 0)),
 "-")</calculatedColumnFormula>
    </tableColumn>
    <tableColumn id="5" xr3:uid="{28C6DE09-1BF3-492E-8325-D211536A440A}" name="Instrument Monitoring LDAR Control Efficiency" dataDxfId="1215" totalsRowDxfId="1214">
      <calculatedColumnFormula array="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calculatedColumnFormula>
    </tableColumn>
    <tableColumn id="6" xr3:uid="{D3B19CB6-42DF-477A-847C-D5FDF8E79089}" name="Connector Monitoring LDAR Control Efficiency" dataDxfId="1213" totalsRowDxfId="1212">
      <calculatedColumnFormula array="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calculatedColumnFormula>
    </tableColumn>
    <tableColumn id="7" xr3:uid="{41F3A1C7-E4BD-44D6-8E52-485C07531698}" name="Physical Inspection LDAR Control Efficiency" dataDxfId="1211" totalsRowDxfId="1210">
      <calculatedColumnFormula array="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calculatedColumnFormula>
    </tableColumn>
    <tableColumn id="9" xr3:uid="{E14AB8AD-6498-4DC1-9033-C394F2A0A0F1}" name="Controlled_x000a_lb/hr" totalsRowFunction="sum" dataDxfId="1209" totalsRowDxfId="1208">
      <calculatedColumnFormula>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calculatedColumnFormula>
    </tableColumn>
    <tableColumn id="10" xr3:uid="{2032FB5B-5C12-4803-8165-CE99D14EE612}" name="Controlled_x000a_tpy" totalsRowFunction="sum" dataDxfId="1207" totalsRowDxfId="1206">
      <calculatedColumnFormula>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calculatedColumnFormula>
    </tableColumn>
  </tableColumns>
  <tableStyleInfo name="Table Style 1" showFirstColumn="0" showLastColumn="0" showRowStripes="0"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F7551B1-A2C7-4AF4-81FF-5E3D3EC1194C}" name="unique_components_166" displayName="unique_components_166" ref="A106:G127" totalsRowCount="1" headerRowDxfId="1205" dataDxfId="1203" totalsRowDxfId="1201" headerRowBorderDxfId="1204" tableBorderDxfId="1202" totalsRowBorderDxfId="1200">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3B00239-2CB8-484C-B6F8-F705F779E92B}" name="Component" totalsRowLabel="Total Component Count, Total Emission Rate (lbs/hr and tpy)" dataDxfId="1199" totalsRowDxfId="1198"/>
    <tableColumn id="2" xr3:uid="{01FF256F-C990-4E8C-8806-9E8EA5FE5A41}" name="Service" dataDxfId="1197" totalsRowDxfId="1196"/>
    <tableColumn id="3" xr3:uid="{C0597DF9-5AF3-45F5-BF7C-E224F36B60E3}" name="Count" totalsRowFunction="sum" dataDxfId="1195" totalsRowDxfId="1194"/>
    <tableColumn id="5" xr3:uid="{D940E4D9-927E-4C23-B705-BEF71D8F335B}" name="Proposed Emission Factor" dataDxfId="1193" totalsRowDxfId="1192"/>
    <tableColumn id="7" xr3:uid="{3F28381F-B7E7-48A4-A821-84759FF0638A}" name="Proposed Control Efficiency" dataDxfId="1191" totalsRowDxfId="1190"/>
    <tableColumn id="9" xr3:uid="{957A159E-48D3-468F-816D-B09D34BCE33A}" name="Controlled lb/hr" totalsRowFunction="sum" dataDxfId="1189" totalsRowDxfId="1188">
      <calculatedColumnFormula>unique_components_166[[#This Row],[Count]]*unique_components_166[[#This Row],[Proposed Emission Factor]]*(1-unique_components_166[[#This Row],[Proposed Control Efficiency]])</calculatedColumnFormula>
    </tableColumn>
    <tableColumn id="10" xr3:uid="{C08C5109-E48B-4D42-9A90-40738ABF1B74}" name="Controlled_x000a_tpy" totalsRowFunction="sum" dataDxfId="1187" totalsRowDxfId="1186">
      <calculatedColumnFormula>IFERROR(unique_components_166[[#This Row],[Controlled lb/hr]]*4.38,"")</calculatedColumnFormula>
    </tableColumn>
  </tableColumns>
  <tableStyleInfo name="Table Style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6005C00C-CCAC-42FE-8FA2-6C49C160864A}" name="speciated_chemicals_167" displayName="speciated_chemicals_167" ref="A130:J181" totalsRowCount="1" headerRowDxfId="1185" dataDxfId="1183" totalsRowDxfId="1181" headerRowBorderDxfId="1184" tableBorderDxfId="1182" totalsRowBorderDxfId="1180">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F87E605-49D1-4262-BA25-D86793D1EDE7}" name="CAS #" totalsRowLabel="Total Weight Percent, Hourly Emissions and Annual Emissions (excluding Inert / Not a Contaminant)" dataDxfId="1179" totalsRowDxfId="1178"/>
    <tableColumn id="2" xr3:uid="{706DD427-A934-477A-AE97-65A182D38AD7}" name="Chemical Constituent" dataDxfId="1177" totalsRowDxfId="1176">
      <calculatedColumnFormula>IFERROR(VLOOKUP(speciated_chemicals_167[[#This Row],[CAS '#]],species[],MATCH("Substance", species[#Headers], 0),FALSE),"No CAS Number Entered")</calculatedColumnFormula>
    </tableColumn>
    <tableColumn id="5" xr3:uid="{40979CA5-725A-4615-8622-0D959CD72B4F}" name="Other Species?" dataDxfId="1175" totalsRowDxfId="1174"/>
    <tableColumn id="4" xr3:uid="{289C5CD1-57AD-4107-AD9E-870C4DAF5A80}" name="VOC?" dataDxfId="1173" totalsRowDxfId="1172"/>
    <tableColumn id="3" xr3:uid="{63FFB037-D5B2-4A47-9528-91390C1D9159}" name="Inorganic?" dataDxfId="1171" totalsRowDxfId="1170"/>
    <tableColumn id="10" xr3:uid="{5B3B8744-B445-459B-A882-33BE7EA751D7}" name="VOC-Exempt Solvent?" dataDxfId="1169" totalsRowDxfId="1168"/>
    <tableColumn id="6" xr3:uid="{7CD9BD4E-791C-4119-865A-7AA19BE1688A}" name="Inert / Not a Contaminant?" dataDxfId="1167" totalsRowDxfId="1166"/>
    <tableColumn id="7" xr3:uid="{45EAF61E-9301-4E3A-89E9-4E112FCB2CA6}" name="Weight Percent" totalsRowFunction="sum" dataDxfId="1165" totalsRowDxfId="1164"/>
    <tableColumn id="8" xr3:uid="{BB4B899A-1C40-4190-BE77-E4481658134D}" name="lb/hr" totalsRowFunction="sum" dataDxfId="1163" totalsRowDxfId="1162">
      <calculatedColumnFormula>IF(speciated_chemicals_167[[#This Row],[Inert / Not a Contaminant?]]="Yes", 0, speciated_chemicals_167[[#This Row],[Weight Percent]]*(unique_components_166[[#Totals],[Controlled lb/hr]]+standard_components_165[[#Totals],[Controlled
lb/hr]]))</calculatedColumnFormula>
    </tableColumn>
    <tableColumn id="9" xr3:uid="{C043EF0B-20C2-4B2B-8D9A-5E577AE5E29F}" name="tpy" totalsRowFunction="sum" dataDxfId="1161" totalsRowDxfId="1160">
      <calculatedColumnFormula>IF(speciated_chemicals_167[[#This Row],[Inert / Not a Contaminant?]]="Yes", 0, speciated_chemicals_167[[#This Row],[Weight Percent]]*(unique_components_166[[#Totals],[Controlled
tpy]]+standard_components_165[[#Totals],[Controlled
tpy]]))</calculatedColumnFormula>
    </tableColumn>
  </tableColumns>
  <tableStyleInfo name="Table Style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8BCD907-E87A-44F3-954F-FB52B0E14C4A}" name="speciated_ghg_168" displayName="speciated_ghg_168" ref="A184:F204" totalsRowCount="1" headerRowDxfId="1159" dataDxfId="1157" totalsRowDxfId="1155" headerRowBorderDxfId="1158" tableBorderDxfId="1156" totalsRowBorderDxfId="1154">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46638DA7-EEF8-489B-8C36-910498E56E5E}" name="CAS #" totalsRowLabel="Total GHG Emissions (Mass Basis and Carbon dioxide-equivalent Basis)" dataDxfId="1153" totalsRowDxfId="1152"/>
    <tableColumn id="2" xr3:uid="{992B62C3-44DB-4A3C-9ED5-543BA6416D29}" name="Chemical Constituent Name" dataDxfId="1151" totalsRowDxfId="1150">
      <calculatedColumnFormula>IFERROR(INDEX(gwp_table[], MATCH(speciated_ghg_168[[#This Row],[CAS '#]], gwp_table[CAS No.], 0), MATCH("Name", gwp_table[#Headers], 0)),"No CAS Number Entered")</calculatedColumnFormula>
    </tableColumn>
    <tableColumn id="3" xr3:uid="{D4E191CE-B61E-4C13-8568-E329232E45BC}" name="Global Warming Potential (GWP)" dataDxfId="1149" totalsRowDxfId="1148">
      <calculatedColumnFormula>IFERROR(INDEX(gwp_table[], MATCH(speciated_ghg_168[[#This Row],[CAS '#]], gwp_table[CAS No.], 0), MATCH("Global warming potential", gwp_table[#Headers], 0)),"No CAS Number Entered")</calculatedColumnFormula>
    </tableColumn>
    <tableColumn id="4" xr3:uid="{70740FB1-152A-4CB6-82D1-2C0BBF367C4E}" name="Weight Percent" dataDxfId="1147" totalsRowDxfId="1146"/>
    <tableColumn id="10" xr3:uid="{B1C70B7A-BF39-4E0C-B7B4-DE9D193F11B4}" name="Mass Emissions (U.S. tons per year)" totalsRowFunction="sum" dataDxfId="1145" totalsRowDxfId="1144">
      <calculatedColumnFormula>IFERROR(speciated_ghg_168[[#This Row],[Weight Percent]]*(unique_components_166[[#Totals],[Controlled
tpy]]+standard_components_165[[#Totals],[Controlled
tpy]]), "-")</calculatedColumnFormula>
    </tableColumn>
    <tableColumn id="6" xr3:uid="{A9D08C26-676C-4E59-88EB-18DA1B788337}" name="CO2e Emissions (U.S. tons per year)" totalsRowFunction="sum" dataDxfId="1143" totalsRowDxfId="1142">
      <calculatedColumnFormula>IFERROR(speciated_ghg_168[[#This Row],[Mass Emissions (U.S. tons per year)]]*speciated_ghg_168[[#This Row],[Global Warming Potential (GWP)]], "-")</calculatedColumnFormula>
    </tableColumn>
  </tableColumns>
  <tableStyleInfo name="Table Style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DEB3F65-72BC-4E95-B079-FAD8B0CA159A}" name="standard_components_169" displayName="standard_components_169" ref="A24:I101" totalsRowCount="1" headerRowDxfId="1136" dataDxfId="1134" totalsRowDxfId="1132" headerRowBorderDxfId="1135" tableBorderDxfId="1133" totalsRowBorderDxfId="1131">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1B1B12-9770-46E2-B199-705D8EADC289}" name="Component" totalsRowLabel="Total Count, Total Emission Rates (lbs/hr and tpy)" dataDxfId="1130" totalsRowDxfId="1129">
      <calculatedColumnFormula array="1">IFERROR(INDEX(INDEX(component_service_names[], , MATCH(VLOOKUP(industry_type, industry_column_names[], 2, FALSE), component_service_names[#Headers], 0)), ROW($A1)), "-")</calculatedColumnFormula>
    </tableColumn>
    <tableColumn id="2" xr3:uid="{F552CF22-AD49-4FED-9B74-E1B497F51A73}" name="Service" dataDxfId="1128" totalsRowDxfId="1127">
      <calculatedColumnFormula array="1">IFERROR(INDEX(INDEX(component_service_names[], , MATCH(VLOOKUP(industry_type, industry_column_names[], 3, FALSE), component_service_names[#Headers], 0)), ROW($A1)), "-")</calculatedColumnFormula>
    </tableColumn>
    <tableColumn id="3" xr3:uid="{0D85CDAE-528C-48FE-BC13-DFEEDD930525}" name="Count" totalsRowFunction="sum" dataDxfId="1126" totalsRowDxfId="1125"/>
    <tableColumn id="4" xr3:uid="{E04D740B-A591-4E7F-B53E-5BCDECE2B8CE}" name="Industry Emission Factor" dataDxfId="1124" totalsRowDxfId="1123">
      <calculatedColumnFormula array="1">IFERROR(
INDEX(
INDEX(factor_eff_table[], , MATCH(industry_type, factor_eff_table[#Headers], 0)),
MATCH(1, INDEX((standard_components_169[[#This Row],[Component]]=factor_eff_table[Component])*(standard_components_169[[#This Row],[Service]]=factor_eff_table[Service]), 0, 1), 0)),
 "-")</calculatedColumnFormula>
    </tableColumn>
    <tableColumn id="5" xr3:uid="{266712A9-56C5-4F5F-8B76-EFD5C986FC0A}" name="Instrument Monitoring LDAR Control Efficiency" dataDxfId="1122" totalsRowDxfId="1121">
      <calculatedColumnFormula array="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calculatedColumnFormula>
    </tableColumn>
    <tableColumn id="6" xr3:uid="{B2FE163D-0C04-405C-9572-3032CB25F2C9}" name="Connector Monitoring LDAR Control Efficiency" dataDxfId="1120" totalsRowDxfId="1119">
      <calculatedColumnFormula array="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calculatedColumnFormula>
    </tableColumn>
    <tableColumn id="7" xr3:uid="{640133A0-AB6E-4591-B93F-0D7DB6D04C11}" name="Physical Inspection LDAR Control Efficiency" dataDxfId="1118" totalsRowDxfId="1117">
      <calculatedColumnFormula array="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calculatedColumnFormula>
    </tableColumn>
    <tableColumn id="9" xr3:uid="{760A01FA-46FA-4A58-920A-F2CAA816812A}" name="Controlled_x000a_lb/hr" totalsRowFunction="sum" dataDxfId="1116" totalsRowDxfId="1115">
      <calculatedColumnFormula>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calculatedColumnFormula>
    </tableColumn>
    <tableColumn id="10" xr3:uid="{2CE0B97C-E54E-479F-8FAD-53E57BBE1BFD}" name="Controlled_x000a_tpy" totalsRowFunction="sum" dataDxfId="1114" totalsRowDxfId="1113">
      <calculatedColumnFormula>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calculatedColumnFormula>
    </tableColumn>
  </tableColumns>
  <tableStyleInfo name="Table Style 1" showFirstColumn="0" showLastColumn="0" showRowStripes="0"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CC04607-0074-434A-B325-7FD2C8E74F89}" name="unique_components_170" displayName="unique_components_170" ref="A106:G127" totalsRowCount="1" headerRowDxfId="1112" dataDxfId="1110" totalsRowDxfId="1108" headerRowBorderDxfId="1111" tableBorderDxfId="1109" totalsRowBorderDxfId="1107">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9182C0D-26FC-4402-BF7E-8240CD2BC5D0}" name="Component" totalsRowLabel="Total Component Count, Total Emission Rate (lbs/hr and tpy)" dataDxfId="1106" totalsRowDxfId="1105"/>
    <tableColumn id="2" xr3:uid="{A02F2277-9C36-4F21-B013-D566CA8C7A90}" name="Service" dataDxfId="1104" totalsRowDxfId="1103"/>
    <tableColumn id="3" xr3:uid="{187EEBAC-AB65-468F-994A-BA1CD8BCD521}" name="Count" totalsRowFunction="sum" dataDxfId="1102" totalsRowDxfId="1101"/>
    <tableColumn id="5" xr3:uid="{302D0C4D-378C-46E9-B45F-609618AC7012}" name="Proposed Emission Factor" dataDxfId="1100" totalsRowDxfId="1099"/>
    <tableColumn id="7" xr3:uid="{9A77A0E0-EA04-445B-A3B9-FA3387CFAF74}" name="Proposed Control Efficiency" dataDxfId="1098" totalsRowDxfId="1097"/>
    <tableColumn id="9" xr3:uid="{4065692B-C26A-42C2-9267-5016B28607F2}" name="Controlled lb/hr" totalsRowFunction="sum" dataDxfId="1096" totalsRowDxfId="1095">
      <calculatedColumnFormula>unique_components_170[[#This Row],[Count]]*unique_components_170[[#This Row],[Proposed Emission Factor]]*(1-unique_components_170[[#This Row],[Proposed Control Efficiency]])</calculatedColumnFormula>
    </tableColumn>
    <tableColumn id="10" xr3:uid="{7884548D-A44A-40CA-B34F-376D266042F2}" name="Controlled_x000a_tpy" totalsRowFunction="sum" dataDxfId="1094" totalsRowDxfId="1093">
      <calculatedColumnFormula>IFERROR(unique_components_170[[#This Row],[Controlled lb/hr]]*4.38,"")</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362D41-3322-4699-878E-EE35785DD2C5}" name="standard_components_13" displayName="standard_components_13" ref="A24:I101" totalsRowCount="1" headerRowDxfId="2345" dataDxfId="2343" totalsRowDxfId="2341" headerRowBorderDxfId="2344" tableBorderDxfId="2342" totalsRowBorderDxfId="2340">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CF196D8-574F-4C9C-9DDC-810895065682}" name="Component" totalsRowLabel="Total Count, Total Emission Rates (lbs/hr and tpy)" dataDxfId="2339" totalsRowDxfId="2338">
      <calculatedColumnFormula array="1">IFERROR(INDEX(INDEX(component_service_names[], , MATCH(VLOOKUP(industry_type, industry_column_names[], 2, FALSE), component_service_names[#Headers], 0)), ROW($A1)), "-")</calculatedColumnFormula>
    </tableColumn>
    <tableColumn id="2" xr3:uid="{6CC053DD-74C0-4FC2-91D5-9169E4A4AB17}" name="Service" dataDxfId="2337" totalsRowDxfId="2336">
      <calculatedColumnFormula array="1">IFERROR(INDEX(INDEX(component_service_names[], , MATCH(VLOOKUP(industry_type, industry_column_names[], 3, FALSE), component_service_names[#Headers], 0)), ROW($A1)), "-")</calculatedColumnFormula>
    </tableColumn>
    <tableColumn id="3" xr3:uid="{4BBA38D7-B713-4C16-A3B8-2A20B473D40B}" name="Count" totalsRowFunction="sum" dataDxfId="2335" totalsRowDxfId="2334"/>
    <tableColumn id="4" xr3:uid="{BD054B92-5B25-478A-95BE-95BC43700A3C}" name="Industry Emission Factor" dataDxfId="2333" totalsRowDxfId="2332">
      <calculatedColumnFormula array="1">IFERROR(
INDEX(
INDEX(factor_eff_table[], , MATCH(industry_type, factor_eff_table[#Headers], 0)),
MATCH(1, INDEX((standard_components_13[[#This Row],[Component]]=factor_eff_table[Component])*(standard_components_13[[#This Row],[Service]]=factor_eff_table[Service]), 0, 1), 0)),
 "-")</calculatedColumnFormula>
    </tableColumn>
    <tableColumn id="5" xr3:uid="{442DB4C6-270D-4331-9078-76118187225A}" name="Instrument Monitoring LDAR Control Efficiency" dataDxfId="2331" totalsRowDxfId="2330">
      <calculatedColumnFormula array="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calculatedColumnFormula>
    </tableColumn>
    <tableColumn id="6" xr3:uid="{26B6B8E3-C3AC-42F0-8B0D-5E82DAA7E389}" name="Connector Monitoring LDAR Control Efficiency" dataDxfId="2329" totalsRowDxfId="2328">
      <calculatedColumnFormula array="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calculatedColumnFormula>
    </tableColumn>
    <tableColumn id="7" xr3:uid="{CE24C612-84EF-46AB-BDB4-B79F26EBA0AB}" name="Physical Inspection LDAR Control Efficiency" dataDxfId="2327" totalsRowDxfId="2326">
      <calculatedColumnFormula array="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calculatedColumnFormula>
    </tableColumn>
    <tableColumn id="9" xr3:uid="{4E0BCC01-7C39-4E7C-B80F-BB3EA10FB040}" name="Controlled_x000a_lb/hr" totalsRowFunction="sum" dataDxfId="2325" totalsRowDxfId="2324">
      <calculatedColumnFormula>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calculatedColumnFormula>
    </tableColumn>
    <tableColumn id="10" xr3:uid="{976B2B76-C923-4A9A-8DDD-2459A6B86A2E}" name="Controlled_x000a_tpy" totalsRowFunction="sum" dataDxfId="2323" totalsRowDxfId="2322">
      <calculatedColumnFormula>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calculatedColumnFormula>
    </tableColumn>
  </tableColumns>
  <tableStyleInfo name="Table Style 1" showFirstColumn="0" showLastColumn="0" showRowStripes="0"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689596B-2ECE-456D-9197-7DD204DEFFDA}" name="speciated_chemicals_171" displayName="speciated_chemicals_171" ref="A130:J181" totalsRowCount="1" headerRowDxfId="1092" dataDxfId="1090" totalsRowDxfId="1088" headerRowBorderDxfId="1091" tableBorderDxfId="1089" totalsRowBorderDxfId="1087">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BD6D568-020B-448D-9E3A-CFA3DD7AB1B3}" name="CAS #" totalsRowLabel="Total Weight Percent, Hourly Emissions and Annual Emissions (excluding Inert / Not a Contaminant)" dataDxfId="1086" totalsRowDxfId="1085"/>
    <tableColumn id="2" xr3:uid="{845946DD-ABCA-437F-94BA-40097DE6445C}" name="Chemical Constituent" dataDxfId="1084" totalsRowDxfId="1083">
      <calculatedColumnFormula>IFERROR(VLOOKUP(speciated_chemicals_171[[#This Row],[CAS '#]],species[],MATCH("Substance", species[#Headers], 0),FALSE),"No CAS Number Entered")</calculatedColumnFormula>
    </tableColumn>
    <tableColumn id="5" xr3:uid="{C4B1EAE9-B6DE-4791-ACF7-591BD068FB32}" name="Other Species?" dataDxfId="1082" totalsRowDxfId="1081"/>
    <tableColumn id="4" xr3:uid="{72F89766-155B-4758-A78F-B7CE9A3C6A1E}" name="VOC?" dataDxfId="1080" totalsRowDxfId="1079"/>
    <tableColumn id="3" xr3:uid="{34EC75B9-E189-4BB9-AD20-20C5D23FCE7F}" name="Inorganic?" dataDxfId="1078" totalsRowDxfId="1077"/>
    <tableColumn id="10" xr3:uid="{DA018F5F-47BB-472E-ABC5-A658AD058CD0}" name="VOC-Exempt Solvent?" dataDxfId="1076" totalsRowDxfId="1075"/>
    <tableColumn id="6" xr3:uid="{19D7BCC5-967A-4D94-B2DF-35DBAD018C62}" name="Inert / Not a Contaminant?" dataDxfId="1074" totalsRowDxfId="1073"/>
    <tableColumn id="7" xr3:uid="{A7D1FDAE-88FC-487A-830A-C073B9657D2E}" name="Weight Percent" totalsRowFunction="sum" dataDxfId="1072" totalsRowDxfId="1071"/>
    <tableColumn id="8" xr3:uid="{4AD43AF7-EE99-49AA-8CA7-64EF16F8C394}" name="lb/hr" totalsRowFunction="sum" dataDxfId="1070" totalsRowDxfId="1069">
      <calculatedColumnFormula>IF(speciated_chemicals_171[[#This Row],[Inert / Not a Contaminant?]]="Yes", 0, speciated_chemicals_171[[#This Row],[Weight Percent]]*(unique_components_170[[#Totals],[Controlled lb/hr]]+standard_components_169[[#Totals],[Controlled
lb/hr]]))</calculatedColumnFormula>
    </tableColumn>
    <tableColumn id="9" xr3:uid="{EFBF86F1-DAE7-4C2E-B682-291A611A58F7}" name="tpy" totalsRowFunction="sum" dataDxfId="1068" totalsRowDxfId="1067">
      <calculatedColumnFormula>IF(speciated_chemicals_171[[#This Row],[Inert / Not a Contaminant?]]="Yes", 0, speciated_chemicals_171[[#This Row],[Weight Percent]]*(unique_components_170[[#Totals],[Controlled
tpy]]+standard_components_169[[#Totals],[Controlled
tpy]]))</calculatedColumnFormula>
    </tableColumn>
  </tableColumns>
  <tableStyleInfo name="Table Style 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9132C9C-BA7D-499E-864A-948DC3CE6A97}" name="speciated_ghg_172" displayName="speciated_ghg_172" ref="A184:F204" totalsRowCount="1" headerRowDxfId="1066" dataDxfId="1064" totalsRowDxfId="1062" headerRowBorderDxfId="1065" tableBorderDxfId="1063" totalsRowBorderDxfId="1061">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4660C62D-37E9-4105-8DEF-74774DD1596C}" name="CAS #" totalsRowLabel="Total GHG Emissions (Mass Basis and Carbon dioxide-equivalent Basis)" dataDxfId="1060" totalsRowDxfId="1059"/>
    <tableColumn id="2" xr3:uid="{562ABB9E-93C2-4B10-99FA-626CD7BB7E58}" name="Chemical Constituent Name" dataDxfId="1058" totalsRowDxfId="1057">
      <calculatedColumnFormula>IFERROR(INDEX(gwp_table[], MATCH(speciated_ghg_172[[#This Row],[CAS '#]], gwp_table[CAS No.], 0), MATCH("Name", gwp_table[#Headers], 0)),"No CAS Number Entered")</calculatedColumnFormula>
    </tableColumn>
    <tableColumn id="3" xr3:uid="{4F7B5849-F4D2-407B-8BC0-7C92003A8050}" name="Global Warming Potential (GWP)" dataDxfId="1056" totalsRowDxfId="1055">
      <calculatedColumnFormula>IFERROR(INDEX(gwp_table[], MATCH(speciated_ghg_172[[#This Row],[CAS '#]], gwp_table[CAS No.], 0), MATCH("Global warming potential", gwp_table[#Headers], 0)),"No CAS Number Entered")</calculatedColumnFormula>
    </tableColumn>
    <tableColumn id="4" xr3:uid="{52930B62-F088-4A04-BF59-98B190D10334}" name="Weight Percent" dataDxfId="1054" totalsRowDxfId="1053"/>
    <tableColumn id="10" xr3:uid="{F64B7435-1E1D-43CB-9D2D-F3622D423216}" name="Mass Emissions (U.S. tons per year)" totalsRowFunction="sum" dataDxfId="1052" totalsRowDxfId="1051">
      <calculatedColumnFormula>IFERROR(speciated_ghg_172[[#This Row],[Weight Percent]]*(unique_components_170[[#Totals],[Controlled
tpy]]+standard_components_169[[#Totals],[Controlled
tpy]]), "-")</calculatedColumnFormula>
    </tableColumn>
    <tableColumn id="6" xr3:uid="{E91D3B0D-44EB-41B9-B552-23F9B170E4D8}" name="CO2e Emissions (U.S. tons per year)" totalsRowFunction="sum" dataDxfId="1050" totalsRowDxfId="1049">
      <calculatedColumnFormula>IFERROR(speciated_ghg_172[[#This Row],[Mass Emissions (U.S. tons per year)]]*speciated_ghg_172[[#This Row],[Global Warming Potential (GWP)]], "-")</calculatedColumnFormula>
    </tableColumn>
  </tableColumns>
  <tableStyleInfo name="Table Style 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C02ABC9-6DDF-4F4B-B819-38F0F86C2C39}" name="standard_components_173" displayName="standard_components_173" ref="A24:I101" totalsRowCount="1" headerRowDxfId="1043" dataDxfId="1041" totalsRowDxfId="1039" headerRowBorderDxfId="1042" tableBorderDxfId="1040" totalsRowBorderDxfId="1038">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2E653CD-F7A1-46E9-BEE7-D62F8A832EE0}" name="Component" totalsRowLabel="Total Count, Total Emission Rates (lbs/hr and tpy)" dataDxfId="1037" totalsRowDxfId="1036">
      <calculatedColumnFormula array="1">IFERROR(INDEX(INDEX(component_service_names[], , MATCH(VLOOKUP(industry_type, industry_column_names[], 2, FALSE), component_service_names[#Headers], 0)), ROW($A1)), "-")</calculatedColumnFormula>
    </tableColumn>
    <tableColumn id="2" xr3:uid="{CB18ADA6-A174-43C2-AB57-EDC44EA9E236}" name="Service" dataDxfId="1035" totalsRowDxfId="1034">
      <calculatedColumnFormula array="1">IFERROR(INDEX(INDEX(component_service_names[], , MATCH(VLOOKUP(industry_type, industry_column_names[], 3, FALSE), component_service_names[#Headers], 0)), ROW($A1)), "-")</calculatedColumnFormula>
    </tableColumn>
    <tableColumn id="3" xr3:uid="{A74DEB10-6BA2-4411-AF16-D323982CF097}" name="Count" totalsRowFunction="sum" dataDxfId="1033" totalsRowDxfId="1032"/>
    <tableColumn id="4" xr3:uid="{A97C771C-DE6D-45C1-9764-443FBFE111E7}" name="Industry Emission Factor" dataDxfId="1031" totalsRowDxfId="1030">
      <calculatedColumnFormula array="1">IFERROR(
INDEX(
INDEX(factor_eff_table[], , MATCH(industry_type, factor_eff_table[#Headers], 0)),
MATCH(1, INDEX((standard_components_173[[#This Row],[Component]]=factor_eff_table[Component])*(standard_components_173[[#This Row],[Service]]=factor_eff_table[Service]), 0, 1), 0)),
 "-")</calculatedColumnFormula>
    </tableColumn>
    <tableColumn id="5" xr3:uid="{586111E4-747C-4658-9127-3A0BC835215A}" name="Instrument Monitoring LDAR Control Efficiency" dataDxfId="1029" totalsRowDxfId="1028">
      <calculatedColumnFormula array="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calculatedColumnFormula>
    </tableColumn>
    <tableColumn id="6" xr3:uid="{24CF0962-D18E-45F6-A95F-8DBDAC8FFBD5}" name="Connector Monitoring LDAR Control Efficiency" dataDxfId="1027" totalsRowDxfId="1026">
      <calculatedColumnFormula array="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calculatedColumnFormula>
    </tableColumn>
    <tableColumn id="7" xr3:uid="{A7DBF702-7CE9-4357-8AF6-97BB56E25089}" name="Physical Inspection LDAR Control Efficiency" dataDxfId="1025" totalsRowDxfId="1024">
      <calculatedColumnFormula array="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calculatedColumnFormula>
    </tableColumn>
    <tableColumn id="9" xr3:uid="{134B8F38-A72A-4592-9C5C-2B2510E22C82}" name="Controlled_x000a_lb/hr" totalsRowFunction="sum" dataDxfId="1023" totalsRowDxfId="1022">
      <calculatedColumnFormula>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calculatedColumnFormula>
    </tableColumn>
    <tableColumn id="10" xr3:uid="{1FF008C0-7D1F-431E-BBCA-43692F58151E}" name="Controlled_x000a_tpy" totalsRowFunction="sum" dataDxfId="1021" totalsRowDxfId="1020">
      <calculatedColumnFormula>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calculatedColumnFormula>
    </tableColumn>
  </tableColumns>
  <tableStyleInfo name="Table Style 1" showFirstColumn="0" showLastColumn="0" showRowStripes="0"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BDE1A6C-E339-41AC-9B2E-A216BE121699}" name="unique_components_174" displayName="unique_components_174" ref="A106:G127" totalsRowCount="1" headerRowDxfId="1019" dataDxfId="1017" totalsRowDxfId="1015" headerRowBorderDxfId="1018" tableBorderDxfId="1016" totalsRowBorderDxfId="1014">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778811E-DCCB-439E-B867-BCF9E5CED496}" name="Component" totalsRowLabel="Total Component Count, Total Emission Rate (lbs/hr and tpy)" dataDxfId="1013" totalsRowDxfId="1012"/>
    <tableColumn id="2" xr3:uid="{7D552F73-C39F-4024-A8D9-C2AB3B82D425}" name="Service" dataDxfId="1011" totalsRowDxfId="1010"/>
    <tableColumn id="3" xr3:uid="{7840927C-1D60-4726-AD35-5186A5F8056B}" name="Count" totalsRowFunction="sum" dataDxfId="1009" totalsRowDxfId="1008"/>
    <tableColumn id="5" xr3:uid="{9CD7BAA1-09F7-4AFB-8AE2-2670BED4E210}" name="Proposed Emission Factor" dataDxfId="1007" totalsRowDxfId="1006"/>
    <tableColumn id="7" xr3:uid="{EB6DF447-9161-4DD7-AB41-A4C6A400A697}" name="Proposed Control Efficiency" dataDxfId="1005" totalsRowDxfId="1004"/>
    <tableColumn id="9" xr3:uid="{7D983252-659A-450D-8780-6E8EC8F0AAD6}" name="Controlled lb/hr" totalsRowFunction="sum" dataDxfId="1003" totalsRowDxfId="1002">
      <calculatedColumnFormula>unique_components_174[[#This Row],[Count]]*unique_components_174[[#This Row],[Proposed Emission Factor]]*(1-unique_components_174[[#This Row],[Proposed Control Efficiency]])</calculatedColumnFormula>
    </tableColumn>
    <tableColumn id="10" xr3:uid="{BA3B028F-BDE5-4902-8E44-A635D02056D9}" name="Controlled_x000a_tpy" totalsRowFunction="sum" dataDxfId="1001" totalsRowDxfId="1000">
      <calculatedColumnFormula>IFERROR(unique_components_174[[#This Row],[Controlled lb/hr]]*4.38,"")</calculatedColumnFormula>
    </tableColumn>
  </tableColumns>
  <tableStyleInfo name="Table Style 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4343BF3-0EBC-45EB-819F-B37269909ECF}" name="speciated_chemicals_175" displayName="speciated_chemicals_175" ref="A130:J181" totalsRowCount="1" headerRowDxfId="999" dataDxfId="997" totalsRowDxfId="995" headerRowBorderDxfId="998" tableBorderDxfId="996" totalsRowBorderDxfId="994">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9377971-5591-496B-9265-D0E139DD7E2A}" name="CAS #" totalsRowLabel="Total Weight Percent, Hourly Emissions and Annual Emissions (excluding Inert / Not a Contaminant)" dataDxfId="993" totalsRowDxfId="992"/>
    <tableColumn id="2" xr3:uid="{7DE7376B-24EA-4BA2-8CDA-87B20639527B}" name="Chemical Constituent" dataDxfId="991" totalsRowDxfId="990">
      <calculatedColumnFormula>IFERROR(VLOOKUP(speciated_chemicals_175[[#This Row],[CAS '#]],species[],MATCH("Substance", species[#Headers], 0),FALSE),"No CAS Number Entered")</calculatedColumnFormula>
    </tableColumn>
    <tableColumn id="5" xr3:uid="{821DBE00-437A-443D-9712-1B394C35D11A}" name="Other Species?" dataDxfId="989" totalsRowDxfId="988"/>
    <tableColumn id="4" xr3:uid="{89B278C5-B09F-4E13-9B62-70A29AE0B21B}" name="VOC?" dataDxfId="987" totalsRowDxfId="986"/>
    <tableColumn id="3" xr3:uid="{316CEC81-E52B-4304-A81B-E52DE8A08211}" name="Inorganic?" dataDxfId="985" totalsRowDxfId="984"/>
    <tableColumn id="10" xr3:uid="{6D662926-85F9-40FA-8F88-972A2618877C}" name="VOC-Exempt Solvent?" dataDxfId="983" totalsRowDxfId="982"/>
    <tableColumn id="6" xr3:uid="{D54DCDC1-9D8D-4018-B1FE-DD106359F2A7}" name="Inert / Not a Contaminant?" dataDxfId="981" totalsRowDxfId="980"/>
    <tableColumn id="7" xr3:uid="{0E77EA26-7795-4243-8624-395371EBE4DD}" name="Weight Percent" totalsRowFunction="sum" dataDxfId="979" totalsRowDxfId="978"/>
    <tableColumn id="8" xr3:uid="{25675438-3B96-4B4A-A91B-13D1E29CED06}" name="lb/hr" totalsRowFunction="sum" dataDxfId="977" totalsRowDxfId="976">
      <calculatedColumnFormula>IF(speciated_chemicals_175[[#This Row],[Inert / Not a Contaminant?]]="Yes", 0, speciated_chemicals_175[[#This Row],[Weight Percent]]*(unique_components_174[[#Totals],[Controlled lb/hr]]+standard_components_173[[#Totals],[Controlled
lb/hr]]))</calculatedColumnFormula>
    </tableColumn>
    <tableColumn id="9" xr3:uid="{37C6EDDC-2548-4EB0-BDC5-86E017C74E7C}" name="tpy" totalsRowFunction="sum" dataDxfId="975" totalsRowDxfId="974">
      <calculatedColumnFormula>IF(speciated_chemicals_175[[#This Row],[Inert / Not a Contaminant?]]="Yes", 0, speciated_chemicals_175[[#This Row],[Weight Percent]]*(unique_components_174[[#Totals],[Controlled
tpy]]+standard_components_173[[#Totals],[Controlled
tpy]]))</calculatedColumnFormula>
    </tableColumn>
  </tableColumns>
  <tableStyleInfo name="Table Style 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C1E1A671-B967-457C-91CA-33320334F801}" name="speciated_ghg_176" displayName="speciated_ghg_176" ref="A184:F204" totalsRowCount="1" headerRowDxfId="973" dataDxfId="971" totalsRowDxfId="969" headerRowBorderDxfId="972" tableBorderDxfId="970" totalsRowBorderDxfId="968">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563B801F-6631-4B8D-B6EA-D35ABDBC7EC9}" name="CAS #" totalsRowLabel="Total GHG Emissions (Mass Basis and Carbon dioxide-equivalent Basis)" dataDxfId="967" totalsRowDxfId="966"/>
    <tableColumn id="2" xr3:uid="{8EFB14A2-CBE6-4795-AA8E-7CE854DAA405}" name="Chemical Constituent Name" dataDxfId="965" totalsRowDxfId="964">
      <calculatedColumnFormula>IFERROR(INDEX(gwp_table[], MATCH(speciated_ghg_176[[#This Row],[CAS '#]], gwp_table[CAS No.], 0), MATCH("Name", gwp_table[#Headers], 0)),"No CAS Number Entered")</calculatedColumnFormula>
    </tableColumn>
    <tableColumn id="3" xr3:uid="{CF6E1536-5FDF-4E55-9DB5-56D42E56AC57}" name="Global Warming Potential (GWP)" dataDxfId="963" totalsRowDxfId="962">
      <calculatedColumnFormula>IFERROR(INDEX(gwp_table[], MATCH(speciated_ghg_176[[#This Row],[CAS '#]], gwp_table[CAS No.], 0), MATCH("Global warming potential", gwp_table[#Headers], 0)),"No CAS Number Entered")</calculatedColumnFormula>
    </tableColumn>
    <tableColumn id="4" xr3:uid="{66A5A2CF-ECCF-4E02-9A37-941DA9572847}" name="Weight Percent" dataDxfId="961" totalsRowDxfId="960"/>
    <tableColumn id="10" xr3:uid="{769FD7CA-11D2-4A92-807D-4D6197DAA768}" name="Mass Emissions (U.S. tons per year)" totalsRowFunction="sum" dataDxfId="959" totalsRowDxfId="958">
      <calculatedColumnFormula>IFERROR(speciated_ghg_176[[#This Row],[Weight Percent]]*(unique_components_174[[#Totals],[Controlled
tpy]]+standard_components_173[[#Totals],[Controlled
tpy]]), "-")</calculatedColumnFormula>
    </tableColumn>
    <tableColumn id="6" xr3:uid="{7BA1271A-DED3-4302-8035-E5B1E8F1A612}" name="CO2e Emissions (U.S. tons per year)" totalsRowFunction="sum" dataDxfId="957" totalsRowDxfId="956">
      <calculatedColumnFormula>IFERROR(speciated_ghg_176[[#This Row],[Mass Emissions (U.S. tons per year)]]*speciated_ghg_176[[#This Row],[Global Warming Potential (GWP)]], "-")</calculatedColumnFormula>
    </tableColumn>
  </tableColumns>
  <tableStyleInfo name="Table Style 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48B122AB-6476-40C5-BFA5-108848EA52B5}" name="standard_components_177" displayName="standard_components_177" ref="A24:I101" totalsRowCount="1" headerRowDxfId="950" dataDxfId="948" totalsRowDxfId="946" headerRowBorderDxfId="949" tableBorderDxfId="947" totalsRowBorderDxfId="945">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D490F0E-FA25-48A9-B808-28AEC8A9F167}" name="Component" totalsRowLabel="Total Count, Total Emission Rates (lbs/hr and tpy)" dataDxfId="944" totalsRowDxfId="943">
      <calculatedColumnFormula array="1">IFERROR(INDEX(INDEX(component_service_names[], , MATCH(VLOOKUP(industry_type, industry_column_names[], 2, FALSE), component_service_names[#Headers], 0)), ROW($A1)), "-")</calculatedColumnFormula>
    </tableColumn>
    <tableColumn id="2" xr3:uid="{6323A2AF-1B07-4E93-BEDF-526D88447B19}" name="Service" dataDxfId="942" totalsRowDxfId="941">
      <calculatedColumnFormula array="1">IFERROR(INDEX(INDEX(component_service_names[], , MATCH(VLOOKUP(industry_type, industry_column_names[], 3, FALSE), component_service_names[#Headers], 0)), ROW($A1)), "-")</calculatedColumnFormula>
    </tableColumn>
    <tableColumn id="3" xr3:uid="{13676C9E-AE83-45E5-8547-92E0386720F1}" name="Count" totalsRowFunction="sum" dataDxfId="940" totalsRowDxfId="939"/>
    <tableColumn id="4" xr3:uid="{00596987-DFF2-45DC-A91B-6B081C11635A}" name="Industry Emission Factor" dataDxfId="938" totalsRowDxfId="937">
      <calculatedColumnFormula array="1">IFERROR(
INDEX(
INDEX(factor_eff_table[], , MATCH(industry_type, factor_eff_table[#Headers], 0)),
MATCH(1, INDEX((standard_components_177[[#This Row],[Component]]=factor_eff_table[Component])*(standard_components_177[[#This Row],[Service]]=factor_eff_table[Service]), 0, 1), 0)),
 "-")</calculatedColumnFormula>
    </tableColumn>
    <tableColumn id="5" xr3:uid="{266AB7EE-42F3-479F-8B1D-DC76DB84114C}" name="Instrument Monitoring LDAR Control Efficiency" dataDxfId="936" totalsRowDxfId="935">
      <calculatedColumnFormula array="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calculatedColumnFormula>
    </tableColumn>
    <tableColumn id="6" xr3:uid="{8645A561-807A-4FEF-A712-B55FE3C0F40E}" name="Connector Monitoring LDAR Control Efficiency" dataDxfId="934" totalsRowDxfId="933">
      <calculatedColumnFormula array="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calculatedColumnFormula>
    </tableColumn>
    <tableColumn id="7" xr3:uid="{60FDABBD-A996-4ABA-9485-804B1A0F8937}" name="Physical Inspection LDAR Control Efficiency" dataDxfId="932" totalsRowDxfId="931">
      <calculatedColumnFormula array="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calculatedColumnFormula>
    </tableColumn>
    <tableColumn id="9" xr3:uid="{4B3D066A-9D51-42D5-A649-E590B89B66EC}" name="Controlled_x000a_lb/hr" totalsRowFunction="sum" dataDxfId="930" totalsRowDxfId="929">
      <calculatedColumnFormula>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calculatedColumnFormula>
    </tableColumn>
    <tableColumn id="10" xr3:uid="{F794335E-7932-4597-B4BD-237132B8999E}" name="Controlled_x000a_tpy" totalsRowFunction="sum" dataDxfId="928" totalsRowDxfId="927">
      <calculatedColumnFormula>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calculatedColumnFormula>
    </tableColumn>
  </tableColumns>
  <tableStyleInfo name="Table Style 1" showFirstColumn="0" showLastColumn="0" showRowStripes="0"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B1019521-E378-4F88-9E86-DF687685152B}" name="unique_components_178" displayName="unique_components_178" ref="A106:G127" totalsRowCount="1" headerRowDxfId="926" dataDxfId="924" totalsRowDxfId="922" headerRowBorderDxfId="925" tableBorderDxfId="923" totalsRowBorderDxfId="921">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47EB321-DE2B-4FB4-87CC-D2054D1F63D1}" name="Component" totalsRowLabel="Total Component Count, Total Emission Rate (lbs/hr and tpy)" dataDxfId="920" totalsRowDxfId="919"/>
    <tableColumn id="2" xr3:uid="{EFC0F8A0-E432-4112-B0C2-909336A5F35B}" name="Service" dataDxfId="918" totalsRowDxfId="917"/>
    <tableColumn id="3" xr3:uid="{4AF3E855-1693-4CA7-95EF-35BE33068C4B}" name="Count" totalsRowFunction="sum" dataDxfId="916" totalsRowDxfId="915"/>
    <tableColumn id="5" xr3:uid="{A2879C7C-A657-4183-9568-97DDF69E77D7}" name="Proposed Emission Factor" dataDxfId="914" totalsRowDxfId="913"/>
    <tableColumn id="7" xr3:uid="{81EC609E-F34B-4281-8462-670E3029CD10}" name="Proposed Control Efficiency" dataDxfId="912" totalsRowDxfId="911"/>
    <tableColumn id="9" xr3:uid="{866FB0A2-0533-4AC3-A80F-C39B92C9E959}" name="Controlled lb/hr" totalsRowFunction="sum" dataDxfId="910" totalsRowDxfId="909">
      <calculatedColumnFormula>unique_components_178[[#This Row],[Count]]*unique_components_178[[#This Row],[Proposed Emission Factor]]*(1-unique_components_178[[#This Row],[Proposed Control Efficiency]])</calculatedColumnFormula>
    </tableColumn>
    <tableColumn id="10" xr3:uid="{15B19FFA-3505-4249-8F87-36798CC5F27A}" name="Controlled_x000a_tpy" totalsRowFunction="sum" dataDxfId="908" totalsRowDxfId="907">
      <calculatedColumnFormula>IFERROR(unique_components_178[[#This Row],[Controlled lb/hr]]*4.38,"")</calculatedColumnFormula>
    </tableColumn>
  </tableColumns>
  <tableStyleInfo name="Table Style 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7BD21FBF-0560-4616-A4EC-76506210B8A8}" name="speciated_chemicals_179" displayName="speciated_chemicals_179" ref="A130:J181" totalsRowCount="1" headerRowDxfId="906" dataDxfId="904" totalsRowDxfId="902" headerRowBorderDxfId="905" tableBorderDxfId="903" totalsRowBorderDxfId="901">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15093E9-8E27-4764-BC11-73B870886009}" name="CAS #" totalsRowLabel="Total Weight Percent, Hourly Emissions and Annual Emissions (excluding Inert / Not a Contaminant)" dataDxfId="900" totalsRowDxfId="899"/>
    <tableColumn id="2" xr3:uid="{D4420FE2-D715-4F8F-A313-88BA309EAE4E}" name="Chemical Constituent" dataDxfId="898" totalsRowDxfId="897">
      <calculatedColumnFormula>IFERROR(VLOOKUP(speciated_chemicals_179[[#This Row],[CAS '#]],species[],MATCH("Substance", species[#Headers], 0),FALSE),"No CAS Number Entered")</calculatedColumnFormula>
    </tableColumn>
    <tableColumn id="5" xr3:uid="{D88AD974-84B1-439A-ADF7-E96037DC2583}" name="Other Species?" dataDxfId="896" totalsRowDxfId="895"/>
    <tableColumn id="4" xr3:uid="{4B4AB8EE-CFF5-425F-A811-E6EEAC74F5B7}" name="VOC?" dataDxfId="894" totalsRowDxfId="893"/>
    <tableColumn id="3" xr3:uid="{B94E513A-2702-4114-AEB7-5413C4D3DBBA}" name="Inorganic?" dataDxfId="892" totalsRowDxfId="891"/>
    <tableColumn id="10" xr3:uid="{902F1740-B08F-49E9-8076-A027A31EC217}" name="VOC-Exempt Solvent?" dataDxfId="890" totalsRowDxfId="889"/>
    <tableColumn id="6" xr3:uid="{0C51F6B1-69A6-44E5-8351-928A6B757991}" name="Inert / Not a Contaminant?" dataDxfId="888" totalsRowDxfId="887"/>
    <tableColumn id="7" xr3:uid="{A9DC632D-BCB9-4781-90B1-4F7CD41AC88F}" name="Weight Percent" totalsRowFunction="sum" dataDxfId="886" totalsRowDxfId="885"/>
    <tableColumn id="8" xr3:uid="{F285AFC5-2B92-4F7F-9EB5-F0B4E5622F68}" name="lb/hr" totalsRowFunction="sum" dataDxfId="884" totalsRowDxfId="883">
      <calculatedColumnFormula>IF(speciated_chemicals_179[[#This Row],[Inert / Not a Contaminant?]]="Yes", 0, speciated_chemicals_179[[#This Row],[Weight Percent]]*(unique_components_178[[#Totals],[Controlled lb/hr]]+standard_components_177[[#Totals],[Controlled
lb/hr]]))</calculatedColumnFormula>
    </tableColumn>
    <tableColumn id="9" xr3:uid="{C36C277E-86B2-4D14-AE6E-2E13BE610BE1}" name="tpy" totalsRowFunction="sum" dataDxfId="882" totalsRowDxfId="881">
      <calculatedColumnFormula>IF(speciated_chemicals_179[[#This Row],[Inert / Not a Contaminant?]]="Yes", 0, speciated_chemicals_179[[#This Row],[Weight Percent]]*(unique_components_178[[#Totals],[Controlled
tpy]]+standard_components_177[[#Totals],[Controlled
tpy]]))</calculatedColumnFormula>
    </tableColumn>
  </tableColumns>
  <tableStyleInfo name="Table Style 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334EDF2-D9B6-4BE2-BE01-951908D3252C}" name="speciated_ghg_180" displayName="speciated_ghg_180" ref="A184:F204" totalsRowCount="1" headerRowDxfId="880" dataDxfId="878" totalsRowDxfId="876" headerRowBorderDxfId="879" tableBorderDxfId="877" totalsRowBorderDxfId="875">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C5AC4514-1E72-4E7E-B462-75D013AD348D}" name="CAS #" totalsRowLabel="Total GHG Emissions (Mass Basis and Carbon dioxide-equivalent Basis)" dataDxfId="874" totalsRowDxfId="873"/>
    <tableColumn id="2" xr3:uid="{52645F14-ED07-453D-994F-177F82C4AE75}" name="Chemical Constituent Name" dataDxfId="872" totalsRowDxfId="871">
      <calculatedColumnFormula>IFERROR(INDEX(gwp_table[], MATCH(speciated_ghg_180[[#This Row],[CAS '#]], gwp_table[CAS No.], 0), MATCH("Name", gwp_table[#Headers], 0)),"No CAS Number Entered")</calculatedColumnFormula>
    </tableColumn>
    <tableColumn id="3" xr3:uid="{DCE163CE-62F7-4DF1-B900-0A8596586E7C}" name="Global Warming Potential (GWP)" dataDxfId="870" totalsRowDxfId="869">
      <calculatedColumnFormula>IFERROR(INDEX(gwp_table[], MATCH(speciated_ghg_180[[#This Row],[CAS '#]], gwp_table[CAS No.], 0), MATCH("Global warming potential", gwp_table[#Headers], 0)),"No CAS Number Entered")</calculatedColumnFormula>
    </tableColumn>
    <tableColumn id="4" xr3:uid="{9CA76128-E25F-4A12-B225-A390A9585295}" name="Weight Percent" dataDxfId="868" totalsRowDxfId="867"/>
    <tableColumn id="10" xr3:uid="{E0A0D83F-F2D9-4E6F-94A7-C49047A73AC4}" name="Mass Emissions (U.S. tons per year)" totalsRowFunction="sum" dataDxfId="866" totalsRowDxfId="865">
      <calculatedColumnFormula>IFERROR(speciated_ghg_180[[#This Row],[Weight Percent]]*(unique_components_178[[#Totals],[Controlled
tpy]]+standard_components_177[[#Totals],[Controlled
tpy]]), "-")</calculatedColumnFormula>
    </tableColumn>
    <tableColumn id="6" xr3:uid="{3282E129-BE56-4473-BBCD-A768C77A04F9}" name="CO2e Emissions (U.S. tons per year)" totalsRowFunction="sum" dataDxfId="864" totalsRowDxfId="863">
      <calculatedColumnFormula>IFERROR(speciated_ghg_180[[#This Row],[Mass Emissions (U.S. tons per year)]]*speciated_ghg_180[[#This Row],[Global Warming Potential (GWP)]], "-")</calculatedColumnFormula>
    </tableColumn>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85D699-32B8-4145-8DE4-0EA6B82E7EF0}" name="unique_components_16" displayName="unique_components_16" ref="A106:G127" totalsRowCount="1" headerRowDxfId="2321" dataDxfId="2319" totalsRowDxfId="2317" headerRowBorderDxfId="2320" tableBorderDxfId="2318" totalsRowBorderDxfId="2316">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F8387F2-14F5-47E2-81B5-BDACDFE7E9BF}" name="Component" totalsRowLabel="Total Component Count, Total Emission Rate (lbs/hr and tpy)" dataDxfId="2315" totalsRowDxfId="2314"/>
    <tableColumn id="2" xr3:uid="{AA37A429-76D6-4910-A5D1-4876027C7315}" name="Service" dataDxfId="2313" totalsRowDxfId="2312"/>
    <tableColumn id="3" xr3:uid="{520853E4-9649-4A89-8A2F-9127513B1AF8}" name="Count" totalsRowFunction="sum" dataDxfId="2311" totalsRowDxfId="2310"/>
    <tableColumn id="5" xr3:uid="{8A7157B0-D742-40FE-B87C-B09A48D1599F}" name="Proposed Emission Factor" dataDxfId="2309" totalsRowDxfId="2308"/>
    <tableColumn id="7" xr3:uid="{F7711099-059D-4956-A579-30F6DECCD465}" name="Proposed Control Efficiency" dataDxfId="2307" totalsRowDxfId="2306"/>
    <tableColumn id="9" xr3:uid="{5A0A467D-41AA-41C7-87BC-1531F13206A0}" name="Controlled lb/hr" totalsRowFunction="sum" dataDxfId="2305" totalsRowDxfId="2304">
      <calculatedColumnFormula>unique_components_16[[#This Row],[Count]]*unique_components_16[[#This Row],[Proposed Emission Factor]]*(1-unique_components_16[[#This Row],[Proposed Control Efficiency]])</calculatedColumnFormula>
    </tableColumn>
    <tableColumn id="10" xr3:uid="{055A5AD4-D482-4814-8FD1-EFFE05BD093D}" name="Controlled_x000a_tpy" totalsRowFunction="sum" dataDxfId="2303" totalsRowDxfId="2302">
      <calculatedColumnFormula>IFERROR(unique_components_16[[#This Row],[Controlled lb/hr]]*4.38,"")</calculatedColumnFormula>
    </tableColumn>
  </tableColumns>
  <tableStyleInfo name="Table Style 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C6206DB-D358-4E57-8703-039C749C3E66}" name="standard_components_181" displayName="standard_components_181" ref="A24:I101" totalsRowCount="1" headerRowDxfId="857" dataDxfId="855" totalsRowDxfId="853" headerRowBorderDxfId="856" tableBorderDxfId="854" totalsRowBorderDxfId="852">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EAA5E5C-C076-4521-9D1A-037F97C69ECA}" name="Component" totalsRowLabel="Total Count, Total Emission Rates (lbs/hr and tpy)" dataDxfId="851" totalsRowDxfId="850">
      <calculatedColumnFormula array="1">IFERROR(INDEX(INDEX(component_service_names[], , MATCH(VLOOKUP(industry_type, industry_column_names[], 2, FALSE), component_service_names[#Headers], 0)), ROW($A1)), "-")</calculatedColumnFormula>
    </tableColumn>
    <tableColumn id="2" xr3:uid="{90260614-C689-4AA4-A70C-4F1562392070}" name="Service" dataDxfId="849" totalsRowDxfId="848">
      <calculatedColumnFormula array="1">IFERROR(INDEX(INDEX(component_service_names[], , MATCH(VLOOKUP(industry_type, industry_column_names[], 3, FALSE), component_service_names[#Headers], 0)), ROW($A1)), "-")</calculatedColumnFormula>
    </tableColumn>
    <tableColumn id="3" xr3:uid="{435FD253-1B19-4332-AD5A-09C7FF3D64DF}" name="Count" totalsRowFunction="sum" dataDxfId="847" totalsRowDxfId="846"/>
    <tableColumn id="4" xr3:uid="{F53DF2CC-9519-4C02-8E52-A4DA9A868D43}" name="Industry Emission Factor" dataDxfId="845" totalsRowDxfId="844">
      <calculatedColumnFormula array="1">IFERROR(
INDEX(
INDEX(factor_eff_table[], , MATCH(industry_type, factor_eff_table[#Headers], 0)),
MATCH(1, INDEX((standard_components_181[[#This Row],[Component]]=factor_eff_table[Component])*(standard_components_181[[#This Row],[Service]]=factor_eff_table[Service]), 0, 1), 0)),
 "-")</calculatedColumnFormula>
    </tableColumn>
    <tableColumn id="5" xr3:uid="{F93DFA32-BA31-4DE4-9C07-D3027C1DCDC7}" name="Instrument Monitoring LDAR Control Efficiency" dataDxfId="843" totalsRowDxfId="842">
      <calculatedColumnFormula array="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calculatedColumnFormula>
    </tableColumn>
    <tableColumn id="6" xr3:uid="{CF3B62E0-7F39-4C25-BA04-D7CA00B61F63}" name="Connector Monitoring LDAR Control Efficiency" dataDxfId="841" totalsRowDxfId="840">
      <calculatedColumnFormula array="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calculatedColumnFormula>
    </tableColumn>
    <tableColumn id="7" xr3:uid="{2F02B49D-D2BD-4C55-AAAC-293358D590F7}" name="Physical Inspection LDAR Control Efficiency" dataDxfId="839" totalsRowDxfId="838">
      <calculatedColumnFormula array="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calculatedColumnFormula>
    </tableColumn>
    <tableColumn id="9" xr3:uid="{269FD338-F0B5-47A7-909A-1413F6B4DE86}" name="Controlled_x000a_lb/hr" totalsRowFunction="sum" dataDxfId="837" totalsRowDxfId="836">
      <calculatedColumnFormula>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calculatedColumnFormula>
    </tableColumn>
    <tableColumn id="10" xr3:uid="{751B933A-A0FE-4DB4-B895-1A1F9CDB5DB5}" name="Controlled_x000a_tpy" totalsRowFunction="sum" dataDxfId="835" totalsRowDxfId="834">
      <calculatedColumnFormula>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calculatedColumnFormula>
    </tableColumn>
  </tableColumns>
  <tableStyleInfo name="Table Style 1" showFirstColumn="0" showLastColumn="0" showRowStripes="0"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D7FA7F4-86B4-41A7-9A37-2DF1307852BB}" name="unique_components_182" displayName="unique_components_182" ref="A106:G127" totalsRowCount="1" headerRowDxfId="833" dataDxfId="831" totalsRowDxfId="829" headerRowBorderDxfId="832" tableBorderDxfId="830" totalsRowBorderDxfId="828">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19C2090-CCED-4507-A51F-5AB46A553534}" name="Component" totalsRowLabel="Total Component Count, Total Emission Rate (lbs/hr and tpy)" dataDxfId="827" totalsRowDxfId="826"/>
    <tableColumn id="2" xr3:uid="{90AC7E73-2DCF-4722-AB52-DE679FC3E970}" name="Service" dataDxfId="825" totalsRowDxfId="824"/>
    <tableColumn id="3" xr3:uid="{02110E82-4F57-4F14-AE5D-CDFC097A956B}" name="Count" totalsRowFunction="sum" dataDxfId="823" totalsRowDxfId="822"/>
    <tableColumn id="5" xr3:uid="{7A8A9509-2F03-4FA4-90CE-B5BECB6970B3}" name="Proposed Emission Factor" dataDxfId="821" totalsRowDxfId="820"/>
    <tableColumn id="7" xr3:uid="{10F38B02-BC29-4E66-8017-F61DCD49827C}" name="Proposed Control Efficiency" dataDxfId="819" totalsRowDxfId="818"/>
    <tableColumn id="9" xr3:uid="{0FA6C442-5319-4118-9DDD-B1738DBEC95B}" name="Controlled lb/hr" totalsRowFunction="sum" dataDxfId="817" totalsRowDxfId="816">
      <calculatedColumnFormula>unique_components_182[[#This Row],[Count]]*unique_components_182[[#This Row],[Proposed Emission Factor]]*(1-unique_components_182[[#This Row],[Proposed Control Efficiency]])</calculatedColumnFormula>
    </tableColumn>
    <tableColumn id="10" xr3:uid="{0AAF68E6-28A2-4369-9533-319E12DB8B54}" name="Controlled_x000a_tpy" totalsRowFunction="sum" dataDxfId="815" totalsRowDxfId="814">
      <calculatedColumnFormula>IFERROR(unique_components_182[[#This Row],[Controlled lb/hr]]*4.38,"")</calculatedColumnFormula>
    </tableColumn>
  </tableColumns>
  <tableStyleInfo name="Table Style 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803DD9A-E8E7-46DE-A804-10629A813772}" name="speciated_chemicals_183" displayName="speciated_chemicals_183" ref="A130:J181" totalsRowCount="1" headerRowDxfId="813" dataDxfId="811" totalsRowDxfId="809" headerRowBorderDxfId="812" tableBorderDxfId="810" totalsRowBorderDxfId="808">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A26CC33-7FE4-48BC-9372-915D14E521AF}" name="CAS #" totalsRowLabel="Total Weight Percent, Hourly Emissions and Annual Emissions (excluding Inert / Not a Contaminant)" dataDxfId="807" totalsRowDxfId="806"/>
    <tableColumn id="2" xr3:uid="{F46A820B-E912-4294-BCA2-7679BC67BA7F}" name="Chemical Constituent" dataDxfId="805" totalsRowDxfId="804">
      <calculatedColumnFormula>IFERROR(VLOOKUP(speciated_chemicals_183[[#This Row],[CAS '#]],species[],MATCH("Substance", species[#Headers], 0),FALSE),"No CAS Number Entered")</calculatedColumnFormula>
    </tableColumn>
    <tableColumn id="5" xr3:uid="{418FEC6B-B085-4984-83DA-146890CF3356}" name="Other Species?" dataDxfId="803" totalsRowDxfId="802"/>
    <tableColumn id="4" xr3:uid="{994DD5E6-B2AA-4650-8B14-C5D4DF576565}" name="VOC?" dataDxfId="801" totalsRowDxfId="800"/>
    <tableColumn id="3" xr3:uid="{6699040D-E789-477F-A6F1-1FDA40B41B1A}" name="Inorganic?" dataDxfId="799" totalsRowDxfId="798"/>
    <tableColumn id="10" xr3:uid="{BFE254BA-4ADF-4DA3-9F75-0E6F1CE84188}" name="VOC-Exempt Solvent?" dataDxfId="797" totalsRowDxfId="796"/>
    <tableColumn id="6" xr3:uid="{AE4E8A3A-D8F2-4394-9211-E1BD704DF8FE}" name="Inert / Not a Contaminant?" dataDxfId="795" totalsRowDxfId="794"/>
    <tableColumn id="7" xr3:uid="{FB0F249E-58D4-46ED-ADAF-79BAB2E2FB99}" name="Weight Percent" totalsRowFunction="sum" dataDxfId="793" totalsRowDxfId="792"/>
    <tableColumn id="8" xr3:uid="{175B4974-1996-460D-9D6A-0B20F4FF805E}" name="lb/hr" totalsRowFunction="sum" dataDxfId="791" totalsRowDxfId="790">
      <calculatedColumnFormula>IF(speciated_chemicals_183[[#This Row],[Inert / Not a Contaminant?]]="Yes", 0, speciated_chemicals_183[[#This Row],[Weight Percent]]*(unique_components_182[[#Totals],[Controlled lb/hr]]+standard_components_181[[#Totals],[Controlled
lb/hr]]))</calculatedColumnFormula>
    </tableColumn>
    <tableColumn id="9" xr3:uid="{91B65576-558D-46DB-9CFD-AB8B338EA36D}" name="tpy" totalsRowFunction="sum" dataDxfId="789" totalsRowDxfId="788">
      <calculatedColumnFormula>IF(speciated_chemicals_183[[#This Row],[Inert / Not a Contaminant?]]="Yes", 0, speciated_chemicals_183[[#This Row],[Weight Percent]]*(unique_components_182[[#Totals],[Controlled
tpy]]+standard_components_181[[#Totals],[Controlled
tpy]]))</calculatedColumnFormula>
    </tableColumn>
  </tableColumns>
  <tableStyleInfo name="Table Style 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CA378A1A-65C3-4AF3-A369-98775C2A9FA2}" name="speciated_ghg_184" displayName="speciated_ghg_184" ref="A184:F204" totalsRowCount="1" headerRowDxfId="787" dataDxfId="785" totalsRowDxfId="783" headerRowBorderDxfId="786" tableBorderDxfId="784" totalsRowBorderDxfId="782">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EC2D6B33-8FED-4C69-B415-FC6FD1E7A7EC}" name="CAS #" totalsRowLabel="Total GHG Emissions (Mass Basis and Carbon dioxide-equivalent Basis)" dataDxfId="781" totalsRowDxfId="780"/>
    <tableColumn id="2" xr3:uid="{923A2FED-BD6A-47CF-BEE3-6FBD2002D991}" name="Chemical Constituent Name" dataDxfId="779" totalsRowDxfId="778">
      <calculatedColumnFormula>IFERROR(INDEX(gwp_table[], MATCH(speciated_ghg_184[[#This Row],[CAS '#]], gwp_table[CAS No.], 0), MATCH("Name", gwp_table[#Headers], 0)),"No CAS Number Entered")</calculatedColumnFormula>
    </tableColumn>
    <tableColumn id="3" xr3:uid="{B122E337-E9C8-4F48-93A8-FECF46957A65}" name="Global Warming Potential (GWP)" dataDxfId="777" totalsRowDxfId="776">
      <calculatedColumnFormula>IFERROR(INDEX(gwp_table[], MATCH(speciated_ghg_184[[#This Row],[CAS '#]], gwp_table[CAS No.], 0), MATCH("Global warming potential", gwp_table[#Headers], 0)),"No CAS Number Entered")</calculatedColumnFormula>
    </tableColumn>
    <tableColumn id="4" xr3:uid="{677A78C6-08F9-40A1-BDF1-73AB0A372DD4}" name="Weight Percent" dataDxfId="775" totalsRowDxfId="774"/>
    <tableColumn id="10" xr3:uid="{55FECF83-E448-4802-BACB-2075F7025B5C}" name="Mass Emissions (U.S. tons per year)" totalsRowFunction="sum" dataDxfId="773" totalsRowDxfId="772">
      <calculatedColumnFormula>IFERROR(speciated_ghg_184[[#This Row],[Weight Percent]]*(unique_components_182[[#Totals],[Controlled
tpy]]+standard_components_181[[#Totals],[Controlled
tpy]]), "-")</calculatedColumnFormula>
    </tableColumn>
    <tableColumn id="6" xr3:uid="{C000E4BF-A37C-4DF9-9DD5-F7E6FC69247F}" name="CO2e Emissions (U.S. tons per year)" totalsRowFunction="sum" dataDxfId="771" totalsRowDxfId="770">
      <calculatedColumnFormula>IFERROR(speciated_ghg_184[[#This Row],[Mass Emissions (U.S. tons per year)]]*speciated_ghg_184[[#This Row],[Global Warming Potential (GWP)]], "-")</calculatedColumnFormula>
    </tableColumn>
  </tableColumns>
  <tableStyleInfo name="Table Style 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DF80DB6-F854-4BB0-9F8C-F0C7FD7CADD2}" name="standard_components_185" displayName="standard_components_185" ref="A24:I101" totalsRowCount="1" headerRowDxfId="764" dataDxfId="762" totalsRowDxfId="760" headerRowBorderDxfId="763" tableBorderDxfId="761" totalsRowBorderDxfId="759">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815EC10-FC7C-40F6-A3A0-12311ED91F41}" name="Component" totalsRowLabel="Total Count, Total Emission Rates (lbs/hr and tpy)" dataDxfId="758" totalsRowDxfId="757">
      <calculatedColumnFormula array="1">IFERROR(INDEX(INDEX(component_service_names[], , MATCH(VLOOKUP(industry_type, industry_column_names[], 2, FALSE), component_service_names[#Headers], 0)), ROW($A1)), "-")</calculatedColumnFormula>
    </tableColumn>
    <tableColumn id="2" xr3:uid="{442F49B6-BEAD-4E38-9CCD-F9D036219E07}" name="Service" dataDxfId="756" totalsRowDxfId="755">
      <calculatedColumnFormula array="1">IFERROR(INDEX(INDEX(component_service_names[], , MATCH(VLOOKUP(industry_type, industry_column_names[], 3, FALSE), component_service_names[#Headers], 0)), ROW($A1)), "-")</calculatedColumnFormula>
    </tableColumn>
    <tableColumn id="3" xr3:uid="{2FA3D643-BF62-42B0-957F-B2B856446915}" name="Count" totalsRowFunction="sum" dataDxfId="754" totalsRowDxfId="753"/>
    <tableColumn id="4" xr3:uid="{144C905B-4EED-4791-8E1D-DCF49FEED4E3}" name="Industry Emission Factor" dataDxfId="752" totalsRowDxfId="751">
      <calculatedColumnFormula array="1">IFERROR(
INDEX(
INDEX(factor_eff_table[], , MATCH(industry_type, factor_eff_table[#Headers], 0)),
MATCH(1, INDEX((standard_components_185[[#This Row],[Component]]=factor_eff_table[Component])*(standard_components_185[[#This Row],[Service]]=factor_eff_table[Service]), 0, 1), 0)),
 "-")</calculatedColumnFormula>
    </tableColumn>
    <tableColumn id="5" xr3:uid="{0BA3508C-091A-45D4-9430-66E009BD8242}" name="Instrument Monitoring LDAR Control Efficiency" dataDxfId="750" totalsRowDxfId="749">
      <calculatedColumnFormula array="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calculatedColumnFormula>
    </tableColumn>
    <tableColumn id="6" xr3:uid="{576871F4-8993-4CC3-8848-839419439AAA}" name="Connector Monitoring LDAR Control Efficiency" dataDxfId="748" totalsRowDxfId="747">
      <calculatedColumnFormula array="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calculatedColumnFormula>
    </tableColumn>
    <tableColumn id="7" xr3:uid="{9E093D36-250D-4A32-955B-3ECB8BEA725B}" name="Physical Inspection LDAR Control Efficiency" dataDxfId="746" totalsRowDxfId="745">
      <calculatedColumnFormula array="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calculatedColumnFormula>
    </tableColumn>
    <tableColumn id="9" xr3:uid="{FA11B256-B715-4A54-969B-CA0436FFF719}" name="Controlled_x000a_lb/hr" totalsRowFunction="sum" dataDxfId="744" totalsRowDxfId="743">
      <calculatedColumnFormula>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calculatedColumnFormula>
    </tableColumn>
    <tableColumn id="10" xr3:uid="{1CB51DBB-85A4-44A6-B39D-C68951F6435D}" name="Controlled_x000a_tpy" totalsRowFunction="sum" dataDxfId="742" totalsRowDxfId="741">
      <calculatedColumnFormula>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calculatedColumnFormula>
    </tableColumn>
  </tableColumns>
  <tableStyleInfo name="Table Style 1" showFirstColumn="0" showLastColumn="0" showRowStripes="0"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B16E801-68C7-4A74-8386-95C22919E8F4}" name="unique_components_186" displayName="unique_components_186" ref="A106:G127" totalsRowCount="1" headerRowDxfId="740" dataDxfId="738" totalsRowDxfId="736" headerRowBorderDxfId="739" tableBorderDxfId="737" totalsRowBorderDxfId="735">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197E304-9972-4EFB-93F1-839AC494362A}" name="Component" totalsRowLabel="Total Component Count, Total Emission Rate (lbs/hr and tpy)" dataDxfId="734" totalsRowDxfId="733"/>
    <tableColumn id="2" xr3:uid="{F5B25628-1EC5-49DA-B81B-AF5087328684}" name="Service" dataDxfId="732" totalsRowDxfId="731"/>
    <tableColumn id="3" xr3:uid="{B24E0B8C-1124-4A26-B32A-ED270334F830}" name="Count" totalsRowFunction="sum" dataDxfId="730" totalsRowDxfId="729"/>
    <tableColumn id="5" xr3:uid="{51EA736E-57DA-4ECE-9860-F1F7453D9B4F}" name="Proposed Emission Factor" dataDxfId="728" totalsRowDxfId="727"/>
    <tableColumn id="7" xr3:uid="{879F46A6-C7FF-403B-80F3-1AEA734BBBD9}" name="Proposed Control Efficiency" dataDxfId="726" totalsRowDxfId="725"/>
    <tableColumn id="9" xr3:uid="{EFE0576C-FE3A-4C76-B2E9-AC4EFB86ABC4}" name="Controlled lb/hr" totalsRowFunction="sum" dataDxfId="724" totalsRowDxfId="723">
      <calculatedColumnFormula>unique_components_186[[#This Row],[Count]]*unique_components_186[[#This Row],[Proposed Emission Factor]]*(1-unique_components_186[[#This Row],[Proposed Control Efficiency]])</calculatedColumnFormula>
    </tableColumn>
    <tableColumn id="10" xr3:uid="{9EDA3B12-AC4E-4AA2-ADF5-9F5DF7D5D36F}" name="Controlled_x000a_tpy" totalsRowFunction="sum" dataDxfId="722" totalsRowDxfId="721">
      <calculatedColumnFormula>IFERROR(unique_components_186[[#This Row],[Controlled lb/hr]]*4.38,"")</calculatedColumnFormula>
    </tableColumn>
  </tableColumns>
  <tableStyleInfo name="Table Style 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15358F76-3B08-4989-83B0-09315695695F}" name="speciated_chemicals_187" displayName="speciated_chemicals_187" ref="A130:J181" totalsRowCount="1" headerRowDxfId="720" dataDxfId="718" totalsRowDxfId="716" headerRowBorderDxfId="719" tableBorderDxfId="717" totalsRowBorderDxfId="715">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5082E37-600B-475C-9A3D-4096A590E9A6}" name="CAS #" totalsRowLabel="Total Weight Percent, Hourly Emissions and Annual Emissions (excluding Inert / Not a Contaminant)" dataDxfId="714" totalsRowDxfId="713"/>
    <tableColumn id="2" xr3:uid="{18D1B89D-388C-4825-BDCD-C658C94E5CB2}" name="Chemical Constituent" dataDxfId="712" totalsRowDxfId="711">
      <calculatedColumnFormula>IFERROR(VLOOKUP(speciated_chemicals_187[[#This Row],[CAS '#]],species[],MATCH("Substance", species[#Headers], 0),FALSE),"No CAS Number Entered")</calculatedColumnFormula>
    </tableColumn>
    <tableColumn id="5" xr3:uid="{F05DF875-038C-484B-94EA-C02A42A900BA}" name="Other Species?" dataDxfId="710" totalsRowDxfId="709"/>
    <tableColumn id="4" xr3:uid="{E672B742-DF25-4E81-AF05-9662229DD704}" name="VOC?" dataDxfId="708" totalsRowDxfId="707"/>
    <tableColumn id="3" xr3:uid="{5F19DA01-7080-4576-BB27-EFD5758C6110}" name="Inorganic?" dataDxfId="706" totalsRowDxfId="705"/>
    <tableColumn id="10" xr3:uid="{1CA55857-626B-4D61-96BA-CC1F323B8E6D}" name="VOC-Exempt Solvent?" dataDxfId="704" totalsRowDxfId="703"/>
    <tableColumn id="6" xr3:uid="{503E970B-091B-42D5-AFA1-99F98B6AE3AA}" name="Inert / Not a Contaminant?" dataDxfId="702" totalsRowDxfId="701"/>
    <tableColumn id="7" xr3:uid="{4E100E9C-C7B8-4D64-8906-2C3E1F3893EA}" name="Weight Percent" totalsRowFunction="sum" dataDxfId="700" totalsRowDxfId="699"/>
    <tableColumn id="8" xr3:uid="{F68AD5E5-F46E-4C83-AE08-22C7E00BF701}" name="lb/hr" totalsRowFunction="sum" dataDxfId="698" totalsRowDxfId="697">
      <calculatedColumnFormula>IF(speciated_chemicals_187[[#This Row],[Inert / Not a Contaminant?]]="Yes", 0, speciated_chemicals_187[[#This Row],[Weight Percent]]*(unique_components_186[[#Totals],[Controlled lb/hr]]+standard_components_185[[#Totals],[Controlled
lb/hr]]))</calculatedColumnFormula>
    </tableColumn>
    <tableColumn id="9" xr3:uid="{C2F5F20B-4858-4D3D-BF98-B9F3866706BD}" name="tpy" totalsRowFunction="sum" dataDxfId="696" totalsRowDxfId="695">
      <calculatedColumnFormula>IF(speciated_chemicals_187[[#This Row],[Inert / Not a Contaminant?]]="Yes", 0, speciated_chemicals_187[[#This Row],[Weight Percent]]*(unique_components_186[[#Totals],[Controlled
tpy]]+standard_components_185[[#Totals],[Controlled
tpy]]))</calculatedColumnFormula>
    </tableColumn>
  </tableColumns>
  <tableStyleInfo name="Table Style 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6A1A29C-353C-4BC6-B863-CB441E509705}" name="speciated_ghg_188" displayName="speciated_ghg_188" ref="A184:F204" totalsRowCount="1" headerRowDxfId="694" dataDxfId="692" totalsRowDxfId="690" headerRowBorderDxfId="693" tableBorderDxfId="691" totalsRowBorderDxfId="689">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0358D023-F07A-4712-B468-6A891C6C31BE}" name="CAS #" totalsRowLabel="Total GHG Emissions (Mass Basis and Carbon dioxide-equivalent Basis)" dataDxfId="688" totalsRowDxfId="687"/>
    <tableColumn id="2" xr3:uid="{06C6D401-E3C6-4385-80AA-F20804C510EF}" name="Chemical Constituent Name" dataDxfId="686" totalsRowDxfId="685">
      <calculatedColumnFormula>IFERROR(INDEX(gwp_table[], MATCH(speciated_ghg_188[[#This Row],[CAS '#]], gwp_table[CAS No.], 0), MATCH("Name", gwp_table[#Headers], 0)),"No CAS Number Entered")</calculatedColumnFormula>
    </tableColumn>
    <tableColumn id="3" xr3:uid="{AE50B539-3BDF-41DE-9BFC-FDEEB733719A}" name="Global Warming Potential (GWP)" dataDxfId="684" totalsRowDxfId="683">
      <calculatedColumnFormula>IFERROR(INDEX(gwp_table[], MATCH(speciated_ghg_188[[#This Row],[CAS '#]], gwp_table[CAS No.], 0), MATCH("Global warming potential", gwp_table[#Headers], 0)),"No CAS Number Entered")</calculatedColumnFormula>
    </tableColumn>
    <tableColumn id="4" xr3:uid="{DBDA30FE-E2F7-4D62-9A8D-FB0728F380E2}" name="Weight Percent" dataDxfId="682" totalsRowDxfId="681"/>
    <tableColumn id="10" xr3:uid="{E7402F1A-578A-413E-9E6D-BAC63213AA62}" name="Mass Emissions (U.S. tons per year)" totalsRowFunction="sum" dataDxfId="680" totalsRowDxfId="679">
      <calculatedColumnFormula>IFERROR(speciated_ghg_188[[#This Row],[Weight Percent]]*(unique_components_186[[#Totals],[Controlled
tpy]]+standard_components_185[[#Totals],[Controlled
tpy]]), "-")</calculatedColumnFormula>
    </tableColumn>
    <tableColumn id="6" xr3:uid="{E7D21E63-35A9-435D-821C-AABC7D6DF058}" name="CO2e Emissions (U.S. tons per year)" totalsRowFunction="sum" dataDxfId="678" totalsRowDxfId="677">
      <calculatedColumnFormula>IFERROR(speciated_ghg_188[[#This Row],[Mass Emissions (U.S. tons per year)]]*speciated_ghg_188[[#This Row],[Global Warming Potential (GWP)]], "-")</calculatedColumnFormula>
    </tableColumn>
  </tableColumns>
  <tableStyleInfo name="Table Style 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5E28D51E-0309-4C7B-A391-97330E0DA40A}" name="standard_components_189" displayName="standard_components_189" ref="A24:I101" totalsRowCount="1" headerRowDxfId="671" dataDxfId="669" totalsRowDxfId="667" headerRowBorderDxfId="670" tableBorderDxfId="668" totalsRowBorderDxfId="666">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8FB6985-C3E8-4167-997A-A544876E2D01}" name="Component" totalsRowLabel="Total Count, Total Emission Rates (lbs/hr and tpy)" dataDxfId="665" totalsRowDxfId="664">
      <calculatedColumnFormula array="1">IFERROR(INDEX(INDEX(component_service_names[], , MATCH(VLOOKUP(industry_type, industry_column_names[], 2, FALSE), component_service_names[#Headers], 0)), ROW($A1)), "-")</calculatedColumnFormula>
    </tableColumn>
    <tableColumn id="2" xr3:uid="{937B58AF-A09E-4D1A-84E6-7EE7403D6D6C}" name="Service" dataDxfId="663" totalsRowDxfId="662">
      <calculatedColumnFormula array="1">IFERROR(INDEX(INDEX(component_service_names[], , MATCH(VLOOKUP(industry_type, industry_column_names[], 3, FALSE), component_service_names[#Headers], 0)), ROW($A1)), "-")</calculatedColumnFormula>
    </tableColumn>
    <tableColumn id="3" xr3:uid="{1D184C1B-4303-419A-B7A1-34200A139C9B}" name="Count" totalsRowFunction="sum" dataDxfId="661" totalsRowDxfId="660"/>
    <tableColumn id="4" xr3:uid="{44231423-7F02-4418-9A67-05FB41561D45}" name="Industry Emission Factor" dataDxfId="659" totalsRowDxfId="658">
      <calculatedColumnFormula array="1">IFERROR(
INDEX(
INDEX(factor_eff_table[], , MATCH(industry_type, factor_eff_table[#Headers], 0)),
MATCH(1, INDEX((standard_components_189[[#This Row],[Component]]=factor_eff_table[Component])*(standard_components_189[[#This Row],[Service]]=factor_eff_table[Service]), 0, 1), 0)),
 "-")</calculatedColumnFormula>
    </tableColumn>
    <tableColumn id="5" xr3:uid="{D1E81852-ADAE-4E5F-9E3C-C97102B2ADD8}" name="Instrument Monitoring LDAR Control Efficiency" dataDxfId="657" totalsRowDxfId="656">
      <calculatedColumnFormula array="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calculatedColumnFormula>
    </tableColumn>
    <tableColumn id="6" xr3:uid="{D4D21D61-A78B-4B7E-A80A-AB472694A09B}" name="Connector Monitoring LDAR Control Efficiency" dataDxfId="655" totalsRowDxfId="654">
      <calculatedColumnFormula array="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calculatedColumnFormula>
    </tableColumn>
    <tableColumn id="7" xr3:uid="{334B2CFF-CC05-49A0-A582-46784958B9DE}" name="Physical Inspection LDAR Control Efficiency" dataDxfId="653" totalsRowDxfId="652">
      <calculatedColumnFormula array="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calculatedColumnFormula>
    </tableColumn>
    <tableColumn id="9" xr3:uid="{8FD9EAD7-7648-4606-995C-5EB902ED7C24}" name="Controlled_x000a_lb/hr" totalsRowFunction="sum" dataDxfId="651" totalsRowDxfId="650">
      <calculatedColumnFormula>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calculatedColumnFormula>
    </tableColumn>
    <tableColumn id="10" xr3:uid="{DF49881F-939C-4014-AF7C-4FF7E5B799F0}" name="Controlled_x000a_tpy" totalsRowFunction="sum" dataDxfId="649" totalsRowDxfId="648">
      <calculatedColumnFormula>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calculatedColumnFormula>
    </tableColumn>
  </tableColumns>
  <tableStyleInfo name="Table Style 1" showFirstColumn="0" showLastColumn="0" showRowStripes="0"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9E71E9A-FD73-4FA1-A93F-8E53FFF304D8}" name="unique_components_190" displayName="unique_components_190" ref="A106:G127" totalsRowCount="1" headerRowDxfId="647" dataDxfId="645" totalsRowDxfId="643" headerRowBorderDxfId="646" tableBorderDxfId="644" totalsRowBorderDxfId="642">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A20793-96DC-4278-B3C5-CDD65407D97D}" name="Component" totalsRowLabel="Total Component Count, Total Emission Rate (lbs/hr and tpy)" dataDxfId="641" totalsRowDxfId="640"/>
    <tableColumn id="2" xr3:uid="{978093B8-2BEA-4B4D-B225-E3099D6EA77B}" name="Service" dataDxfId="639" totalsRowDxfId="638"/>
    <tableColumn id="3" xr3:uid="{A4E47B1B-3C3D-4E34-BBA7-FDCAEFF5EEDA}" name="Count" totalsRowFunction="sum" dataDxfId="637" totalsRowDxfId="636"/>
    <tableColumn id="5" xr3:uid="{509BC6C1-4284-49EA-B058-EF6083F78D08}" name="Proposed Emission Factor" dataDxfId="635" totalsRowDxfId="634"/>
    <tableColumn id="7" xr3:uid="{1EC8624F-5791-4B6C-BE76-045BCE0CAD56}" name="Proposed Control Efficiency" dataDxfId="633" totalsRowDxfId="632"/>
    <tableColumn id="9" xr3:uid="{CA02B23A-A68A-4D0B-B4C1-C62EFD5F8D5C}" name="Controlled lb/hr" totalsRowFunction="sum" dataDxfId="631" totalsRowDxfId="630">
      <calculatedColumnFormula>unique_components_190[[#This Row],[Count]]*unique_components_190[[#This Row],[Proposed Emission Factor]]*(1-unique_components_190[[#This Row],[Proposed Control Efficiency]])</calculatedColumnFormula>
    </tableColumn>
    <tableColumn id="10" xr3:uid="{37508176-0F74-4DCE-BA92-211AA7FEEFAE}" name="Controlled_x000a_tpy" totalsRowFunction="sum" dataDxfId="629" totalsRowDxfId="628">
      <calculatedColumnFormula>IFERROR(unique_components_190[[#This Row],[Controlled lb/hr]]*4.38,"")</calculatedColumnFormula>
    </tableColumn>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0AFD7A3-EA2D-46FE-B07D-A4C44095F115}" name="speciated_chemicals_18" displayName="speciated_chemicals_18" ref="A130:J181" totalsRowCount="1" headerRowDxfId="2301" dataDxfId="2299" totalsRowDxfId="2297" headerRowBorderDxfId="2300" tableBorderDxfId="2298" totalsRowBorderDxfId="2296">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BB08961-035C-4DB6-8385-8BDC03E679D2}" name="CAS #" totalsRowLabel="Total Weight Percent, Hourly Emissions and Annual Emissions (excluding Inert / Not a Contaminant)" dataDxfId="2295" totalsRowDxfId="2294"/>
    <tableColumn id="2" xr3:uid="{7ACCAFCC-ABE9-4D9F-8529-E4AA9CFF2C6F}" name="Chemical Constituent" dataDxfId="2293" totalsRowDxfId="2292">
      <calculatedColumnFormula>IFERROR(VLOOKUP(speciated_chemicals_18[[#This Row],[CAS '#]],species[],MATCH("Substance", species[#Headers], 0),FALSE),"No CAS Number Entered")</calculatedColumnFormula>
    </tableColumn>
    <tableColumn id="5" xr3:uid="{BD19DA46-20A4-4FF3-8D26-70D85E9E4032}" name="Other Species?" dataDxfId="2291" totalsRowDxfId="2290"/>
    <tableColumn id="4" xr3:uid="{A7596A64-DB30-4E9F-8962-490CD3A029DD}" name="VOC?" dataDxfId="2289" totalsRowDxfId="2288"/>
    <tableColumn id="3" xr3:uid="{D59D5522-59C0-42A4-927A-496AE644A8B2}" name="Inorganic?" dataDxfId="2287" totalsRowDxfId="2286"/>
    <tableColumn id="10" xr3:uid="{95C4597C-FEF3-4533-83E2-57D7C7DB8E0D}" name="VOC-Exempt Solvent?" dataDxfId="2285" totalsRowDxfId="2284"/>
    <tableColumn id="6" xr3:uid="{70659BDF-660E-487F-B531-E61FE81420DC}" name="Inert / Not a Contaminant?" dataDxfId="2283" totalsRowDxfId="2282"/>
    <tableColumn id="7" xr3:uid="{95DE484E-B3FA-4949-B106-3B985855C7A9}" name="Weight Percent" totalsRowFunction="sum" dataDxfId="2281" totalsRowDxfId="2280"/>
    <tableColumn id="8" xr3:uid="{4567E7E7-EEA9-4514-B94B-1DEAB9BF9B2F}" name="lb/hr" totalsRowFunction="sum" dataDxfId="2279" totalsRowDxfId="2278">
      <calculatedColumnFormula>IF(speciated_chemicals_18[[#This Row],[Inert / Not a Contaminant?]]="Yes", 0, speciated_chemicals_18[[#This Row],[Weight Percent]]*(unique_components_16[[#Totals],[Controlled lb/hr]]+standard_components_13[[#Totals],[Controlled
lb/hr]]))</calculatedColumnFormula>
    </tableColumn>
    <tableColumn id="9" xr3:uid="{9F6F71AB-F91E-4EAC-A337-ECA6547339BE}" name="tpy" totalsRowFunction="sum" dataDxfId="2277" totalsRowDxfId="2276">
      <calculatedColumnFormula>IF(speciated_chemicals_18[[#This Row],[Inert / Not a Contaminant?]]="Yes", 0, speciated_chemicals_18[[#This Row],[Weight Percent]]*(unique_components_16[[#Totals],[Controlled
tpy]]+standard_components_13[[#Totals],[Controlled
tpy]]))</calculatedColumnFormula>
    </tableColumn>
  </tableColumns>
  <tableStyleInfo name="Table Style 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916741FE-CDD2-4814-A0DD-72CF661A140C}" name="speciated_chemicals_191" displayName="speciated_chemicals_191" ref="A130:J181" totalsRowCount="1" headerRowDxfId="627" dataDxfId="625" totalsRowDxfId="623" headerRowBorderDxfId="626" tableBorderDxfId="624" totalsRowBorderDxfId="622">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D6B43C8-DEE9-4F3A-8B02-1EF0F5A5B355}" name="CAS #" totalsRowLabel="Total Weight Percent, Hourly Emissions and Annual Emissions (excluding Inert / Not a Contaminant)" dataDxfId="621" totalsRowDxfId="620"/>
    <tableColumn id="2" xr3:uid="{5A7245CA-7148-49DC-895F-C4A7FBABCBDD}" name="Chemical Constituent" dataDxfId="619" totalsRowDxfId="618">
      <calculatedColumnFormula>IFERROR(VLOOKUP(speciated_chemicals_191[[#This Row],[CAS '#]],species[],MATCH("Substance", species[#Headers], 0),FALSE),"No CAS Number Entered")</calculatedColumnFormula>
    </tableColumn>
    <tableColumn id="5" xr3:uid="{5B2E6DC8-252F-4046-82DD-383A4AED324D}" name="Other Species?" dataDxfId="617" totalsRowDxfId="616"/>
    <tableColumn id="4" xr3:uid="{81571431-EEC9-427D-B703-37274555A886}" name="VOC?" dataDxfId="615" totalsRowDxfId="614"/>
    <tableColumn id="3" xr3:uid="{EC88DA86-EA5A-4A5A-965F-F25AC7EE99B4}" name="Inorganic?" dataDxfId="613" totalsRowDxfId="612"/>
    <tableColumn id="10" xr3:uid="{B7764B73-46B7-4176-B2C9-6879EC313207}" name="VOC-Exempt Solvent?" dataDxfId="611" totalsRowDxfId="610"/>
    <tableColumn id="6" xr3:uid="{243B4510-0920-494E-B6C6-15B4C4049AF3}" name="Inert / Not a Contaminant?" dataDxfId="609" totalsRowDxfId="608"/>
    <tableColumn id="7" xr3:uid="{96BA0EB7-151E-4A2D-95B2-2F26C3CF1EAB}" name="Weight Percent" totalsRowFunction="sum" dataDxfId="607" totalsRowDxfId="606"/>
    <tableColumn id="8" xr3:uid="{CBCD4F9E-8E95-4592-91D9-D98672ED2B1F}" name="lb/hr" totalsRowFunction="sum" dataDxfId="605" totalsRowDxfId="604">
      <calculatedColumnFormula>IF(speciated_chemicals_191[[#This Row],[Inert / Not a Contaminant?]]="Yes", 0, speciated_chemicals_191[[#This Row],[Weight Percent]]*(unique_components_190[[#Totals],[Controlled lb/hr]]+standard_components_189[[#Totals],[Controlled
lb/hr]]))</calculatedColumnFormula>
    </tableColumn>
    <tableColumn id="9" xr3:uid="{6105A3AB-1355-4677-BFB0-9AF35CF1F370}" name="tpy" totalsRowFunction="sum" dataDxfId="603" totalsRowDxfId="602">
      <calculatedColumnFormula>IF(speciated_chemicals_191[[#This Row],[Inert / Not a Contaminant?]]="Yes", 0, speciated_chemicals_191[[#This Row],[Weight Percent]]*(unique_components_190[[#Totals],[Controlled
tpy]]+standard_components_189[[#Totals],[Controlled
tpy]]))</calculatedColumnFormula>
    </tableColumn>
  </tableColumns>
  <tableStyleInfo name="Table Style 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63DEA541-9AC5-4943-B243-70766A4FBFA3}" name="speciated_ghg_192" displayName="speciated_ghg_192" ref="A184:F204" totalsRowCount="1" headerRowDxfId="601" dataDxfId="599" totalsRowDxfId="597" headerRowBorderDxfId="600" tableBorderDxfId="598" totalsRowBorderDxfId="596">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6D6F1D56-FE9F-4D7B-9636-DC8D1E98D952}" name="CAS #" totalsRowLabel="Total GHG Emissions (Mass Basis and Carbon dioxide-equivalent Basis)" dataDxfId="595" totalsRowDxfId="594"/>
    <tableColumn id="2" xr3:uid="{78928B8F-4B3A-417A-81E2-98A4B85AEA43}" name="Chemical Constituent Name" dataDxfId="593" totalsRowDxfId="592">
      <calculatedColumnFormula>IFERROR(INDEX(gwp_table[], MATCH(speciated_ghg_192[[#This Row],[CAS '#]], gwp_table[CAS No.], 0), MATCH("Name", gwp_table[#Headers], 0)),"No CAS Number Entered")</calculatedColumnFormula>
    </tableColumn>
    <tableColumn id="3" xr3:uid="{21C60D63-489E-4ECA-9A7A-42C69B76F2A9}" name="Global Warming Potential (GWP)" dataDxfId="591" totalsRowDxfId="590">
      <calculatedColumnFormula>IFERROR(INDEX(gwp_table[], MATCH(speciated_ghg_192[[#This Row],[CAS '#]], gwp_table[CAS No.], 0), MATCH("Global warming potential", gwp_table[#Headers], 0)),"No CAS Number Entered")</calculatedColumnFormula>
    </tableColumn>
    <tableColumn id="4" xr3:uid="{5B853095-36AE-4A5E-8D59-685CA9000412}" name="Weight Percent" dataDxfId="589" totalsRowDxfId="588"/>
    <tableColumn id="10" xr3:uid="{D0272D78-D1C3-4461-B825-D6ADED3CD8CC}" name="Mass Emissions (U.S. tons per year)" totalsRowFunction="sum" dataDxfId="587" totalsRowDxfId="586">
      <calculatedColumnFormula>IFERROR(speciated_ghg_192[[#This Row],[Weight Percent]]*(unique_components_190[[#Totals],[Controlled
tpy]]+standard_components_189[[#Totals],[Controlled
tpy]]), "-")</calculatedColumnFormula>
    </tableColumn>
    <tableColumn id="6" xr3:uid="{F30F7298-8E30-4785-AE68-1E66C37F17A8}" name="CO2e Emissions (U.S. tons per year)" totalsRowFunction="sum" dataDxfId="585" totalsRowDxfId="584">
      <calculatedColumnFormula>IFERROR(speciated_ghg_192[[#This Row],[Mass Emissions (U.S. tons per year)]]*speciated_ghg_192[[#This Row],[Global Warming Potential (GWP)]], "-")</calculatedColumnFormula>
    </tableColumn>
  </tableColumns>
  <tableStyleInfo name="Table Style 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72F3747-CB41-445C-9221-FB3C1849A5D0}" name="standard_components_193" displayName="standard_components_193" ref="A24:I101" totalsRowCount="1" headerRowDxfId="578" dataDxfId="576" totalsRowDxfId="574" headerRowBorderDxfId="577" tableBorderDxfId="575" totalsRowBorderDxfId="573">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8CE8B0C-19F2-492C-A597-F15A012CEFEA}" name="Component" totalsRowLabel="Total Count, Total Emission Rates (lbs/hr and tpy)" dataDxfId="572" totalsRowDxfId="571">
      <calculatedColumnFormula array="1">IFERROR(INDEX(INDEX(component_service_names[], , MATCH(VLOOKUP(industry_type, industry_column_names[], 2, FALSE), component_service_names[#Headers], 0)), ROW($A1)), "-")</calculatedColumnFormula>
    </tableColumn>
    <tableColumn id="2" xr3:uid="{DD705E7B-EB37-4510-9A52-5582DB4F7D89}" name="Service" dataDxfId="570" totalsRowDxfId="569">
      <calculatedColumnFormula array="1">IFERROR(INDEX(INDEX(component_service_names[], , MATCH(VLOOKUP(industry_type, industry_column_names[], 3, FALSE), component_service_names[#Headers], 0)), ROW($A1)), "-")</calculatedColumnFormula>
    </tableColumn>
    <tableColumn id="3" xr3:uid="{CFB47723-7ADA-4118-A469-908F5EF2DFB4}" name="Count" totalsRowFunction="sum" dataDxfId="568" totalsRowDxfId="567"/>
    <tableColumn id="4" xr3:uid="{2CD9B3D8-CB58-4E76-9148-0D7BEFCA5B52}" name="Industry Emission Factor" dataDxfId="566" totalsRowDxfId="565">
      <calculatedColumnFormula array="1">IFERROR(
INDEX(
INDEX(factor_eff_table[], , MATCH(industry_type, factor_eff_table[#Headers], 0)),
MATCH(1, INDEX((standard_components_193[[#This Row],[Component]]=factor_eff_table[Component])*(standard_components_193[[#This Row],[Service]]=factor_eff_table[Service]), 0, 1), 0)),
 "-")</calculatedColumnFormula>
    </tableColumn>
    <tableColumn id="5" xr3:uid="{445EF59F-3325-43FA-99C6-3F8B29418A74}" name="Instrument Monitoring LDAR Control Efficiency" dataDxfId="564" totalsRowDxfId="563">
      <calculatedColumnFormula array="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calculatedColumnFormula>
    </tableColumn>
    <tableColumn id="6" xr3:uid="{CF0B007B-F447-4D5E-A990-712177AB9EB3}" name="Connector Monitoring LDAR Control Efficiency" dataDxfId="562" totalsRowDxfId="561">
      <calculatedColumnFormula array="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calculatedColumnFormula>
    </tableColumn>
    <tableColumn id="7" xr3:uid="{E5063DBF-93B8-4AA1-9252-9088663F1756}" name="Physical Inspection LDAR Control Efficiency" dataDxfId="560" totalsRowDxfId="559">
      <calculatedColumnFormula array="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calculatedColumnFormula>
    </tableColumn>
    <tableColumn id="9" xr3:uid="{132B59D0-E4AB-4389-A540-A1A2D6DD2F47}" name="Controlled_x000a_lb/hr" totalsRowFunction="sum" dataDxfId="558" totalsRowDxfId="557">
      <calculatedColumnFormula>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calculatedColumnFormula>
    </tableColumn>
    <tableColumn id="10" xr3:uid="{47FCD294-13E2-43C6-9A6A-DC072C3D3261}" name="Controlled_x000a_tpy" totalsRowFunction="sum" dataDxfId="556" totalsRowDxfId="555">
      <calculatedColumnFormula>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calculatedColumnFormula>
    </tableColumn>
  </tableColumns>
  <tableStyleInfo name="Table Style 1" showFirstColumn="0" showLastColumn="0" showRowStripes="0"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69831AF0-3869-44AE-A28A-47AD0B35C947}" name="unique_components_194" displayName="unique_components_194" ref="A106:G127" totalsRowCount="1" headerRowDxfId="554" dataDxfId="552" totalsRowDxfId="550" headerRowBorderDxfId="553" tableBorderDxfId="551" totalsRowBorderDxfId="549">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E1093E-1DCA-46ED-A544-0A336F2D2BE6}" name="Component" totalsRowLabel="Total Component Count, Total Emission Rate (lbs/hr and tpy)" dataDxfId="548" totalsRowDxfId="547"/>
    <tableColumn id="2" xr3:uid="{EE855DED-78C0-484D-B3FA-89C05CAD4860}" name="Service" dataDxfId="546" totalsRowDxfId="545"/>
    <tableColumn id="3" xr3:uid="{F5430FB4-7651-4022-9796-CB587966C428}" name="Count" totalsRowFunction="sum" dataDxfId="544" totalsRowDxfId="543"/>
    <tableColumn id="5" xr3:uid="{6AC85880-B6E4-4C1B-B386-A1EC32D3FAB7}" name="Proposed Emission Factor" dataDxfId="542" totalsRowDxfId="541"/>
    <tableColumn id="7" xr3:uid="{F7CF2269-1E29-40DA-8BD4-CF05AA71D890}" name="Proposed Control Efficiency" dataDxfId="540" totalsRowDxfId="539"/>
    <tableColumn id="9" xr3:uid="{2D5B661D-C2CE-42C8-BD79-8CF424E1E730}" name="Controlled lb/hr" totalsRowFunction="sum" dataDxfId="538" totalsRowDxfId="537">
      <calculatedColumnFormula>unique_components_194[[#This Row],[Count]]*unique_components_194[[#This Row],[Proposed Emission Factor]]*(1-unique_components_194[[#This Row],[Proposed Control Efficiency]])</calculatedColumnFormula>
    </tableColumn>
    <tableColumn id="10" xr3:uid="{7D13A5D4-7C27-443A-AA43-11F6ADBBB2B6}" name="Controlled_x000a_tpy" totalsRowFunction="sum" dataDxfId="536" totalsRowDxfId="535">
      <calculatedColumnFormula>IFERROR(unique_components_194[[#This Row],[Controlled lb/hr]]*4.38,"")</calculatedColumnFormula>
    </tableColumn>
  </tableColumns>
  <tableStyleInfo name="Table Style 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491E696C-DDCB-4AB8-AE57-71E271757BFF}" name="speciated_chemicals_195" displayName="speciated_chemicals_195" ref="A130:J181" totalsRowCount="1" headerRowDxfId="534" dataDxfId="532" totalsRowDxfId="530" headerRowBorderDxfId="533" tableBorderDxfId="531" totalsRowBorderDxfId="529">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2F8EF5E-2BEB-498F-A8A8-2ED5BE33E9DA}" name="CAS #" totalsRowLabel="Total Weight Percent, Hourly Emissions and Annual Emissions (excluding Inert / Not a Contaminant)" dataDxfId="528" totalsRowDxfId="527"/>
    <tableColumn id="2" xr3:uid="{1428DD4A-1487-4819-A65F-5E42B1289D9A}" name="Chemical Constituent" dataDxfId="526" totalsRowDxfId="525">
      <calculatedColumnFormula>IFERROR(VLOOKUP(speciated_chemicals_195[[#This Row],[CAS '#]],species[],MATCH("Substance", species[#Headers], 0),FALSE),"No CAS Number Entered")</calculatedColumnFormula>
    </tableColumn>
    <tableColumn id="5" xr3:uid="{527427D2-8FCF-406A-A8B4-0C62A9B63557}" name="Other Species?" dataDxfId="524" totalsRowDxfId="523"/>
    <tableColumn id="4" xr3:uid="{BE45FF93-BF9C-487E-8F9A-015633FA2EB3}" name="VOC?" dataDxfId="522" totalsRowDxfId="521"/>
    <tableColumn id="3" xr3:uid="{C97A7821-4D54-40D6-847A-651935B6D646}" name="Inorganic?" dataDxfId="520" totalsRowDxfId="519"/>
    <tableColumn id="10" xr3:uid="{F33CA4F7-EDB0-4D1D-B0E0-85777A68D707}" name="VOC-Exempt Solvent?" dataDxfId="518" totalsRowDxfId="517"/>
    <tableColumn id="6" xr3:uid="{5F924797-27D6-4B85-BB33-9260FE70C835}" name="Inert / Not a Contaminant?" dataDxfId="516" totalsRowDxfId="515"/>
    <tableColumn id="7" xr3:uid="{9E0FBEDC-AFF0-45FF-A248-B60827D14502}" name="Weight Percent" totalsRowFunction="sum" dataDxfId="514" totalsRowDxfId="513"/>
    <tableColumn id="8" xr3:uid="{D1214C7E-A880-4BB0-960F-7D95F4AE7945}" name="lb/hr" totalsRowFunction="sum" dataDxfId="512" totalsRowDxfId="511">
      <calculatedColumnFormula>IF(speciated_chemicals_195[[#This Row],[Inert / Not a Contaminant?]]="Yes", 0, speciated_chemicals_195[[#This Row],[Weight Percent]]*(unique_components_194[[#Totals],[Controlled lb/hr]]+standard_components_193[[#Totals],[Controlled
lb/hr]]))</calculatedColumnFormula>
    </tableColumn>
    <tableColumn id="9" xr3:uid="{3F2B1639-6E87-4846-B135-264A79F193A6}" name="tpy" totalsRowFunction="sum" dataDxfId="510" totalsRowDxfId="509">
      <calculatedColumnFormula>IF(speciated_chemicals_195[[#This Row],[Inert / Not a Contaminant?]]="Yes", 0, speciated_chemicals_195[[#This Row],[Weight Percent]]*(unique_components_194[[#Totals],[Controlled
tpy]]+standard_components_193[[#Totals],[Controlled
tpy]]))</calculatedColumnFormula>
    </tableColumn>
  </tableColumns>
  <tableStyleInfo name="Table Style 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A5F0A9E4-DACB-4132-9ACA-7359C83AE2EE}" name="speciated_ghg_196" displayName="speciated_ghg_196" ref="A184:F204" totalsRowCount="1" headerRowDxfId="508" dataDxfId="506" totalsRowDxfId="504" headerRowBorderDxfId="507" tableBorderDxfId="505" totalsRowBorderDxfId="503">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4FABE8F8-801F-4697-A203-1755AE65D35A}" name="CAS #" totalsRowLabel="Total GHG Emissions (Mass Basis and Carbon dioxide-equivalent Basis)" dataDxfId="502" totalsRowDxfId="501"/>
    <tableColumn id="2" xr3:uid="{3EB11B42-CDD2-40EE-9FE1-5DAC4BB66B68}" name="Chemical Constituent Name" dataDxfId="500" totalsRowDxfId="499">
      <calculatedColumnFormula>IFERROR(INDEX(gwp_table[], MATCH(speciated_ghg_196[[#This Row],[CAS '#]], gwp_table[CAS No.], 0), MATCH("Name", gwp_table[#Headers], 0)),"No CAS Number Entered")</calculatedColumnFormula>
    </tableColumn>
    <tableColumn id="3" xr3:uid="{54586AFA-97D1-4385-A361-3BAB1A3874D9}" name="Global Warming Potential (GWP)" dataDxfId="498" totalsRowDxfId="497">
      <calculatedColumnFormula>IFERROR(INDEX(gwp_table[], MATCH(speciated_ghg_196[[#This Row],[CAS '#]], gwp_table[CAS No.], 0), MATCH("Global warming potential", gwp_table[#Headers], 0)),"No CAS Number Entered")</calculatedColumnFormula>
    </tableColumn>
    <tableColumn id="4" xr3:uid="{DBF7A0B5-208E-4796-91D0-937E0E0D2DD7}" name="Weight Percent" dataDxfId="496" totalsRowDxfId="495"/>
    <tableColumn id="10" xr3:uid="{0B8C6DE9-18EE-406E-95AC-6B9F2231228B}" name="Mass Emissions (U.S. tons per year)" totalsRowFunction="sum" dataDxfId="494" totalsRowDxfId="493">
      <calculatedColumnFormula>IFERROR(speciated_ghg_196[[#This Row],[Weight Percent]]*(unique_components_194[[#Totals],[Controlled
tpy]]+standard_components_193[[#Totals],[Controlled
tpy]]), "-")</calculatedColumnFormula>
    </tableColumn>
    <tableColumn id="6" xr3:uid="{50DB19EB-FAE8-4EE5-B798-0C876A30593F}" name="CO2e Emissions (U.S. tons per year)" totalsRowFunction="sum" dataDxfId="492" totalsRowDxfId="491">
      <calculatedColumnFormula>IFERROR(speciated_ghg_196[[#This Row],[Mass Emissions (U.S. tons per year)]]*speciated_ghg_196[[#This Row],[Global Warming Potential (GWP)]], "-")</calculatedColumnFormula>
    </tableColumn>
  </tableColumns>
  <tableStyleInfo name="Table Style 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BF6FB70D-EFB9-464E-9152-4BF36B2CF775}" name="standard_components_197" displayName="standard_components_197" ref="A24:I101" totalsRowCount="1" headerRowDxfId="485" dataDxfId="483" totalsRowDxfId="481" headerRowBorderDxfId="484" tableBorderDxfId="482" totalsRowBorderDxfId="480">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11F28BE-C86B-47B7-B810-B07582D6A304}" name="Component" totalsRowLabel="Total Count, Total Emission Rates (lbs/hr and tpy)" dataDxfId="479" totalsRowDxfId="478">
      <calculatedColumnFormula array="1">IFERROR(INDEX(INDEX(component_service_names[], , MATCH(VLOOKUP(industry_type, industry_column_names[], 2, FALSE), component_service_names[#Headers], 0)), ROW($A1)), "-")</calculatedColumnFormula>
    </tableColumn>
    <tableColumn id="2" xr3:uid="{878F5B40-BE57-4843-B50A-4852B5971762}" name="Service" dataDxfId="477" totalsRowDxfId="476">
      <calculatedColumnFormula array="1">IFERROR(INDEX(INDEX(component_service_names[], , MATCH(VLOOKUP(industry_type, industry_column_names[], 3, FALSE), component_service_names[#Headers], 0)), ROW($A1)), "-")</calculatedColumnFormula>
    </tableColumn>
    <tableColumn id="3" xr3:uid="{01176BDE-914B-416A-921F-8141240AD7BC}" name="Count" totalsRowFunction="sum" dataDxfId="475" totalsRowDxfId="474"/>
    <tableColumn id="4" xr3:uid="{499F7FA1-FF9B-42D2-8E6B-8E07D383525E}" name="Industry Emission Factor" dataDxfId="473" totalsRowDxfId="472">
      <calculatedColumnFormula array="1">IFERROR(
INDEX(
INDEX(factor_eff_table[], , MATCH(industry_type, factor_eff_table[#Headers], 0)),
MATCH(1, INDEX((standard_components_197[[#This Row],[Component]]=factor_eff_table[Component])*(standard_components_197[[#This Row],[Service]]=factor_eff_table[Service]), 0, 1), 0)),
 "-")</calculatedColumnFormula>
    </tableColumn>
    <tableColumn id="5" xr3:uid="{71C8359F-89C9-4F69-9690-6E65F2E0A7B9}" name="Instrument Monitoring LDAR Control Efficiency" dataDxfId="471" totalsRowDxfId="470">
      <calculatedColumnFormula array="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calculatedColumnFormula>
    </tableColumn>
    <tableColumn id="6" xr3:uid="{A514A160-1FFF-4AC4-B73B-CFDD1FFE6FA6}" name="Connector Monitoring LDAR Control Efficiency" dataDxfId="469" totalsRowDxfId="468">
      <calculatedColumnFormula array="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calculatedColumnFormula>
    </tableColumn>
    <tableColumn id="7" xr3:uid="{CA6461C9-A3D3-472D-B5AA-AED437EB4E54}" name="Physical Inspection LDAR Control Efficiency" dataDxfId="467" totalsRowDxfId="466">
      <calculatedColumnFormula array="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calculatedColumnFormula>
    </tableColumn>
    <tableColumn id="9" xr3:uid="{5F3B7B47-F9B5-4B2B-9C5B-378F9CC54F66}" name="Controlled_x000a_lb/hr" totalsRowFunction="sum" dataDxfId="465" totalsRowDxfId="464">
      <calculatedColumnFormula>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calculatedColumnFormula>
    </tableColumn>
    <tableColumn id="10" xr3:uid="{72724B3A-4812-4E05-AF90-9AECD050B01B}" name="Controlled_x000a_tpy" totalsRowFunction="sum" dataDxfId="463" totalsRowDxfId="462">
      <calculatedColumnFormula>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calculatedColumnFormula>
    </tableColumn>
  </tableColumns>
  <tableStyleInfo name="Table Style 1" showFirstColumn="0" showLastColumn="0" showRowStripes="0"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C4E13828-77FD-4C46-997B-1D77F04C75D2}" name="unique_components_198" displayName="unique_components_198" ref="A106:G127" totalsRowCount="1" headerRowDxfId="461" dataDxfId="459" totalsRowDxfId="457" headerRowBorderDxfId="460" tableBorderDxfId="458" totalsRowBorderDxfId="456">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C5DBEF-E48A-4417-8EC4-566C32A0774D}" name="Component" totalsRowLabel="Total Component Count, Total Emission Rate (lbs/hr and tpy)" dataDxfId="455" totalsRowDxfId="454"/>
    <tableColumn id="2" xr3:uid="{541586E3-E711-4D4D-A528-D57A6A8D70A2}" name="Service" dataDxfId="453" totalsRowDxfId="452"/>
    <tableColumn id="3" xr3:uid="{140D5A08-683A-49EB-BF72-1579A1BE6D54}" name="Count" totalsRowFunction="sum" dataDxfId="451" totalsRowDxfId="450"/>
    <tableColumn id="5" xr3:uid="{ABEEC5A8-962D-46CC-B6A8-EF3BB8E96BB6}" name="Proposed Emission Factor" dataDxfId="449" totalsRowDxfId="448"/>
    <tableColumn id="7" xr3:uid="{BE69525E-EE97-4E36-98D2-082BDC4CEB15}" name="Proposed Control Efficiency" dataDxfId="447" totalsRowDxfId="446"/>
    <tableColumn id="9" xr3:uid="{A775BBB1-9C69-4254-8B18-A7B4729570D7}" name="Controlled lb/hr" totalsRowFunction="sum" dataDxfId="445" totalsRowDxfId="444">
      <calculatedColumnFormula>unique_components_198[[#This Row],[Count]]*unique_components_198[[#This Row],[Proposed Emission Factor]]*(1-unique_components_198[[#This Row],[Proposed Control Efficiency]])</calculatedColumnFormula>
    </tableColumn>
    <tableColumn id="10" xr3:uid="{360C554D-E48E-48BA-8EF6-66647DB1BB0D}" name="Controlled_x000a_tpy" totalsRowFunction="sum" dataDxfId="443" totalsRowDxfId="442">
      <calculatedColumnFormula>IFERROR(unique_components_198[[#This Row],[Controlled lb/hr]]*4.38,"")</calculatedColumnFormula>
    </tableColumn>
  </tableColumns>
  <tableStyleInfo name="Table Style 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AB91FC7B-BACA-4370-98FE-82133AAF1D3E}" name="speciated_chemicals_199" displayName="speciated_chemicals_199" ref="A130:J181" totalsRowCount="1" headerRowDxfId="441" dataDxfId="439" totalsRowDxfId="437" headerRowBorderDxfId="440" tableBorderDxfId="438" totalsRowBorderDxfId="436">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D593D30-68DC-4E10-B7AB-D94395311B8E}" name="CAS #" totalsRowLabel="Total Weight Percent, Hourly Emissions and Annual Emissions (excluding Inert / Not a Contaminant)" dataDxfId="435" totalsRowDxfId="434"/>
    <tableColumn id="2" xr3:uid="{096FC81C-83B5-43EB-BF90-BB83EE467E8A}" name="Chemical Constituent" dataDxfId="433" totalsRowDxfId="432">
      <calculatedColumnFormula>IFERROR(VLOOKUP(speciated_chemicals_199[[#This Row],[CAS '#]],species[],MATCH("Substance", species[#Headers], 0),FALSE),"No CAS Number Entered")</calculatedColumnFormula>
    </tableColumn>
    <tableColumn id="5" xr3:uid="{9B20F3CA-9C56-4BDA-9621-8E53B8974613}" name="Other Species?" dataDxfId="431" totalsRowDxfId="430"/>
    <tableColumn id="4" xr3:uid="{7A745774-38C1-488E-B35D-E13B437B1825}" name="VOC?" dataDxfId="429" totalsRowDxfId="428"/>
    <tableColumn id="3" xr3:uid="{50D1D658-92B0-40C3-9273-CDA92C305DFE}" name="Inorganic?" dataDxfId="427" totalsRowDxfId="426"/>
    <tableColumn id="10" xr3:uid="{E957D356-235E-45B7-88E6-672891E56AC5}" name="VOC-Exempt Solvent?" dataDxfId="425" totalsRowDxfId="424"/>
    <tableColumn id="6" xr3:uid="{41A6D67C-BE0E-4932-8778-B7A99EFED3D6}" name="Inert / Not a Contaminant?" dataDxfId="423" totalsRowDxfId="422"/>
    <tableColumn id="7" xr3:uid="{BB143DB4-F82D-412F-9F2A-A2448DB0873D}" name="Weight Percent" totalsRowFunction="sum" dataDxfId="421" totalsRowDxfId="420"/>
    <tableColumn id="8" xr3:uid="{D6DCFC53-C5FB-40AF-8CCD-C84EC3127F9F}" name="lb/hr" totalsRowFunction="sum" dataDxfId="419" totalsRowDxfId="418">
      <calculatedColumnFormula>IF(speciated_chemicals_199[[#This Row],[Inert / Not a Contaminant?]]="Yes", 0, speciated_chemicals_199[[#This Row],[Weight Percent]]*(unique_components_198[[#Totals],[Controlled lb/hr]]+standard_components_197[[#Totals],[Controlled
lb/hr]]))</calculatedColumnFormula>
    </tableColumn>
    <tableColumn id="9" xr3:uid="{5BC8556E-3B18-445A-A43D-608F9DE86626}" name="tpy" totalsRowFunction="sum" dataDxfId="417" totalsRowDxfId="416">
      <calculatedColumnFormula>IF(speciated_chemicals_199[[#This Row],[Inert / Not a Contaminant?]]="Yes", 0, speciated_chemicals_199[[#This Row],[Weight Percent]]*(unique_components_198[[#Totals],[Controlled
tpy]]+standard_components_197[[#Totals],[Controlled
tpy]]))</calculatedColumnFormula>
    </tableColumn>
  </tableColumns>
  <tableStyleInfo name="Table Style 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ABBE441D-7DBB-436F-BD83-18BCEB5A21F5}" name="speciated_ghg_1100" displayName="speciated_ghg_1100" ref="A184:F204" totalsRowCount="1" headerRowDxfId="415" dataDxfId="413" totalsRowDxfId="411" headerRowBorderDxfId="414" tableBorderDxfId="412" totalsRowBorderDxfId="410">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BC4C51A8-B91A-4168-AD14-A8C50125F5D5}" name="CAS #" totalsRowLabel="Total GHG Emissions (Mass Basis and Carbon dioxide-equivalent Basis)" dataDxfId="409" totalsRowDxfId="408"/>
    <tableColumn id="2" xr3:uid="{86BC0097-16E3-40A7-8D4A-25CD93EFBE06}" name="Chemical Constituent Name" dataDxfId="407" totalsRowDxfId="406">
      <calculatedColumnFormula>IFERROR(INDEX(gwp_table[], MATCH(speciated_ghg_1100[[#This Row],[CAS '#]], gwp_table[CAS No.], 0), MATCH("Name", gwp_table[#Headers], 0)),"No CAS Number Entered")</calculatedColumnFormula>
    </tableColumn>
    <tableColumn id="3" xr3:uid="{2B664881-A3D4-4DC0-8012-E9BC05EE5CFE}" name="Global Warming Potential (GWP)" dataDxfId="405" totalsRowDxfId="404">
      <calculatedColumnFormula>IFERROR(INDEX(gwp_table[], MATCH(speciated_ghg_1100[[#This Row],[CAS '#]], gwp_table[CAS No.], 0), MATCH("Global warming potential", gwp_table[#Headers], 0)),"No CAS Number Entered")</calculatedColumnFormula>
    </tableColumn>
    <tableColumn id="4" xr3:uid="{E5FA0B2F-0AF1-4523-A6B1-1BEB8A99792E}" name="Weight Percent" dataDxfId="403" totalsRowDxfId="402"/>
    <tableColumn id="10" xr3:uid="{C77F26D0-D6A4-4175-8DCE-008D17ECB9F6}" name="Mass Emissions (U.S. tons per year)" totalsRowFunction="sum" dataDxfId="401" totalsRowDxfId="400">
      <calculatedColumnFormula>IFERROR(speciated_ghg_1100[[#This Row],[Weight Percent]]*(unique_components_198[[#Totals],[Controlled
tpy]]+standard_components_197[[#Totals],[Controlled
tpy]]), "-")</calculatedColumnFormula>
    </tableColumn>
    <tableColumn id="6" xr3:uid="{1971D96E-6108-4885-A0CD-850399A84CE6}" name="CO2e Emissions (U.S. tons per year)" totalsRowFunction="sum" dataDxfId="399" totalsRowDxfId="398">
      <calculatedColumnFormula>IFERROR(speciated_ghg_1100[[#This Row],[Mass Emissions (U.S. tons per year)]]*speciated_ghg_1100[[#This Row],[Global Warming Potential (GWP)]], "-")</calculatedColumnFormula>
    </tableColumn>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22AACB6-6097-4AA1-9629-C632F30B3502}" name="speciated_ghg_19" displayName="speciated_ghg_19" ref="A184:F204" totalsRowCount="1" headerRowDxfId="2275" dataDxfId="2273" totalsRowDxfId="2271" headerRowBorderDxfId="2274" tableBorderDxfId="2272" totalsRowBorderDxfId="2270">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49BF6BCF-D1CA-479E-9355-22F8E31D8D09}" name="CAS #" totalsRowLabel="Total GHG Emissions (Mass Basis and Carbon dioxide-equivalent Basis)" dataDxfId="2269" totalsRowDxfId="2268"/>
    <tableColumn id="2" xr3:uid="{9F9DA29C-6F39-447B-A7B9-9953AD93B37B}" name="Chemical Constituent Name" dataDxfId="2267" totalsRowDxfId="2266">
      <calculatedColumnFormula>IFERROR(INDEX(gwp_table[], MATCH(speciated_ghg_19[[#This Row],[CAS '#]], gwp_table[CAS No.], 0), MATCH("Name", gwp_table[#Headers], 0)),"No CAS Number Entered")</calculatedColumnFormula>
    </tableColumn>
    <tableColumn id="3" xr3:uid="{63783F10-7029-4045-974A-562DE1441589}" name="Global Warming Potential (GWP)" dataDxfId="2265" totalsRowDxfId="2264">
      <calculatedColumnFormula>IFERROR(INDEX(gwp_table[], MATCH(speciated_ghg_19[[#This Row],[CAS '#]], gwp_table[CAS No.], 0), MATCH("Global warming potential", gwp_table[#Headers], 0)),"No CAS Number Entered")</calculatedColumnFormula>
    </tableColumn>
    <tableColumn id="4" xr3:uid="{455F7FAF-0299-4AD9-ADCF-8D05958E14CD}" name="Weight Percent" dataDxfId="2263" totalsRowDxfId="2262"/>
    <tableColumn id="10" xr3:uid="{22115989-EF12-4D14-83CE-9C8784B4EBD7}" name="Mass Emissions (U.S. tons per year)" totalsRowFunction="sum" dataDxfId="2261" totalsRowDxfId="2260">
      <calculatedColumnFormula>IFERROR(speciated_ghg_19[[#This Row],[Weight Percent]]*(unique_components_16[[#Totals],[Controlled
tpy]]+standard_components_13[[#Totals],[Controlled
tpy]]), "-")</calculatedColumnFormula>
    </tableColumn>
    <tableColumn id="6" xr3:uid="{55310798-B52C-473D-B03D-7B8EE8BA0739}" name="CO2e Emissions (U.S. tons per year)" totalsRowFunction="sum" dataDxfId="2259" totalsRowDxfId="2258">
      <calculatedColumnFormula>IFERROR(speciated_ghg_19[[#This Row],[Mass Emissions (U.S. tons per year)]]*speciated_ghg_19[[#This Row],[Global Warming Potential (GWP)]], "-")</calculatedColumnFormula>
    </tableColumn>
  </tableColumns>
  <tableStyleInfo name="Table Style 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025D36A-EEE6-42E4-A5C9-236BED603991}" name="standard_components_1101" displayName="standard_components_1101" ref="A24:I101" totalsRowCount="1" headerRowDxfId="392" dataDxfId="390" totalsRowDxfId="388" headerRowBorderDxfId="391" tableBorderDxfId="389" totalsRowBorderDxfId="387">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02C04DE-117E-4162-BCA7-64BE7537AB13}" name="Component" totalsRowLabel="Total Count, Total Emission Rates (lbs/hr and tpy)" dataDxfId="386" totalsRowDxfId="385">
      <calculatedColumnFormula array="1">IFERROR(INDEX(INDEX(component_service_names[], , MATCH(VLOOKUP(industry_type, industry_column_names[], 2, FALSE), component_service_names[#Headers], 0)), ROW($A1)), "-")</calculatedColumnFormula>
    </tableColumn>
    <tableColumn id="2" xr3:uid="{5EE8E48F-C1F3-4933-AD01-41CEFE3DD64D}" name="Service" dataDxfId="384" totalsRowDxfId="383">
      <calculatedColumnFormula array="1">IFERROR(INDEX(INDEX(component_service_names[], , MATCH(VLOOKUP(industry_type, industry_column_names[], 3, FALSE), component_service_names[#Headers], 0)), ROW($A1)), "-")</calculatedColumnFormula>
    </tableColumn>
    <tableColumn id="3" xr3:uid="{920F13B8-C31A-4BFD-8E56-B682B67DA9ED}" name="Count" totalsRowFunction="sum" dataDxfId="382" totalsRowDxfId="381"/>
    <tableColumn id="4" xr3:uid="{81AAD8A4-1FBE-4630-89A9-E971101FE347}" name="Industry Emission Factor" dataDxfId="380" totalsRowDxfId="379">
      <calculatedColumnFormula array="1">IFERROR(
INDEX(
INDEX(factor_eff_table[], , MATCH(industry_type, factor_eff_table[#Headers], 0)),
MATCH(1, INDEX((standard_components_1101[[#This Row],[Component]]=factor_eff_table[Component])*(standard_components_1101[[#This Row],[Service]]=factor_eff_table[Service]), 0, 1), 0)),
 "-")</calculatedColumnFormula>
    </tableColumn>
    <tableColumn id="5" xr3:uid="{1174A566-BE76-4076-91C9-8F4AD3CDFC89}" name="Instrument Monitoring LDAR Control Efficiency" dataDxfId="378" totalsRowDxfId="377">
      <calculatedColumnFormula array="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calculatedColumnFormula>
    </tableColumn>
    <tableColumn id="6" xr3:uid="{B5280384-7B09-436C-B0FA-3C9CA0BC8132}" name="Connector Monitoring LDAR Control Efficiency" dataDxfId="376" totalsRowDxfId="375">
      <calculatedColumnFormula array="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calculatedColumnFormula>
    </tableColumn>
    <tableColumn id="7" xr3:uid="{5BA157DB-9023-465E-9E12-7D988A0ED29A}" name="Physical Inspection LDAR Control Efficiency" dataDxfId="374" totalsRowDxfId="373">
      <calculatedColumnFormula array="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calculatedColumnFormula>
    </tableColumn>
    <tableColumn id="9" xr3:uid="{7535F1C5-9A61-4602-AFEF-D29A321E5F43}" name="Controlled_x000a_lb/hr" totalsRowFunction="sum" dataDxfId="372" totalsRowDxfId="371">
      <calculatedColumnFormula>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calculatedColumnFormula>
    </tableColumn>
    <tableColumn id="10" xr3:uid="{A9993752-D4E9-4841-81CC-4485C0F5B8D1}" name="Controlled_x000a_tpy" totalsRowFunction="sum" dataDxfId="370" totalsRowDxfId="369">
      <calculatedColumnFormula>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calculatedColumnFormula>
    </tableColumn>
  </tableColumns>
  <tableStyleInfo name="Table Style 1" showFirstColumn="0" showLastColumn="0" showRowStripes="0"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B652492-DAC5-48BA-A78F-D539FCF760F2}" name="unique_components_1102" displayName="unique_components_1102" ref="A106:G127" totalsRowCount="1" headerRowDxfId="368" dataDxfId="366" totalsRowDxfId="364" headerRowBorderDxfId="367" tableBorderDxfId="365" totalsRowBorderDxfId="363">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4A21DF6-874A-4805-B12E-98B0C29EDD45}" name="Component" totalsRowLabel="Total Component Count, Total Emission Rate (lbs/hr and tpy)" dataDxfId="362" totalsRowDxfId="361"/>
    <tableColumn id="2" xr3:uid="{B0ADE4CF-82EF-4E76-8916-1319580F1BAD}" name="Service" dataDxfId="360" totalsRowDxfId="359"/>
    <tableColumn id="3" xr3:uid="{12C74E15-33FB-4A5A-BE4F-BC2B1DC3C015}" name="Count" totalsRowFunction="sum" dataDxfId="358" totalsRowDxfId="357"/>
    <tableColumn id="5" xr3:uid="{05A175AF-BF47-4880-98E0-2474B4F9B3AC}" name="Proposed Emission Factor" dataDxfId="356" totalsRowDxfId="355"/>
    <tableColumn id="7" xr3:uid="{5B7F5CD5-142D-4CE3-9DC6-244A32692AE1}" name="Proposed Control Efficiency" dataDxfId="354" totalsRowDxfId="353"/>
    <tableColumn id="9" xr3:uid="{6AA422A5-586C-4988-B893-C340BE6A9A15}" name="Controlled lb/hr" totalsRowFunction="sum" dataDxfId="352" totalsRowDxfId="351">
      <calculatedColumnFormula>unique_components_1102[[#This Row],[Count]]*unique_components_1102[[#This Row],[Proposed Emission Factor]]*(1-unique_components_1102[[#This Row],[Proposed Control Efficiency]])</calculatedColumnFormula>
    </tableColumn>
    <tableColumn id="10" xr3:uid="{ACCE5F89-6228-4128-B3CE-82E6E4B75010}" name="Controlled_x000a_tpy" totalsRowFunction="sum" dataDxfId="350" totalsRowDxfId="349">
      <calculatedColumnFormula>IFERROR(unique_components_1102[[#This Row],[Controlled lb/hr]]*4.38,"")</calculatedColumnFormula>
    </tableColumn>
  </tableColumns>
  <tableStyleInfo name="Table Style 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B44FF55-D0A6-470B-91B5-879D7EA56DC3}" name="speciated_chemicals_1103" displayName="speciated_chemicals_1103" ref="A130:J181" totalsRowCount="1" headerRowDxfId="348" dataDxfId="346" totalsRowDxfId="344" headerRowBorderDxfId="347" tableBorderDxfId="345" totalsRowBorderDxfId="343">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F0C3FE9-C050-4A3C-B7EB-E3F55E9617F5}" name="CAS #" totalsRowLabel="Total Weight Percent, Hourly Emissions and Annual Emissions (excluding Inert / Not a Contaminant)" dataDxfId="342" totalsRowDxfId="341"/>
    <tableColumn id="2" xr3:uid="{0DCB3D3D-6921-4B61-A4C4-4FA69CD6B8E2}" name="Chemical Constituent" dataDxfId="340" totalsRowDxfId="339">
      <calculatedColumnFormula>IFERROR(VLOOKUP(speciated_chemicals_1103[[#This Row],[CAS '#]],species[],MATCH("Substance", species[#Headers], 0),FALSE),"No CAS Number Entered")</calculatedColumnFormula>
    </tableColumn>
    <tableColumn id="5" xr3:uid="{5E464715-938F-4BDF-87A9-833D616EF81B}" name="Other Species?" dataDxfId="338" totalsRowDxfId="337"/>
    <tableColumn id="4" xr3:uid="{0021DF07-0FE5-40A6-9E8B-52EDE282A951}" name="VOC?" dataDxfId="336" totalsRowDxfId="335"/>
    <tableColumn id="3" xr3:uid="{7825A8D3-4B9B-43F1-A2ED-630D909D4AEA}" name="Inorganic?" dataDxfId="334" totalsRowDxfId="333"/>
    <tableColumn id="10" xr3:uid="{401E0F70-0D4B-4AF7-ACAD-56AF2C6D63FF}" name="VOC-Exempt Solvent?" dataDxfId="332" totalsRowDxfId="331"/>
    <tableColumn id="6" xr3:uid="{7ED26B35-44D3-4450-B9C6-9C448CB952E6}" name="Inert / Not a Contaminant?" dataDxfId="330" totalsRowDxfId="329"/>
    <tableColumn id="7" xr3:uid="{7B019954-289E-4CD0-80FD-6B7D215BA747}" name="Weight Percent" totalsRowFunction="sum" dataDxfId="328" totalsRowDxfId="327"/>
    <tableColumn id="8" xr3:uid="{B47E40FC-4B5E-4813-A106-4C3530B5237A}" name="lb/hr" totalsRowFunction="sum" dataDxfId="326" totalsRowDxfId="325">
      <calculatedColumnFormula>IF(speciated_chemicals_1103[[#This Row],[Inert / Not a Contaminant?]]="Yes", 0, speciated_chemicals_1103[[#This Row],[Weight Percent]]*(unique_components_1102[[#Totals],[Controlled lb/hr]]+standard_components_1101[[#Totals],[Controlled
lb/hr]]))</calculatedColumnFormula>
    </tableColumn>
    <tableColumn id="9" xr3:uid="{B7532E8C-8EC2-4A3B-9E3D-6D1F848FADAD}" name="tpy" totalsRowFunction="sum" dataDxfId="324" totalsRowDxfId="323">
      <calculatedColumnFormula>IF(speciated_chemicals_1103[[#This Row],[Inert / Not a Contaminant?]]="Yes", 0, speciated_chemicals_1103[[#This Row],[Weight Percent]]*(unique_components_1102[[#Totals],[Controlled
tpy]]+standard_components_1101[[#Totals],[Controlled
tpy]]))</calculatedColumnFormula>
    </tableColumn>
  </tableColumns>
  <tableStyleInfo name="Table Style 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69CFCC6-0DBA-4C38-A6AD-5493DDE67F83}" name="speciated_ghg_1104" displayName="speciated_ghg_1104" ref="A184:F204" totalsRowCount="1" headerRowDxfId="322" dataDxfId="320" totalsRowDxfId="318" headerRowBorderDxfId="321" tableBorderDxfId="319" totalsRowBorderDxfId="317">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B0470AF2-6B8B-457B-8F80-CFD95AFC8E51}" name="CAS #" totalsRowLabel="Total GHG Emissions (Mass Basis and Carbon dioxide-equivalent Basis)" dataDxfId="316" totalsRowDxfId="315"/>
    <tableColumn id="2" xr3:uid="{583A0052-2BAC-43C1-8FB2-237ED3DD17A0}" name="Chemical Constituent Name" dataDxfId="314" totalsRowDxfId="313">
      <calculatedColumnFormula>IFERROR(INDEX(gwp_table[], MATCH(speciated_ghg_1104[[#This Row],[CAS '#]], gwp_table[CAS No.], 0), MATCH("Name", gwp_table[#Headers], 0)),"No CAS Number Entered")</calculatedColumnFormula>
    </tableColumn>
    <tableColumn id="3" xr3:uid="{3160070E-70C2-4284-AD67-12D007506BB3}" name="Global Warming Potential (GWP)" dataDxfId="312" totalsRowDxfId="311">
      <calculatedColumnFormula>IFERROR(INDEX(gwp_table[], MATCH(speciated_ghg_1104[[#This Row],[CAS '#]], gwp_table[CAS No.], 0), MATCH("Global warming potential", gwp_table[#Headers], 0)),"No CAS Number Entered")</calculatedColumnFormula>
    </tableColumn>
    <tableColumn id="4" xr3:uid="{0EE73C24-97BF-4189-8A0E-99F6AA1F78A2}" name="Weight Percent" dataDxfId="310" totalsRowDxfId="309"/>
    <tableColumn id="10" xr3:uid="{83E59896-C235-401C-A5E8-4910F80B6103}" name="Mass Emissions (U.S. tons per year)" totalsRowFunction="sum" dataDxfId="308" totalsRowDxfId="307">
      <calculatedColumnFormula>IFERROR(speciated_ghg_1104[[#This Row],[Weight Percent]]*(unique_components_1102[[#Totals],[Controlled
tpy]]+standard_components_1101[[#Totals],[Controlled
tpy]]), "-")</calculatedColumnFormula>
    </tableColumn>
    <tableColumn id="6" xr3:uid="{6D9EA443-4034-4351-B665-FDAC2669E59D}" name="CO2e Emissions (U.S. tons per year)" totalsRowFunction="sum" dataDxfId="306" totalsRowDxfId="305">
      <calculatedColumnFormula>IFERROR(speciated_ghg_1104[[#This Row],[Mass Emissions (U.S. tons per year)]]*speciated_ghg_1104[[#This Row],[Global Warming Potential (GWP)]], "-")</calculatedColumnFormula>
    </tableColumn>
  </tableColumns>
  <tableStyleInfo name="Table Style 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E8A05A09-C12A-41E2-AE50-05098BA20F88}" name="standard_components_1105" displayName="standard_components_1105" ref="A24:I101" totalsRowCount="1" headerRowDxfId="299" dataDxfId="297" totalsRowDxfId="295" headerRowBorderDxfId="298" tableBorderDxfId="296" totalsRowBorderDxfId="294">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6173A6D-12BC-4A03-B062-B440F2681C68}" name="Component" totalsRowLabel="Total Count, Total Emission Rates (lbs/hr and tpy)" dataDxfId="293" totalsRowDxfId="292">
      <calculatedColumnFormula array="1">IFERROR(INDEX(INDEX(component_service_names[], , MATCH(VLOOKUP(industry_type, industry_column_names[], 2, FALSE), component_service_names[#Headers], 0)), ROW($A1)), "-")</calculatedColumnFormula>
    </tableColumn>
    <tableColumn id="2" xr3:uid="{A34BE153-3B06-4BAD-94DC-D1BCEDAA6BD7}" name="Service" dataDxfId="291" totalsRowDxfId="290">
      <calculatedColumnFormula array="1">IFERROR(INDEX(INDEX(component_service_names[], , MATCH(VLOOKUP(industry_type, industry_column_names[], 3, FALSE), component_service_names[#Headers], 0)), ROW($A1)), "-")</calculatedColumnFormula>
    </tableColumn>
    <tableColumn id="3" xr3:uid="{FDDEFE76-96D3-4A68-863A-11CAA1C84B08}" name="Count" totalsRowFunction="sum" dataDxfId="289" totalsRowDxfId="288"/>
    <tableColumn id="4" xr3:uid="{8CF6D4CC-26A4-4084-B822-2CED09A9046D}" name="Industry Emission Factor" dataDxfId="287" totalsRowDxfId="286">
      <calculatedColumnFormula array="1">IFERROR(
INDEX(
INDEX(factor_eff_table[], , MATCH(industry_type, factor_eff_table[#Headers], 0)),
MATCH(1, INDEX((standard_components_1105[[#This Row],[Component]]=factor_eff_table[Component])*(standard_components_1105[[#This Row],[Service]]=factor_eff_table[Service]), 0, 1), 0)),
 "-")</calculatedColumnFormula>
    </tableColumn>
    <tableColumn id="5" xr3:uid="{2F044ACF-7F61-41A3-B818-0DD77382B730}" name="Instrument Monitoring LDAR Control Efficiency" dataDxfId="285" totalsRowDxfId="284">
      <calculatedColumnFormula array="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calculatedColumnFormula>
    </tableColumn>
    <tableColumn id="6" xr3:uid="{D07B462A-9401-427F-9F18-D09F7F35BBC9}" name="Connector Monitoring LDAR Control Efficiency" dataDxfId="283" totalsRowDxfId="282">
      <calculatedColumnFormula array="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calculatedColumnFormula>
    </tableColumn>
    <tableColumn id="7" xr3:uid="{51FE407C-A3F8-4B94-BD79-4D926BD56070}" name="Physical Inspection LDAR Control Efficiency" dataDxfId="281" totalsRowDxfId="280">
      <calculatedColumnFormula array="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calculatedColumnFormula>
    </tableColumn>
    <tableColumn id="9" xr3:uid="{18AB01C3-B08F-4572-9460-7DB3C8B2071C}" name="Controlled_x000a_lb/hr" totalsRowFunction="sum" dataDxfId="279" totalsRowDxfId="278">
      <calculatedColumnFormula>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calculatedColumnFormula>
    </tableColumn>
    <tableColumn id="10" xr3:uid="{442AF1EA-085E-46E7-A8FA-385FA7F4CB01}" name="Controlled_x000a_tpy" totalsRowFunction="sum" dataDxfId="277" totalsRowDxfId="276">
      <calculatedColumnFormula>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calculatedColumnFormula>
    </tableColumn>
  </tableColumns>
  <tableStyleInfo name="Table Style 1" showFirstColumn="0" showLastColumn="0" showRowStripes="0"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F326C69-BE63-46F3-B4FA-355980F7B8DB}" name="unique_components_1106" displayName="unique_components_1106" ref="A106:G127" totalsRowCount="1" headerRowDxfId="275" dataDxfId="273" totalsRowDxfId="271" headerRowBorderDxfId="274" tableBorderDxfId="272" totalsRowBorderDxfId="270">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4DB3563-B5E0-43E7-8708-D68DD2EB2C05}" name="Component" totalsRowLabel="Total Component Count, Total Emission Rate (lbs/hr and tpy)" dataDxfId="269" totalsRowDxfId="268"/>
    <tableColumn id="2" xr3:uid="{7FA4C836-98DC-42E9-B009-F09DC6729B5F}" name="Service" dataDxfId="267" totalsRowDxfId="266"/>
    <tableColumn id="3" xr3:uid="{A440D5CF-1CC7-417F-B41A-CDA02970DA09}" name="Count" totalsRowFunction="sum" dataDxfId="265" totalsRowDxfId="264"/>
    <tableColumn id="5" xr3:uid="{D6AE68CD-F14C-4DF9-A38E-4700103779C8}" name="Proposed Emission Factor" dataDxfId="263" totalsRowDxfId="262"/>
    <tableColumn id="7" xr3:uid="{51272C97-1A02-42A5-BACB-EC8926D94C1C}" name="Proposed Control Efficiency" dataDxfId="261" totalsRowDxfId="260"/>
    <tableColumn id="9" xr3:uid="{8F1F7677-2A9A-475B-BA68-908C25EFEC7F}" name="Controlled lb/hr" totalsRowFunction="sum" dataDxfId="259" totalsRowDxfId="258">
      <calculatedColumnFormula>unique_components_1106[[#This Row],[Count]]*unique_components_1106[[#This Row],[Proposed Emission Factor]]*(1-unique_components_1106[[#This Row],[Proposed Control Efficiency]])</calculatedColumnFormula>
    </tableColumn>
    <tableColumn id="10" xr3:uid="{1A2C5D2A-2A3B-42D5-8231-7751581CEA3A}" name="Controlled_x000a_tpy" totalsRowFunction="sum" dataDxfId="257" totalsRowDxfId="256">
      <calculatedColumnFormula>IFERROR(unique_components_1106[[#This Row],[Controlled lb/hr]]*4.38,"")</calculatedColumnFormula>
    </tableColumn>
  </tableColumns>
  <tableStyleInfo name="Table Style 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C7764EF-808B-4C99-ACF8-4EBC7D448889}" name="speciated_chemicals_1107" displayName="speciated_chemicals_1107" ref="A130:J181" totalsRowCount="1" headerRowDxfId="255" dataDxfId="253" totalsRowDxfId="251" headerRowBorderDxfId="254" tableBorderDxfId="252" totalsRowBorderDxfId="250">
  <autoFilter ref="A130:J180" xr:uid="{576CC2BF-222D-4E66-A472-62BDAD474A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ED092AB-84E9-437D-8302-B4FB7CE55EF4}" name="CAS #" totalsRowLabel="Total Weight Percent, Hourly Emissions and Annual Emissions (excluding Inert / Not a Contaminant)" dataDxfId="249" totalsRowDxfId="248"/>
    <tableColumn id="2" xr3:uid="{B7915055-90D6-4896-B3FA-6711042A36FE}" name="Chemical Constituent" dataDxfId="247" totalsRowDxfId="246">
      <calculatedColumnFormula>IFERROR(VLOOKUP(speciated_chemicals_1107[[#This Row],[CAS '#]],species[],MATCH("Substance", species[#Headers], 0),FALSE),"No CAS Number Entered")</calculatedColumnFormula>
    </tableColumn>
    <tableColumn id="5" xr3:uid="{3B3A6F12-9908-43F1-970C-BE8EECBB0F16}" name="Other Species?" dataDxfId="245" totalsRowDxfId="244"/>
    <tableColumn id="4" xr3:uid="{4F74E20A-420C-4FDF-B14E-E0BB9EC144A6}" name="VOC?" dataDxfId="243" totalsRowDxfId="242"/>
    <tableColumn id="3" xr3:uid="{673332BB-EBB2-47CC-9E92-74073E08FBAF}" name="Inorganic?" dataDxfId="241" totalsRowDxfId="240"/>
    <tableColumn id="10" xr3:uid="{55B94684-C18E-4C51-98F3-06338B228943}" name="VOC-Exempt Solvent?" dataDxfId="239" totalsRowDxfId="238"/>
    <tableColumn id="6" xr3:uid="{A4524FE5-1792-4816-A094-4F5674347223}" name="Inert / Not a Contaminant?" dataDxfId="237" totalsRowDxfId="236"/>
    <tableColumn id="7" xr3:uid="{1E4A08B6-3096-460B-AF6D-89E68EA7C0A5}" name="Weight Percent" totalsRowFunction="sum" dataDxfId="235" totalsRowDxfId="234"/>
    <tableColumn id="8" xr3:uid="{485589B8-2716-45E2-BA72-D74B4A712D3A}" name="lb/hr" totalsRowFunction="sum" dataDxfId="233" totalsRowDxfId="232">
      <calculatedColumnFormula>IF(speciated_chemicals_1107[[#This Row],[Inert / Not a Contaminant?]]="Yes", 0, speciated_chemicals_1107[[#This Row],[Weight Percent]]*(unique_components_1106[[#Totals],[Controlled lb/hr]]+standard_components_1105[[#Totals],[Controlled
lb/hr]]))</calculatedColumnFormula>
    </tableColumn>
    <tableColumn id="9" xr3:uid="{8451F794-B51C-478A-9818-4A747700F6AE}" name="tpy" totalsRowFunction="sum" dataDxfId="231" totalsRowDxfId="230">
      <calculatedColumnFormula>IF(speciated_chemicals_1107[[#This Row],[Inert / Not a Contaminant?]]="Yes", 0, speciated_chemicals_1107[[#This Row],[Weight Percent]]*(unique_components_1106[[#Totals],[Controlled
tpy]]+standard_components_1105[[#Totals],[Controlled
tpy]]))</calculatedColumnFormula>
    </tableColumn>
  </tableColumns>
  <tableStyleInfo name="Table Style 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D1EDDB02-ACEF-47D7-8A71-643FC3F435E7}" name="speciated_ghg_1108" displayName="speciated_ghg_1108" ref="A184:F204" totalsRowCount="1" headerRowDxfId="229" dataDxfId="227" totalsRowDxfId="225" headerRowBorderDxfId="228" tableBorderDxfId="226" totalsRowBorderDxfId="224">
  <autoFilter ref="A184:F203" xr:uid="{7848E48A-7606-474E-8D56-B3A714D0D47C}">
    <filterColumn colId="0" hiddenButton="1"/>
    <filterColumn colId="1" hiddenButton="1"/>
    <filterColumn colId="2" hiddenButton="1"/>
    <filterColumn colId="3" hiddenButton="1"/>
    <filterColumn colId="4" hiddenButton="1"/>
    <filterColumn colId="5" hiddenButton="1"/>
  </autoFilter>
  <tableColumns count="6">
    <tableColumn id="1" xr3:uid="{EBF8047B-B38C-4CF9-872D-7973B14A1A00}" name="CAS #" totalsRowLabel="Total GHG Emissions (Mass Basis and Carbon dioxide-equivalent Basis)" dataDxfId="223" totalsRowDxfId="222"/>
    <tableColumn id="2" xr3:uid="{81B30B4D-09BD-4EB5-BC5F-9EF4548E44BB}" name="Chemical Constituent Name" dataDxfId="221" totalsRowDxfId="220">
      <calculatedColumnFormula>IFERROR(INDEX(gwp_table[], MATCH(speciated_ghg_1108[[#This Row],[CAS '#]], gwp_table[CAS No.], 0), MATCH("Name", gwp_table[#Headers], 0)),"No CAS Number Entered")</calculatedColumnFormula>
    </tableColumn>
    <tableColumn id="3" xr3:uid="{F755C111-65F2-42E2-BA12-2A5619AEA8DF}" name="Global Warming Potential (GWP)" dataDxfId="219" totalsRowDxfId="218">
      <calculatedColumnFormula>IFERROR(INDEX(gwp_table[], MATCH(speciated_ghg_1108[[#This Row],[CAS '#]], gwp_table[CAS No.], 0), MATCH("Global warming potential", gwp_table[#Headers], 0)),"No CAS Number Entered")</calculatedColumnFormula>
    </tableColumn>
    <tableColumn id="4" xr3:uid="{E8E4B161-34DA-44AC-B05E-BA8B8B1BEEEA}" name="Weight Percent" dataDxfId="217" totalsRowDxfId="216"/>
    <tableColumn id="10" xr3:uid="{A3446D49-4B44-4CA9-A387-9A5DE32C53D3}" name="Mass Emissions (U.S. tons per year)" totalsRowFunction="sum" dataDxfId="215" totalsRowDxfId="214">
      <calculatedColumnFormula>IFERROR(speciated_ghg_1108[[#This Row],[Weight Percent]]*(unique_components_1106[[#Totals],[Controlled
tpy]]+standard_components_1105[[#Totals],[Controlled
tpy]]), "-")</calculatedColumnFormula>
    </tableColumn>
    <tableColumn id="6" xr3:uid="{B99947CA-1A86-45CD-937F-D7F216F6760E}" name="CO2e Emissions (U.S. tons per year)" totalsRowFunction="sum" dataDxfId="213" totalsRowDxfId="212">
      <calculatedColumnFormula>IFERROR(speciated_ghg_1108[[#This Row],[Mass Emissions (U.S. tons per year)]]*speciated_ghg_1108[[#This Row],[Global Warming Potential (GWP)]], "-")</calculatedColumnFormula>
    </tableColumn>
  </tableColumns>
  <tableStyleInfo name="Table Style 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16DA0D5E-6A2B-4D9E-A8B8-0E5B719AEF5D}" name="standard_components_1109" displayName="standard_components_1109" ref="A24:I101" totalsRowCount="1" headerRowDxfId="206" dataDxfId="204" totalsRowDxfId="202" headerRowBorderDxfId="205" tableBorderDxfId="203" totalsRowBorderDxfId="201">
  <autoFilter ref="A24:I100" xr:uid="{0D2348FF-5274-48A9-A11C-FB32260EACE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0A1122-D5C4-466A-806D-689421968DBE}" name="Component" totalsRowLabel="Total Count, Total Emission Rates (lbs/hr and tpy)" dataDxfId="200" totalsRowDxfId="199">
      <calculatedColumnFormula array="1">IFERROR(INDEX(INDEX(component_service_names[], , MATCH(VLOOKUP(industry_type, industry_column_names[], 2, FALSE), component_service_names[#Headers], 0)), ROW($A1)), "-")</calculatedColumnFormula>
    </tableColumn>
    <tableColumn id="2" xr3:uid="{7505839D-9347-4D76-BDE1-F320E6B89AA3}" name="Service" dataDxfId="198" totalsRowDxfId="197">
      <calculatedColumnFormula array="1">IFERROR(INDEX(INDEX(component_service_names[], , MATCH(VLOOKUP(industry_type, industry_column_names[], 3, FALSE), component_service_names[#Headers], 0)), ROW($A1)), "-")</calculatedColumnFormula>
    </tableColumn>
    <tableColumn id="3" xr3:uid="{C9118294-E9C6-4CE4-B056-64A63E1F096A}" name="Count" totalsRowFunction="sum" dataDxfId="196" totalsRowDxfId="195"/>
    <tableColumn id="4" xr3:uid="{55C35481-D82C-427F-9B4E-9D2702AD92F1}" name="Industry Emission Factor" dataDxfId="194" totalsRowDxfId="193">
      <calculatedColumnFormula array="1">IFERROR(
INDEX(
INDEX(factor_eff_table[], , MATCH(industry_type, factor_eff_table[#Headers], 0)),
MATCH(1, INDEX((standard_components_1109[[#This Row],[Component]]=factor_eff_table[Component])*(standard_components_1109[[#This Row],[Service]]=factor_eff_table[Service]), 0, 1), 0)),
 "-")</calculatedColumnFormula>
    </tableColumn>
    <tableColumn id="5" xr3:uid="{368F7D35-83AB-4205-A10E-830C6C4BDAC0}" name="Instrument Monitoring LDAR Control Efficiency" dataDxfId="192" totalsRowDxfId="191">
      <calculatedColumnFormula array="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calculatedColumnFormula>
    </tableColumn>
    <tableColumn id="6" xr3:uid="{9203C698-F5CF-45D3-A380-9DBEB1F20BD4}" name="Connector Monitoring LDAR Control Efficiency" dataDxfId="190" totalsRowDxfId="189">
      <calculatedColumnFormula array="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calculatedColumnFormula>
    </tableColumn>
    <tableColumn id="7" xr3:uid="{74645357-77D2-493C-A9A6-DDC7183200C1}" name="Physical Inspection LDAR Control Efficiency" dataDxfId="188" totalsRowDxfId="187">
      <calculatedColumnFormula array="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calculatedColumnFormula>
    </tableColumn>
    <tableColumn id="9" xr3:uid="{94EEDCF1-F667-4C67-8B08-A84D36D6E8E4}" name="Controlled_x000a_lb/hr" totalsRowFunction="sum" dataDxfId="186" totalsRowDxfId="185">
      <calculatedColumnFormula>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calculatedColumnFormula>
    </tableColumn>
    <tableColumn id="10" xr3:uid="{0FDD0EFB-07EF-4EA4-A89E-84518F57CEC6}" name="Controlled_x000a_tpy" totalsRowFunction="sum" dataDxfId="184" totalsRowDxfId="183">
      <calculatedColumnFormula>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calculatedColumnFormula>
    </tableColumn>
  </tableColumns>
  <tableStyleInfo name="Table Style 1" showFirstColumn="0" showLastColumn="0" showRowStripes="0"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DD083148-ED99-4A90-B63F-542755221C68}" name="unique_components_1110" displayName="unique_components_1110" ref="A106:G127" totalsRowCount="1" headerRowDxfId="182" dataDxfId="180" totalsRowDxfId="178" headerRowBorderDxfId="181" tableBorderDxfId="179" totalsRowBorderDxfId="177">
  <autoFilter ref="A106:G126" xr:uid="{0B7DA8B9-C3B0-4CA4-B6D5-A8A17531108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7156EC5-63CB-476A-850E-FA616C821827}" name="Component" totalsRowLabel="Total Component Count, Total Emission Rate (lbs/hr and tpy)" dataDxfId="176" totalsRowDxfId="175"/>
    <tableColumn id="2" xr3:uid="{9CBEE2D0-5128-4575-97FA-71F6A8A2C1AD}" name="Service" dataDxfId="174" totalsRowDxfId="173"/>
    <tableColumn id="3" xr3:uid="{896BC369-A8BC-43FB-B16E-FD6D00A6E7B3}" name="Count" totalsRowFunction="sum" dataDxfId="172" totalsRowDxfId="171"/>
    <tableColumn id="5" xr3:uid="{2ED2DCFC-FBFB-45F8-B45C-E9D5F9DB8CE0}" name="Proposed Emission Factor" dataDxfId="170" totalsRowDxfId="169"/>
    <tableColumn id="7" xr3:uid="{F75496A9-489C-45AE-B466-00144D40B8CE}" name="Proposed Control Efficiency" dataDxfId="168" totalsRowDxfId="167"/>
    <tableColumn id="9" xr3:uid="{CD55F91A-7FC9-4DBA-87CB-9B0816C01878}" name="Controlled lb/hr" totalsRowFunction="sum" dataDxfId="166" totalsRowDxfId="165">
      <calculatedColumnFormula>unique_components_1110[[#This Row],[Count]]*unique_components_1110[[#This Row],[Proposed Emission Factor]]*(1-unique_components_1110[[#This Row],[Proposed Control Efficiency]])</calculatedColumnFormula>
    </tableColumn>
    <tableColumn id="10" xr3:uid="{187AB36E-D231-401D-A97A-1A03BF45FAA2}" name="Controlled_x000a_tpy" totalsRowFunction="sum" dataDxfId="164" totalsRowDxfId="163">
      <calculatedColumnFormula>IFERROR(unique_components_1110[[#This Row],[Controlled lb/hr]]*4.38,"")</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apirt@tceq.texas.gov?subject=[Company%20Name]%20-%20[Permit%20Number,%20if%20known]%20-%20NSR%20Permit%20Application" TargetMode="External"/><Relationship Id="rId2" Type="http://schemas.openxmlformats.org/officeDocument/2006/relationships/hyperlink" Target="mailto:apirt@tceq.texas.gov" TargetMode="External"/><Relationship Id="rId1" Type="http://schemas.openxmlformats.org/officeDocument/2006/relationships/hyperlink" Target="https://ftps.tceq.texas.gov/help/" TargetMode="External"/><Relationship Id="rId5" Type="http://schemas.openxmlformats.org/officeDocument/2006/relationships/printerSettings" Target="../printerSettings/printerSettings1.bin"/><Relationship Id="rId4" Type="http://schemas.openxmlformats.org/officeDocument/2006/relationships/hyperlink" Target="https://www.tceq.texas.gov/assets/public/permitting/air/Guidance/NewSourceReview/fugitive-guidance.pdf"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10.bin"/><Relationship Id="rId5" Type="http://schemas.openxmlformats.org/officeDocument/2006/relationships/table" Target="../tables/table33.xml"/><Relationship Id="rId4" Type="http://schemas.openxmlformats.org/officeDocument/2006/relationships/table" Target="../tables/table32.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11.bin"/><Relationship Id="rId5" Type="http://schemas.openxmlformats.org/officeDocument/2006/relationships/table" Target="../tables/table37.xml"/><Relationship Id="rId4" Type="http://schemas.openxmlformats.org/officeDocument/2006/relationships/table" Target="../tables/table3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printerSettings" Target="../printerSettings/printerSettings12.bin"/><Relationship Id="rId5" Type="http://schemas.openxmlformats.org/officeDocument/2006/relationships/table" Target="../tables/table41.xml"/><Relationship Id="rId4" Type="http://schemas.openxmlformats.org/officeDocument/2006/relationships/table" Target="../tables/table4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printerSettings" Target="../printerSettings/printerSettings13.bin"/><Relationship Id="rId5" Type="http://schemas.openxmlformats.org/officeDocument/2006/relationships/table" Target="../tables/table45.xml"/><Relationship Id="rId4" Type="http://schemas.openxmlformats.org/officeDocument/2006/relationships/table" Target="../tables/table4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14.bin"/><Relationship Id="rId5" Type="http://schemas.openxmlformats.org/officeDocument/2006/relationships/table" Target="../tables/table49.xml"/><Relationship Id="rId4" Type="http://schemas.openxmlformats.org/officeDocument/2006/relationships/table" Target="../tables/table48.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15.bin"/><Relationship Id="rId5" Type="http://schemas.openxmlformats.org/officeDocument/2006/relationships/table" Target="../tables/table53.xml"/><Relationship Id="rId4" Type="http://schemas.openxmlformats.org/officeDocument/2006/relationships/table" Target="../tables/table5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16.bin"/><Relationship Id="rId5" Type="http://schemas.openxmlformats.org/officeDocument/2006/relationships/table" Target="../tables/table57.xml"/><Relationship Id="rId4" Type="http://schemas.openxmlformats.org/officeDocument/2006/relationships/table" Target="../tables/table5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table" Target="../tables/table58.xml"/><Relationship Id="rId1" Type="http://schemas.openxmlformats.org/officeDocument/2006/relationships/printerSettings" Target="../printerSettings/printerSettings17.bin"/><Relationship Id="rId5" Type="http://schemas.openxmlformats.org/officeDocument/2006/relationships/table" Target="../tables/table61.xml"/><Relationship Id="rId4" Type="http://schemas.openxmlformats.org/officeDocument/2006/relationships/table" Target="../tables/table60.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table" Target="../tables/table62.xml"/><Relationship Id="rId1" Type="http://schemas.openxmlformats.org/officeDocument/2006/relationships/printerSettings" Target="../printerSettings/printerSettings18.bin"/><Relationship Id="rId5" Type="http://schemas.openxmlformats.org/officeDocument/2006/relationships/table" Target="../tables/table65.xml"/><Relationship Id="rId4" Type="http://schemas.openxmlformats.org/officeDocument/2006/relationships/table" Target="../tables/table64.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table" Target="../tables/table66.xml"/><Relationship Id="rId1" Type="http://schemas.openxmlformats.org/officeDocument/2006/relationships/printerSettings" Target="../printerSettings/printerSettings19.bin"/><Relationship Id="rId5" Type="http://schemas.openxmlformats.org/officeDocument/2006/relationships/table" Target="../tables/table69.xml"/><Relationship Id="rId4" Type="http://schemas.openxmlformats.org/officeDocument/2006/relationships/table" Target="../tables/table6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table" Target="../tables/table70.xml"/><Relationship Id="rId1" Type="http://schemas.openxmlformats.org/officeDocument/2006/relationships/printerSettings" Target="../printerSettings/printerSettings20.bin"/><Relationship Id="rId5" Type="http://schemas.openxmlformats.org/officeDocument/2006/relationships/table" Target="../tables/table73.xml"/><Relationship Id="rId4" Type="http://schemas.openxmlformats.org/officeDocument/2006/relationships/table" Target="../tables/table7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table" Target="../tables/table74.xml"/><Relationship Id="rId1" Type="http://schemas.openxmlformats.org/officeDocument/2006/relationships/printerSettings" Target="../printerSettings/printerSettings21.bin"/><Relationship Id="rId5" Type="http://schemas.openxmlformats.org/officeDocument/2006/relationships/table" Target="../tables/table77.xml"/><Relationship Id="rId4" Type="http://schemas.openxmlformats.org/officeDocument/2006/relationships/table" Target="../tables/table76.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2.bin"/><Relationship Id="rId5" Type="http://schemas.openxmlformats.org/officeDocument/2006/relationships/table" Target="../tables/table81.xml"/><Relationship Id="rId4" Type="http://schemas.openxmlformats.org/officeDocument/2006/relationships/table" Target="../tables/table80.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printerSettings" Target="../printerSettings/printerSettings23.bin"/><Relationship Id="rId5" Type="http://schemas.openxmlformats.org/officeDocument/2006/relationships/table" Target="../tables/table85.xml"/><Relationship Id="rId4" Type="http://schemas.openxmlformats.org/officeDocument/2006/relationships/table" Target="../tables/table84.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table" Target="../tables/table86.xml"/><Relationship Id="rId1" Type="http://schemas.openxmlformats.org/officeDocument/2006/relationships/printerSettings" Target="../printerSettings/printerSettings24.bin"/><Relationship Id="rId5" Type="http://schemas.openxmlformats.org/officeDocument/2006/relationships/table" Target="../tables/table89.xml"/><Relationship Id="rId4" Type="http://schemas.openxmlformats.org/officeDocument/2006/relationships/table" Target="../tables/table8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25.bin"/><Relationship Id="rId5" Type="http://schemas.openxmlformats.org/officeDocument/2006/relationships/table" Target="../tables/table93.xml"/><Relationship Id="rId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table" Target="../tables/table94.xml"/><Relationship Id="rId1" Type="http://schemas.openxmlformats.org/officeDocument/2006/relationships/printerSettings" Target="../printerSettings/printerSettings26.bin"/><Relationship Id="rId5" Type="http://schemas.openxmlformats.org/officeDocument/2006/relationships/table" Target="../tables/table97.xml"/><Relationship Id="rId4" Type="http://schemas.openxmlformats.org/officeDocument/2006/relationships/table" Target="../tables/table96.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99.xml"/><Relationship Id="rId2" Type="http://schemas.openxmlformats.org/officeDocument/2006/relationships/table" Target="../tables/table98.xml"/><Relationship Id="rId1" Type="http://schemas.openxmlformats.org/officeDocument/2006/relationships/printerSettings" Target="../printerSettings/printerSettings27.bin"/><Relationship Id="rId5" Type="http://schemas.openxmlformats.org/officeDocument/2006/relationships/table" Target="../tables/table101.xml"/><Relationship Id="rId4" Type="http://schemas.openxmlformats.org/officeDocument/2006/relationships/table" Target="../tables/table100.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5" Type="http://schemas.openxmlformats.org/officeDocument/2006/relationships/table" Target="../tables/table5.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05.xml"/><Relationship Id="rId2" Type="http://schemas.openxmlformats.org/officeDocument/2006/relationships/table" Target="../tables/table10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table" Target="../tables/table106.xml"/><Relationship Id="rId1" Type="http://schemas.openxmlformats.org/officeDocument/2006/relationships/printerSettings" Target="../printerSettings/printerSettings31.bin"/><Relationship Id="rId4" Type="http://schemas.openxmlformats.org/officeDocument/2006/relationships/table" Target="../tables/table108.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table" Target="../tables/table109.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table" Target="../tables/table11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6.bin"/><Relationship Id="rId5" Type="http://schemas.openxmlformats.org/officeDocument/2006/relationships/table" Target="../tables/table17.xml"/><Relationship Id="rId4" Type="http://schemas.openxmlformats.org/officeDocument/2006/relationships/table" Target="../tables/table1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7.bin"/><Relationship Id="rId5" Type="http://schemas.openxmlformats.org/officeDocument/2006/relationships/table" Target="../tables/table21.xml"/><Relationship Id="rId4" Type="http://schemas.openxmlformats.org/officeDocument/2006/relationships/table" Target="../tables/table20.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8.bin"/><Relationship Id="rId5" Type="http://schemas.openxmlformats.org/officeDocument/2006/relationships/table" Target="../tables/table25.xml"/><Relationship Id="rId4" Type="http://schemas.openxmlformats.org/officeDocument/2006/relationships/table" Target="../tables/table2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9.bin"/><Relationship Id="rId5" Type="http://schemas.openxmlformats.org/officeDocument/2006/relationships/table" Target="../tables/table29.xml"/><Relationship Id="rId4"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E469-D591-4B9C-BE80-4427C83720C7}">
  <sheetPr codeName="Sheet1">
    <tabColor theme="4" tint="0.39997558519241921"/>
  </sheetPr>
  <dimension ref="A1:XFD89"/>
  <sheetViews>
    <sheetView tabSelected="1" zoomScaleNormal="100" workbookViewId="0">
      <selection sqref="A1:D1"/>
    </sheetView>
  </sheetViews>
  <sheetFormatPr defaultColWidth="0" defaultRowHeight="14.25" zeroHeight="1" x14ac:dyDescent="0.2"/>
  <cols>
    <col min="1" max="1" width="79.625" style="4" customWidth="1"/>
    <col min="2" max="16384" width="8" style="4" hidden="1"/>
  </cols>
  <sheetData>
    <row r="1" spans="1:16384" s="7" customFormat="1" ht="18" x14ac:dyDescent="0.2">
      <c r="A1" s="220" t="s">
        <v>12732</v>
      </c>
      <c r="B1" s="221"/>
      <c r="C1" s="221"/>
      <c r="D1" s="222"/>
      <c r="E1" s="220" t="s">
        <v>13331</v>
      </c>
      <c r="F1" s="221"/>
      <c r="G1" s="221"/>
      <c r="H1" s="222"/>
      <c r="I1" s="220" t="s">
        <v>13331</v>
      </c>
      <c r="J1" s="221"/>
      <c r="K1" s="221"/>
      <c r="L1" s="222"/>
      <c r="M1" s="220" t="s">
        <v>13331</v>
      </c>
      <c r="N1" s="221"/>
      <c r="O1" s="221"/>
      <c r="P1" s="222"/>
      <c r="Q1" s="220" t="s">
        <v>13331</v>
      </c>
      <c r="R1" s="221"/>
      <c r="S1" s="221"/>
      <c r="T1" s="222"/>
      <c r="U1" s="220" t="s">
        <v>13331</v>
      </c>
      <c r="V1" s="221"/>
      <c r="W1" s="221"/>
      <c r="X1" s="222"/>
      <c r="Y1" s="220" t="s">
        <v>13331</v>
      </c>
      <c r="Z1" s="221"/>
      <c r="AA1" s="221"/>
      <c r="AB1" s="222"/>
      <c r="AC1" s="220" t="s">
        <v>13331</v>
      </c>
      <c r="AD1" s="221"/>
      <c r="AE1" s="221"/>
      <c r="AF1" s="222"/>
      <c r="AG1" s="220" t="s">
        <v>13331</v>
      </c>
      <c r="AH1" s="221"/>
      <c r="AI1" s="221"/>
      <c r="AJ1" s="222"/>
      <c r="AK1" s="220" t="s">
        <v>13331</v>
      </c>
      <c r="AL1" s="221"/>
      <c r="AM1" s="221"/>
      <c r="AN1" s="222"/>
      <c r="AO1" s="220" t="s">
        <v>13331</v>
      </c>
      <c r="AP1" s="221"/>
      <c r="AQ1" s="221"/>
      <c r="AR1" s="222"/>
      <c r="AS1" s="220" t="s">
        <v>13331</v>
      </c>
      <c r="AT1" s="221"/>
      <c r="AU1" s="221"/>
      <c r="AV1" s="222"/>
      <c r="AW1" s="220" t="s">
        <v>13331</v>
      </c>
      <c r="AX1" s="221"/>
      <c r="AY1" s="221"/>
      <c r="AZ1" s="222"/>
      <c r="BA1" s="220" t="s">
        <v>13331</v>
      </c>
      <c r="BB1" s="221"/>
      <c r="BC1" s="221"/>
      <c r="BD1" s="222"/>
      <c r="BE1" s="220" t="s">
        <v>13331</v>
      </c>
      <c r="BF1" s="221"/>
      <c r="BG1" s="221"/>
      <c r="BH1" s="222"/>
      <c r="BI1" s="220" t="s">
        <v>13331</v>
      </c>
      <c r="BJ1" s="221"/>
      <c r="BK1" s="221"/>
      <c r="BL1" s="222"/>
      <c r="BM1" s="220" t="s">
        <v>13331</v>
      </c>
      <c r="BN1" s="221"/>
      <c r="BO1" s="221"/>
      <c r="BP1" s="222"/>
      <c r="BQ1" s="220" t="s">
        <v>13331</v>
      </c>
      <c r="BR1" s="221"/>
      <c r="BS1" s="221"/>
      <c r="BT1" s="222"/>
      <c r="BU1" s="220" t="s">
        <v>13331</v>
      </c>
      <c r="BV1" s="221"/>
      <c r="BW1" s="221"/>
      <c r="BX1" s="222"/>
      <c r="BY1" s="220" t="s">
        <v>13331</v>
      </c>
      <c r="BZ1" s="221"/>
      <c r="CA1" s="221"/>
      <c r="CB1" s="222"/>
      <c r="CC1" s="220" t="s">
        <v>13331</v>
      </c>
      <c r="CD1" s="221"/>
      <c r="CE1" s="221"/>
      <c r="CF1" s="222"/>
      <c r="CG1" s="220" t="s">
        <v>13331</v>
      </c>
      <c r="CH1" s="221"/>
      <c r="CI1" s="221"/>
      <c r="CJ1" s="222"/>
      <c r="CK1" s="220" t="s">
        <v>13331</v>
      </c>
      <c r="CL1" s="221"/>
      <c r="CM1" s="221"/>
      <c r="CN1" s="222"/>
      <c r="CO1" s="220" t="s">
        <v>13331</v>
      </c>
      <c r="CP1" s="221"/>
      <c r="CQ1" s="221"/>
      <c r="CR1" s="222"/>
      <c r="CS1" s="220" t="s">
        <v>13331</v>
      </c>
      <c r="CT1" s="221"/>
      <c r="CU1" s="221"/>
      <c r="CV1" s="222"/>
      <c r="CW1" s="220" t="s">
        <v>13331</v>
      </c>
      <c r="CX1" s="221"/>
      <c r="CY1" s="221"/>
      <c r="CZ1" s="222"/>
      <c r="DA1" s="220" t="s">
        <v>13331</v>
      </c>
      <c r="DB1" s="221"/>
      <c r="DC1" s="221"/>
      <c r="DD1" s="222"/>
      <c r="DE1" s="220" t="s">
        <v>13331</v>
      </c>
      <c r="DF1" s="221"/>
      <c r="DG1" s="221"/>
      <c r="DH1" s="222"/>
      <c r="DI1" s="220" t="s">
        <v>13331</v>
      </c>
      <c r="DJ1" s="221"/>
      <c r="DK1" s="221"/>
      <c r="DL1" s="222"/>
      <c r="DM1" s="220" t="s">
        <v>13331</v>
      </c>
      <c r="DN1" s="221"/>
      <c r="DO1" s="221"/>
      <c r="DP1" s="222"/>
      <c r="DQ1" s="220" t="s">
        <v>13331</v>
      </c>
      <c r="DR1" s="221"/>
      <c r="DS1" s="221"/>
      <c r="DT1" s="222"/>
      <c r="DU1" s="220" t="s">
        <v>13331</v>
      </c>
      <c r="DV1" s="221"/>
      <c r="DW1" s="221"/>
      <c r="DX1" s="222"/>
      <c r="DY1" s="220" t="s">
        <v>13331</v>
      </c>
      <c r="DZ1" s="221"/>
      <c r="EA1" s="221"/>
      <c r="EB1" s="222"/>
      <c r="EC1" s="220" t="s">
        <v>13331</v>
      </c>
      <c r="ED1" s="221"/>
      <c r="EE1" s="221"/>
      <c r="EF1" s="222"/>
      <c r="EG1" s="220" t="s">
        <v>13331</v>
      </c>
      <c r="EH1" s="221"/>
      <c r="EI1" s="221"/>
      <c r="EJ1" s="222"/>
      <c r="EK1" s="220" t="s">
        <v>13331</v>
      </c>
      <c r="EL1" s="221"/>
      <c r="EM1" s="221"/>
      <c r="EN1" s="222"/>
      <c r="EO1" s="220" t="s">
        <v>13331</v>
      </c>
      <c r="EP1" s="221"/>
      <c r="EQ1" s="221"/>
      <c r="ER1" s="222"/>
      <c r="ES1" s="220" t="s">
        <v>13331</v>
      </c>
      <c r="ET1" s="221"/>
      <c r="EU1" s="221"/>
      <c r="EV1" s="222"/>
      <c r="EW1" s="220" t="s">
        <v>13331</v>
      </c>
      <c r="EX1" s="221"/>
      <c r="EY1" s="221"/>
      <c r="EZ1" s="222"/>
      <c r="FA1" s="220" t="s">
        <v>13331</v>
      </c>
      <c r="FB1" s="221"/>
      <c r="FC1" s="221"/>
      <c r="FD1" s="222"/>
      <c r="FE1" s="220" t="s">
        <v>13331</v>
      </c>
      <c r="FF1" s="221"/>
      <c r="FG1" s="221"/>
      <c r="FH1" s="222"/>
      <c r="FI1" s="220" t="s">
        <v>13331</v>
      </c>
      <c r="FJ1" s="221"/>
      <c r="FK1" s="221"/>
      <c r="FL1" s="222"/>
      <c r="FM1" s="220" t="s">
        <v>13331</v>
      </c>
      <c r="FN1" s="221"/>
      <c r="FO1" s="221"/>
      <c r="FP1" s="222"/>
      <c r="FQ1" s="220" t="s">
        <v>13331</v>
      </c>
      <c r="FR1" s="221"/>
      <c r="FS1" s="221"/>
      <c r="FT1" s="222"/>
      <c r="FU1" s="220" t="s">
        <v>13331</v>
      </c>
      <c r="FV1" s="221"/>
      <c r="FW1" s="221"/>
      <c r="FX1" s="222"/>
      <c r="FY1" s="220" t="s">
        <v>13331</v>
      </c>
      <c r="FZ1" s="221"/>
      <c r="GA1" s="221"/>
      <c r="GB1" s="222"/>
      <c r="GC1" s="220" t="s">
        <v>13331</v>
      </c>
      <c r="GD1" s="221"/>
      <c r="GE1" s="221"/>
      <c r="GF1" s="222"/>
      <c r="GG1" s="220" t="s">
        <v>13331</v>
      </c>
      <c r="GH1" s="221"/>
      <c r="GI1" s="221"/>
      <c r="GJ1" s="222"/>
      <c r="GK1" s="220" t="s">
        <v>13331</v>
      </c>
      <c r="GL1" s="221"/>
      <c r="GM1" s="221"/>
      <c r="GN1" s="222"/>
      <c r="GO1" s="220" t="s">
        <v>13331</v>
      </c>
      <c r="GP1" s="221"/>
      <c r="GQ1" s="221"/>
      <c r="GR1" s="222"/>
      <c r="GS1" s="220" t="s">
        <v>13331</v>
      </c>
      <c r="GT1" s="221"/>
      <c r="GU1" s="221"/>
      <c r="GV1" s="222"/>
      <c r="GW1" s="220" t="s">
        <v>13331</v>
      </c>
      <c r="GX1" s="221"/>
      <c r="GY1" s="221"/>
      <c r="GZ1" s="222"/>
      <c r="HA1" s="220" t="s">
        <v>13331</v>
      </c>
      <c r="HB1" s="221"/>
      <c r="HC1" s="221"/>
      <c r="HD1" s="222"/>
      <c r="HE1" s="220" t="s">
        <v>13331</v>
      </c>
      <c r="HF1" s="221"/>
      <c r="HG1" s="221"/>
      <c r="HH1" s="222"/>
      <c r="HI1" s="220" t="s">
        <v>13331</v>
      </c>
      <c r="HJ1" s="221"/>
      <c r="HK1" s="221"/>
      <c r="HL1" s="222"/>
      <c r="HM1" s="220" t="s">
        <v>13331</v>
      </c>
      <c r="HN1" s="221"/>
      <c r="HO1" s="221"/>
      <c r="HP1" s="222"/>
      <c r="HQ1" s="220" t="s">
        <v>13331</v>
      </c>
      <c r="HR1" s="221"/>
      <c r="HS1" s="221"/>
      <c r="HT1" s="222"/>
      <c r="HU1" s="220" t="s">
        <v>13331</v>
      </c>
      <c r="HV1" s="221"/>
      <c r="HW1" s="221"/>
      <c r="HX1" s="222"/>
      <c r="HY1" s="220" t="s">
        <v>13331</v>
      </c>
      <c r="HZ1" s="221"/>
      <c r="IA1" s="221"/>
      <c r="IB1" s="222"/>
      <c r="IC1" s="220" t="s">
        <v>13331</v>
      </c>
      <c r="ID1" s="221"/>
      <c r="IE1" s="221"/>
      <c r="IF1" s="222"/>
      <c r="IG1" s="220" t="s">
        <v>13331</v>
      </c>
      <c r="IH1" s="221"/>
      <c r="II1" s="221"/>
      <c r="IJ1" s="222"/>
      <c r="IK1" s="220" t="s">
        <v>13331</v>
      </c>
      <c r="IL1" s="221"/>
      <c r="IM1" s="221"/>
      <c r="IN1" s="222"/>
      <c r="IO1" s="220" t="s">
        <v>13331</v>
      </c>
      <c r="IP1" s="221"/>
      <c r="IQ1" s="221"/>
      <c r="IR1" s="222"/>
      <c r="IS1" s="220" t="s">
        <v>13331</v>
      </c>
      <c r="IT1" s="221"/>
      <c r="IU1" s="221"/>
      <c r="IV1" s="222"/>
      <c r="IW1" s="220" t="s">
        <v>13331</v>
      </c>
      <c r="IX1" s="221"/>
      <c r="IY1" s="221"/>
      <c r="IZ1" s="222"/>
      <c r="JA1" s="220" t="s">
        <v>13331</v>
      </c>
      <c r="JB1" s="221"/>
      <c r="JC1" s="221"/>
      <c r="JD1" s="222"/>
      <c r="JE1" s="220" t="s">
        <v>13331</v>
      </c>
      <c r="JF1" s="221"/>
      <c r="JG1" s="221"/>
      <c r="JH1" s="222"/>
      <c r="JI1" s="220" t="s">
        <v>13331</v>
      </c>
      <c r="JJ1" s="221"/>
      <c r="JK1" s="221"/>
      <c r="JL1" s="222"/>
      <c r="JM1" s="220" t="s">
        <v>13331</v>
      </c>
      <c r="JN1" s="221"/>
      <c r="JO1" s="221"/>
      <c r="JP1" s="222"/>
      <c r="JQ1" s="220" t="s">
        <v>13331</v>
      </c>
      <c r="JR1" s="221"/>
      <c r="JS1" s="221"/>
      <c r="JT1" s="222"/>
      <c r="JU1" s="220" t="s">
        <v>13331</v>
      </c>
      <c r="JV1" s="221"/>
      <c r="JW1" s="221"/>
      <c r="JX1" s="222"/>
      <c r="JY1" s="220" t="s">
        <v>13331</v>
      </c>
      <c r="JZ1" s="221"/>
      <c r="KA1" s="221"/>
      <c r="KB1" s="222"/>
      <c r="KC1" s="220" t="s">
        <v>13331</v>
      </c>
      <c r="KD1" s="221"/>
      <c r="KE1" s="221"/>
      <c r="KF1" s="222"/>
      <c r="KG1" s="220" t="s">
        <v>13331</v>
      </c>
      <c r="KH1" s="221"/>
      <c r="KI1" s="221"/>
      <c r="KJ1" s="222"/>
      <c r="KK1" s="220" t="s">
        <v>13331</v>
      </c>
      <c r="KL1" s="221"/>
      <c r="KM1" s="221"/>
      <c r="KN1" s="222"/>
      <c r="KO1" s="220" t="s">
        <v>13331</v>
      </c>
      <c r="KP1" s="221"/>
      <c r="KQ1" s="221"/>
      <c r="KR1" s="222"/>
      <c r="KS1" s="220" t="s">
        <v>13331</v>
      </c>
      <c r="KT1" s="221"/>
      <c r="KU1" s="221"/>
      <c r="KV1" s="222"/>
      <c r="KW1" s="220" t="s">
        <v>13331</v>
      </c>
      <c r="KX1" s="221"/>
      <c r="KY1" s="221"/>
      <c r="KZ1" s="222"/>
      <c r="LA1" s="220" t="s">
        <v>13331</v>
      </c>
      <c r="LB1" s="221"/>
      <c r="LC1" s="221"/>
      <c r="LD1" s="222"/>
      <c r="LE1" s="220" t="s">
        <v>13331</v>
      </c>
      <c r="LF1" s="221"/>
      <c r="LG1" s="221"/>
      <c r="LH1" s="222"/>
      <c r="LI1" s="220" t="s">
        <v>13331</v>
      </c>
      <c r="LJ1" s="221"/>
      <c r="LK1" s="221"/>
      <c r="LL1" s="222"/>
      <c r="LM1" s="220" t="s">
        <v>13331</v>
      </c>
      <c r="LN1" s="221"/>
      <c r="LO1" s="221"/>
      <c r="LP1" s="222"/>
      <c r="LQ1" s="220" t="s">
        <v>13331</v>
      </c>
      <c r="LR1" s="221"/>
      <c r="LS1" s="221"/>
      <c r="LT1" s="222"/>
      <c r="LU1" s="220" t="s">
        <v>13331</v>
      </c>
      <c r="LV1" s="221"/>
      <c r="LW1" s="221"/>
      <c r="LX1" s="222"/>
      <c r="LY1" s="220" t="s">
        <v>13331</v>
      </c>
      <c r="LZ1" s="221"/>
      <c r="MA1" s="221"/>
      <c r="MB1" s="222"/>
      <c r="MC1" s="220" t="s">
        <v>13331</v>
      </c>
      <c r="MD1" s="221"/>
      <c r="ME1" s="221"/>
      <c r="MF1" s="222"/>
      <c r="MG1" s="220" t="s">
        <v>13331</v>
      </c>
      <c r="MH1" s="221"/>
      <c r="MI1" s="221"/>
      <c r="MJ1" s="222"/>
      <c r="MK1" s="220" t="s">
        <v>13331</v>
      </c>
      <c r="ML1" s="221"/>
      <c r="MM1" s="221"/>
      <c r="MN1" s="222"/>
      <c r="MO1" s="220" t="s">
        <v>13331</v>
      </c>
      <c r="MP1" s="221"/>
      <c r="MQ1" s="221"/>
      <c r="MR1" s="222"/>
      <c r="MS1" s="220" t="s">
        <v>13331</v>
      </c>
      <c r="MT1" s="221"/>
      <c r="MU1" s="221"/>
      <c r="MV1" s="222"/>
      <c r="MW1" s="220" t="s">
        <v>13331</v>
      </c>
      <c r="MX1" s="221"/>
      <c r="MY1" s="221"/>
      <c r="MZ1" s="222"/>
      <c r="NA1" s="220" t="s">
        <v>13331</v>
      </c>
      <c r="NB1" s="221"/>
      <c r="NC1" s="221"/>
      <c r="ND1" s="222"/>
      <c r="NE1" s="220" t="s">
        <v>13331</v>
      </c>
      <c r="NF1" s="221"/>
      <c r="NG1" s="221"/>
      <c r="NH1" s="222"/>
      <c r="NI1" s="220" t="s">
        <v>13331</v>
      </c>
      <c r="NJ1" s="221"/>
      <c r="NK1" s="221"/>
      <c r="NL1" s="222"/>
      <c r="NM1" s="220" t="s">
        <v>13331</v>
      </c>
      <c r="NN1" s="221"/>
      <c r="NO1" s="221"/>
      <c r="NP1" s="222"/>
      <c r="NQ1" s="220" t="s">
        <v>13331</v>
      </c>
      <c r="NR1" s="221"/>
      <c r="NS1" s="221"/>
      <c r="NT1" s="222"/>
      <c r="NU1" s="220" t="s">
        <v>13331</v>
      </c>
      <c r="NV1" s="221"/>
      <c r="NW1" s="221"/>
      <c r="NX1" s="222"/>
      <c r="NY1" s="220" t="s">
        <v>13331</v>
      </c>
      <c r="NZ1" s="221"/>
      <c r="OA1" s="221"/>
      <c r="OB1" s="222"/>
      <c r="OC1" s="220" t="s">
        <v>13331</v>
      </c>
      <c r="OD1" s="221"/>
      <c r="OE1" s="221"/>
      <c r="OF1" s="222"/>
      <c r="OG1" s="220" t="s">
        <v>13331</v>
      </c>
      <c r="OH1" s="221"/>
      <c r="OI1" s="221"/>
      <c r="OJ1" s="222"/>
      <c r="OK1" s="220" t="s">
        <v>13331</v>
      </c>
      <c r="OL1" s="221"/>
      <c r="OM1" s="221"/>
      <c r="ON1" s="222"/>
      <c r="OO1" s="220" t="s">
        <v>13331</v>
      </c>
      <c r="OP1" s="221"/>
      <c r="OQ1" s="221"/>
      <c r="OR1" s="222"/>
      <c r="OS1" s="220" t="s">
        <v>13331</v>
      </c>
      <c r="OT1" s="221"/>
      <c r="OU1" s="221"/>
      <c r="OV1" s="222"/>
      <c r="OW1" s="220" t="s">
        <v>13331</v>
      </c>
      <c r="OX1" s="221"/>
      <c r="OY1" s="221"/>
      <c r="OZ1" s="222"/>
      <c r="PA1" s="220" t="s">
        <v>13331</v>
      </c>
      <c r="PB1" s="221"/>
      <c r="PC1" s="221"/>
      <c r="PD1" s="222"/>
      <c r="PE1" s="220" t="s">
        <v>13331</v>
      </c>
      <c r="PF1" s="221"/>
      <c r="PG1" s="221"/>
      <c r="PH1" s="222"/>
      <c r="PI1" s="220" t="s">
        <v>13331</v>
      </c>
      <c r="PJ1" s="221"/>
      <c r="PK1" s="221"/>
      <c r="PL1" s="222"/>
      <c r="PM1" s="220" t="s">
        <v>13331</v>
      </c>
      <c r="PN1" s="221"/>
      <c r="PO1" s="221"/>
      <c r="PP1" s="222"/>
      <c r="PQ1" s="220" t="s">
        <v>13331</v>
      </c>
      <c r="PR1" s="221"/>
      <c r="PS1" s="221"/>
      <c r="PT1" s="222"/>
      <c r="PU1" s="220" t="s">
        <v>13331</v>
      </c>
      <c r="PV1" s="221"/>
      <c r="PW1" s="221"/>
      <c r="PX1" s="222"/>
      <c r="PY1" s="220" t="s">
        <v>13331</v>
      </c>
      <c r="PZ1" s="221"/>
      <c r="QA1" s="221"/>
      <c r="QB1" s="222"/>
      <c r="QC1" s="220" t="s">
        <v>13331</v>
      </c>
      <c r="QD1" s="221"/>
      <c r="QE1" s="221"/>
      <c r="QF1" s="222"/>
      <c r="QG1" s="220" t="s">
        <v>13331</v>
      </c>
      <c r="QH1" s="221"/>
      <c r="QI1" s="221"/>
      <c r="QJ1" s="222"/>
      <c r="QK1" s="220" t="s">
        <v>13331</v>
      </c>
      <c r="QL1" s="221"/>
      <c r="QM1" s="221"/>
      <c r="QN1" s="222"/>
      <c r="QO1" s="220" t="s">
        <v>13331</v>
      </c>
      <c r="QP1" s="221"/>
      <c r="QQ1" s="221"/>
      <c r="QR1" s="222"/>
      <c r="QS1" s="220" t="s">
        <v>13331</v>
      </c>
      <c r="QT1" s="221"/>
      <c r="QU1" s="221"/>
      <c r="QV1" s="222"/>
      <c r="QW1" s="220" t="s">
        <v>13331</v>
      </c>
      <c r="QX1" s="221"/>
      <c r="QY1" s="221"/>
      <c r="QZ1" s="222"/>
      <c r="RA1" s="220" t="s">
        <v>13331</v>
      </c>
      <c r="RB1" s="221"/>
      <c r="RC1" s="221"/>
      <c r="RD1" s="222"/>
      <c r="RE1" s="220" t="s">
        <v>13331</v>
      </c>
      <c r="RF1" s="221"/>
      <c r="RG1" s="221"/>
      <c r="RH1" s="222"/>
      <c r="RI1" s="220" t="s">
        <v>13331</v>
      </c>
      <c r="RJ1" s="221"/>
      <c r="RK1" s="221"/>
      <c r="RL1" s="222"/>
      <c r="RM1" s="220" t="s">
        <v>13331</v>
      </c>
      <c r="RN1" s="221"/>
      <c r="RO1" s="221"/>
      <c r="RP1" s="222"/>
      <c r="RQ1" s="220" t="s">
        <v>13331</v>
      </c>
      <c r="RR1" s="221"/>
      <c r="RS1" s="221"/>
      <c r="RT1" s="222"/>
      <c r="RU1" s="220" t="s">
        <v>13331</v>
      </c>
      <c r="RV1" s="221"/>
      <c r="RW1" s="221"/>
      <c r="RX1" s="222"/>
      <c r="RY1" s="220" t="s">
        <v>13331</v>
      </c>
      <c r="RZ1" s="221"/>
      <c r="SA1" s="221"/>
      <c r="SB1" s="222"/>
      <c r="SC1" s="220" t="s">
        <v>13331</v>
      </c>
      <c r="SD1" s="221"/>
      <c r="SE1" s="221"/>
      <c r="SF1" s="222"/>
      <c r="SG1" s="220" t="s">
        <v>13331</v>
      </c>
      <c r="SH1" s="221"/>
      <c r="SI1" s="221"/>
      <c r="SJ1" s="222"/>
      <c r="SK1" s="220" t="s">
        <v>13331</v>
      </c>
      <c r="SL1" s="221"/>
      <c r="SM1" s="221"/>
      <c r="SN1" s="222"/>
      <c r="SO1" s="220" t="s">
        <v>13331</v>
      </c>
      <c r="SP1" s="221"/>
      <c r="SQ1" s="221"/>
      <c r="SR1" s="222"/>
      <c r="SS1" s="220" t="s">
        <v>13331</v>
      </c>
      <c r="ST1" s="221"/>
      <c r="SU1" s="221"/>
      <c r="SV1" s="222"/>
      <c r="SW1" s="220" t="s">
        <v>13331</v>
      </c>
      <c r="SX1" s="221"/>
      <c r="SY1" s="221"/>
      <c r="SZ1" s="222"/>
      <c r="TA1" s="220" t="s">
        <v>13331</v>
      </c>
      <c r="TB1" s="221"/>
      <c r="TC1" s="221"/>
      <c r="TD1" s="222"/>
      <c r="TE1" s="220" t="s">
        <v>13331</v>
      </c>
      <c r="TF1" s="221"/>
      <c r="TG1" s="221"/>
      <c r="TH1" s="222"/>
      <c r="TI1" s="220" t="s">
        <v>13331</v>
      </c>
      <c r="TJ1" s="221"/>
      <c r="TK1" s="221"/>
      <c r="TL1" s="222"/>
      <c r="TM1" s="220" t="s">
        <v>13331</v>
      </c>
      <c r="TN1" s="221"/>
      <c r="TO1" s="221"/>
      <c r="TP1" s="222"/>
      <c r="TQ1" s="220" t="s">
        <v>13331</v>
      </c>
      <c r="TR1" s="221"/>
      <c r="TS1" s="221"/>
      <c r="TT1" s="222"/>
      <c r="TU1" s="220" t="s">
        <v>13331</v>
      </c>
      <c r="TV1" s="221"/>
      <c r="TW1" s="221"/>
      <c r="TX1" s="222"/>
      <c r="TY1" s="220" t="s">
        <v>13331</v>
      </c>
      <c r="TZ1" s="221"/>
      <c r="UA1" s="221"/>
      <c r="UB1" s="222"/>
      <c r="UC1" s="220" t="s">
        <v>13331</v>
      </c>
      <c r="UD1" s="221"/>
      <c r="UE1" s="221"/>
      <c r="UF1" s="222"/>
      <c r="UG1" s="220" t="s">
        <v>13331</v>
      </c>
      <c r="UH1" s="221"/>
      <c r="UI1" s="221"/>
      <c r="UJ1" s="222"/>
      <c r="UK1" s="220" t="s">
        <v>13331</v>
      </c>
      <c r="UL1" s="221"/>
      <c r="UM1" s="221"/>
      <c r="UN1" s="222"/>
      <c r="UO1" s="220" t="s">
        <v>13331</v>
      </c>
      <c r="UP1" s="221"/>
      <c r="UQ1" s="221"/>
      <c r="UR1" s="222"/>
      <c r="US1" s="220" t="s">
        <v>13331</v>
      </c>
      <c r="UT1" s="221"/>
      <c r="UU1" s="221"/>
      <c r="UV1" s="222"/>
      <c r="UW1" s="220" t="s">
        <v>13331</v>
      </c>
      <c r="UX1" s="221"/>
      <c r="UY1" s="221"/>
      <c r="UZ1" s="222"/>
      <c r="VA1" s="220" t="s">
        <v>13331</v>
      </c>
      <c r="VB1" s="221"/>
      <c r="VC1" s="221"/>
      <c r="VD1" s="222"/>
      <c r="VE1" s="220" t="s">
        <v>13331</v>
      </c>
      <c r="VF1" s="221"/>
      <c r="VG1" s="221"/>
      <c r="VH1" s="222"/>
      <c r="VI1" s="220" t="s">
        <v>13331</v>
      </c>
      <c r="VJ1" s="221"/>
      <c r="VK1" s="221"/>
      <c r="VL1" s="222"/>
      <c r="VM1" s="220" t="s">
        <v>13331</v>
      </c>
      <c r="VN1" s="221"/>
      <c r="VO1" s="221"/>
      <c r="VP1" s="222"/>
      <c r="VQ1" s="220" t="s">
        <v>13331</v>
      </c>
      <c r="VR1" s="221"/>
      <c r="VS1" s="221"/>
      <c r="VT1" s="222"/>
      <c r="VU1" s="220" t="s">
        <v>13331</v>
      </c>
      <c r="VV1" s="221"/>
      <c r="VW1" s="221"/>
      <c r="VX1" s="222"/>
      <c r="VY1" s="220" t="s">
        <v>13331</v>
      </c>
      <c r="VZ1" s="221"/>
      <c r="WA1" s="221"/>
      <c r="WB1" s="222"/>
      <c r="WC1" s="220" t="s">
        <v>13331</v>
      </c>
      <c r="WD1" s="221"/>
      <c r="WE1" s="221"/>
      <c r="WF1" s="222"/>
      <c r="WG1" s="220" t="s">
        <v>13331</v>
      </c>
      <c r="WH1" s="221"/>
      <c r="WI1" s="221"/>
      <c r="WJ1" s="222"/>
      <c r="WK1" s="220" t="s">
        <v>13331</v>
      </c>
      <c r="WL1" s="221"/>
      <c r="WM1" s="221"/>
      <c r="WN1" s="222"/>
      <c r="WO1" s="220" t="s">
        <v>13331</v>
      </c>
      <c r="WP1" s="221"/>
      <c r="WQ1" s="221"/>
      <c r="WR1" s="222"/>
      <c r="WS1" s="220" t="s">
        <v>13331</v>
      </c>
      <c r="WT1" s="221"/>
      <c r="WU1" s="221"/>
      <c r="WV1" s="222"/>
      <c r="WW1" s="220" t="s">
        <v>13331</v>
      </c>
      <c r="WX1" s="221"/>
      <c r="WY1" s="221"/>
      <c r="WZ1" s="222"/>
      <c r="XA1" s="220" t="s">
        <v>13331</v>
      </c>
      <c r="XB1" s="221"/>
      <c r="XC1" s="221"/>
      <c r="XD1" s="222"/>
      <c r="XE1" s="220" t="s">
        <v>13331</v>
      </c>
      <c r="XF1" s="221"/>
      <c r="XG1" s="221"/>
      <c r="XH1" s="222"/>
      <c r="XI1" s="220" t="s">
        <v>13331</v>
      </c>
      <c r="XJ1" s="221"/>
      <c r="XK1" s="221"/>
      <c r="XL1" s="222"/>
      <c r="XM1" s="220" t="s">
        <v>13331</v>
      </c>
      <c r="XN1" s="221"/>
      <c r="XO1" s="221"/>
      <c r="XP1" s="222"/>
      <c r="XQ1" s="220" t="s">
        <v>13331</v>
      </c>
      <c r="XR1" s="221"/>
      <c r="XS1" s="221"/>
      <c r="XT1" s="222"/>
      <c r="XU1" s="220" t="s">
        <v>13331</v>
      </c>
      <c r="XV1" s="221"/>
      <c r="XW1" s="221"/>
      <c r="XX1" s="222"/>
      <c r="XY1" s="220" t="s">
        <v>13331</v>
      </c>
      <c r="XZ1" s="221"/>
      <c r="YA1" s="221"/>
      <c r="YB1" s="222"/>
      <c r="YC1" s="220" t="s">
        <v>13331</v>
      </c>
      <c r="YD1" s="221"/>
      <c r="YE1" s="221"/>
      <c r="YF1" s="222"/>
      <c r="YG1" s="220" t="s">
        <v>13331</v>
      </c>
      <c r="YH1" s="221"/>
      <c r="YI1" s="221"/>
      <c r="YJ1" s="222"/>
      <c r="YK1" s="220" t="s">
        <v>13331</v>
      </c>
      <c r="YL1" s="221"/>
      <c r="YM1" s="221"/>
      <c r="YN1" s="222"/>
      <c r="YO1" s="220" t="s">
        <v>13331</v>
      </c>
      <c r="YP1" s="221"/>
      <c r="YQ1" s="221"/>
      <c r="YR1" s="222"/>
      <c r="YS1" s="220" t="s">
        <v>13331</v>
      </c>
      <c r="YT1" s="221"/>
      <c r="YU1" s="221"/>
      <c r="YV1" s="222"/>
      <c r="YW1" s="220" t="s">
        <v>13331</v>
      </c>
      <c r="YX1" s="221"/>
      <c r="YY1" s="221"/>
      <c r="YZ1" s="222"/>
      <c r="ZA1" s="220" t="s">
        <v>13331</v>
      </c>
      <c r="ZB1" s="221"/>
      <c r="ZC1" s="221"/>
      <c r="ZD1" s="222"/>
      <c r="ZE1" s="220" t="s">
        <v>13331</v>
      </c>
      <c r="ZF1" s="221"/>
      <c r="ZG1" s="221"/>
      <c r="ZH1" s="222"/>
      <c r="ZI1" s="220" t="s">
        <v>13331</v>
      </c>
      <c r="ZJ1" s="221"/>
      <c r="ZK1" s="221"/>
      <c r="ZL1" s="222"/>
      <c r="ZM1" s="220" t="s">
        <v>13331</v>
      </c>
      <c r="ZN1" s="221"/>
      <c r="ZO1" s="221"/>
      <c r="ZP1" s="222"/>
      <c r="ZQ1" s="220" t="s">
        <v>13331</v>
      </c>
      <c r="ZR1" s="221"/>
      <c r="ZS1" s="221"/>
      <c r="ZT1" s="222"/>
      <c r="ZU1" s="220" t="s">
        <v>13331</v>
      </c>
      <c r="ZV1" s="221"/>
      <c r="ZW1" s="221"/>
      <c r="ZX1" s="222"/>
      <c r="ZY1" s="220" t="s">
        <v>13331</v>
      </c>
      <c r="ZZ1" s="221"/>
      <c r="AAA1" s="221"/>
      <c r="AAB1" s="222"/>
      <c r="AAC1" s="220" t="s">
        <v>13331</v>
      </c>
      <c r="AAD1" s="221"/>
      <c r="AAE1" s="221"/>
      <c r="AAF1" s="222"/>
      <c r="AAG1" s="220" t="s">
        <v>13331</v>
      </c>
      <c r="AAH1" s="221"/>
      <c r="AAI1" s="221"/>
      <c r="AAJ1" s="222"/>
      <c r="AAK1" s="220" t="s">
        <v>13331</v>
      </c>
      <c r="AAL1" s="221"/>
      <c r="AAM1" s="221"/>
      <c r="AAN1" s="222"/>
      <c r="AAO1" s="220" t="s">
        <v>13331</v>
      </c>
      <c r="AAP1" s="221"/>
      <c r="AAQ1" s="221"/>
      <c r="AAR1" s="222"/>
      <c r="AAS1" s="220" t="s">
        <v>13331</v>
      </c>
      <c r="AAT1" s="221"/>
      <c r="AAU1" s="221"/>
      <c r="AAV1" s="222"/>
      <c r="AAW1" s="220" t="s">
        <v>13331</v>
      </c>
      <c r="AAX1" s="221"/>
      <c r="AAY1" s="221"/>
      <c r="AAZ1" s="222"/>
      <c r="ABA1" s="220" t="s">
        <v>13331</v>
      </c>
      <c r="ABB1" s="221"/>
      <c r="ABC1" s="221"/>
      <c r="ABD1" s="222"/>
      <c r="ABE1" s="220" t="s">
        <v>13331</v>
      </c>
      <c r="ABF1" s="221"/>
      <c r="ABG1" s="221"/>
      <c r="ABH1" s="222"/>
      <c r="ABI1" s="220" t="s">
        <v>13331</v>
      </c>
      <c r="ABJ1" s="221"/>
      <c r="ABK1" s="221"/>
      <c r="ABL1" s="222"/>
      <c r="ABM1" s="220" t="s">
        <v>13331</v>
      </c>
      <c r="ABN1" s="221"/>
      <c r="ABO1" s="221"/>
      <c r="ABP1" s="222"/>
      <c r="ABQ1" s="220" t="s">
        <v>13331</v>
      </c>
      <c r="ABR1" s="221"/>
      <c r="ABS1" s="221"/>
      <c r="ABT1" s="222"/>
      <c r="ABU1" s="220" t="s">
        <v>13331</v>
      </c>
      <c r="ABV1" s="221"/>
      <c r="ABW1" s="221"/>
      <c r="ABX1" s="222"/>
      <c r="ABY1" s="220" t="s">
        <v>13331</v>
      </c>
      <c r="ABZ1" s="221"/>
      <c r="ACA1" s="221"/>
      <c r="ACB1" s="222"/>
      <c r="ACC1" s="220" t="s">
        <v>13331</v>
      </c>
      <c r="ACD1" s="221"/>
      <c r="ACE1" s="221"/>
      <c r="ACF1" s="222"/>
      <c r="ACG1" s="220" t="s">
        <v>13331</v>
      </c>
      <c r="ACH1" s="221"/>
      <c r="ACI1" s="221"/>
      <c r="ACJ1" s="222"/>
      <c r="ACK1" s="220" t="s">
        <v>13331</v>
      </c>
      <c r="ACL1" s="221"/>
      <c r="ACM1" s="221"/>
      <c r="ACN1" s="222"/>
      <c r="ACO1" s="220" t="s">
        <v>13331</v>
      </c>
      <c r="ACP1" s="221"/>
      <c r="ACQ1" s="221"/>
      <c r="ACR1" s="222"/>
      <c r="ACS1" s="220" t="s">
        <v>13331</v>
      </c>
      <c r="ACT1" s="221"/>
      <c r="ACU1" s="221"/>
      <c r="ACV1" s="222"/>
      <c r="ACW1" s="220" t="s">
        <v>13331</v>
      </c>
      <c r="ACX1" s="221"/>
      <c r="ACY1" s="221"/>
      <c r="ACZ1" s="222"/>
      <c r="ADA1" s="220" t="s">
        <v>13331</v>
      </c>
      <c r="ADB1" s="221"/>
      <c r="ADC1" s="221"/>
      <c r="ADD1" s="222"/>
      <c r="ADE1" s="220" t="s">
        <v>13331</v>
      </c>
      <c r="ADF1" s="221"/>
      <c r="ADG1" s="221"/>
      <c r="ADH1" s="222"/>
      <c r="ADI1" s="220" t="s">
        <v>13331</v>
      </c>
      <c r="ADJ1" s="221"/>
      <c r="ADK1" s="221"/>
      <c r="ADL1" s="222"/>
      <c r="ADM1" s="220" t="s">
        <v>13331</v>
      </c>
      <c r="ADN1" s="221"/>
      <c r="ADO1" s="221"/>
      <c r="ADP1" s="222"/>
      <c r="ADQ1" s="220" t="s">
        <v>13331</v>
      </c>
      <c r="ADR1" s="221"/>
      <c r="ADS1" s="221"/>
      <c r="ADT1" s="222"/>
      <c r="ADU1" s="220" t="s">
        <v>13331</v>
      </c>
      <c r="ADV1" s="221"/>
      <c r="ADW1" s="221"/>
      <c r="ADX1" s="222"/>
      <c r="ADY1" s="220" t="s">
        <v>13331</v>
      </c>
      <c r="ADZ1" s="221"/>
      <c r="AEA1" s="221"/>
      <c r="AEB1" s="222"/>
      <c r="AEC1" s="220" t="s">
        <v>13331</v>
      </c>
      <c r="AED1" s="221"/>
      <c r="AEE1" s="221"/>
      <c r="AEF1" s="222"/>
      <c r="AEG1" s="220" t="s">
        <v>13331</v>
      </c>
      <c r="AEH1" s="221"/>
      <c r="AEI1" s="221"/>
      <c r="AEJ1" s="222"/>
      <c r="AEK1" s="220" t="s">
        <v>13331</v>
      </c>
      <c r="AEL1" s="221"/>
      <c r="AEM1" s="221"/>
      <c r="AEN1" s="222"/>
      <c r="AEO1" s="220" t="s">
        <v>13331</v>
      </c>
      <c r="AEP1" s="221"/>
      <c r="AEQ1" s="221"/>
      <c r="AER1" s="222"/>
      <c r="AES1" s="220" t="s">
        <v>13331</v>
      </c>
      <c r="AET1" s="221"/>
      <c r="AEU1" s="221"/>
      <c r="AEV1" s="222"/>
      <c r="AEW1" s="220" t="s">
        <v>13331</v>
      </c>
      <c r="AEX1" s="221"/>
      <c r="AEY1" s="221"/>
      <c r="AEZ1" s="222"/>
      <c r="AFA1" s="220" t="s">
        <v>13331</v>
      </c>
      <c r="AFB1" s="221"/>
      <c r="AFC1" s="221"/>
      <c r="AFD1" s="222"/>
      <c r="AFE1" s="220" t="s">
        <v>13331</v>
      </c>
      <c r="AFF1" s="221"/>
      <c r="AFG1" s="221"/>
      <c r="AFH1" s="222"/>
      <c r="AFI1" s="220" t="s">
        <v>13331</v>
      </c>
      <c r="AFJ1" s="221"/>
      <c r="AFK1" s="221"/>
      <c r="AFL1" s="222"/>
      <c r="AFM1" s="220" t="s">
        <v>13331</v>
      </c>
      <c r="AFN1" s="221"/>
      <c r="AFO1" s="221"/>
      <c r="AFP1" s="222"/>
      <c r="AFQ1" s="220" t="s">
        <v>13331</v>
      </c>
      <c r="AFR1" s="221"/>
      <c r="AFS1" s="221"/>
      <c r="AFT1" s="222"/>
      <c r="AFU1" s="220" t="s">
        <v>13331</v>
      </c>
      <c r="AFV1" s="221"/>
      <c r="AFW1" s="221"/>
      <c r="AFX1" s="222"/>
      <c r="AFY1" s="220" t="s">
        <v>13331</v>
      </c>
      <c r="AFZ1" s="221"/>
      <c r="AGA1" s="221"/>
      <c r="AGB1" s="222"/>
      <c r="AGC1" s="220" t="s">
        <v>13331</v>
      </c>
      <c r="AGD1" s="221"/>
      <c r="AGE1" s="221"/>
      <c r="AGF1" s="222"/>
      <c r="AGG1" s="220" t="s">
        <v>13331</v>
      </c>
      <c r="AGH1" s="221"/>
      <c r="AGI1" s="221"/>
      <c r="AGJ1" s="222"/>
      <c r="AGK1" s="220" t="s">
        <v>13331</v>
      </c>
      <c r="AGL1" s="221"/>
      <c r="AGM1" s="221"/>
      <c r="AGN1" s="222"/>
      <c r="AGO1" s="220" t="s">
        <v>13331</v>
      </c>
      <c r="AGP1" s="221"/>
      <c r="AGQ1" s="221"/>
      <c r="AGR1" s="222"/>
      <c r="AGS1" s="220" t="s">
        <v>13331</v>
      </c>
      <c r="AGT1" s="221"/>
      <c r="AGU1" s="221"/>
      <c r="AGV1" s="222"/>
      <c r="AGW1" s="220" t="s">
        <v>13331</v>
      </c>
      <c r="AGX1" s="221"/>
      <c r="AGY1" s="221"/>
      <c r="AGZ1" s="222"/>
      <c r="AHA1" s="220" t="s">
        <v>13331</v>
      </c>
      <c r="AHB1" s="221"/>
      <c r="AHC1" s="221"/>
      <c r="AHD1" s="222"/>
      <c r="AHE1" s="220" t="s">
        <v>13331</v>
      </c>
      <c r="AHF1" s="221"/>
      <c r="AHG1" s="221"/>
      <c r="AHH1" s="222"/>
      <c r="AHI1" s="220" t="s">
        <v>13331</v>
      </c>
      <c r="AHJ1" s="221"/>
      <c r="AHK1" s="221"/>
      <c r="AHL1" s="222"/>
      <c r="AHM1" s="220" t="s">
        <v>13331</v>
      </c>
      <c r="AHN1" s="221"/>
      <c r="AHO1" s="221"/>
      <c r="AHP1" s="222"/>
      <c r="AHQ1" s="220" t="s">
        <v>13331</v>
      </c>
      <c r="AHR1" s="221"/>
      <c r="AHS1" s="221"/>
      <c r="AHT1" s="222"/>
      <c r="AHU1" s="220" t="s">
        <v>13331</v>
      </c>
      <c r="AHV1" s="221"/>
      <c r="AHW1" s="221"/>
      <c r="AHX1" s="222"/>
      <c r="AHY1" s="220" t="s">
        <v>13331</v>
      </c>
      <c r="AHZ1" s="221"/>
      <c r="AIA1" s="221"/>
      <c r="AIB1" s="222"/>
      <c r="AIC1" s="220" t="s">
        <v>13331</v>
      </c>
      <c r="AID1" s="221"/>
      <c r="AIE1" s="221"/>
      <c r="AIF1" s="222"/>
      <c r="AIG1" s="220" t="s">
        <v>13331</v>
      </c>
      <c r="AIH1" s="221"/>
      <c r="AII1" s="221"/>
      <c r="AIJ1" s="222"/>
      <c r="AIK1" s="220" t="s">
        <v>13331</v>
      </c>
      <c r="AIL1" s="221"/>
      <c r="AIM1" s="221"/>
      <c r="AIN1" s="222"/>
      <c r="AIO1" s="220" t="s">
        <v>13331</v>
      </c>
      <c r="AIP1" s="221"/>
      <c r="AIQ1" s="221"/>
      <c r="AIR1" s="222"/>
      <c r="AIS1" s="220" t="s">
        <v>13331</v>
      </c>
      <c r="AIT1" s="221"/>
      <c r="AIU1" s="221"/>
      <c r="AIV1" s="222"/>
      <c r="AIW1" s="220" t="s">
        <v>13331</v>
      </c>
      <c r="AIX1" s="221"/>
      <c r="AIY1" s="221"/>
      <c r="AIZ1" s="222"/>
      <c r="AJA1" s="220" t="s">
        <v>13331</v>
      </c>
      <c r="AJB1" s="221"/>
      <c r="AJC1" s="221"/>
      <c r="AJD1" s="222"/>
      <c r="AJE1" s="220" t="s">
        <v>13331</v>
      </c>
      <c r="AJF1" s="221"/>
      <c r="AJG1" s="221"/>
      <c r="AJH1" s="222"/>
      <c r="AJI1" s="220" t="s">
        <v>13331</v>
      </c>
      <c r="AJJ1" s="221"/>
      <c r="AJK1" s="221"/>
      <c r="AJL1" s="222"/>
      <c r="AJM1" s="220" t="s">
        <v>13331</v>
      </c>
      <c r="AJN1" s="221"/>
      <c r="AJO1" s="221"/>
      <c r="AJP1" s="222"/>
      <c r="AJQ1" s="220" t="s">
        <v>13331</v>
      </c>
      <c r="AJR1" s="221"/>
      <c r="AJS1" s="221"/>
      <c r="AJT1" s="222"/>
      <c r="AJU1" s="220" t="s">
        <v>13331</v>
      </c>
      <c r="AJV1" s="221"/>
      <c r="AJW1" s="221"/>
      <c r="AJX1" s="222"/>
      <c r="AJY1" s="220" t="s">
        <v>13331</v>
      </c>
      <c r="AJZ1" s="221"/>
      <c r="AKA1" s="221"/>
      <c r="AKB1" s="222"/>
      <c r="AKC1" s="220" t="s">
        <v>13331</v>
      </c>
      <c r="AKD1" s="221"/>
      <c r="AKE1" s="221"/>
      <c r="AKF1" s="222"/>
      <c r="AKG1" s="220" t="s">
        <v>13331</v>
      </c>
      <c r="AKH1" s="221"/>
      <c r="AKI1" s="221"/>
      <c r="AKJ1" s="222"/>
      <c r="AKK1" s="220" t="s">
        <v>13331</v>
      </c>
      <c r="AKL1" s="221"/>
      <c r="AKM1" s="221"/>
      <c r="AKN1" s="222"/>
      <c r="AKO1" s="220" t="s">
        <v>13331</v>
      </c>
      <c r="AKP1" s="221"/>
      <c r="AKQ1" s="221"/>
      <c r="AKR1" s="222"/>
      <c r="AKS1" s="220" t="s">
        <v>13331</v>
      </c>
      <c r="AKT1" s="221"/>
      <c r="AKU1" s="221"/>
      <c r="AKV1" s="222"/>
      <c r="AKW1" s="220" t="s">
        <v>13331</v>
      </c>
      <c r="AKX1" s="221"/>
      <c r="AKY1" s="221"/>
      <c r="AKZ1" s="222"/>
      <c r="ALA1" s="220" t="s">
        <v>13331</v>
      </c>
      <c r="ALB1" s="221"/>
      <c r="ALC1" s="221"/>
      <c r="ALD1" s="222"/>
      <c r="ALE1" s="220" t="s">
        <v>13331</v>
      </c>
      <c r="ALF1" s="221"/>
      <c r="ALG1" s="221"/>
      <c r="ALH1" s="222"/>
      <c r="ALI1" s="220" t="s">
        <v>13331</v>
      </c>
      <c r="ALJ1" s="221"/>
      <c r="ALK1" s="221"/>
      <c r="ALL1" s="222"/>
      <c r="ALM1" s="220" t="s">
        <v>13331</v>
      </c>
      <c r="ALN1" s="221"/>
      <c r="ALO1" s="221"/>
      <c r="ALP1" s="222"/>
      <c r="ALQ1" s="220" t="s">
        <v>13331</v>
      </c>
      <c r="ALR1" s="221"/>
      <c r="ALS1" s="221"/>
      <c r="ALT1" s="222"/>
      <c r="ALU1" s="220" t="s">
        <v>13331</v>
      </c>
      <c r="ALV1" s="221"/>
      <c r="ALW1" s="221"/>
      <c r="ALX1" s="222"/>
      <c r="ALY1" s="220" t="s">
        <v>13331</v>
      </c>
      <c r="ALZ1" s="221"/>
      <c r="AMA1" s="221"/>
      <c r="AMB1" s="222"/>
      <c r="AMC1" s="220" t="s">
        <v>13331</v>
      </c>
      <c r="AMD1" s="221"/>
      <c r="AME1" s="221"/>
      <c r="AMF1" s="222"/>
      <c r="AMG1" s="220" t="s">
        <v>13331</v>
      </c>
      <c r="AMH1" s="221"/>
      <c r="AMI1" s="221"/>
      <c r="AMJ1" s="222"/>
      <c r="AMK1" s="220" t="s">
        <v>13331</v>
      </c>
      <c r="AML1" s="221"/>
      <c r="AMM1" s="221"/>
      <c r="AMN1" s="222"/>
      <c r="AMO1" s="220" t="s">
        <v>13331</v>
      </c>
      <c r="AMP1" s="221"/>
      <c r="AMQ1" s="221"/>
      <c r="AMR1" s="222"/>
      <c r="AMS1" s="220" t="s">
        <v>13331</v>
      </c>
      <c r="AMT1" s="221"/>
      <c r="AMU1" s="221"/>
      <c r="AMV1" s="222"/>
      <c r="AMW1" s="220" t="s">
        <v>13331</v>
      </c>
      <c r="AMX1" s="221"/>
      <c r="AMY1" s="221"/>
      <c r="AMZ1" s="222"/>
      <c r="ANA1" s="220" t="s">
        <v>13331</v>
      </c>
      <c r="ANB1" s="221"/>
      <c r="ANC1" s="221"/>
      <c r="AND1" s="222"/>
      <c r="ANE1" s="220" t="s">
        <v>13331</v>
      </c>
      <c r="ANF1" s="221"/>
      <c r="ANG1" s="221"/>
      <c r="ANH1" s="222"/>
      <c r="ANI1" s="220" t="s">
        <v>13331</v>
      </c>
      <c r="ANJ1" s="221"/>
      <c r="ANK1" s="221"/>
      <c r="ANL1" s="222"/>
      <c r="ANM1" s="220" t="s">
        <v>13331</v>
      </c>
      <c r="ANN1" s="221"/>
      <c r="ANO1" s="221"/>
      <c r="ANP1" s="222"/>
      <c r="ANQ1" s="220" t="s">
        <v>13331</v>
      </c>
      <c r="ANR1" s="221"/>
      <c r="ANS1" s="221"/>
      <c r="ANT1" s="222"/>
      <c r="ANU1" s="220" t="s">
        <v>13331</v>
      </c>
      <c r="ANV1" s="221"/>
      <c r="ANW1" s="221"/>
      <c r="ANX1" s="222"/>
      <c r="ANY1" s="220" t="s">
        <v>13331</v>
      </c>
      <c r="ANZ1" s="221"/>
      <c r="AOA1" s="221"/>
      <c r="AOB1" s="222"/>
      <c r="AOC1" s="220" t="s">
        <v>13331</v>
      </c>
      <c r="AOD1" s="221"/>
      <c r="AOE1" s="221"/>
      <c r="AOF1" s="222"/>
      <c r="AOG1" s="220" t="s">
        <v>13331</v>
      </c>
      <c r="AOH1" s="221"/>
      <c r="AOI1" s="221"/>
      <c r="AOJ1" s="222"/>
      <c r="AOK1" s="220" t="s">
        <v>13331</v>
      </c>
      <c r="AOL1" s="221"/>
      <c r="AOM1" s="221"/>
      <c r="AON1" s="222"/>
      <c r="AOO1" s="220" t="s">
        <v>13331</v>
      </c>
      <c r="AOP1" s="221"/>
      <c r="AOQ1" s="221"/>
      <c r="AOR1" s="222"/>
      <c r="AOS1" s="220" t="s">
        <v>13331</v>
      </c>
      <c r="AOT1" s="221"/>
      <c r="AOU1" s="221"/>
      <c r="AOV1" s="222"/>
      <c r="AOW1" s="220" t="s">
        <v>13331</v>
      </c>
      <c r="AOX1" s="221"/>
      <c r="AOY1" s="221"/>
      <c r="AOZ1" s="222"/>
      <c r="APA1" s="220" t="s">
        <v>13331</v>
      </c>
      <c r="APB1" s="221"/>
      <c r="APC1" s="221"/>
      <c r="APD1" s="222"/>
      <c r="APE1" s="220" t="s">
        <v>13331</v>
      </c>
      <c r="APF1" s="221"/>
      <c r="APG1" s="221"/>
      <c r="APH1" s="222"/>
      <c r="API1" s="220" t="s">
        <v>13331</v>
      </c>
      <c r="APJ1" s="221"/>
      <c r="APK1" s="221"/>
      <c r="APL1" s="222"/>
      <c r="APM1" s="220" t="s">
        <v>13331</v>
      </c>
      <c r="APN1" s="221"/>
      <c r="APO1" s="221"/>
      <c r="APP1" s="222"/>
      <c r="APQ1" s="220" t="s">
        <v>13331</v>
      </c>
      <c r="APR1" s="221"/>
      <c r="APS1" s="221"/>
      <c r="APT1" s="222"/>
      <c r="APU1" s="220" t="s">
        <v>13331</v>
      </c>
      <c r="APV1" s="221"/>
      <c r="APW1" s="221"/>
      <c r="APX1" s="222"/>
      <c r="APY1" s="220" t="s">
        <v>13331</v>
      </c>
      <c r="APZ1" s="221"/>
      <c r="AQA1" s="221"/>
      <c r="AQB1" s="222"/>
      <c r="AQC1" s="220" t="s">
        <v>13331</v>
      </c>
      <c r="AQD1" s="221"/>
      <c r="AQE1" s="221"/>
      <c r="AQF1" s="222"/>
      <c r="AQG1" s="220" t="s">
        <v>13331</v>
      </c>
      <c r="AQH1" s="221"/>
      <c r="AQI1" s="221"/>
      <c r="AQJ1" s="222"/>
      <c r="AQK1" s="220" t="s">
        <v>13331</v>
      </c>
      <c r="AQL1" s="221"/>
      <c r="AQM1" s="221"/>
      <c r="AQN1" s="222"/>
      <c r="AQO1" s="220" t="s">
        <v>13331</v>
      </c>
      <c r="AQP1" s="221"/>
      <c r="AQQ1" s="221"/>
      <c r="AQR1" s="222"/>
      <c r="AQS1" s="220" t="s">
        <v>13331</v>
      </c>
      <c r="AQT1" s="221"/>
      <c r="AQU1" s="221"/>
      <c r="AQV1" s="222"/>
      <c r="AQW1" s="220" t="s">
        <v>13331</v>
      </c>
      <c r="AQX1" s="221"/>
      <c r="AQY1" s="221"/>
      <c r="AQZ1" s="222"/>
      <c r="ARA1" s="220" t="s">
        <v>13331</v>
      </c>
      <c r="ARB1" s="221"/>
      <c r="ARC1" s="221"/>
      <c r="ARD1" s="222"/>
      <c r="ARE1" s="220" t="s">
        <v>13331</v>
      </c>
      <c r="ARF1" s="221"/>
      <c r="ARG1" s="221"/>
      <c r="ARH1" s="222"/>
      <c r="ARI1" s="220" t="s">
        <v>13331</v>
      </c>
      <c r="ARJ1" s="221"/>
      <c r="ARK1" s="221"/>
      <c r="ARL1" s="222"/>
      <c r="ARM1" s="220" t="s">
        <v>13331</v>
      </c>
      <c r="ARN1" s="221"/>
      <c r="ARO1" s="221"/>
      <c r="ARP1" s="222"/>
      <c r="ARQ1" s="220" t="s">
        <v>13331</v>
      </c>
      <c r="ARR1" s="221"/>
      <c r="ARS1" s="221"/>
      <c r="ART1" s="222"/>
      <c r="ARU1" s="220" t="s">
        <v>13331</v>
      </c>
      <c r="ARV1" s="221"/>
      <c r="ARW1" s="221"/>
      <c r="ARX1" s="222"/>
      <c r="ARY1" s="220" t="s">
        <v>13331</v>
      </c>
      <c r="ARZ1" s="221"/>
      <c r="ASA1" s="221"/>
      <c r="ASB1" s="222"/>
      <c r="ASC1" s="220" t="s">
        <v>13331</v>
      </c>
      <c r="ASD1" s="221"/>
      <c r="ASE1" s="221"/>
      <c r="ASF1" s="222"/>
      <c r="ASG1" s="220" t="s">
        <v>13331</v>
      </c>
      <c r="ASH1" s="221"/>
      <c r="ASI1" s="221"/>
      <c r="ASJ1" s="222"/>
      <c r="ASK1" s="220" t="s">
        <v>13331</v>
      </c>
      <c r="ASL1" s="221"/>
      <c r="ASM1" s="221"/>
      <c r="ASN1" s="222"/>
      <c r="ASO1" s="220" t="s">
        <v>13331</v>
      </c>
      <c r="ASP1" s="221"/>
      <c r="ASQ1" s="221"/>
      <c r="ASR1" s="222"/>
      <c r="ASS1" s="220" t="s">
        <v>13331</v>
      </c>
      <c r="AST1" s="221"/>
      <c r="ASU1" s="221"/>
      <c r="ASV1" s="222"/>
      <c r="ASW1" s="220" t="s">
        <v>13331</v>
      </c>
      <c r="ASX1" s="221"/>
      <c r="ASY1" s="221"/>
      <c r="ASZ1" s="222"/>
      <c r="ATA1" s="220" t="s">
        <v>13331</v>
      </c>
      <c r="ATB1" s="221"/>
      <c r="ATC1" s="221"/>
      <c r="ATD1" s="222"/>
      <c r="ATE1" s="220" t="s">
        <v>13331</v>
      </c>
      <c r="ATF1" s="221"/>
      <c r="ATG1" s="221"/>
      <c r="ATH1" s="222"/>
      <c r="ATI1" s="220" t="s">
        <v>13331</v>
      </c>
      <c r="ATJ1" s="221"/>
      <c r="ATK1" s="221"/>
      <c r="ATL1" s="222"/>
      <c r="ATM1" s="220" t="s">
        <v>13331</v>
      </c>
      <c r="ATN1" s="221"/>
      <c r="ATO1" s="221"/>
      <c r="ATP1" s="222"/>
      <c r="ATQ1" s="220" t="s">
        <v>13331</v>
      </c>
      <c r="ATR1" s="221"/>
      <c r="ATS1" s="221"/>
      <c r="ATT1" s="222"/>
      <c r="ATU1" s="220" t="s">
        <v>13331</v>
      </c>
      <c r="ATV1" s="221"/>
      <c r="ATW1" s="221"/>
      <c r="ATX1" s="222"/>
      <c r="ATY1" s="220" t="s">
        <v>13331</v>
      </c>
      <c r="ATZ1" s="221"/>
      <c r="AUA1" s="221"/>
      <c r="AUB1" s="222"/>
      <c r="AUC1" s="220" t="s">
        <v>13331</v>
      </c>
      <c r="AUD1" s="221"/>
      <c r="AUE1" s="221"/>
      <c r="AUF1" s="222"/>
      <c r="AUG1" s="220" t="s">
        <v>13331</v>
      </c>
      <c r="AUH1" s="221"/>
      <c r="AUI1" s="221"/>
      <c r="AUJ1" s="222"/>
      <c r="AUK1" s="220" t="s">
        <v>13331</v>
      </c>
      <c r="AUL1" s="221"/>
      <c r="AUM1" s="221"/>
      <c r="AUN1" s="222"/>
      <c r="AUO1" s="220" t="s">
        <v>13331</v>
      </c>
      <c r="AUP1" s="221"/>
      <c r="AUQ1" s="221"/>
      <c r="AUR1" s="222"/>
      <c r="AUS1" s="220" t="s">
        <v>13331</v>
      </c>
      <c r="AUT1" s="221"/>
      <c r="AUU1" s="221"/>
      <c r="AUV1" s="222"/>
      <c r="AUW1" s="220" t="s">
        <v>13331</v>
      </c>
      <c r="AUX1" s="221"/>
      <c r="AUY1" s="221"/>
      <c r="AUZ1" s="222"/>
      <c r="AVA1" s="220" t="s">
        <v>13331</v>
      </c>
      <c r="AVB1" s="221"/>
      <c r="AVC1" s="221"/>
      <c r="AVD1" s="222"/>
      <c r="AVE1" s="220" t="s">
        <v>13331</v>
      </c>
      <c r="AVF1" s="221"/>
      <c r="AVG1" s="221"/>
      <c r="AVH1" s="222"/>
      <c r="AVI1" s="220" t="s">
        <v>13331</v>
      </c>
      <c r="AVJ1" s="221"/>
      <c r="AVK1" s="221"/>
      <c r="AVL1" s="222"/>
      <c r="AVM1" s="220" t="s">
        <v>13331</v>
      </c>
      <c r="AVN1" s="221"/>
      <c r="AVO1" s="221"/>
      <c r="AVP1" s="222"/>
      <c r="AVQ1" s="220" t="s">
        <v>13331</v>
      </c>
      <c r="AVR1" s="221"/>
      <c r="AVS1" s="221"/>
      <c r="AVT1" s="222"/>
      <c r="AVU1" s="220" t="s">
        <v>13331</v>
      </c>
      <c r="AVV1" s="221"/>
      <c r="AVW1" s="221"/>
      <c r="AVX1" s="222"/>
      <c r="AVY1" s="220" t="s">
        <v>13331</v>
      </c>
      <c r="AVZ1" s="221"/>
      <c r="AWA1" s="221"/>
      <c r="AWB1" s="222"/>
      <c r="AWC1" s="220" t="s">
        <v>13331</v>
      </c>
      <c r="AWD1" s="221"/>
      <c r="AWE1" s="221"/>
      <c r="AWF1" s="222"/>
      <c r="AWG1" s="220" t="s">
        <v>13331</v>
      </c>
      <c r="AWH1" s="221"/>
      <c r="AWI1" s="221"/>
      <c r="AWJ1" s="222"/>
      <c r="AWK1" s="220" t="s">
        <v>13331</v>
      </c>
      <c r="AWL1" s="221"/>
      <c r="AWM1" s="221"/>
      <c r="AWN1" s="222"/>
      <c r="AWO1" s="220" t="s">
        <v>13331</v>
      </c>
      <c r="AWP1" s="221"/>
      <c r="AWQ1" s="221"/>
      <c r="AWR1" s="222"/>
      <c r="AWS1" s="220" t="s">
        <v>13331</v>
      </c>
      <c r="AWT1" s="221"/>
      <c r="AWU1" s="221"/>
      <c r="AWV1" s="222"/>
      <c r="AWW1" s="220" t="s">
        <v>13331</v>
      </c>
      <c r="AWX1" s="221"/>
      <c r="AWY1" s="221"/>
      <c r="AWZ1" s="222"/>
      <c r="AXA1" s="220" t="s">
        <v>13331</v>
      </c>
      <c r="AXB1" s="221"/>
      <c r="AXC1" s="221"/>
      <c r="AXD1" s="222"/>
      <c r="AXE1" s="220" t="s">
        <v>13331</v>
      </c>
      <c r="AXF1" s="221"/>
      <c r="AXG1" s="221"/>
      <c r="AXH1" s="222"/>
      <c r="AXI1" s="220" t="s">
        <v>13331</v>
      </c>
      <c r="AXJ1" s="221"/>
      <c r="AXK1" s="221"/>
      <c r="AXL1" s="222"/>
      <c r="AXM1" s="220" t="s">
        <v>13331</v>
      </c>
      <c r="AXN1" s="221"/>
      <c r="AXO1" s="221"/>
      <c r="AXP1" s="222"/>
      <c r="AXQ1" s="220" t="s">
        <v>13331</v>
      </c>
      <c r="AXR1" s="221"/>
      <c r="AXS1" s="221"/>
      <c r="AXT1" s="222"/>
      <c r="AXU1" s="220" t="s">
        <v>13331</v>
      </c>
      <c r="AXV1" s="221"/>
      <c r="AXW1" s="221"/>
      <c r="AXX1" s="222"/>
      <c r="AXY1" s="220" t="s">
        <v>13331</v>
      </c>
      <c r="AXZ1" s="221"/>
      <c r="AYA1" s="221"/>
      <c r="AYB1" s="222"/>
      <c r="AYC1" s="220" t="s">
        <v>13331</v>
      </c>
      <c r="AYD1" s="221"/>
      <c r="AYE1" s="221"/>
      <c r="AYF1" s="222"/>
      <c r="AYG1" s="220" t="s">
        <v>13331</v>
      </c>
      <c r="AYH1" s="221"/>
      <c r="AYI1" s="221"/>
      <c r="AYJ1" s="222"/>
      <c r="AYK1" s="220" t="s">
        <v>13331</v>
      </c>
      <c r="AYL1" s="221"/>
      <c r="AYM1" s="221"/>
      <c r="AYN1" s="222"/>
      <c r="AYO1" s="220" t="s">
        <v>13331</v>
      </c>
      <c r="AYP1" s="221"/>
      <c r="AYQ1" s="221"/>
      <c r="AYR1" s="222"/>
      <c r="AYS1" s="220" t="s">
        <v>13331</v>
      </c>
      <c r="AYT1" s="221"/>
      <c r="AYU1" s="221"/>
      <c r="AYV1" s="222"/>
      <c r="AYW1" s="220" t="s">
        <v>13331</v>
      </c>
      <c r="AYX1" s="221"/>
      <c r="AYY1" s="221"/>
      <c r="AYZ1" s="222"/>
      <c r="AZA1" s="220" t="s">
        <v>13331</v>
      </c>
      <c r="AZB1" s="221"/>
      <c r="AZC1" s="221"/>
      <c r="AZD1" s="222"/>
      <c r="AZE1" s="220" t="s">
        <v>13331</v>
      </c>
      <c r="AZF1" s="221"/>
      <c r="AZG1" s="221"/>
      <c r="AZH1" s="222"/>
      <c r="AZI1" s="220" t="s">
        <v>13331</v>
      </c>
      <c r="AZJ1" s="221"/>
      <c r="AZK1" s="221"/>
      <c r="AZL1" s="222"/>
      <c r="AZM1" s="220" t="s">
        <v>13331</v>
      </c>
      <c r="AZN1" s="221"/>
      <c r="AZO1" s="221"/>
      <c r="AZP1" s="222"/>
      <c r="AZQ1" s="220" t="s">
        <v>13331</v>
      </c>
      <c r="AZR1" s="221"/>
      <c r="AZS1" s="221"/>
      <c r="AZT1" s="222"/>
      <c r="AZU1" s="220" t="s">
        <v>13331</v>
      </c>
      <c r="AZV1" s="221"/>
      <c r="AZW1" s="221"/>
      <c r="AZX1" s="222"/>
      <c r="AZY1" s="220" t="s">
        <v>13331</v>
      </c>
      <c r="AZZ1" s="221"/>
      <c r="BAA1" s="221"/>
      <c r="BAB1" s="222"/>
      <c r="BAC1" s="220" t="s">
        <v>13331</v>
      </c>
      <c r="BAD1" s="221"/>
      <c r="BAE1" s="221"/>
      <c r="BAF1" s="222"/>
      <c r="BAG1" s="220" t="s">
        <v>13331</v>
      </c>
      <c r="BAH1" s="221"/>
      <c r="BAI1" s="221"/>
      <c r="BAJ1" s="222"/>
      <c r="BAK1" s="220" t="s">
        <v>13331</v>
      </c>
      <c r="BAL1" s="221"/>
      <c r="BAM1" s="221"/>
      <c r="BAN1" s="222"/>
      <c r="BAO1" s="220" t="s">
        <v>13331</v>
      </c>
      <c r="BAP1" s="221"/>
      <c r="BAQ1" s="221"/>
      <c r="BAR1" s="222"/>
      <c r="BAS1" s="220" t="s">
        <v>13331</v>
      </c>
      <c r="BAT1" s="221"/>
      <c r="BAU1" s="221"/>
      <c r="BAV1" s="222"/>
      <c r="BAW1" s="220" t="s">
        <v>13331</v>
      </c>
      <c r="BAX1" s="221"/>
      <c r="BAY1" s="221"/>
      <c r="BAZ1" s="222"/>
      <c r="BBA1" s="220" t="s">
        <v>13331</v>
      </c>
      <c r="BBB1" s="221"/>
      <c r="BBC1" s="221"/>
      <c r="BBD1" s="222"/>
      <c r="BBE1" s="220" t="s">
        <v>13331</v>
      </c>
      <c r="BBF1" s="221"/>
      <c r="BBG1" s="221"/>
      <c r="BBH1" s="222"/>
      <c r="BBI1" s="220" t="s">
        <v>13331</v>
      </c>
      <c r="BBJ1" s="221"/>
      <c r="BBK1" s="221"/>
      <c r="BBL1" s="222"/>
      <c r="BBM1" s="220" t="s">
        <v>13331</v>
      </c>
      <c r="BBN1" s="221"/>
      <c r="BBO1" s="221"/>
      <c r="BBP1" s="222"/>
      <c r="BBQ1" s="220" t="s">
        <v>13331</v>
      </c>
      <c r="BBR1" s="221"/>
      <c r="BBS1" s="221"/>
      <c r="BBT1" s="222"/>
      <c r="BBU1" s="220" t="s">
        <v>13331</v>
      </c>
      <c r="BBV1" s="221"/>
      <c r="BBW1" s="221"/>
      <c r="BBX1" s="222"/>
      <c r="BBY1" s="220" t="s">
        <v>13331</v>
      </c>
      <c r="BBZ1" s="221"/>
      <c r="BCA1" s="221"/>
      <c r="BCB1" s="222"/>
      <c r="BCC1" s="220" t="s">
        <v>13331</v>
      </c>
      <c r="BCD1" s="221"/>
      <c r="BCE1" s="221"/>
      <c r="BCF1" s="222"/>
      <c r="BCG1" s="220" t="s">
        <v>13331</v>
      </c>
      <c r="BCH1" s="221"/>
      <c r="BCI1" s="221"/>
      <c r="BCJ1" s="222"/>
      <c r="BCK1" s="220" t="s">
        <v>13331</v>
      </c>
      <c r="BCL1" s="221"/>
      <c r="BCM1" s="221"/>
      <c r="BCN1" s="222"/>
      <c r="BCO1" s="220" t="s">
        <v>13331</v>
      </c>
      <c r="BCP1" s="221"/>
      <c r="BCQ1" s="221"/>
      <c r="BCR1" s="222"/>
      <c r="BCS1" s="220" t="s">
        <v>13331</v>
      </c>
      <c r="BCT1" s="221"/>
      <c r="BCU1" s="221"/>
      <c r="BCV1" s="222"/>
      <c r="BCW1" s="220" t="s">
        <v>13331</v>
      </c>
      <c r="BCX1" s="221"/>
      <c r="BCY1" s="221"/>
      <c r="BCZ1" s="222"/>
      <c r="BDA1" s="220" t="s">
        <v>13331</v>
      </c>
      <c r="BDB1" s="221"/>
      <c r="BDC1" s="221"/>
      <c r="BDD1" s="222"/>
      <c r="BDE1" s="220" t="s">
        <v>13331</v>
      </c>
      <c r="BDF1" s="221"/>
      <c r="BDG1" s="221"/>
      <c r="BDH1" s="222"/>
      <c r="BDI1" s="220" t="s">
        <v>13331</v>
      </c>
      <c r="BDJ1" s="221"/>
      <c r="BDK1" s="221"/>
      <c r="BDL1" s="222"/>
      <c r="BDM1" s="220" t="s">
        <v>13331</v>
      </c>
      <c r="BDN1" s="221"/>
      <c r="BDO1" s="221"/>
      <c r="BDP1" s="222"/>
      <c r="BDQ1" s="220" t="s">
        <v>13331</v>
      </c>
      <c r="BDR1" s="221"/>
      <c r="BDS1" s="221"/>
      <c r="BDT1" s="222"/>
      <c r="BDU1" s="220" t="s">
        <v>13331</v>
      </c>
      <c r="BDV1" s="221"/>
      <c r="BDW1" s="221"/>
      <c r="BDX1" s="222"/>
      <c r="BDY1" s="220" t="s">
        <v>13331</v>
      </c>
      <c r="BDZ1" s="221"/>
      <c r="BEA1" s="221"/>
      <c r="BEB1" s="222"/>
      <c r="BEC1" s="220" t="s">
        <v>13331</v>
      </c>
      <c r="BED1" s="221"/>
      <c r="BEE1" s="221"/>
      <c r="BEF1" s="222"/>
      <c r="BEG1" s="220" t="s">
        <v>13331</v>
      </c>
      <c r="BEH1" s="221"/>
      <c r="BEI1" s="221"/>
      <c r="BEJ1" s="222"/>
      <c r="BEK1" s="220" t="s">
        <v>13331</v>
      </c>
      <c r="BEL1" s="221"/>
      <c r="BEM1" s="221"/>
      <c r="BEN1" s="222"/>
      <c r="BEO1" s="220" t="s">
        <v>13331</v>
      </c>
      <c r="BEP1" s="221"/>
      <c r="BEQ1" s="221"/>
      <c r="BER1" s="222"/>
      <c r="BES1" s="220" t="s">
        <v>13331</v>
      </c>
      <c r="BET1" s="221"/>
      <c r="BEU1" s="221"/>
      <c r="BEV1" s="222"/>
      <c r="BEW1" s="220" t="s">
        <v>13331</v>
      </c>
      <c r="BEX1" s="221"/>
      <c r="BEY1" s="221"/>
      <c r="BEZ1" s="222"/>
      <c r="BFA1" s="220" t="s">
        <v>13331</v>
      </c>
      <c r="BFB1" s="221"/>
      <c r="BFC1" s="221"/>
      <c r="BFD1" s="222"/>
      <c r="BFE1" s="220" t="s">
        <v>13331</v>
      </c>
      <c r="BFF1" s="221"/>
      <c r="BFG1" s="221"/>
      <c r="BFH1" s="222"/>
      <c r="BFI1" s="220" t="s">
        <v>13331</v>
      </c>
      <c r="BFJ1" s="221"/>
      <c r="BFK1" s="221"/>
      <c r="BFL1" s="222"/>
      <c r="BFM1" s="220" t="s">
        <v>13331</v>
      </c>
      <c r="BFN1" s="221"/>
      <c r="BFO1" s="221"/>
      <c r="BFP1" s="222"/>
      <c r="BFQ1" s="220" t="s">
        <v>13331</v>
      </c>
      <c r="BFR1" s="221"/>
      <c r="BFS1" s="221"/>
      <c r="BFT1" s="222"/>
      <c r="BFU1" s="220" t="s">
        <v>13331</v>
      </c>
      <c r="BFV1" s="221"/>
      <c r="BFW1" s="221"/>
      <c r="BFX1" s="222"/>
      <c r="BFY1" s="220" t="s">
        <v>13331</v>
      </c>
      <c r="BFZ1" s="221"/>
      <c r="BGA1" s="221"/>
      <c r="BGB1" s="222"/>
      <c r="BGC1" s="220" t="s">
        <v>13331</v>
      </c>
      <c r="BGD1" s="221"/>
      <c r="BGE1" s="221"/>
      <c r="BGF1" s="222"/>
      <c r="BGG1" s="220" t="s">
        <v>13331</v>
      </c>
      <c r="BGH1" s="221"/>
      <c r="BGI1" s="221"/>
      <c r="BGJ1" s="222"/>
      <c r="BGK1" s="220" t="s">
        <v>13331</v>
      </c>
      <c r="BGL1" s="221"/>
      <c r="BGM1" s="221"/>
      <c r="BGN1" s="222"/>
      <c r="BGO1" s="220" t="s">
        <v>13331</v>
      </c>
      <c r="BGP1" s="221"/>
      <c r="BGQ1" s="221"/>
      <c r="BGR1" s="222"/>
      <c r="BGS1" s="220" t="s">
        <v>13331</v>
      </c>
      <c r="BGT1" s="221"/>
      <c r="BGU1" s="221"/>
      <c r="BGV1" s="222"/>
      <c r="BGW1" s="220" t="s">
        <v>13331</v>
      </c>
      <c r="BGX1" s="221"/>
      <c r="BGY1" s="221"/>
      <c r="BGZ1" s="222"/>
      <c r="BHA1" s="220" t="s">
        <v>13331</v>
      </c>
      <c r="BHB1" s="221"/>
      <c r="BHC1" s="221"/>
      <c r="BHD1" s="222"/>
      <c r="BHE1" s="220" t="s">
        <v>13331</v>
      </c>
      <c r="BHF1" s="221"/>
      <c r="BHG1" s="221"/>
      <c r="BHH1" s="222"/>
      <c r="BHI1" s="220" t="s">
        <v>13331</v>
      </c>
      <c r="BHJ1" s="221"/>
      <c r="BHK1" s="221"/>
      <c r="BHL1" s="222"/>
      <c r="BHM1" s="220" t="s">
        <v>13331</v>
      </c>
      <c r="BHN1" s="221"/>
      <c r="BHO1" s="221"/>
      <c r="BHP1" s="222"/>
      <c r="BHQ1" s="220" t="s">
        <v>13331</v>
      </c>
      <c r="BHR1" s="221"/>
      <c r="BHS1" s="221"/>
      <c r="BHT1" s="222"/>
      <c r="BHU1" s="220" t="s">
        <v>13331</v>
      </c>
      <c r="BHV1" s="221"/>
      <c r="BHW1" s="221"/>
      <c r="BHX1" s="222"/>
      <c r="BHY1" s="220" t="s">
        <v>13331</v>
      </c>
      <c r="BHZ1" s="221"/>
      <c r="BIA1" s="221"/>
      <c r="BIB1" s="222"/>
      <c r="BIC1" s="220" t="s">
        <v>13331</v>
      </c>
      <c r="BID1" s="221"/>
      <c r="BIE1" s="221"/>
      <c r="BIF1" s="222"/>
      <c r="BIG1" s="220" t="s">
        <v>13331</v>
      </c>
      <c r="BIH1" s="221"/>
      <c r="BII1" s="221"/>
      <c r="BIJ1" s="222"/>
      <c r="BIK1" s="220" t="s">
        <v>13331</v>
      </c>
      <c r="BIL1" s="221"/>
      <c r="BIM1" s="221"/>
      <c r="BIN1" s="222"/>
      <c r="BIO1" s="220" t="s">
        <v>13331</v>
      </c>
      <c r="BIP1" s="221"/>
      <c r="BIQ1" s="221"/>
      <c r="BIR1" s="222"/>
      <c r="BIS1" s="220" t="s">
        <v>13331</v>
      </c>
      <c r="BIT1" s="221"/>
      <c r="BIU1" s="221"/>
      <c r="BIV1" s="222"/>
      <c r="BIW1" s="220" t="s">
        <v>13331</v>
      </c>
      <c r="BIX1" s="221"/>
      <c r="BIY1" s="221"/>
      <c r="BIZ1" s="222"/>
      <c r="BJA1" s="220" t="s">
        <v>13331</v>
      </c>
      <c r="BJB1" s="221"/>
      <c r="BJC1" s="221"/>
      <c r="BJD1" s="222"/>
      <c r="BJE1" s="220" t="s">
        <v>13331</v>
      </c>
      <c r="BJF1" s="221"/>
      <c r="BJG1" s="221"/>
      <c r="BJH1" s="222"/>
      <c r="BJI1" s="220" t="s">
        <v>13331</v>
      </c>
      <c r="BJJ1" s="221"/>
      <c r="BJK1" s="221"/>
      <c r="BJL1" s="222"/>
      <c r="BJM1" s="220" t="s">
        <v>13331</v>
      </c>
      <c r="BJN1" s="221"/>
      <c r="BJO1" s="221"/>
      <c r="BJP1" s="222"/>
      <c r="BJQ1" s="220" t="s">
        <v>13331</v>
      </c>
      <c r="BJR1" s="221"/>
      <c r="BJS1" s="221"/>
      <c r="BJT1" s="222"/>
      <c r="BJU1" s="220" t="s">
        <v>13331</v>
      </c>
      <c r="BJV1" s="221"/>
      <c r="BJW1" s="221"/>
      <c r="BJX1" s="222"/>
      <c r="BJY1" s="220" t="s">
        <v>13331</v>
      </c>
      <c r="BJZ1" s="221"/>
      <c r="BKA1" s="221"/>
      <c r="BKB1" s="222"/>
      <c r="BKC1" s="220" t="s">
        <v>13331</v>
      </c>
      <c r="BKD1" s="221"/>
      <c r="BKE1" s="221"/>
      <c r="BKF1" s="222"/>
      <c r="BKG1" s="220" t="s">
        <v>13331</v>
      </c>
      <c r="BKH1" s="221"/>
      <c r="BKI1" s="221"/>
      <c r="BKJ1" s="222"/>
      <c r="BKK1" s="220" t="s">
        <v>13331</v>
      </c>
      <c r="BKL1" s="221"/>
      <c r="BKM1" s="221"/>
      <c r="BKN1" s="222"/>
      <c r="BKO1" s="220" t="s">
        <v>13331</v>
      </c>
      <c r="BKP1" s="221"/>
      <c r="BKQ1" s="221"/>
      <c r="BKR1" s="222"/>
      <c r="BKS1" s="220" t="s">
        <v>13331</v>
      </c>
      <c r="BKT1" s="221"/>
      <c r="BKU1" s="221"/>
      <c r="BKV1" s="222"/>
      <c r="BKW1" s="220" t="s">
        <v>13331</v>
      </c>
      <c r="BKX1" s="221"/>
      <c r="BKY1" s="221"/>
      <c r="BKZ1" s="222"/>
      <c r="BLA1" s="220" t="s">
        <v>13331</v>
      </c>
      <c r="BLB1" s="221"/>
      <c r="BLC1" s="221"/>
      <c r="BLD1" s="222"/>
      <c r="BLE1" s="220" t="s">
        <v>13331</v>
      </c>
      <c r="BLF1" s="221"/>
      <c r="BLG1" s="221"/>
      <c r="BLH1" s="222"/>
      <c r="BLI1" s="220" t="s">
        <v>13331</v>
      </c>
      <c r="BLJ1" s="221"/>
      <c r="BLK1" s="221"/>
      <c r="BLL1" s="222"/>
      <c r="BLM1" s="220" t="s">
        <v>13331</v>
      </c>
      <c r="BLN1" s="221"/>
      <c r="BLO1" s="221"/>
      <c r="BLP1" s="222"/>
      <c r="BLQ1" s="220" t="s">
        <v>13331</v>
      </c>
      <c r="BLR1" s="221"/>
      <c r="BLS1" s="221"/>
      <c r="BLT1" s="222"/>
      <c r="BLU1" s="220" t="s">
        <v>13331</v>
      </c>
      <c r="BLV1" s="221"/>
      <c r="BLW1" s="221"/>
      <c r="BLX1" s="222"/>
      <c r="BLY1" s="220" t="s">
        <v>13331</v>
      </c>
      <c r="BLZ1" s="221"/>
      <c r="BMA1" s="221"/>
      <c r="BMB1" s="222"/>
      <c r="BMC1" s="220" t="s">
        <v>13331</v>
      </c>
      <c r="BMD1" s="221"/>
      <c r="BME1" s="221"/>
      <c r="BMF1" s="222"/>
      <c r="BMG1" s="220" t="s">
        <v>13331</v>
      </c>
      <c r="BMH1" s="221"/>
      <c r="BMI1" s="221"/>
      <c r="BMJ1" s="222"/>
      <c r="BMK1" s="220" t="s">
        <v>13331</v>
      </c>
      <c r="BML1" s="221"/>
      <c r="BMM1" s="221"/>
      <c r="BMN1" s="222"/>
      <c r="BMO1" s="220" t="s">
        <v>13331</v>
      </c>
      <c r="BMP1" s="221"/>
      <c r="BMQ1" s="221"/>
      <c r="BMR1" s="222"/>
      <c r="BMS1" s="220" t="s">
        <v>13331</v>
      </c>
      <c r="BMT1" s="221"/>
      <c r="BMU1" s="221"/>
      <c r="BMV1" s="222"/>
      <c r="BMW1" s="220" t="s">
        <v>13331</v>
      </c>
      <c r="BMX1" s="221"/>
      <c r="BMY1" s="221"/>
      <c r="BMZ1" s="222"/>
      <c r="BNA1" s="220" t="s">
        <v>13331</v>
      </c>
      <c r="BNB1" s="221"/>
      <c r="BNC1" s="221"/>
      <c r="BND1" s="222"/>
      <c r="BNE1" s="220" t="s">
        <v>13331</v>
      </c>
      <c r="BNF1" s="221"/>
      <c r="BNG1" s="221"/>
      <c r="BNH1" s="222"/>
      <c r="BNI1" s="220" t="s">
        <v>13331</v>
      </c>
      <c r="BNJ1" s="221"/>
      <c r="BNK1" s="221"/>
      <c r="BNL1" s="222"/>
      <c r="BNM1" s="220" t="s">
        <v>13331</v>
      </c>
      <c r="BNN1" s="221"/>
      <c r="BNO1" s="221"/>
      <c r="BNP1" s="222"/>
      <c r="BNQ1" s="220" t="s">
        <v>13331</v>
      </c>
      <c r="BNR1" s="221"/>
      <c r="BNS1" s="221"/>
      <c r="BNT1" s="222"/>
      <c r="BNU1" s="220" t="s">
        <v>13331</v>
      </c>
      <c r="BNV1" s="221"/>
      <c r="BNW1" s="221"/>
      <c r="BNX1" s="222"/>
      <c r="BNY1" s="220" t="s">
        <v>13331</v>
      </c>
      <c r="BNZ1" s="221"/>
      <c r="BOA1" s="221"/>
      <c r="BOB1" s="222"/>
      <c r="BOC1" s="220" t="s">
        <v>13331</v>
      </c>
      <c r="BOD1" s="221"/>
      <c r="BOE1" s="221"/>
      <c r="BOF1" s="222"/>
      <c r="BOG1" s="220" t="s">
        <v>13331</v>
      </c>
      <c r="BOH1" s="221"/>
      <c r="BOI1" s="221"/>
      <c r="BOJ1" s="222"/>
      <c r="BOK1" s="220" t="s">
        <v>13331</v>
      </c>
      <c r="BOL1" s="221"/>
      <c r="BOM1" s="221"/>
      <c r="BON1" s="222"/>
      <c r="BOO1" s="220" t="s">
        <v>13331</v>
      </c>
      <c r="BOP1" s="221"/>
      <c r="BOQ1" s="221"/>
      <c r="BOR1" s="222"/>
      <c r="BOS1" s="220" t="s">
        <v>13331</v>
      </c>
      <c r="BOT1" s="221"/>
      <c r="BOU1" s="221"/>
      <c r="BOV1" s="222"/>
      <c r="BOW1" s="220" t="s">
        <v>13331</v>
      </c>
      <c r="BOX1" s="221"/>
      <c r="BOY1" s="221"/>
      <c r="BOZ1" s="222"/>
      <c r="BPA1" s="220" t="s">
        <v>13331</v>
      </c>
      <c r="BPB1" s="221"/>
      <c r="BPC1" s="221"/>
      <c r="BPD1" s="222"/>
      <c r="BPE1" s="220" t="s">
        <v>13331</v>
      </c>
      <c r="BPF1" s="221"/>
      <c r="BPG1" s="221"/>
      <c r="BPH1" s="222"/>
      <c r="BPI1" s="220" t="s">
        <v>13331</v>
      </c>
      <c r="BPJ1" s="221"/>
      <c r="BPK1" s="221"/>
      <c r="BPL1" s="222"/>
      <c r="BPM1" s="220" t="s">
        <v>13331</v>
      </c>
      <c r="BPN1" s="221"/>
      <c r="BPO1" s="221"/>
      <c r="BPP1" s="222"/>
      <c r="BPQ1" s="220" t="s">
        <v>13331</v>
      </c>
      <c r="BPR1" s="221"/>
      <c r="BPS1" s="221"/>
      <c r="BPT1" s="222"/>
      <c r="BPU1" s="220" t="s">
        <v>13331</v>
      </c>
      <c r="BPV1" s="221"/>
      <c r="BPW1" s="221"/>
      <c r="BPX1" s="222"/>
      <c r="BPY1" s="220" t="s">
        <v>13331</v>
      </c>
      <c r="BPZ1" s="221"/>
      <c r="BQA1" s="221"/>
      <c r="BQB1" s="222"/>
      <c r="BQC1" s="220" t="s">
        <v>13331</v>
      </c>
      <c r="BQD1" s="221"/>
      <c r="BQE1" s="221"/>
      <c r="BQF1" s="222"/>
      <c r="BQG1" s="220" t="s">
        <v>13331</v>
      </c>
      <c r="BQH1" s="221"/>
      <c r="BQI1" s="221"/>
      <c r="BQJ1" s="222"/>
      <c r="BQK1" s="220" t="s">
        <v>13331</v>
      </c>
      <c r="BQL1" s="221"/>
      <c r="BQM1" s="221"/>
      <c r="BQN1" s="222"/>
      <c r="BQO1" s="220" t="s">
        <v>13331</v>
      </c>
      <c r="BQP1" s="221"/>
      <c r="BQQ1" s="221"/>
      <c r="BQR1" s="222"/>
      <c r="BQS1" s="220" t="s">
        <v>13331</v>
      </c>
      <c r="BQT1" s="221"/>
      <c r="BQU1" s="221"/>
      <c r="BQV1" s="222"/>
      <c r="BQW1" s="220" t="s">
        <v>13331</v>
      </c>
      <c r="BQX1" s="221"/>
      <c r="BQY1" s="221"/>
      <c r="BQZ1" s="222"/>
      <c r="BRA1" s="220" t="s">
        <v>13331</v>
      </c>
      <c r="BRB1" s="221"/>
      <c r="BRC1" s="221"/>
      <c r="BRD1" s="222"/>
      <c r="BRE1" s="220" t="s">
        <v>13331</v>
      </c>
      <c r="BRF1" s="221"/>
      <c r="BRG1" s="221"/>
      <c r="BRH1" s="222"/>
      <c r="BRI1" s="220" t="s">
        <v>13331</v>
      </c>
      <c r="BRJ1" s="221"/>
      <c r="BRK1" s="221"/>
      <c r="BRL1" s="222"/>
      <c r="BRM1" s="220" t="s">
        <v>13331</v>
      </c>
      <c r="BRN1" s="221"/>
      <c r="BRO1" s="221"/>
      <c r="BRP1" s="222"/>
      <c r="BRQ1" s="220" t="s">
        <v>13331</v>
      </c>
      <c r="BRR1" s="221"/>
      <c r="BRS1" s="221"/>
      <c r="BRT1" s="222"/>
      <c r="BRU1" s="220" t="s">
        <v>13331</v>
      </c>
      <c r="BRV1" s="221"/>
      <c r="BRW1" s="221"/>
      <c r="BRX1" s="222"/>
      <c r="BRY1" s="220" t="s">
        <v>13331</v>
      </c>
      <c r="BRZ1" s="221"/>
      <c r="BSA1" s="221"/>
      <c r="BSB1" s="222"/>
      <c r="BSC1" s="220" t="s">
        <v>13331</v>
      </c>
      <c r="BSD1" s="221"/>
      <c r="BSE1" s="221"/>
      <c r="BSF1" s="222"/>
      <c r="BSG1" s="220" t="s">
        <v>13331</v>
      </c>
      <c r="BSH1" s="221"/>
      <c r="BSI1" s="221"/>
      <c r="BSJ1" s="222"/>
      <c r="BSK1" s="220" t="s">
        <v>13331</v>
      </c>
      <c r="BSL1" s="221"/>
      <c r="BSM1" s="221"/>
      <c r="BSN1" s="222"/>
      <c r="BSO1" s="220" t="s">
        <v>13331</v>
      </c>
      <c r="BSP1" s="221"/>
      <c r="BSQ1" s="221"/>
      <c r="BSR1" s="222"/>
      <c r="BSS1" s="220" t="s">
        <v>13331</v>
      </c>
      <c r="BST1" s="221"/>
      <c r="BSU1" s="221"/>
      <c r="BSV1" s="222"/>
      <c r="BSW1" s="220" t="s">
        <v>13331</v>
      </c>
      <c r="BSX1" s="221"/>
      <c r="BSY1" s="221"/>
      <c r="BSZ1" s="222"/>
      <c r="BTA1" s="220" t="s">
        <v>13331</v>
      </c>
      <c r="BTB1" s="221"/>
      <c r="BTC1" s="221"/>
      <c r="BTD1" s="222"/>
      <c r="BTE1" s="220" t="s">
        <v>13331</v>
      </c>
      <c r="BTF1" s="221"/>
      <c r="BTG1" s="221"/>
      <c r="BTH1" s="222"/>
      <c r="BTI1" s="220" t="s">
        <v>13331</v>
      </c>
      <c r="BTJ1" s="221"/>
      <c r="BTK1" s="221"/>
      <c r="BTL1" s="222"/>
      <c r="BTM1" s="220" t="s">
        <v>13331</v>
      </c>
      <c r="BTN1" s="221"/>
      <c r="BTO1" s="221"/>
      <c r="BTP1" s="222"/>
      <c r="BTQ1" s="220" t="s">
        <v>13331</v>
      </c>
      <c r="BTR1" s="221"/>
      <c r="BTS1" s="221"/>
      <c r="BTT1" s="222"/>
      <c r="BTU1" s="220" t="s">
        <v>13331</v>
      </c>
      <c r="BTV1" s="221"/>
      <c r="BTW1" s="221"/>
      <c r="BTX1" s="222"/>
      <c r="BTY1" s="220" t="s">
        <v>13331</v>
      </c>
      <c r="BTZ1" s="221"/>
      <c r="BUA1" s="221"/>
      <c r="BUB1" s="222"/>
      <c r="BUC1" s="220" t="s">
        <v>13331</v>
      </c>
      <c r="BUD1" s="221"/>
      <c r="BUE1" s="221"/>
      <c r="BUF1" s="222"/>
      <c r="BUG1" s="220" t="s">
        <v>13331</v>
      </c>
      <c r="BUH1" s="221"/>
      <c r="BUI1" s="221"/>
      <c r="BUJ1" s="222"/>
      <c r="BUK1" s="220" t="s">
        <v>13331</v>
      </c>
      <c r="BUL1" s="221"/>
      <c r="BUM1" s="221"/>
      <c r="BUN1" s="222"/>
      <c r="BUO1" s="220" t="s">
        <v>13331</v>
      </c>
      <c r="BUP1" s="221"/>
      <c r="BUQ1" s="221"/>
      <c r="BUR1" s="222"/>
      <c r="BUS1" s="220" t="s">
        <v>13331</v>
      </c>
      <c r="BUT1" s="221"/>
      <c r="BUU1" s="221"/>
      <c r="BUV1" s="222"/>
      <c r="BUW1" s="220" t="s">
        <v>13331</v>
      </c>
      <c r="BUX1" s="221"/>
      <c r="BUY1" s="221"/>
      <c r="BUZ1" s="222"/>
      <c r="BVA1" s="220" t="s">
        <v>13331</v>
      </c>
      <c r="BVB1" s="221"/>
      <c r="BVC1" s="221"/>
      <c r="BVD1" s="222"/>
      <c r="BVE1" s="220" t="s">
        <v>13331</v>
      </c>
      <c r="BVF1" s="221"/>
      <c r="BVG1" s="221"/>
      <c r="BVH1" s="222"/>
      <c r="BVI1" s="220" t="s">
        <v>13331</v>
      </c>
      <c r="BVJ1" s="221"/>
      <c r="BVK1" s="221"/>
      <c r="BVL1" s="222"/>
      <c r="BVM1" s="220" t="s">
        <v>13331</v>
      </c>
      <c r="BVN1" s="221"/>
      <c r="BVO1" s="221"/>
      <c r="BVP1" s="222"/>
      <c r="BVQ1" s="220" t="s">
        <v>13331</v>
      </c>
      <c r="BVR1" s="221"/>
      <c r="BVS1" s="221"/>
      <c r="BVT1" s="222"/>
      <c r="BVU1" s="220" t="s">
        <v>13331</v>
      </c>
      <c r="BVV1" s="221"/>
      <c r="BVW1" s="221"/>
      <c r="BVX1" s="222"/>
      <c r="BVY1" s="220" t="s">
        <v>13331</v>
      </c>
      <c r="BVZ1" s="221"/>
      <c r="BWA1" s="221"/>
      <c r="BWB1" s="222"/>
      <c r="BWC1" s="220" t="s">
        <v>13331</v>
      </c>
      <c r="BWD1" s="221"/>
      <c r="BWE1" s="221"/>
      <c r="BWF1" s="222"/>
      <c r="BWG1" s="220" t="s">
        <v>13331</v>
      </c>
      <c r="BWH1" s="221"/>
      <c r="BWI1" s="221"/>
      <c r="BWJ1" s="222"/>
      <c r="BWK1" s="220" t="s">
        <v>13331</v>
      </c>
      <c r="BWL1" s="221"/>
      <c r="BWM1" s="221"/>
      <c r="BWN1" s="222"/>
      <c r="BWO1" s="220" t="s">
        <v>13331</v>
      </c>
      <c r="BWP1" s="221"/>
      <c r="BWQ1" s="221"/>
      <c r="BWR1" s="222"/>
      <c r="BWS1" s="220" t="s">
        <v>13331</v>
      </c>
      <c r="BWT1" s="221"/>
      <c r="BWU1" s="221"/>
      <c r="BWV1" s="222"/>
      <c r="BWW1" s="220" t="s">
        <v>13331</v>
      </c>
      <c r="BWX1" s="221"/>
      <c r="BWY1" s="221"/>
      <c r="BWZ1" s="222"/>
      <c r="BXA1" s="220" t="s">
        <v>13331</v>
      </c>
      <c r="BXB1" s="221"/>
      <c r="BXC1" s="221"/>
      <c r="BXD1" s="222"/>
      <c r="BXE1" s="220" t="s">
        <v>13331</v>
      </c>
      <c r="BXF1" s="221"/>
      <c r="BXG1" s="221"/>
      <c r="BXH1" s="222"/>
      <c r="BXI1" s="220" t="s">
        <v>13331</v>
      </c>
      <c r="BXJ1" s="221"/>
      <c r="BXK1" s="221"/>
      <c r="BXL1" s="222"/>
      <c r="BXM1" s="220" t="s">
        <v>13331</v>
      </c>
      <c r="BXN1" s="221"/>
      <c r="BXO1" s="221"/>
      <c r="BXP1" s="222"/>
      <c r="BXQ1" s="220" t="s">
        <v>13331</v>
      </c>
      <c r="BXR1" s="221"/>
      <c r="BXS1" s="221"/>
      <c r="BXT1" s="222"/>
      <c r="BXU1" s="220" t="s">
        <v>13331</v>
      </c>
      <c r="BXV1" s="221"/>
      <c r="BXW1" s="221"/>
      <c r="BXX1" s="222"/>
      <c r="BXY1" s="220" t="s">
        <v>13331</v>
      </c>
      <c r="BXZ1" s="221"/>
      <c r="BYA1" s="221"/>
      <c r="BYB1" s="222"/>
      <c r="BYC1" s="220" t="s">
        <v>13331</v>
      </c>
      <c r="BYD1" s="221"/>
      <c r="BYE1" s="221"/>
      <c r="BYF1" s="222"/>
      <c r="BYG1" s="220" t="s">
        <v>13331</v>
      </c>
      <c r="BYH1" s="221"/>
      <c r="BYI1" s="221"/>
      <c r="BYJ1" s="222"/>
      <c r="BYK1" s="220" t="s">
        <v>13331</v>
      </c>
      <c r="BYL1" s="221"/>
      <c r="BYM1" s="221"/>
      <c r="BYN1" s="222"/>
      <c r="BYO1" s="220" t="s">
        <v>13331</v>
      </c>
      <c r="BYP1" s="221"/>
      <c r="BYQ1" s="221"/>
      <c r="BYR1" s="222"/>
      <c r="BYS1" s="220" t="s">
        <v>13331</v>
      </c>
      <c r="BYT1" s="221"/>
      <c r="BYU1" s="221"/>
      <c r="BYV1" s="222"/>
      <c r="BYW1" s="220" t="s">
        <v>13331</v>
      </c>
      <c r="BYX1" s="221"/>
      <c r="BYY1" s="221"/>
      <c r="BYZ1" s="222"/>
      <c r="BZA1" s="220" t="s">
        <v>13331</v>
      </c>
      <c r="BZB1" s="221"/>
      <c r="BZC1" s="221"/>
      <c r="BZD1" s="222"/>
      <c r="BZE1" s="220" t="s">
        <v>13331</v>
      </c>
      <c r="BZF1" s="221"/>
      <c r="BZG1" s="221"/>
      <c r="BZH1" s="222"/>
      <c r="BZI1" s="220" t="s">
        <v>13331</v>
      </c>
      <c r="BZJ1" s="221"/>
      <c r="BZK1" s="221"/>
      <c r="BZL1" s="222"/>
      <c r="BZM1" s="220" t="s">
        <v>13331</v>
      </c>
      <c r="BZN1" s="221"/>
      <c r="BZO1" s="221"/>
      <c r="BZP1" s="222"/>
      <c r="BZQ1" s="220" t="s">
        <v>13331</v>
      </c>
      <c r="BZR1" s="221"/>
      <c r="BZS1" s="221"/>
      <c r="BZT1" s="222"/>
      <c r="BZU1" s="220" t="s">
        <v>13331</v>
      </c>
      <c r="BZV1" s="221"/>
      <c r="BZW1" s="221"/>
      <c r="BZX1" s="222"/>
      <c r="BZY1" s="220" t="s">
        <v>13331</v>
      </c>
      <c r="BZZ1" s="221"/>
      <c r="CAA1" s="221"/>
      <c r="CAB1" s="222"/>
      <c r="CAC1" s="220" t="s">
        <v>13331</v>
      </c>
      <c r="CAD1" s="221"/>
      <c r="CAE1" s="221"/>
      <c r="CAF1" s="222"/>
      <c r="CAG1" s="220" t="s">
        <v>13331</v>
      </c>
      <c r="CAH1" s="221"/>
      <c r="CAI1" s="221"/>
      <c r="CAJ1" s="222"/>
      <c r="CAK1" s="220" t="s">
        <v>13331</v>
      </c>
      <c r="CAL1" s="221"/>
      <c r="CAM1" s="221"/>
      <c r="CAN1" s="222"/>
      <c r="CAO1" s="220" t="s">
        <v>13331</v>
      </c>
      <c r="CAP1" s="221"/>
      <c r="CAQ1" s="221"/>
      <c r="CAR1" s="222"/>
      <c r="CAS1" s="220" t="s">
        <v>13331</v>
      </c>
      <c r="CAT1" s="221"/>
      <c r="CAU1" s="221"/>
      <c r="CAV1" s="222"/>
      <c r="CAW1" s="220" t="s">
        <v>13331</v>
      </c>
      <c r="CAX1" s="221"/>
      <c r="CAY1" s="221"/>
      <c r="CAZ1" s="222"/>
      <c r="CBA1" s="220" t="s">
        <v>13331</v>
      </c>
      <c r="CBB1" s="221"/>
      <c r="CBC1" s="221"/>
      <c r="CBD1" s="222"/>
      <c r="CBE1" s="220" t="s">
        <v>13331</v>
      </c>
      <c r="CBF1" s="221"/>
      <c r="CBG1" s="221"/>
      <c r="CBH1" s="222"/>
      <c r="CBI1" s="220" t="s">
        <v>13331</v>
      </c>
      <c r="CBJ1" s="221"/>
      <c r="CBK1" s="221"/>
      <c r="CBL1" s="222"/>
      <c r="CBM1" s="220" t="s">
        <v>13331</v>
      </c>
      <c r="CBN1" s="221"/>
      <c r="CBO1" s="221"/>
      <c r="CBP1" s="222"/>
      <c r="CBQ1" s="220" t="s">
        <v>13331</v>
      </c>
      <c r="CBR1" s="221"/>
      <c r="CBS1" s="221"/>
      <c r="CBT1" s="222"/>
      <c r="CBU1" s="220" t="s">
        <v>13331</v>
      </c>
      <c r="CBV1" s="221"/>
      <c r="CBW1" s="221"/>
      <c r="CBX1" s="222"/>
      <c r="CBY1" s="220" t="s">
        <v>13331</v>
      </c>
      <c r="CBZ1" s="221"/>
      <c r="CCA1" s="221"/>
      <c r="CCB1" s="222"/>
      <c r="CCC1" s="220" t="s">
        <v>13331</v>
      </c>
      <c r="CCD1" s="221"/>
      <c r="CCE1" s="221"/>
      <c r="CCF1" s="222"/>
      <c r="CCG1" s="220" t="s">
        <v>13331</v>
      </c>
      <c r="CCH1" s="221"/>
      <c r="CCI1" s="221"/>
      <c r="CCJ1" s="222"/>
      <c r="CCK1" s="220" t="s">
        <v>13331</v>
      </c>
      <c r="CCL1" s="221"/>
      <c r="CCM1" s="221"/>
      <c r="CCN1" s="222"/>
      <c r="CCO1" s="220" t="s">
        <v>13331</v>
      </c>
      <c r="CCP1" s="221"/>
      <c r="CCQ1" s="221"/>
      <c r="CCR1" s="222"/>
      <c r="CCS1" s="220" t="s">
        <v>13331</v>
      </c>
      <c r="CCT1" s="221"/>
      <c r="CCU1" s="221"/>
      <c r="CCV1" s="222"/>
      <c r="CCW1" s="220" t="s">
        <v>13331</v>
      </c>
      <c r="CCX1" s="221"/>
      <c r="CCY1" s="221"/>
      <c r="CCZ1" s="222"/>
      <c r="CDA1" s="220" t="s">
        <v>13331</v>
      </c>
      <c r="CDB1" s="221"/>
      <c r="CDC1" s="221"/>
      <c r="CDD1" s="222"/>
      <c r="CDE1" s="220" t="s">
        <v>13331</v>
      </c>
      <c r="CDF1" s="221"/>
      <c r="CDG1" s="221"/>
      <c r="CDH1" s="222"/>
      <c r="CDI1" s="220" t="s">
        <v>13331</v>
      </c>
      <c r="CDJ1" s="221"/>
      <c r="CDK1" s="221"/>
      <c r="CDL1" s="222"/>
      <c r="CDM1" s="220" t="s">
        <v>13331</v>
      </c>
      <c r="CDN1" s="221"/>
      <c r="CDO1" s="221"/>
      <c r="CDP1" s="222"/>
      <c r="CDQ1" s="220" t="s">
        <v>13331</v>
      </c>
      <c r="CDR1" s="221"/>
      <c r="CDS1" s="221"/>
      <c r="CDT1" s="222"/>
      <c r="CDU1" s="220" t="s">
        <v>13331</v>
      </c>
      <c r="CDV1" s="221"/>
      <c r="CDW1" s="221"/>
      <c r="CDX1" s="222"/>
      <c r="CDY1" s="220" t="s">
        <v>13331</v>
      </c>
      <c r="CDZ1" s="221"/>
      <c r="CEA1" s="221"/>
      <c r="CEB1" s="222"/>
      <c r="CEC1" s="220" t="s">
        <v>13331</v>
      </c>
      <c r="CED1" s="221"/>
      <c r="CEE1" s="221"/>
      <c r="CEF1" s="222"/>
      <c r="CEG1" s="220" t="s">
        <v>13331</v>
      </c>
      <c r="CEH1" s="221"/>
      <c r="CEI1" s="221"/>
      <c r="CEJ1" s="222"/>
      <c r="CEK1" s="220" t="s">
        <v>13331</v>
      </c>
      <c r="CEL1" s="221"/>
      <c r="CEM1" s="221"/>
      <c r="CEN1" s="222"/>
      <c r="CEO1" s="220" t="s">
        <v>13331</v>
      </c>
      <c r="CEP1" s="221"/>
      <c r="CEQ1" s="221"/>
      <c r="CER1" s="222"/>
      <c r="CES1" s="220" t="s">
        <v>13331</v>
      </c>
      <c r="CET1" s="221"/>
      <c r="CEU1" s="221"/>
      <c r="CEV1" s="222"/>
      <c r="CEW1" s="220" t="s">
        <v>13331</v>
      </c>
      <c r="CEX1" s="221"/>
      <c r="CEY1" s="221"/>
      <c r="CEZ1" s="222"/>
      <c r="CFA1" s="220" t="s">
        <v>13331</v>
      </c>
      <c r="CFB1" s="221"/>
      <c r="CFC1" s="221"/>
      <c r="CFD1" s="222"/>
      <c r="CFE1" s="220" t="s">
        <v>13331</v>
      </c>
      <c r="CFF1" s="221"/>
      <c r="CFG1" s="221"/>
      <c r="CFH1" s="222"/>
      <c r="CFI1" s="220" t="s">
        <v>13331</v>
      </c>
      <c r="CFJ1" s="221"/>
      <c r="CFK1" s="221"/>
      <c r="CFL1" s="222"/>
      <c r="CFM1" s="220" t="s">
        <v>13331</v>
      </c>
      <c r="CFN1" s="221"/>
      <c r="CFO1" s="221"/>
      <c r="CFP1" s="222"/>
      <c r="CFQ1" s="220" t="s">
        <v>13331</v>
      </c>
      <c r="CFR1" s="221"/>
      <c r="CFS1" s="221"/>
      <c r="CFT1" s="222"/>
      <c r="CFU1" s="220" t="s">
        <v>13331</v>
      </c>
      <c r="CFV1" s="221"/>
      <c r="CFW1" s="221"/>
      <c r="CFX1" s="222"/>
      <c r="CFY1" s="220" t="s">
        <v>13331</v>
      </c>
      <c r="CFZ1" s="221"/>
      <c r="CGA1" s="221"/>
      <c r="CGB1" s="222"/>
      <c r="CGC1" s="220" t="s">
        <v>13331</v>
      </c>
      <c r="CGD1" s="221"/>
      <c r="CGE1" s="221"/>
      <c r="CGF1" s="222"/>
      <c r="CGG1" s="220" t="s">
        <v>13331</v>
      </c>
      <c r="CGH1" s="221"/>
      <c r="CGI1" s="221"/>
      <c r="CGJ1" s="222"/>
      <c r="CGK1" s="220" t="s">
        <v>13331</v>
      </c>
      <c r="CGL1" s="221"/>
      <c r="CGM1" s="221"/>
      <c r="CGN1" s="222"/>
      <c r="CGO1" s="220" t="s">
        <v>13331</v>
      </c>
      <c r="CGP1" s="221"/>
      <c r="CGQ1" s="221"/>
      <c r="CGR1" s="222"/>
      <c r="CGS1" s="220" t="s">
        <v>13331</v>
      </c>
      <c r="CGT1" s="221"/>
      <c r="CGU1" s="221"/>
      <c r="CGV1" s="222"/>
      <c r="CGW1" s="220" t="s">
        <v>13331</v>
      </c>
      <c r="CGX1" s="221"/>
      <c r="CGY1" s="221"/>
      <c r="CGZ1" s="222"/>
      <c r="CHA1" s="220" t="s">
        <v>13331</v>
      </c>
      <c r="CHB1" s="221"/>
      <c r="CHC1" s="221"/>
      <c r="CHD1" s="222"/>
      <c r="CHE1" s="220" t="s">
        <v>13331</v>
      </c>
      <c r="CHF1" s="221"/>
      <c r="CHG1" s="221"/>
      <c r="CHH1" s="222"/>
      <c r="CHI1" s="220" t="s">
        <v>13331</v>
      </c>
      <c r="CHJ1" s="221"/>
      <c r="CHK1" s="221"/>
      <c r="CHL1" s="222"/>
      <c r="CHM1" s="220" t="s">
        <v>13331</v>
      </c>
      <c r="CHN1" s="221"/>
      <c r="CHO1" s="221"/>
      <c r="CHP1" s="222"/>
      <c r="CHQ1" s="220" t="s">
        <v>13331</v>
      </c>
      <c r="CHR1" s="221"/>
      <c r="CHS1" s="221"/>
      <c r="CHT1" s="222"/>
      <c r="CHU1" s="220" t="s">
        <v>13331</v>
      </c>
      <c r="CHV1" s="221"/>
      <c r="CHW1" s="221"/>
      <c r="CHX1" s="222"/>
      <c r="CHY1" s="220" t="s">
        <v>13331</v>
      </c>
      <c r="CHZ1" s="221"/>
      <c r="CIA1" s="221"/>
      <c r="CIB1" s="222"/>
      <c r="CIC1" s="220" t="s">
        <v>13331</v>
      </c>
      <c r="CID1" s="221"/>
      <c r="CIE1" s="221"/>
      <c r="CIF1" s="222"/>
      <c r="CIG1" s="220" t="s">
        <v>13331</v>
      </c>
      <c r="CIH1" s="221"/>
      <c r="CII1" s="221"/>
      <c r="CIJ1" s="222"/>
      <c r="CIK1" s="220" t="s">
        <v>13331</v>
      </c>
      <c r="CIL1" s="221"/>
      <c r="CIM1" s="221"/>
      <c r="CIN1" s="222"/>
      <c r="CIO1" s="220" t="s">
        <v>13331</v>
      </c>
      <c r="CIP1" s="221"/>
      <c r="CIQ1" s="221"/>
      <c r="CIR1" s="222"/>
      <c r="CIS1" s="220" t="s">
        <v>13331</v>
      </c>
      <c r="CIT1" s="221"/>
      <c r="CIU1" s="221"/>
      <c r="CIV1" s="222"/>
      <c r="CIW1" s="220" t="s">
        <v>13331</v>
      </c>
      <c r="CIX1" s="221"/>
      <c r="CIY1" s="221"/>
      <c r="CIZ1" s="222"/>
      <c r="CJA1" s="220" t="s">
        <v>13331</v>
      </c>
      <c r="CJB1" s="221"/>
      <c r="CJC1" s="221"/>
      <c r="CJD1" s="222"/>
      <c r="CJE1" s="220" t="s">
        <v>13331</v>
      </c>
      <c r="CJF1" s="221"/>
      <c r="CJG1" s="221"/>
      <c r="CJH1" s="222"/>
      <c r="CJI1" s="220" t="s">
        <v>13331</v>
      </c>
      <c r="CJJ1" s="221"/>
      <c r="CJK1" s="221"/>
      <c r="CJL1" s="222"/>
      <c r="CJM1" s="220" t="s">
        <v>13331</v>
      </c>
      <c r="CJN1" s="221"/>
      <c r="CJO1" s="221"/>
      <c r="CJP1" s="222"/>
      <c r="CJQ1" s="220" t="s">
        <v>13331</v>
      </c>
      <c r="CJR1" s="221"/>
      <c r="CJS1" s="221"/>
      <c r="CJT1" s="222"/>
      <c r="CJU1" s="220" t="s">
        <v>13331</v>
      </c>
      <c r="CJV1" s="221"/>
      <c r="CJW1" s="221"/>
      <c r="CJX1" s="222"/>
      <c r="CJY1" s="220" t="s">
        <v>13331</v>
      </c>
      <c r="CJZ1" s="221"/>
      <c r="CKA1" s="221"/>
      <c r="CKB1" s="222"/>
      <c r="CKC1" s="220" t="s">
        <v>13331</v>
      </c>
      <c r="CKD1" s="221"/>
      <c r="CKE1" s="221"/>
      <c r="CKF1" s="222"/>
      <c r="CKG1" s="220" t="s">
        <v>13331</v>
      </c>
      <c r="CKH1" s="221"/>
      <c r="CKI1" s="221"/>
      <c r="CKJ1" s="222"/>
      <c r="CKK1" s="220" t="s">
        <v>13331</v>
      </c>
      <c r="CKL1" s="221"/>
      <c r="CKM1" s="221"/>
      <c r="CKN1" s="222"/>
      <c r="CKO1" s="220" t="s">
        <v>13331</v>
      </c>
      <c r="CKP1" s="221"/>
      <c r="CKQ1" s="221"/>
      <c r="CKR1" s="222"/>
      <c r="CKS1" s="220" t="s">
        <v>13331</v>
      </c>
      <c r="CKT1" s="221"/>
      <c r="CKU1" s="221"/>
      <c r="CKV1" s="222"/>
      <c r="CKW1" s="220" t="s">
        <v>13331</v>
      </c>
      <c r="CKX1" s="221"/>
      <c r="CKY1" s="221"/>
      <c r="CKZ1" s="222"/>
      <c r="CLA1" s="220" t="s">
        <v>13331</v>
      </c>
      <c r="CLB1" s="221"/>
      <c r="CLC1" s="221"/>
      <c r="CLD1" s="222"/>
      <c r="CLE1" s="220" t="s">
        <v>13331</v>
      </c>
      <c r="CLF1" s="221"/>
      <c r="CLG1" s="221"/>
      <c r="CLH1" s="222"/>
      <c r="CLI1" s="220" t="s">
        <v>13331</v>
      </c>
      <c r="CLJ1" s="221"/>
      <c r="CLK1" s="221"/>
      <c r="CLL1" s="222"/>
      <c r="CLM1" s="220" t="s">
        <v>13331</v>
      </c>
      <c r="CLN1" s="221"/>
      <c r="CLO1" s="221"/>
      <c r="CLP1" s="222"/>
      <c r="CLQ1" s="220" t="s">
        <v>13331</v>
      </c>
      <c r="CLR1" s="221"/>
      <c r="CLS1" s="221"/>
      <c r="CLT1" s="222"/>
      <c r="CLU1" s="220" t="s">
        <v>13331</v>
      </c>
      <c r="CLV1" s="221"/>
      <c r="CLW1" s="221"/>
      <c r="CLX1" s="222"/>
      <c r="CLY1" s="220" t="s">
        <v>13331</v>
      </c>
      <c r="CLZ1" s="221"/>
      <c r="CMA1" s="221"/>
      <c r="CMB1" s="222"/>
      <c r="CMC1" s="220" t="s">
        <v>13331</v>
      </c>
      <c r="CMD1" s="221"/>
      <c r="CME1" s="221"/>
      <c r="CMF1" s="222"/>
      <c r="CMG1" s="220" t="s">
        <v>13331</v>
      </c>
      <c r="CMH1" s="221"/>
      <c r="CMI1" s="221"/>
      <c r="CMJ1" s="222"/>
      <c r="CMK1" s="220" t="s">
        <v>13331</v>
      </c>
      <c r="CML1" s="221"/>
      <c r="CMM1" s="221"/>
      <c r="CMN1" s="222"/>
      <c r="CMO1" s="220" t="s">
        <v>13331</v>
      </c>
      <c r="CMP1" s="221"/>
      <c r="CMQ1" s="221"/>
      <c r="CMR1" s="222"/>
      <c r="CMS1" s="220" t="s">
        <v>13331</v>
      </c>
      <c r="CMT1" s="221"/>
      <c r="CMU1" s="221"/>
      <c r="CMV1" s="222"/>
      <c r="CMW1" s="220" t="s">
        <v>13331</v>
      </c>
      <c r="CMX1" s="221"/>
      <c r="CMY1" s="221"/>
      <c r="CMZ1" s="222"/>
      <c r="CNA1" s="220" t="s">
        <v>13331</v>
      </c>
      <c r="CNB1" s="221"/>
      <c r="CNC1" s="221"/>
      <c r="CND1" s="222"/>
      <c r="CNE1" s="220" t="s">
        <v>13331</v>
      </c>
      <c r="CNF1" s="221"/>
      <c r="CNG1" s="221"/>
      <c r="CNH1" s="222"/>
      <c r="CNI1" s="220" t="s">
        <v>13331</v>
      </c>
      <c r="CNJ1" s="221"/>
      <c r="CNK1" s="221"/>
      <c r="CNL1" s="222"/>
      <c r="CNM1" s="220" t="s">
        <v>13331</v>
      </c>
      <c r="CNN1" s="221"/>
      <c r="CNO1" s="221"/>
      <c r="CNP1" s="222"/>
      <c r="CNQ1" s="220" t="s">
        <v>13331</v>
      </c>
      <c r="CNR1" s="221"/>
      <c r="CNS1" s="221"/>
      <c r="CNT1" s="222"/>
      <c r="CNU1" s="220" t="s">
        <v>13331</v>
      </c>
      <c r="CNV1" s="221"/>
      <c r="CNW1" s="221"/>
      <c r="CNX1" s="222"/>
      <c r="CNY1" s="220" t="s">
        <v>13331</v>
      </c>
      <c r="CNZ1" s="221"/>
      <c r="COA1" s="221"/>
      <c r="COB1" s="222"/>
      <c r="COC1" s="220" t="s">
        <v>13331</v>
      </c>
      <c r="COD1" s="221"/>
      <c r="COE1" s="221"/>
      <c r="COF1" s="222"/>
      <c r="COG1" s="220" t="s">
        <v>13331</v>
      </c>
      <c r="COH1" s="221"/>
      <c r="COI1" s="221"/>
      <c r="COJ1" s="222"/>
      <c r="COK1" s="220" t="s">
        <v>13331</v>
      </c>
      <c r="COL1" s="221"/>
      <c r="COM1" s="221"/>
      <c r="CON1" s="222"/>
      <c r="COO1" s="220" t="s">
        <v>13331</v>
      </c>
      <c r="COP1" s="221"/>
      <c r="COQ1" s="221"/>
      <c r="COR1" s="222"/>
      <c r="COS1" s="220" t="s">
        <v>13331</v>
      </c>
      <c r="COT1" s="221"/>
      <c r="COU1" s="221"/>
      <c r="COV1" s="222"/>
      <c r="COW1" s="220" t="s">
        <v>13331</v>
      </c>
      <c r="COX1" s="221"/>
      <c r="COY1" s="221"/>
      <c r="COZ1" s="222"/>
      <c r="CPA1" s="220" t="s">
        <v>13331</v>
      </c>
      <c r="CPB1" s="221"/>
      <c r="CPC1" s="221"/>
      <c r="CPD1" s="222"/>
      <c r="CPE1" s="220" t="s">
        <v>13331</v>
      </c>
      <c r="CPF1" s="221"/>
      <c r="CPG1" s="221"/>
      <c r="CPH1" s="222"/>
      <c r="CPI1" s="220" t="s">
        <v>13331</v>
      </c>
      <c r="CPJ1" s="221"/>
      <c r="CPK1" s="221"/>
      <c r="CPL1" s="222"/>
      <c r="CPM1" s="220" t="s">
        <v>13331</v>
      </c>
      <c r="CPN1" s="221"/>
      <c r="CPO1" s="221"/>
      <c r="CPP1" s="222"/>
      <c r="CPQ1" s="220" t="s">
        <v>13331</v>
      </c>
      <c r="CPR1" s="221"/>
      <c r="CPS1" s="221"/>
      <c r="CPT1" s="222"/>
      <c r="CPU1" s="220" t="s">
        <v>13331</v>
      </c>
      <c r="CPV1" s="221"/>
      <c r="CPW1" s="221"/>
      <c r="CPX1" s="222"/>
      <c r="CPY1" s="220" t="s">
        <v>13331</v>
      </c>
      <c r="CPZ1" s="221"/>
      <c r="CQA1" s="221"/>
      <c r="CQB1" s="222"/>
      <c r="CQC1" s="220" t="s">
        <v>13331</v>
      </c>
      <c r="CQD1" s="221"/>
      <c r="CQE1" s="221"/>
      <c r="CQF1" s="222"/>
      <c r="CQG1" s="220" t="s">
        <v>13331</v>
      </c>
      <c r="CQH1" s="221"/>
      <c r="CQI1" s="221"/>
      <c r="CQJ1" s="222"/>
      <c r="CQK1" s="220" t="s">
        <v>13331</v>
      </c>
      <c r="CQL1" s="221"/>
      <c r="CQM1" s="221"/>
      <c r="CQN1" s="222"/>
      <c r="CQO1" s="220" t="s">
        <v>13331</v>
      </c>
      <c r="CQP1" s="221"/>
      <c r="CQQ1" s="221"/>
      <c r="CQR1" s="222"/>
      <c r="CQS1" s="220" t="s">
        <v>13331</v>
      </c>
      <c r="CQT1" s="221"/>
      <c r="CQU1" s="221"/>
      <c r="CQV1" s="222"/>
      <c r="CQW1" s="220" t="s">
        <v>13331</v>
      </c>
      <c r="CQX1" s="221"/>
      <c r="CQY1" s="221"/>
      <c r="CQZ1" s="222"/>
      <c r="CRA1" s="220" t="s">
        <v>13331</v>
      </c>
      <c r="CRB1" s="221"/>
      <c r="CRC1" s="221"/>
      <c r="CRD1" s="222"/>
      <c r="CRE1" s="220" t="s">
        <v>13331</v>
      </c>
      <c r="CRF1" s="221"/>
      <c r="CRG1" s="221"/>
      <c r="CRH1" s="222"/>
      <c r="CRI1" s="220" t="s">
        <v>13331</v>
      </c>
      <c r="CRJ1" s="221"/>
      <c r="CRK1" s="221"/>
      <c r="CRL1" s="222"/>
      <c r="CRM1" s="220" t="s">
        <v>13331</v>
      </c>
      <c r="CRN1" s="221"/>
      <c r="CRO1" s="221"/>
      <c r="CRP1" s="222"/>
      <c r="CRQ1" s="220" t="s">
        <v>13331</v>
      </c>
      <c r="CRR1" s="221"/>
      <c r="CRS1" s="221"/>
      <c r="CRT1" s="222"/>
      <c r="CRU1" s="220" t="s">
        <v>13331</v>
      </c>
      <c r="CRV1" s="221"/>
      <c r="CRW1" s="221"/>
      <c r="CRX1" s="222"/>
      <c r="CRY1" s="220" t="s">
        <v>13331</v>
      </c>
      <c r="CRZ1" s="221"/>
      <c r="CSA1" s="221"/>
      <c r="CSB1" s="222"/>
      <c r="CSC1" s="220" t="s">
        <v>13331</v>
      </c>
      <c r="CSD1" s="221"/>
      <c r="CSE1" s="221"/>
      <c r="CSF1" s="222"/>
      <c r="CSG1" s="220" t="s">
        <v>13331</v>
      </c>
      <c r="CSH1" s="221"/>
      <c r="CSI1" s="221"/>
      <c r="CSJ1" s="222"/>
      <c r="CSK1" s="220" t="s">
        <v>13331</v>
      </c>
      <c r="CSL1" s="221"/>
      <c r="CSM1" s="221"/>
      <c r="CSN1" s="222"/>
      <c r="CSO1" s="220" t="s">
        <v>13331</v>
      </c>
      <c r="CSP1" s="221"/>
      <c r="CSQ1" s="221"/>
      <c r="CSR1" s="222"/>
      <c r="CSS1" s="220" t="s">
        <v>13331</v>
      </c>
      <c r="CST1" s="221"/>
      <c r="CSU1" s="221"/>
      <c r="CSV1" s="222"/>
      <c r="CSW1" s="220" t="s">
        <v>13331</v>
      </c>
      <c r="CSX1" s="221"/>
      <c r="CSY1" s="221"/>
      <c r="CSZ1" s="222"/>
      <c r="CTA1" s="220" t="s">
        <v>13331</v>
      </c>
      <c r="CTB1" s="221"/>
      <c r="CTC1" s="221"/>
      <c r="CTD1" s="222"/>
      <c r="CTE1" s="220" t="s">
        <v>13331</v>
      </c>
      <c r="CTF1" s="221"/>
      <c r="CTG1" s="221"/>
      <c r="CTH1" s="222"/>
      <c r="CTI1" s="220" t="s">
        <v>13331</v>
      </c>
      <c r="CTJ1" s="221"/>
      <c r="CTK1" s="221"/>
      <c r="CTL1" s="222"/>
      <c r="CTM1" s="220" t="s">
        <v>13331</v>
      </c>
      <c r="CTN1" s="221"/>
      <c r="CTO1" s="221"/>
      <c r="CTP1" s="222"/>
      <c r="CTQ1" s="220" t="s">
        <v>13331</v>
      </c>
      <c r="CTR1" s="221"/>
      <c r="CTS1" s="221"/>
      <c r="CTT1" s="222"/>
      <c r="CTU1" s="220" t="s">
        <v>13331</v>
      </c>
      <c r="CTV1" s="221"/>
      <c r="CTW1" s="221"/>
      <c r="CTX1" s="222"/>
      <c r="CTY1" s="220" t="s">
        <v>13331</v>
      </c>
      <c r="CTZ1" s="221"/>
      <c r="CUA1" s="221"/>
      <c r="CUB1" s="222"/>
      <c r="CUC1" s="220" t="s">
        <v>13331</v>
      </c>
      <c r="CUD1" s="221"/>
      <c r="CUE1" s="221"/>
      <c r="CUF1" s="222"/>
      <c r="CUG1" s="220" t="s">
        <v>13331</v>
      </c>
      <c r="CUH1" s="221"/>
      <c r="CUI1" s="221"/>
      <c r="CUJ1" s="222"/>
      <c r="CUK1" s="220" t="s">
        <v>13331</v>
      </c>
      <c r="CUL1" s="221"/>
      <c r="CUM1" s="221"/>
      <c r="CUN1" s="222"/>
      <c r="CUO1" s="220" t="s">
        <v>13331</v>
      </c>
      <c r="CUP1" s="221"/>
      <c r="CUQ1" s="221"/>
      <c r="CUR1" s="222"/>
      <c r="CUS1" s="220" t="s">
        <v>13331</v>
      </c>
      <c r="CUT1" s="221"/>
      <c r="CUU1" s="221"/>
      <c r="CUV1" s="222"/>
      <c r="CUW1" s="220" t="s">
        <v>13331</v>
      </c>
      <c r="CUX1" s="221"/>
      <c r="CUY1" s="221"/>
      <c r="CUZ1" s="222"/>
      <c r="CVA1" s="220" t="s">
        <v>13331</v>
      </c>
      <c r="CVB1" s="221"/>
      <c r="CVC1" s="221"/>
      <c r="CVD1" s="222"/>
      <c r="CVE1" s="220" t="s">
        <v>13331</v>
      </c>
      <c r="CVF1" s="221"/>
      <c r="CVG1" s="221"/>
      <c r="CVH1" s="222"/>
      <c r="CVI1" s="220" t="s">
        <v>13331</v>
      </c>
      <c r="CVJ1" s="221"/>
      <c r="CVK1" s="221"/>
      <c r="CVL1" s="222"/>
      <c r="CVM1" s="220" t="s">
        <v>13331</v>
      </c>
      <c r="CVN1" s="221"/>
      <c r="CVO1" s="221"/>
      <c r="CVP1" s="222"/>
      <c r="CVQ1" s="220" t="s">
        <v>13331</v>
      </c>
      <c r="CVR1" s="221"/>
      <c r="CVS1" s="221"/>
      <c r="CVT1" s="222"/>
      <c r="CVU1" s="220" t="s">
        <v>13331</v>
      </c>
      <c r="CVV1" s="221"/>
      <c r="CVW1" s="221"/>
      <c r="CVX1" s="222"/>
      <c r="CVY1" s="220" t="s">
        <v>13331</v>
      </c>
      <c r="CVZ1" s="221"/>
      <c r="CWA1" s="221"/>
      <c r="CWB1" s="222"/>
      <c r="CWC1" s="220" t="s">
        <v>13331</v>
      </c>
      <c r="CWD1" s="221"/>
      <c r="CWE1" s="221"/>
      <c r="CWF1" s="222"/>
      <c r="CWG1" s="220" t="s">
        <v>13331</v>
      </c>
      <c r="CWH1" s="221"/>
      <c r="CWI1" s="221"/>
      <c r="CWJ1" s="222"/>
      <c r="CWK1" s="220" t="s">
        <v>13331</v>
      </c>
      <c r="CWL1" s="221"/>
      <c r="CWM1" s="221"/>
      <c r="CWN1" s="222"/>
      <c r="CWO1" s="220" t="s">
        <v>13331</v>
      </c>
      <c r="CWP1" s="221"/>
      <c r="CWQ1" s="221"/>
      <c r="CWR1" s="222"/>
      <c r="CWS1" s="220" t="s">
        <v>13331</v>
      </c>
      <c r="CWT1" s="221"/>
      <c r="CWU1" s="221"/>
      <c r="CWV1" s="222"/>
      <c r="CWW1" s="220" t="s">
        <v>13331</v>
      </c>
      <c r="CWX1" s="221"/>
      <c r="CWY1" s="221"/>
      <c r="CWZ1" s="222"/>
      <c r="CXA1" s="220" t="s">
        <v>13331</v>
      </c>
      <c r="CXB1" s="221"/>
      <c r="CXC1" s="221"/>
      <c r="CXD1" s="222"/>
      <c r="CXE1" s="220" t="s">
        <v>13331</v>
      </c>
      <c r="CXF1" s="221"/>
      <c r="CXG1" s="221"/>
      <c r="CXH1" s="222"/>
      <c r="CXI1" s="220" t="s">
        <v>13331</v>
      </c>
      <c r="CXJ1" s="221"/>
      <c r="CXK1" s="221"/>
      <c r="CXL1" s="222"/>
      <c r="CXM1" s="220" t="s">
        <v>13331</v>
      </c>
      <c r="CXN1" s="221"/>
      <c r="CXO1" s="221"/>
      <c r="CXP1" s="222"/>
      <c r="CXQ1" s="220" t="s">
        <v>13331</v>
      </c>
      <c r="CXR1" s="221"/>
      <c r="CXS1" s="221"/>
      <c r="CXT1" s="222"/>
      <c r="CXU1" s="220" t="s">
        <v>13331</v>
      </c>
      <c r="CXV1" s="221"/>
      <c r="CXW1" s="221"/>
      <c r="CXX1" s="222"/>
      <c r="CXY1" s="220" t="s">
        <v>13331</v>
      </c>
      <c r="CXZ1" s="221"/>
      <c r="CYA1" s="221"/>
      <c r="CYB1" s="222"/>
      <c r="CYC1" s="220" t="s">
        <v>13331</v>
      </c>
      <c r="CYD1" s="221"/>
      <c r="CYE1" s="221"/>
      <c r="CYF1" s="222"/>
      <c r="CYG1" s="220" t="s">
        <v>13331</v>
      </c>
      <c r="CYH1" s="221"/>
      <c r="CYI1" s="221"/>
      <c r="CYJ1" s="222"/>
      <c r="CYK1" s="220" t="s">
        <v>13331</v>
      </c>
      <c r="CYL1" s="221"/>
      <c r="CYM1" s="221"/>
      <c r="CYN1" s="222"/>
      <c r="CYO1" s="220" t="s">
        <v>13331</v>
      </c>
      <c r="CYP1" s="221"/>
      <c r="CYQ1" s="221"/>
      <c r="CYR1" s="222"/>
      <c r="CYS1" s="220" t="s">
        <v>13331</v>
      </c>
      <c r="CYT1" s="221"/>
      <c r="CYU1" s="221"/>
      <c r="CYV1" s="222"/>
      <c r="CYW1" s="220" t="s">
        <v>13331</v>
      </c>
      <c r="CYX1" s="221"/>
      <c r="CYY1" s="221"/>
      <c r="CYZ1" s="222"/>
      <c r="CZA1" s="220" t="s">
        <v>13331</v>
      </c>
      <c r="CZB1" s="221"/>
      <c r="CZC1" s="221"/>
      <c r="CZD1" s="222"/>
      <c r="CZE1" s="220" t="s">
        <v>13331</v>
      </c>
      <c r="CZF1" s="221"/>
      <c r="CZG1" s="221"/>
      <c r="CZH1" s="222"/>
      <c r="CZI1" s="220" t="s">
        <v>13331</v>
      </c>
      <c r="CZJ1" s="221"/>
      <c r="CZK1" s="221"/>
      <c r="CZL1" s="222"/>
      <c r="CZM1" s="220" t="s">
        <v>13331</v>
      </c>
      <c r="CZN1" s="221"/>
      <c r="CZO1" s="221"/>
      <c r="CZP1" s="222"/>
      <c r="CZQ1" s="220" t="s">
        <v>13331</v>
      </c>
      <c r="CZR1" s="221"/>
      <c r="CZS1" s="221"/>
      <c r="CZT1" s="222"/>
      <c r="CZU1" s="220" t="s">
        <v>13331</v>
      </c>
      <c r="CZV1" s="221"/>
      <c r="CZW1" s="221"/>
      <c r="CZX1" s="222"/>
      <c r="CZY1" s="220" t="s">
        <v>13331</v>
      </c>
      <c r="CZZ1" s="221"/>
      <c r="DAA1" s="221"/>
      <c r="DAB1" s="222"/>
      <c r="DAC1" s="220" t="s">
        <v>13331</v>
      </c>
      <c r="DAD1" s="221"/>
      <c r="DAE1" s="221"/>
      <c r="DAF1" s="222"/>
      <c r="DAG1" s="220" t="s">
        <v>13331</v>
      </c>
      <c r="DAH1" s="221"/>
      <c r="DAI1" s="221"/>
      <c r="DAJ1" s="222"/>
      <c r="DAK1" s="220" t="s">
        <v>13331</v>
      </c>
      <c r="DAL1" s="221"/>
      <c r="DAM1" s="221"/>
      <c r="DAN1" s="222"/>
      <c r="DAO1" s="220" t="s">
        <v>13331</v>
      </c>
      <c r="DAP1" s="221"/>
      <c r="DAQ1" s="221"/>
      <c r="DAR1" s="222"/>
      <c r="DAS1" s="220" t="s">
        <v>13331</v>
      </c>
      <c r="DAT1" s="221"/>
      <c r="DAU1" s="221"/>
      <c r="DAV1" s="222"/>
      <c r="DAW1" s="220" t="s">
        <v>13331</v>
      </c>
      <c r="DAX1" s="221"/>
      <c r="DAY1" s="221"/>
      <c r="DAZ1" s="222"/>
      <c r="DBA1" s="220" t="s">
        <v>13331</v>
      </c>
      <c r="DBB1" s="221"/>
      <c r="DBC1" s="221"/>
      <c r="DBD1" s="222"/>
      <c r="DBE1" s="220" t="s">
        <v>13331</v>
      </c>
      <c r="DBF1" s="221"/>
      <c r="DBG1" s="221"/>
      <c r="DBH1" s="222"/>
      <c r="DBI1" s="220" t="s">
        <v>13331</v>
      </c>
      <c r="DBJ1" s="221"/>
      <c r="DBK1" s="221"/>
      <c r="DBL1" s="222"/>
      <c r="DBM1" s="220" t="s">
        <v>13331</v>
      </c>
      <c r="DBN1" s="221"/>
      <c r="DBO1" s="221"/>
      <c r="DBP1" s="222"/>
      <c r="DBQ1" s="220" t="s">
        <v>13331</v>
      </c>
      <c r="DBR1" s="221"/>
      <c r="DBS1" s="221"/>
      <c r="DBT1" s="222"/>
      <c r="DBU1" s="220" t="s">
        <v>13331</v>
      </c>
      <c r="DBV1" s="221"/>
      <c r="DBW1" s="221"/>
      <c r="DBX1" s="222"/>
      <c r="DBY1" s="220" t="s">
        <v>13331</v>
      </c>
      <c r="DBZ1" s="221"/>
      <c r="DCA1" s="221"/>
      <c r="DCB1" s="222"/>
      <c r="DCC1" s="220" t="s">
        <v>13331</v>
      </c>
      <c r="DCD1" s="221"/>
      <c r="DCE1" s="221"/>
      <c r="DCF1" s="222"/>
      <c r="DCG1" s="220" t="s">
        <v>13331</v>
      </c>
      <c r="DCH1" s="221"/>
      <c r="DCI1" s="221"/>
      <c r="DCJ1" s="222"/>
      <c r="DCK1" s="220" t="s">
        <v>13331</v>
      </c>
      <c r="DCL1" s="221"/>
      <c r="DCM1" s="221"/>
      <c r="DCN1" s="222"/>
      <c r="DCO1" s="220" t="s">
        <v>13331</v>
      </c>
      <c r="DCP1" s="221"/>
      <c r="DCQ1" s="221"/>
      <c r="DCR1" s="222"/>
      <c r="DCS1" s="220" t="s">
        <v>13331</v>
      </c>
      <c r="DCT1" s="221"/>
      <c r="DCU1" s="221"/>
      <c r="DCV1" s="222"/>
      <c r="DCW1" s="220" t="s">
        <v>13331</v>
      </c>
      <c r="DCX1" s="221"/>
      <c r="DCY1" s="221"/>
      <c r="DCZ1" s="222"/>
      <c r="DDA1" s="220" t="s">
        <v>13331</v>
      </c>
      <c r="DDB1" s="221"/>
      <c r="DDC1" s="221"/>
      <c r="DDD1" s="222"/>
      <c r="DDE1" s="220" t="s">
        <v>13331</v>
      </c>
      <c r="DDF1" s="221"/>
      <c r="DDG1" s="221"/>
      <c r="DDH1" s="222"/>
      <c r="DDI1" s="220" t="s">
        <v>13331</v>
      </c>
      <c r="DDJ1" s="221"/>
      <c r="DDK1" s="221"/>
      <c r="DDL1" s="222"/>
      <c r="DDM1" s="220" t="s">
        <v>13331</v>
      </c>
      <c r="DDN1" s="221"/>
      <c r="DDO1" s="221"/>
      <c r="DDP1" s="222"/>
      <c r="DDQ1" s="220" t="s">
        <v>13331</v>
      </c>
      <c r="DDR1" s="221"/>
      <c r="DDS1" s="221"/>
      <c r="DDT1" s="222"/>
      <c r="DDU1" s="220" t="s">
        <v>13331</v>
      </c>
      <c r="DDV1" s="221"/>
      <c r="DDW1" s="221"/>
      <c r="DDX1" s="222"/>
      <c r="DDY1" s="220" t="s">
        <v>13331</v>
      </c>
      <c r="DDZ1" s="221"/>
      <c r="DEA1" s="221"/>
      <c r="DEB1" s="222"/>
      <c r="DEC1" s="220" t="s">
        <v>13331</v>
      </c>
      <c r="DED1" s="221"/>
      <c r="DEE1" s="221"/>
      <c r="DEF1" s="222"/>
      <c r="DEG1" s="220" t="s">
        <v>13331</v>
      </c>
      <c r="DEH1" s="221"/>
      <c r="DEI1" s="221"/>
      <c r="DEJ1" s="222"/>
      <c r="DEK1" s="220" t="s">
        <v>13331</v>
      </c>
      <c r="DEL1" s="221"/>
      <c r="DEM1" s="221"/>
      <c r="DEN1" s="222"/>
      <c r="DEO1" s="220" t="s">
        <v>13331</v>
      </c>
      <c r="DEP1" s="221"/>
      <c r="DEQ1" s="221"/>
      <c r="DER1" s="222"/>
      <c r="DES1" s="220" t="s">
        <v>13331</v>
      </c>
      <c r="DET1" s="221"/>
      <c r="DEU1" s="221"/>
      <c r="DEV1" s="222"/>
      <c r="DEW1" s="220" t="s">
        <v>13331</v>
      </c>
      <c r="DEX1" s="221"/>
      <c r="DEY1" s="221"/>
      <c r="DEZ1" s="222"/>
      <c r="DFA1" s="220" t="s">
        <v>13331</v>
      </c>
      <c r="DFB1" s="221"/>
      <c r="DFC1" s="221"/>
      <c r="DFD1" s="222"/>
      <c r="DFE1" s="220" t="s">
        <v>13331</v>
      </c>
      <c r="DFF1" s="221"/>
      <c r="DFG1" s="221"/>
      <c r="DFH1" s="222"/>
      <c r="DFI1" s="220" t="s">
        <v>13331</v>
      </c>
      <c r="DFJ1" s="221"/>
      <c r="DFK1" s="221"/>
      <c r="DFL1" s="222"/>
      <c r="DFM1" s="220" t="s">
        <v>13331</v>
      </c>
      <c r="DFN1" s="221"/>
      <c r="DFO1" s="221"/>
      <c r="DFP1" s="222"/>
      <c r="DFQ1" s="220" t="s">
        <v>13331</v>
      </c>
      <c r="DFR1" s="221"/>
      <c r="DFS1" s="221"/>
      <c r="DFT1" s="222"/>
      <c r="DFU1" s="220" t="s">
        <v>13331</v>
      </c>
      <c r="DFV1" s="221"/>
      <c r="DFW1" s="221"/>
      <c r="DFX1" s="222"/>
      <c r="DFY1" s="220" t="s">
        <v>13331</v>
      </c>
      <c r="DFZ1" s="221"/>
      <c r="DGA1" s="221"/>
      <c r="DGB1" s="222"/>
      <c r="DGC1" s="220" t="s">
        <v>13331</v>
      </c>
      <c r="DGD1" s="221"/>
      <c r="DGE1" s="221"/>
      <c r="DGF1" s="222"/>
      <c r="DGG1" s="220" t="s">
        <v>13331</v>
      </c>
      <c r="DGH1" s="221"/>
      <c r="DGI1" s="221"/>
      <c r="DGJ1" s="222"/>
      <c r="DGK1" s="220" t="s">
        <v>13331</v>
      </c>
      <c r="DGL1" s="221"/>
      <c r="DGM1" s="221"/>
      <c r="DGN1" s="222"/>
      <c r="DGO1" s="220" t="s">
        <v>13331</v>
      </c>
      <c r="DGP1" s="221"/>
      <c r="DGQ1" s="221"/>
      <c r="DGR1" s="222"/>
      <c r="DGS1" s="220" t="s">
        <v>13331</v>
      </c>
      <c r="DGT1" s="221"/>
      <c r="DGU1" s="221"/>
      <c r="DGV1" s="222"/>
      <c r="DGW1" s="220" t="s">
        <v>13331</v>
      </c>
      <c r="DGX1" s="221"/>
      <c r="DGY1" s="221"/>
      <c r="DGZ1" s="222"/>
      <c r="DHA1" s="220" t="s">
        <v>13331</v>
      </c>
      <c r="DHB1" s="221"/>
      <c r="DHC1" s="221"/>
      <c r="DHD1" s="222"/>
      <c r="DHE1" s="220" t="s">
        <v>13331</v>
      </c>
      <c r="DHF1" s="221"/>
      <c r="DHG1" s="221"/>
      <c r="DHH1" s="222"/>
      <c r="DHI1" s="220" t="s">
        <v>13331</v>
      </c>
      <c r="DHJ1" s="221"/>
      <c r="DHK1" s="221"/>
      <c r="DHL1" s="222"/>
      <c r="DHM1" s="220" t="s">
        <v>13331</v>
      </c>
      <c r="DHN1" s="221"/>
      <c r="DHO1" s="221"/>
      <c r="DHP1" s="222"/>
      <c r="DHQ1" s="220" t="s">
        <v>13331</v>
      </c>
      <c r="DHR1" s="221"/>
      <c r="DHS1" s="221"/>
      <c r="DHT1" s="222"/>
      <c r="DHU1" s="220" t="s">
        <v>13331</v>
      </c>
      <c r="DHV1" s="221"/>
      <c r="DHW1" s="221"/>
      <c r="DHX1" s="222"/>
      <c r="DHY1" s="220" t="s">
        <v>13331</v>
      </c>
      <c r="DHZ1" s="221"/>
      <c r="DIA1" s="221"/>
      <c r="DIB1" s="222"/>
      <c r="DIC1" s="220" t="s">
        <v>13331</v>
      </c>
      <c r="DID1" s="221"/>
      <c r="DIE1" s="221"/>
      <c r="DIF1" s="222"/>
      <c r="DIG1" s="220" t="s">
        <v>13331</v>
      </c>
      <c r="DIH1" s="221"/>
      <c r="DII1" s="221"/>
      <c r="DIJ1" s="222"/>
      <c r="DIK1" s="220" t="s">
        <v>13331</v>
      </c>
      <c r="DIL1" s="221"/>
      <c r="DIM1" s="221"/>
      <c r="DIN1" s="222"/>
      <c r="DIO1" s="220" t="s">
        <v>13331</v>
      </c>
      <c r="DIP1" s="221"/>
      <c r="DIQ1" s="221"/>
      <c r="DIR1" s="222"/>
      <c r="DIS1" s="220" t="s">
        <v>13331</v>
      </c>
      <c r="DIT1" s="221"/>
      <c r="DIU1" s="221"/>
      <c r="DIV1" s="222"/>
      <c r="DIW1" s="220" t="s">
        <v>13331</v>
      </c>
      <c r="DIX1" s="221"/>
      <c r="DIY1" s="221"/>
      <c r="DIZ1" s="222"/>
      <c r="DJA1" s="220" t="s">
        <v>13331</v>
      </c>
      <c r="DJB1" s="221"/>
      <c r="DJC1" s="221"/>
      <c r="DJD1" s="222"/>
      <c r="DJE1" s="220" t="s">
        <v>13331</v>
      </c>
      <c r="DJF1" s="221"/>
      <c r="DJG1" s="221"/>
      <c r="DJH1" s="222"/>
      <c r="DJI1" s="220" t="s">
        <v>13331</v>
      </c>
      <c r="DJJ1" s="221"/>
      <c r="DJK1" s="221"/>
      <c r="DJL1" s="222"/>
      <c r="DJM1" s="220" t="s">
        <v>13331</v>
      </c>
      <c r="DJN1" s="221"/>
      <c r="DJO1" s="221"/>
      <c r="DJP1" s="222"/>
      <c r="DJQ1" s="220" t="s">
        <v>13331</v>
      </c>
      <c r="DJR1" s="221"/>
      <c r="DJS1" s="221"/>
      <c r="DJT1" s="222"/>
      <c r="DJU1" s="220" t="s">
        <v>13331</v>
      </c>
      <c r="DJV1" s="221"/>
      <c r="DJW1" s="221"/>
      <c r="DJX1" s="222"/>
      <c r="DJY1" s="220" t="s">
        <v>13331</v>
      </c>
      <c r="DJZ1" s="221"/>
      <c r="DKA1" s="221"/>
      <c r="DKB1" s="222"/>
      <c r="DKC1" s="220" t="s">
        <v>13331</v>
      </c>
      <c r="DKD1" s="221"/>
      <c r="DKE1" s="221"/>
      <c r="DKF1" s="222"/>
      <c r="DKG1" s="220" t="s">
        <v>13331</v>
      </c>
      <c r="DKH1" s="221"/>
      <c r="DKI1" s="221"/>
      <c r="DKJ1" s="222"/>
      <c r="DKK1" s="220" t="s">
        <v>13331</v>
      </c>
      <c r="DKL1" s="221"/>
      <c r="DKM1" s="221"/>
      <c r="DKN1" s="222"/>
      <c r="DKO1" s="220" t="s">
        <v>13331</v>
      </c>
      <c r="DKP1" s="221"/>
      <c r="DKQ1" s="221"/>
      <c r="DKR1" s="222"/>
      <c r="DKS1" s="220" t="s">
        <v>13331</v>
      </c>
      <c r="DKT1" s="221"/>
      <c r="DKU1" s="221"/>
      <c r="DKV1" s="222"/>
      <c r="DKW1" s="220" t="s">
        <v>13331</v>
      </c>
      <c r="DKX1" s="221"/>
      <c r="DKY1" s="221"/>
      <c r="DKZ1" s="222"/>
      <c r="DLA1" s="220" t="s">
        <v>13331</v>
      </c>
      <c r="DLB1" s="221"/>
      <c r="DLC1" s="221"/>
      <c r="DLD1" s="222"/>
      <c r="DLE1" s="220" t="s">
        <v>13331</v>
      </c>
      <c r="DLF1" s="221"/>
      <c r="DLG1" s="221"/>
      <c r="DLH1" s="222"/>
      <c r="DLI1" s="220" t="s">
        <v>13331</v>
      </c>
      <c r="DLJ1" s="221"/>
      <c r="DLK1" s="221"/>
      <c r="DLL1" s="222"/>
      <c r="DLM1" s="220" t="s">
        <v>13331</v>
      </c>
      <c r="DLN1" s="221"/>
      <c r="DLO1" s="221"/>
      <c r="DLP1" s="222"/>
      <c r="DLQ1" s="220" t="s">
        <v>13331</v>
      </c>
      <c r="DLR1" s="221"/>
      <c r="DLS1" s="221"/>
      <c r="DLT1" s="222"/>
      <c r="DLU1" s="220" t="s">
        <v>13331</v>
      </c>
      <c r="DLV1" s="221"/>
      <c r="DLW1" s="221"/>
      <c r="DLX1" s="222"/>
      <c r="DLY1" s="220" t="s">
        <v>13331</v>
      </c>
      <c r="DLZ1" s="221"/>
      <c r="DMA1" s="221"/>
      <c r="DMB1" s="222"/>
      <c r="DMC1" s="220" t="s">
        <v>13331</v>
      </c>
      <c r="DMD1" s="221"/>
      <c r="DME1" s="221"/>
      <c r="DMF1" s="222"/>
      <c r="DMG1" s="220" t="s">
        <v>13331</v>
      </c>
      <c r="DMH1" s="221"/>
      <c r="DMI1" s="221"/>
      <c r="DMJ1" s="222"/>
      <c r="DMK1" s="220" t="s">
        <v>13331</v>
      </c>
      <c r="DML1" s="221"/>
      <c r="DMM1" s="221"/>
      <c r="DMN1" s="222"/>
      <c r="DMO1" s="220" t="s">
        <v>13331</v>
      </c>
      <c r="DMP1" s="221"/>
      <c r="DMQ1" s="221"/>
      <c r="DMR1" s="222"/>
      <c r="DMS1" s="220" t="s">
        <v>13331</v>
      </c>
      <c r="DMT1" s="221"/>
      <c r="DMU1" s="221"/>
      <c r="DMV1" s="222"/>
      <c r="DMW1" s="220" t="s">
        <v>13331</v>
      </c>
      <c r="DMX1" s="221"/>
      <c r="DMY1" s="221"/>
      <c r="DMZ1" s="222"/>
      <c r="DNA1" s="220" t="s">
        <v>13331</v>
      </c>
      <c r="DNB1" s="221"/>
      <c r="DNC1" s="221"/>
      <c r="DND1" s="222"/>
      <c r="DNE1" s="220" t="s">
        <v>13331</v>
      </c>
      <c r="DNF1" s="221"/>
      <c r="DNG1" s="221"/>
      <c r="DNH1" s="222"/>
      <c r="DNI1" s="220" t="s">
        <v>13331</v>
      </c>
      <c r="DNJ1" s="221"/>
      <c r="DNK1" s="221"/>
      <c r="DNL1" s="222"/>
      <c r="DNM1" s="220" t="s">
        <v>13331</v>
      </c>
      <c r="DNN1" s="221"/>
      <c r="DNO1" s="221"/>
      <c r="DNP1" s="222"/>
      <c r="DNQ1" s="220" t="s">
        <v>13331</v>
      </c>
      <c r="DNR1" s="221"/>
      <c r="DNS1" s="221"/>
      <c r="DNT1" s="222"/>
      <c r="DNU1" s="220" t="s">
        <v>13331</v>
      </c>
      <c r="DNV1" s="221"/>
      <c r="DNW1" s="221"/>
      <c r="DNX1" s="222"/>
      <c r="DNY1" s="220" t="s">
        <v>13331</v>
      </c>
      <c r="DNZ1" s="221"/>
      <c r="DOA1" s="221"/>
      <c r="DOB1" s="222"/>
      <c r="DOC1" s="220" t="s">
        <v>13331</v>
      </c>
      <c r="DOD1" s="221"/>
      <c r="DOE1" s="221"/>
      <c r="DOF1" s="222"/>
      <c r="DOG1" s="220" t="s">
        <v>13331</v>
      </c>
      <c r="DOH1" s="221"/>
      <c r="DOI1" s="221"/>
      <c r="DOJ1" s="222"/>
      <c r="DOK1" s="220" t="s">
        <v>13331</v>
      </c>
      <c r="DOL1" s="221"/>
      <c r="DOM1" s="221"/>
      <c r="DON1" s="222"/>
      <c r="DOO1" s="220" t="s">
        <v>13331</v>
      </c>
      <c r="DOP1" s="221"/>
      <c r="DOQ1" s="221"/>
      <c r="DOR1" s="222"/>
      <c r="DOS1" s="220" t="s">
        <v>13331</v>
      </c>
      <c r="DOT1" s="221"/>
      <c r="DOU1" s="221"/>
      <c r="DOV1" s="222"/>
      <c r="DOW1" s="220" t="s">
        <v>13331</v>
      </c>
      <c r="DOX1" s="221"/>
      <c r="DOY1" s="221"/>
      <c r="DOZ1" s="222"/>
      <c r="DPA1" s="220" t="s">
        <v>13331</v>
      </c>
      <c r="DPB1" s="221"/>
      <c r="DPC1" s="221"/>
      <c r="DPD1" s="222"/>
      <c r="DPE1" s="220" t="s">
        <v>13331</v>
      </c>
      <c r="DPF1" s="221"/>
      <c r="DPG1" s="221"/>
      <c r="DPH1" s="222"/>
      <c r="DPI1" s="220" t="s">
        <v>13331</v>
      </c>
      <c r="DPJ1" s="221"/>
      <c r="DPK1" s="221"/>
      <c r="DPL1" s="222"/>
      <c r="DPM1" s="220" t="s">
        <v>13331</v>
      </c>
      <c r="DPN1" s="221"/>
      <c r="DPO1" s="221"/>
      <c r="DPP1" s="222"/>
      <c r="DPQ1" s="220" t="s">
        <v>13331</v>
      </c>
      <c r="DPR1" s="221"/>
      <c r="DPS1" s="221"/>
      <c r="DPT1" s="222"/>
      <c r="DPU1" s="220" t="s">
        <v>13331</v>
      </c>
      <c r="DPV1" s="221"/>
      <c r="DPW1" s="221"/>
      <c r="DPX1" s="222"/>
      <c r="DPY1" s="220" t="s">
        <v>13331</v>
      </c>
      <c r="DPZ1" s="221"/>
      <c r="DQA1" s="221"/>
      <c r="DQB1" s="222"/>
      <c r="DQC1" s="220" t="s">
        <v>13331</v>
      </c>
      <c r="DQD1" s="221"/>
      <c r="DQE1" s="221"/>
      <c r="DQF1" s="222"/>
      <c r="DQG1" s="220" t="s">
        <v>13331</v>
      </c>
      <c r="DQH1" s="221"/>
      <c r="DQI1" s="221"/>
      <c r="DQJ1" s="222"/>
      <c r="DQK1" s="220" t="s">
        <v>13331</v>
      </c>
      <c r="DQL1" s="221"/>
      <c r="DQM1" s="221"/>
      <c r="DQN1" s="222"/>
      <c r="DQO1" s="220" t="s">
        <v>13331</v>
      </c>
      <c r="DQP1" s="221"/>
      <c r="DQQ1" s="221"/>
      <c r="DQR1" s="222"/>
      <c r="DQS1" s="220" t="s">
        <v>13331</v>
      </c>
      <c r="DQT1" s="221"/>
      <c r="DQU1" s="221"/>
      <c r="DQV1" s="222"/>
      <c r="DQW1" s="220" t="s">
        <v>13331</v>
      </c>
      <c r="DQX1" s="221"/>
      <c r="DQY1" s="221"/>
      <c r="DQZ1" s="222"/>
      <c r="DRA1" s="220" t="s">
        <v>13331</v>
      </c>
      <c r="DRB1" s="221"/>
      <c r="DRC1" s="221"/>
      <c r="DRD1" s="222"/>
      <c r="DRE1" s="220" t="s">
        <v>13331</v>
      </c>
      <c r="DRF1" s="221"/>
      <c r="DRG1" s="221"/>
      <c r="DRH1" s="222"/>
      <c r="DRI1" s="220" t="s">
        <v>13331</v>
      </c>
      <c r="DRJ1" s="221"/>
      <c r="DRK1" s="221"/>
      <c r="DRL1" s="222"/>
      <c r="DRM1" s="220" t="s">
        <v>13331</v>
      </c>
      <c r="DRN1" s="221"/>
      <c r="DRO1" s="221"/>
      <c r="DRP1" s="222"/>
      <c r="DRQ1" s="220" t="s">
        <v>13331</v>
      </c>
      <c r="DRR1" s="221"/>
      <c r="DRS1" s="221"/>
      <c r="DRT1" s="222"/>
      <c r="DRU1" s="220" t="s">
        <v>13331</v>
      </c>
      <c r="DRV1" s="221"/>
      <c r="DRW1" s="221"/>
      <c r="DRX1" s="222"/>
      <c r="DRY1" s="220" t="s">
        <v>13331</v>
      </c>
      <c r="DRZ1" s="221"/>
      <c r="DSA1" s="221"/>
      <c r="DSB1" s="222"/>
      <c r="DSC1" s="220" t="s">
        <v>13331</v>
      </c>
      <c r="DSD1" s="221"/>
      <c r="DSE1" s="221"/>
      <c r="DSF1" s="222"/>
      <c r="DSG1" s="220" t="s">
        <v>13331</v>
      </c>
      <c r="DSH1" s="221"/>
      <c r="DSI1" s="221"/>
      <c r="DSJ1" s="222"/>
      <c r="DSK1" s="220" t="s">
        <v>13331</v>
      </c>
      <c r="DSL1" s="221"/>
      <c r="DSM1" s="221"/>
      <c r="DSN1" s="222"/>
      <c r="DSO1" s="220" t="s">
        <v>13331</v>
      </c>
      <c r="DSP1" s="221"/>
      <c r="DSQ1" s="221"/>
      <c r="DSR1" s="222"/>
      <c r="DSS1" s="220" t="s">
        <v>13331</v>
      </c>
      <c r="DST1" s="221"/>
      <c r="DSU1" s="221"/>
      <c r="DSV1" s="222"/>
      <c r="DSW1" s="220" t="s">
        <v>13331</v>
      </c>
      <c r="DSX1" s="221"/>
      <c r="DSY1" s="221"/>
      <c r="DSZ1" s="222"/>
      <c r="DTA1" s="220" t="s">
        <v>13331</v>
      </c>
      <c r="DTB1" s="221"/>
      <c r="DTC1" s="221"/>
      <c r="DTD1" s="222"/>
      <c r="DTE1" s="220" t="s">
        <v>13331</v>
      </c>
      <c r="DTF1" s="221"/>
      <c r="DTG1" s="221"/>
      <c r="DTH1" s="222"/>
      <c r="DTI1" s="220" t="s">
        <v>13331</v>
      </c>
      <c r="DTJ1" s="221"/>
      <c r="DTK1" s="221"/>
      <c r="DTL1" s="222"/>
      <c r="DTM1" s="220" t="s">
        <v>13331</v>
      </c>
      <c r="DTN1" s="221"/>
      <c r="DTO1" s="221"/>
      <c r="DTP1" s="222"/>
      <c r="DTQ1" s="220" t="s">
        <v>13331</v>
      </c>
      <c r="DTR1" s="221"/>
      <c r="DTS1" s="221"/>
      <c r="DTT1" s="222"/>
      <c r="DTU1" s="220" t="s">
        <v>13331</v>
      </c>
      <c r="DTV1" s="221"/>
      <c r="DTW1" s="221"/>
      <c r="DTX1" s="222"/>
      <c r="DTY1" s="220" t="s">
        <v>13331</v>
      </c>
      <c r="DTZ1" s="221"/>
      <c r="DUA1" s="221"/>
      <c r="DUB1" s="222"/>
      <c r="DUC1" s="220" t="s">
        <v>13331</v>
      </c>
      <c r="DUD1" s="221"/>
      <c r="DUE1" s="221"/>
      <c r="DUF1" s="222"/>
      <c r="DUG1" s="220" t="s">
        <v>13331</v>
      </c>
      <c r="DUH1" s="221"/>
      <c r="DUI1" s="221"/>
      <c r="DUJ1" s="222"/>
      <c r="DUK1" s="220" t="s">
        <v>13331</v>
      </c>
      <c r="DUL1" s="221"/>
      <c r="DUM1" s="221"/>
      <c r="DUN1" s="222"/>
      <c r="DUO1" s="220" t="s">
        <v>13331</v>
      </c>
      <c r="DUP1" s="221"/>
      <c r="DUQ1" s="221"/>
      <c r="DUR1" s="222"/>
      <c r="DUS1" s="220" t="s">
        <v>13331</v>
      </c>
      <c r="DUT1" s="221"/>
      <c r="DUU1" s="221"/>
      <c r="DUV1" s="222"/>
      <c r="DUW1" s="220" t="s">
        <v>13331</v>
      </c>
      <c r="DUX1" s="221"/>
      <c r="DUY1" s="221"/>
      <c r="DUZ1" s="222"/>
      <c r="DVA1" s="220" t="s">
        <v>13331</v>
      </c>
      <c r="DVB1" s="221"/>
      <c r="DVC1" s="221"/>
      <c r="DVD1" s="222"/>
      <c r="DVE1" s="220" t="s">
        <v>13331</v>
      </c>
      <c r="DVF1" s="221"/>
      <c r="DVG1" s="221"/>
      <c r="DVH1" s="222"/>
      <c r="DVI1" s="220" t="s">
        <v>13331</v>
      </c>
      <c r="DVJ1" s="221"/>
      <c r="DVK1" s="221"/>
      <c r="DVL1" s="222"/>
      <c r="DVM1" s="220" t="s">
        <v>13331</v>
      </c>
      <c r="DVN1" s="221"/>
      <c r="DVO1" s="221"/>
      <c r="DVP1" s="222"/>
      <c r="DVQ1" s="220" t="s">
        <v>13331</v>
      </c>
      <c r="DVR1" s="221"/>
      <c r="DVS1" s="221"/>
      <c r="DVT1" s="222"/>
      <c r="DVU1" s="220" t="s">
        <v>13331</v>
      </c>
      <c r="DVV1" s="221"/>
      <c r="DVW1" s="221"/>
      <c r="DVX1" s="222"/>
      <c r="DVY1" s="220" t="s">
        <v>13331</v>
      </c>
      <c r="DVZ1" s="221"/>
      <c r="DWA1" s="221"/>
      <c r="DWB1" s="222"/>
      <c r="DWC1" s="220" t="s">
        <v>13331</v>
      </c>
      <c r="DWD1" s="221"/>
      <c r="DWE1" s="221"/>
      <c r="DWF1" s="222"/>
      <c r="DWG1" s="220" t="s">
        <v>13331</v>
      </c>
      <c r="DWH1" s="221"/>
      <c r="DWI1" s="221"/>
      <c r="DWJ1" s="222"/>
      <c r="DWK1" s="220" t="s">
        <v>13331</v>
      </c>
      <c r="DWL1" s="221"/>
      <c r="DWM1" s="221"/>
      <c r="DWN1" s="222"/>
      <c r="DWO1" s="220" t="s">
        <v>13331</v>
      </c>
      <c r="DWP1" s="221"/>
      <c r="DWQ1" s="221"/>
      <c r="DWR1" s="222"/>
      <c r="DWS1" s="220" t="s">
        <v>13331</v>
      </c>
      <c r="DWT1" s="221"/>
      <c r="DWU1" s="221"/>
      <c r="DWV1" s="222"/>
      <c r="DWW1" s="220" t="s">
        <v>13331</v>
      </c>
      <c r="DWX1" s="221"/>
      <c r="DWY1" s="221"/>
      <c r="DWZ1" s="222"/>
      <c r="DXA1" s="220" t="s">
        <v>13331</v>
      </c>
      <c r="DXB1" s="221"/>
      <c r="DXC1" s="221"/>
      <c r="DXD1" s="222"/>
      <c r="DXE1" s="220" t="s">
        <v>13331</v>
      </c>
      <c r="DXF1" s="221"/>
      <c r="DXG1" s="221"/>
      <c r="DXH1" s="222"/>
      <c r="DXI1" s="220" t="s">
        <v>13331</v>
      </c>
      <c r="DXJ1" s="221"/>
      <c r="DXK1" s="221"/>
      <c r="DXL1" s="222"/>
      <c r="DXM1" s="220" t="s">
        <v>13331</v>
      </c>
      <c r="DXN1" s="221"/>
      <c r="DXO1" s="221"/>
      <c r="DXP1" s="222"/>
      <c r="DXQ1" s="220" t="s">
        <v>13331</v>
      </c>
      <c r="DXR1" s="221"/>
      <c r="DXS1" s="221"/>
      <c r="DXT1" s="222"/>
      <c r="DXU1" s="220" t="s">
        <v>13331</v>
      </c>
      <c r="DXV1" s="221"/>
      <c r="DXW1" s="221"/>
      <c r="DXX1" s="222"/>
      <c r="DXY1" s="220" t="s">
        <v>13331</v>
      </c>
      <c r="DXZ1" s="221"/>
      <c r="DYA1" s="221"/>
      <c r="DYB1" s="222"/>
      <c r="DYC1" s="220" t="s">
        <v>13331</v>
      </c>
      <c r="DYD1" s="221"/>
      <c r="DYE1" s="221"/>
      <c r="DYF1" s="222"/>
      <c r="DYG1" s="220" t="s">
        <v>13331</v>
      </c>
      <c r="DYH1" s="221"/>
      <c r="DYI1" s="221"/>
      <c r="DYJ1" s="222"/>
      <c r="DYK1" s="220" t="s">
        <v>13331</v>
      </c>
      <c r="DYL1" s="221"/>
      <c r="DYM1" s="221"/>
      <c r="DYN1" s="222"/>
      <c r="DYO1" s="220" t="s">
        <v>13331</v>
      </c>
      <c r="DYP1" s="221"/>
      <c r="DYQ1" s="221"/>
      <c r="DYR1" s="222"/>
      <c r="DYS1" s="220" t="s">
        <v>13331</v>
      </c>
      <c r="DYT1" s="221"/>
      <c r="DYU1" s="221"/>
      <c r="DYV1" s="222"/>
      <c r="DYW1" s="220" t="s">
        <v>13331</v>
      </c>
      <c r="DYX1" s="221"/>
      <c r="DYY1" s="221"/>
      <c r="DYZ1" s="222"/>
      <c r="DZA1" s="220" t="s">
        <v>13331</v>
      </c>
      <c r="DZB1" s="221"/>
      <c r="DZC1" s="221"/>
      <c r="DZD1" s="222"/>
      <c r="DZE1" s="220" t="s">
        <v>13331</v>
      </c>
      <c r="DZF1" s="221"/>
      <c r="DZG1" s="221"/>
      <c r="DZH1" s="222"/>
      <c r="DZI1" s="220" t="s">
        <v>13331</v>
      </c>
      <c r="DZJ1" s="221"/>
      <c r="DZK1" s="221"/>
      <c r="DZL1" s="222"/>
      <c r="DZM1" s="220" t="s">
        <v>13331</v>
      </c>
      <c r="DZN1" s="221"/>
      <c r="DZO1" s="221"/>
      <c r="DZP1" s="222"/>
      <c r="DZQ1" s="220" t="s">
        <v>13331</v>
      </c>
      <c r="DZR1" s="221"/>
      <c r="DZS1" s="221"/>
      <c r="DZT1" s="222"/>
      <c r="DZU1" s="220" t="s">
        <v>13331</v>
      </c>
      <c r="DZV1" s="221"/>
      <c r="DZW1" s="221"/>
      <c r="DZX1" s="222"/>
      <c r="DZY1" s="220" t="s">
        <v>13331</v>
      </c>
      <c r="DZZ1" s="221"/>
      <c r="EAA1" s="221"/>
      <c r="EAB1" s="222"/>
      <c r="EAC1" s="220" t="s">
        <v>13331</v>
      </c>
      <c r="EAD1" s="221"/>
      <c r="EAE1" s="221"/>
      <c r="EAF1" s="222"/>
      <c r="EAG1" s="220" t="s">
        <v>13331</v>
      </c>
      <c r="EAH1" s="221"/>
      <c r="EAI1" s="221"/>
      <c r="EAJ1" s="222"/>
      <c r="EAK1" s="220" t="s">
        <v>13331</v>
      </c>
      <c r="EAL1" s="221"/>
      <c r="EAM1" s="221"/>
      <c r="EAN1" s="222"/>
      <c r="EAO1" s="220" t="s">
        <v>13331</v>
      </c>
      <c r="EAP1" s="221"/>
      <c r="EAQ1" s="221"/>
      <c r="EAR1" s="222"/>
      <c r="EAS1" s="220" t="s">
        <v>13331</v>
      </c>
      <c r="EAT1" s="221"/>
      <c r="EAU1" s="221"/>
      <c r="EAV1" s="222"/>
      <c r="EAW1" s="220" t="s">
        <v>13331</v>
      </c>
      <c r="EAX1" s="221"/>
      <c r="EAY1" s="221"/>
      <c r="EAZ1" s="222"/>
      <c r="EBA1" s="220" t="s">
        <v>13331</v>
      </c>
      <c r="EBB1" s="221"/>
      <c r="EBC1" s="221"/>
      <c r="EBD1" s="222"/>
      <c r="EBE1" s="220" t="s">
        <v>13331</v>
      </c>
      <c r="EBF1" s="221"/>
      <c r="EBG1" s="221"/>
      <c r="EBH1" s="222"/>
      <c r="EBI1" s="220" t="s">
        <v>13331</v>
      </c>
      <c r="EBJ1" s="221"/>
      <c r="EBK1" s="221"/>
      <c r="EBL1" s="222"/>
      <c r="EBM1" s="220" t="s">
        <v>13331</v>
      </c>
      <c r="EBN1" s="221"/>
      <c r="EBO1" s="221"/>
      <c r="EBP1" s="222"/>
      <c r="EBQ1" s="220" t="s">
        <v>13331</v>
      </c>
      <c r="EBR1" s="221"/>
      <c r="EBS1" s="221"/>
      <c r="EBT1" s="222"/>
      <c r="EBU1" s="220" t="s">
        <v>13331</v>
      </c>
      <c r="EBV1" s="221"/>
      <c r="EBW1" s="221"/>
      <c r="EBX1" s="222"/>
      <c r="EBY1" s="220" t="s">
        <v>13331</v>
      </c>
      <c r="EBZ1" s="221"/>
      <c r="ECA1" s="221"/>
      <c r="ECB1" s="222"/>
      <c r="ECC1" s="220" t="s">
        <v>13331</v>
      </c>
      <c r="ECD1" s="221"/>
      <c r="ECE1" s="221"/>
      <c r="ECF1" s="222"/>
      <c r="ECG1" s="220" t="s">
        <v>13331</v>
      </c>
      <c r="ECH1" s="221"/>
      <c r="ECI1" s="221"/>
      <c r="ECJ1" s="222"/>
      <c r="ECK1" s="220" t="s">
        <v>13331</v>
      </c>
      <c r="ECL1" s="221"/>
      <c r="ECM1" s="221"/>
      <c r="ECN1" s="222"/>
      <c r="ECO1" s="220" t="s">
        <v>13331</v>
      </c>
      <c r="ECP1" s="221"/>
      <c r="ECQ1" s="221"/>
      <c r="ECR1" s="222"/>
      <c r="ECS1" s="220" t="s">
        <v>13331</v>
      </c>
      <c r="ECT1" s="221"/>
      <c r="ECU1" s="221"/>
      <c r="ECV1" s="222"/>
      <c r="ECW1" s="220" t="s">
        <v>13331</v>
      </c>
      <c r="ECX1" s="221"/>
      <c r="ECY1" s="221"/>
      <c r="ECZ1" s="222"/>
      <c r="EDA1" s="220" t="s">
        <v>13331</v>
      </c>
      <c r="EDB1" s="221"/>
      <c r="EDC1" s="221"/>
      <c r="EDD1" s="222"/>
      <c r="EDE1" s="220" t="s">
        <v>13331</v>
      </c>
      <c r="EDF1" s="221"/>
      <c r="EDG1" s="221"/>
      <c r="EDH1" s="222"/>
      <c r="EDI1" s="220" t="s">
        <v>13331</v>
      </c>
      <c r="EDJ1" s="221"/>
      <c r="EDK1" s="221"/>
      <c r="EDL1" s="222"/>
      <c r="EDM1" s="220" t="s">
        <v>13331</v>
      </c>
      <c r="EDN1" s="221"/>
      <c r="EDO1" s="221"/>
      <c r="EDP1" s="222"/>
      <c r="EDQ1" s="220" t="s">
        <v>13331</v>
      </c>
      <c r="EDR1" s="221"/>
      <c r="EDS1" s="221"/>
      <c r="EDT1" s="222"/>
      <c r="EDU1" s="220" t="s">
        <v>13331</v>
      </c>
      <c r="EDV1" s="221"/>
      <c r="EDW1" s="221"/>
      <c r="EDX1" s="222"/>
      <c r="EDY1" s="220" t="s">
        <v>13331</v>
      </c>
      <c r="EDZ1" s="221"/>
      <c r="EEA1" s="221"/>
      <c r="EEB1" s="222"/>
      <c r="EEC1" s="220" t="s">
        <v>13331</v>
      </c>
      <c r="EED1" s="221"/>
      <c r="EEE1" s="221"/>
      <c r="EEF1" s="222"/>
      <c r="EEG1" s="220" t="s">
        <v>13331</v>
      </c>
      <c r="EEH1" s="221"/>
      <c r="EEI1" s="221"/>
      <c r="EEJ1" s="222"/>
      <c r="EEK1" s="220" t="s">
        <v>13331</v>
      </c>
      <c r="EEL1" s="221"/>
      <c r="EEM1" s="221"/>
      <c r="EEN1" s="222"/>
      <c r="EEO1" s="220" t="s">
        <v>13331</v>
      </c>
      <c r="EEP1" s="221"/>
      <c r="EEQ1" s="221"/>
      <c r="EER1" s="222"/>
      <c r="EES1" s="220" t="s">
        <v>13331</v>
      </c>
      <c r="EET1" s="221"/>
      <c r="EEU1" s="221"/>
      <c r="EEV1" s="222"/>
      <c r="EEW1" s="220" t="s">
        <v>13331</v>
      </c>
      <c r="EEX1" s="221"/>
      <c r="EEY1" s="221"/>
      <c r="EEZ1" s="222"/>
      <c r="EFA1" s="220" t="s">
        <v>13331</v>
      </c>
      <c r="EFB1" s="221"/>
      <c r="EFC1" s="221"/>
      <c r="EFD1" s="222"/>
      <c r="EFE1" s="220" t="s">
        <v>13331</v>
      </c>
      <c r="EFF1" s="221"/>
      <c r="EFG1" s="221"/>
      <c r="EFH1" s="222"/>
      <c r="EFI1" s="220" t="s">
        <v>13331</v>
      </c>
      <c r="EFJ1" s="221"/>
      <c r="EFK1" s="221"/>
      <c r="EFL1" s="222"/>
      <c r="EFM1" s="220" t="s">
        <v>13331</v>
      </c>
      <c r="EFN1" s="221"/>
      <c r="EFO1" s="221"/>
      <c r="EFP1" s="222"/>
      <c r="EFQ1" s="220" t="s">
        <v>13331</v>
      </c>
      <c r="EFR1" s="221"/>
      <c r="EFS1" s="221"/>
      <c r="EFT1" s="222"/>
      <c r="EFU1" s="220" t="s">
        <v>13331</v>
      </c>
      <c r="EFV1" s="221"/>
      <c r="EFW1" s="221"/>
      <c r="EFX1" s="222"/>
      <c r="EFY1" s="220" t="s">
        <v>13331</v>
      </c>
      <c r="EFZ1" s="221"/>
      <c r="EGA1" s="221"/>
      <c r="EGB1" s="222"/>
      <c r="EGC1" s="220" t="s">
        <v>13331</v>
      </c>
      <c r="EGD1" s="221"/>
      <c r="EGE1" s="221"/>
      <c r="EGF1" s="222"/>
      <c r="EGG1" s="220" t="s">
        <v>13331</v>
      </c>
      <c r="EGH1" s="221"/>
      <c r="EGI1" s="221"/>
      <c r="EGJ1" s="222"/>
      <c r="EGK1" s="220" t="s">
        <v>13331</v>
      </c>
      <c r="EGL1" s="221"/>
      <c r="EGM1" s="221"/>
      <c r="EGN1" s="222"/>
      <c r="EGO1" s="220" t="s">
        <v>13331</v>
      </c>
      <c r="EGP1" s="221"/>
      <c r="EGQ1" s="221"/>
      <c r="EGR1" s="222"/>
      <c r="EGS1" s="220" t="s">
        <v>13331</v>
      </c>
      <c r="EGT1" s="221"/>
      <c r="EGU1" s="221"/>
      <c r="EGV1" s="222"/>
      <c r="EGW1" s="220" t="s">
        <v>13331</v>
      </c>
      <c r="EGX1" s="221"/>
      <c r="EGY1" s="221"/>
      <c r="EGZ1" s="222"/>
      <c r="EHA1" s="220" t="s">
        <v>13331</v>
      </c>
      <c r="EHB1" s="221"/>
      <c r="EHC1" s="221"/>
      <c r="EHD1" s="222"/>
      <c r="EHE1" s="220" t="s">
        <v>13331</v>
      </c>
      <c r="EHF1" s="221"/>
      <c r="EHG1" s="221"/>
      <c r="EHH1" s="222"/>
      <c r="EHI1" s="220" t="s">
        <v>13331</v>
      </c>
      <c r="EHJ1" s="221"/>
      <c r="EHK1" s="221"/>
      <c r="EHL1" s="222"/>
      <c r="EHM1" s="220" t="s">
        <v>13331</v>
      </c>
      <c r="EHN1" s="221"/>
      <c r="EHO1" s="221"/>
      <c r="EHP1" s="222"/>
      <c r="EHQ1" s="220" t="s">
        <v>13331</v>
      </c>
      <c r="EHR1" s="221"/>
      <c r="EHS1" s="221"/>
      <c r="EHT1" s="222"/>
      <c r="EHU1" s="220" t="s">
        <v>13331</v>
      </c>
      <c r="EHV1" s="221"/>
      <c r="EHW1" s="221"/>
      <c r="EHX1" s="222"/>
      <c r="EHY1" s="220" t="s">
        <v>13331</v>
      </c>
      <c r="EHZ1" s="221"/>
      <c r="EIA1" s="221"/>
      <c r="EIB1" s="222"/>
      <c r="EIC1" s="220" t="s">
        <v>13331</v>
      </c>
      <c r="EID1" s="221"/>
      <c r="EIE1" s="221"/>
      <c r="EIF1" s="222"/>
      <c r="EIG1" s="220" t="s">
        <v>13331</v>
      </c>
      <c r="EIH1" s="221"/>
      <c r="EII1" s="221"/>
      <c r="EIJ1" s="222"/>
      <c r="EIK1" s="220" t="s">
        <v>13331</v>
      </c>
      <c r="EIL1" s="221"/>
      <c r="EIM1" s="221"/>
      <c r="EIN1" s="222"/>
      <c r="EIO1" s="220" t="s">
        <v>13331</v>
      </c>
      <c r="EIP1" s="221"/>
      <c r="EIQ1" s="221"/>
      <c r="EIR1" s="222"/>
      <c r="EIS1" s="220" t="s">
        <v>13331</v>
      </c>
      <c r="EIT1" s="221"/>
      <c r="EIU1" s="221"/>
      <c r="EIV1" s="222"/>
      <c r="EIW1" s="220" t="s">
        <v>13331</v>
      </c>
      <c r="EIX1" s="221"/>
      <c r="EIY1" s="221"/>
      <c r="EIZ1" s="222"/>
      <c r="EJA1" s="220" t="s">
        <v>13331</v>
      </c>
      <c r="EJB1" s="221"/>
      <c r="EJC1" s="221"/>
      <c r="EJD1" s="222"/>
      <c r="EJE1" s="220" t="s">
        <v>13331</v>
      </c>
      <c r="EJF1" s="221"/>
      <c r="EJG1" s="221"/>
      <c r="EJH1" s="222"/>
      <c r="EJI1" s="220" t="s">
        <v>13331</v>
      </c>
      <c r="EJJ1" s="221"/>
      <c r="EJK1" s="221"/>
      <c r="EJL1" s="222"/>
      <c r="EJM1" s="220" t="s">
        <v>13331</v>
      </c>
      <c r="EJN1" s="221"/>
      <c r="EJO1" s="221"/>
      <c r="EJP1" s="222"/>
      <c r="EJQ1" s="220" t="s">
        <v>13331</v>
      </c>
      <c r="EJR1" s="221"/>
      <c r="EJS1" s="221"/>
      <c r="EJT1" s="222"/>
      <c r="EJU1" s="220" t="s">
        <v>13331</v>
      </c>
      <c r="EJV1" s="221"/>
      <c r="EJW1" s="221"/>
      <c r="EJX1" s="222"/>
      <c r="EJY1" s="220" t="s">
        <v>13331</v>
      </c>
      <c r="EJZ1" s="221"/>
      <c r="EKA1" s="221"/>
      <c r="EKB1" s="222"/>
      <c r="EKC1" s="220" t="s">
        <v>13331</v>
      </c>
      <c r="EKD1" s="221"/>
      <c r="EKE1" s="221"/>
      <c r="EKF1" s="222"/>
      <c r="EKG1" s="220" t="s">
        <v>13331</v>
      </c>
      <c r="EKH1" s="221"/>
      <c r="EKI1" s="221"/>
      <c r="EKJ1" s="222"/>
      <c r="EKK1" s="220" t="s">
        <v>13331</v>
      </c>
      <c r="EKL1" s="221"/>
      <c r="EKM1" s="221"/>
      <c r="EKN1" s="222"/>
      <c r="EKO1" s="220" t="s">
        <v>13331</v>
      </c>
      <c r="EKP1" s="221"/>
      <c r="EKQ1" s="221"/>
      <c r="EKR1" s="222"/>
      <c r="EKS1" s="220" t="s">
        <v>13331</v>
      </c>
      <c r="EKT1" s="221"/>
      <c r="EKU1" s="221"/>
      <c r="EKV1" s="222"/>
      <c r="EKW1" s="220" t="s">
        <v>13331</v>
      </c>
      <c r="EKX1" s="221"/>
      <c r="EKY1" s="221"/>
      <c r="EKZ1" s="222"/>
      <c r="ELA1" s="220" t="s">
        <v>13331</v>
      </c>
      <c r="ELB1" s="221"/>
      <c r="ELC1" s="221"/>
      <c r="ELD1" s="222"/>
      <c r="ELE1" s="220" t="s">
        <v>13331</v>
      </c>
      <c r="ELF1" s="221"/>
      <c r="ELG1" s="221"/>
      <c r="ELH1" s="222"/>
      <c r="ELI1" s="220" t="s">
        <v>13331</v>
      </c>
      <c r="ELJ1" s="221"/>
      <c r="ELK1" s="221"/>
      <c r="ELL1" s="222"/>
      <c r="ELM1" s="220" t="s">
        <v>13331</v>
      </c>
      <c r="ELN1" s="221"/>
      <c r="ELO1" s="221"/>
      <c r="ELP1" s="222"/>
      <c r="ELQ1" s="220" t="s">
        <v>13331</v>
      </c>
      <c r="ELR1" s="221"/>
      <c r="ELS1" s="221"/>
      <c r="ELT1" s="222"/>
      <c r="ELU1" s="220" t="s">
        <v>13331</v>
      </c>
      <c r="ELV1" s="221"/>
      <c r="ELW1" s="221"/>
      <c r="ELX1" s="222"/>
      <c r="ELY1" s="220" t="s">
        <v>13331</v>
      </c>
      <c r="ELZ1" s="221"/>
      <c r="EMA1" s="221"/>
      <c r="EMB1" s="222"/>
      <c r="EMC1" s="220" t="s">
        <v>13331</v>
      </c>
      <c r="EMD1" s="221"/>
      <c r="EME1" s="221"/>
      <c r="EMF1" s="222"/>
      <c r="EMG1" s="220" t="s">
        <v>13331</v>
      </c>
      <c r="EMH1" s="221"/>
      <c r="EMI1" s="221"/>
      <c r="EMJ1" s="222"/>
      <c r="EMK1" s="220" t="s">
        <v>13331</v>
      </c>
      <c r="EML1" s="221"/>
      <c r="EMM1" s="221"/>
      <c r="EMN1" s="222"/>
      <c r="EMO1" s="220" t="s">
        <v>13331</v>
      </c>
      <c r="EMP1" s="221"/>
      <c r="EMQ1" s="221"/>
      <c r="EMR1" s="222"/>
      <c r="EMS1" s="220" t="s">
        <v>13331</v>
      </c>
      <c r="EMT1" s="221"/>
      <c r="EMU1" s="221"/>
      <c r="EMV1" s="222"/>
      <c r="EMW1" s="220" t="s">
        <v>13331</v>
      </c>
      <c r="EMX1" s="221"/>
      <c r="EMY1" s="221"/>
      <c r="EMZ1" s="222"/>
      <c r="ENA1" s="220" t="s">
        <v>13331</v>
      </c>
      <c r="ENB1" s="221"/>
      <c r="ENC1" s="221"/>
      <c r="END1" s="222"/>
      <c r="ENE1" s="220" t="s">
        <v>13331</v>
      </c>
      <c r="ENF1" s="221"/>
      <c r="ENG1" s="221"/>
      <c r="ENH1" s="222"/>
      <c r="ENI1" s="220" t="s">
        <v>13331</v>
      </c>
      <c r="ENJ1" s="221"/>
      <c r="ENK1" s="221"/>
      <c r="ENL1" s="222"/>
      <c r="ENM1" s="220" t="s">
        <v>13331</v>
      </c>
      <c r="ENN1" s="221"/>
      <c r="ENO1" s="221"/>
      <c r="ENP1" s="222"/>
      <c r="ENQ1" s="220" t="s">
        <v>13331</v>
      </c>
      <c r="ENR1" s="221"/>
      <c r="ENS1" s="221"/>
      <c r="ENT1" s="222"/>
      <c r="ENU1" s="220" t="s">
        <v>13331</v>
      </c>
      <c r="ENV1" s="221"/>
      <c r="ENW1" s="221"/>
      <c r="ENX1" s="222"/>
      <c r="ENY1" s="220" t="s">
        <v>13331</v>
      </c>
      <c r="ENZ1" s="221"/>
      <c r="EOA1" s="221"/>
      <c r="EOB1" s="222"/>
      <c r="EOC1" s="220" t="s">
        <v>13331</v>
      </c>
      <c r="EOD1" s="221"/>
      <c r="EOE1" s="221"/>
      <c r="EOF1" s="222"/>
      <c r="EOG1" s="220" t="s">
        <v>13331</v>
      </c>
      <c r="EOH1" s="221"/>
      <c r="EOI1" s="221"/>
      <c r="EOJ1" s="222"/>
      <c r="EOK1" s="220" t="s">
        <v>13331</v>
      </c>
      <c r="EOL1" s="221"/>
      <c r="EOM1" s="221"/>
      <c r="EON1" s="222"/>
      <c r="EOO1" s="220" t="s">
        <v>13331</v>
      </c>
      <c r="EOP1" s="221"/>
      <c r="EOQ1" s="221"/>
      <c r="EOR1" s="222"/>
      <c r="EOS1" s="220" t="s">
        <v>13331</v>
      </c>
      <c r="EOT1" s="221"/>
      <c r="EOU1" s="221"/>
      <c r="EOV1" s="222"/>
      <c r="EOW1" s="220" t="s">
        <v>13331</v>
      </c>
      <c r="EOX1" s="221"/>
      <c r="EOY1" s="221"/>
      <c r="EOZ1" s="222"/>
      <c r="EPA1" s="220" t="s">
        <v>13331</v>
      </c>
      <c r="EPB1" s="221"/>
      <c r="EPC1" s="221"/>
      <c r="EPD1" s="222"/>
      <c r="EPE1" s="220" t="s">
        <v>13331</v>
      </c>
      <c r="EPF1" s="221"/>
      <c r="EPG1" s="221"/>
      <c r="EPH1" s="222"/>
      <c r="EPI1" s="220" t="s">
        <v>13331</v>
      </c>
      <c r="EPJ1" s="221"/>
      <c r="EPK1" s="221"/>
      <c r="EPL1" s="222"/>
      <c r="EPM1" s="220" t="s">
        <v>13331</v>
      </c>
      <c r="EPN1" s="221"/>
      <c r="EPO1" s="221"/>
      <c r="EPP1" s="222"/>
      <c r="EPQ1" s="220" t="s">
        <v>13331</v>
      </c>
      <c r="EPR1" s="221"/>
      <c r="EPS1" s="221"/>
      <c r="EPT1" s="222"/>
      <c r="EPU1" s="220" t="s">
        <v>13331</v>
      </c>
      <c r="EPV1" s="221"/>
      <c r="EPW1" s="221"/>
      <c r="EPX1" s="222"/>
      <c r="EPY1" s="220" t="s">
        <v>13331</v>
      </c>
      <c r="EPZ1" s="221"/>
      <c r="EQA1" s="221"/>
      <c r="EQB1" s="222"/>
      <c r="EQC1" s="220" t="s">
        <v>13331</v>
      </c>
      <c r="EQD1" s="221"/>
      <c r="EQE1" s="221"/>
      <c r="EQF1" s="222"/>
      <c r="EQG1" s="220" t="s">
        <v>13331</v>
      </c>
      <c r="EQH1" s="221"/>
      <c r="EQI1" s="221"/>
      <c r="EQJ1" s="222"/>
      <c r="EQK1" s="220" t="s">
        <v>13331</v>
      </c>
      <c r="EQL1" s="221"/>
      <c r="EQM1" s="221"/>
      <c r="EQN1" s="222"/>
      <c r="EQO1" s="220" t="s">
        <v>13331</v>
      </c>
      <c r="EQP1" s="221"/>
      <c r="EQQ1" s="221"/>
      <c r="EQR1" s="222"/>
      <c r="EQS1" s="220" t="s">
        <v>13331</v>
      </c>
      <c r="EQT1" s="221"/>
      <c r="EQU1" s="221"/>
      <c r="EQV1" s="222"/>
      <c r="EQW1" s="220" t="s">
        <v>13331</v>
      </c>
      <c r="EQX1" s="221"/>
      <c r="EQY1" s="221"/>
      <c r="EQZ1" s="222"/>
      <c r="ERA1" s="220" t="s">
        <v>13331</v>
      </c>
      <c r="ERB1" s="221"/>
      <c r="ERC1" s="221"/>
      <c r="ERD1" s="222"/>
      <c r="ERE1" s="220" t="s">
        <v>13331</v>
      </c>
      <c r="ERF1" s="221"/>
      <c r="ERG1" s="221"/>
      <c r="ERH1" s="222"/>
      <c r="ERI1" s="220" t="s">
        <v>13331</v>
      </c>
      <c r="ERJ1" s="221"/>
      <c r="ERK1" s="221"/>
      <c r="ERL1" s="222"/>
      <c r="ERM1" s="220" t="s">
        <v>13331</v>
      </c>
      <c r="ERN1" s="221"/>
      <c r="ERO1" s="221"/>
      <c r="ERP1" s="222"/>
      <c r="ERQ1" s="220" t="s">
        <v>13331</v>
      </c>
      <c r="ERR1" s="221"/>
      <c r="ERS1" s="221"/>
      <c r="ERT1" s="222"/>
      <c r="ERU1" s="220" t="s">
        <v>13331</v>
      </c>
      <c r="ERV1" s="221"/>
      <c r="ERW1" s="221"/>
      <c r="ERX1" s="222"/>
      <c r="ERY1" s="220" t="s">
        <v>13331</v>
      </c>
      <c r="ERZ1" s="221"/>
      <c r="ESA1" s="221"/>
      <c r="ESB1" s="222"/>
      <c r="ESC1" s="220" t="s">
        <v>13331</v>
      </c>
      <c r="ESD1" s="221"/>
      <c r="ESE1" s="221"/>
      <c r="ESF1" s="222"/>
      <c r="ESG1" s="220" t="s">
        <v>13331</v>
      </c>
      <c r="ESH1" s="221"/>
      <c r="ESI1" s="221"/>
      <c r="ESJ1" s="222"/>
      <c r="ESK1" s="220" t="s">
        <v>13331</v>
      </c>
      <c r="ESL1" s="221"/>
      <c r="ESM1" s="221"/>
      <c r="ESN1" s="222"/>
      <c r="ESO1" s="220" t="s">
        <v>13331</v>
      </c>
      <c r="ESP1" s="221"/>
      <c r="ESQ1" s="221"/>
      <c r="ESR1" s="222"/>
      <c r="ESS1" s="220" t="s">
        <v>13331</v>
      </c>
      <c r="EST1" s="221"/>
      <c r="ESU1" s="221"/>
      <c r="ESV1" s="222"/>
      <c r="ESW1" s="220" t="s">
        <v>13331</v>
      </c>
      <c r="ESX1" s="221"/>
      <c r="ESY1" s="221"/>
      <c r="ESZ1" s="222"/>
      <c r="ETA1" s="220" t="s">
        <v>13331</v>
      </c>
      <c r="ETB1" s="221"/>
      <c r="ETC1" s="221"/>
      <c r="ETD1" s="222"/>
      <c r="ETE1" s="220" t="s">
        <v>13331</v>
      </c>
      <c r="ETF1" s="221"/>
      <c r="ETG1" s="221"/>
      <c r="ETH1" s="222"/>
      <c r="ETI1" s="220" t="s">
        <v>13331</v>
      </c>
      <c r="ETJ1" s="221"/>
      <c r="ETK1" s="221"/>
      <c r="ETL1" s="222"/>
      <c r="ETM1" s="220" t="s">
        <v>13331</v>
      </c>
      <c r="ETN1" s="221"/>
      <c r="ETO1" s="221"/>
      <c r="ETP1" s="222"/>
      <c r="ETQ1" s="220" t="s">
        <v>13331</v>
      </c>
      <c r="ETR1" s="221"/>
      <c r="ETS1" s="221"/>
      <c r="ETT1" s="222"/>
      <c r="ETU1" s="220" t="s">
        <v>13331</v>
      </c>
      <c r="ETV1" s="221"/>
      <c r="ETW1" s="221"/>
      <c r="ETX1" s="222"/>
      <c r="ETY1" s="220" t="s">
        <v>13331</v>
      </c>
      <c r="ETZ1" s="221"/>
      <c r="EUA1" s="221"/>
      <c r="EUB1" s="222"/>
      <c r="EUC1" s="220" t="s">
        <v>13331</v>
      </c>
      <c r="EUD1" s="221"/>
      <c r="EUE1" s="221"/>
      <c r="EUF1" s="222"/>
      <c r="EUG1" s="220" t="s">
        <v>13331</v>
      </c>
      <c r="EUH1" s="221"/>
      <c r="EUI1" s="221"/>
      <c r="EUJ1" s="222"/>
      <c r="EUK1" s="220" t="s">
        <v>13331</v>
      </c>
      <c r="EUL1" s="221"/>
      <c r="EUM1" s="221"/>
      <c r="EUN1" s="222"/>
      <c r="EUO1" s="220" t="s">
        <v>13331</v>
      </c>
      <c r="EUP1" s="221"/>
      <c r="EUQ1" s="221"/>
      <c r="EUR1" s="222"/>
      <c r="EUS1" s="220" t="s">
        <v>13331</v>
      </c>
      <c r="EUT1" s="221"/>
      <c r="EUU1" s="221"/>
      <c r="EUV1" s="222"/>
      <c r="EUW1" s="220" t="s">
        <v>13331</v>
      </c>
      <c r="EUX1" s="221"/>
      <c r="EUY1" s="221"/>
      <c r="EUZ1" s="222"/>
      <c r="EVA1" s="220" t="s">
        <v>13331</v>
      </c>
      <c r="EVB1" s="221"/>
      <c r="EVC1" s="221"/>
      <c r="EVD1" s="222"/>
      <c r="EVE1" s="220" t="s">
        <v>13331</v>
      </c>
      <c r="EVF1" s="221"/>
      <c r="EVG1" s="221"/>
      <c r="EVH1" s="222"/>
      <c r="EVI1" s="220" t="s">
        <v>13331</v>
      </c>
      <c r="EVJ1" s="221"/>
      <c r="EVK1" s="221"/>
      <c r="EVL1" s="222"/>
      <c r="EVM1" s="220" t="s">
        <v>13331</v>
      </c>
      <c r="EVN1" s="221"/>
      <c r="EVO1" s="221"/>
      <c r="EVP1" s="222"/>
      <c r="EVQ1" s="220" t="s">
        <v>13331</v>
      </c>
      <c r="EVR1" s="221"/>
      <c r="EVS1" s="221"/>
      <c r="EVT1" s="222"/>
      <c r="EVU1" s="220" t="s">
        <v>13331</v>
      </c>
      <c r="EVV1" s="221"/>
      <c r="EVW1" s="221"/>
      <c r="EVX1" s="222"/>
      <c r="EVY1" s="220" t="s">
        <v>13331</v>
      </c>
      <c r="EVZ1" s="221"/>
      <c r="EWA1" s="221"/>
      <c r="EWB1" s="222"/>
      <c r="EWC1" s="220" t="s">
        <v>13331</v>
      </c>
      <c r="EWD1" s="221"/>
      <c r="EWE1" s="221"/>
      <c r="EWF1" s="222"/>
      <c r="EWG1" s="220" t="s">
        <v>13331</v>
      </c>
      <c r="EWH1" s="221"/>
      <c r="EWI1" s="221"/>
      <c r="EWJ1" s="222"/>
      <c r="EWK1" s="220" t="s">
        <v>13331</v>
      </c>
      <c r="EWL1" s="221"/>
      <c r="EWM1" s="221"/>
      <c r="EWN1" s="222"/>
      <c r="EWO1" s="220" t="s">
        <v>13331</v>
      </c>
      <c r="EWP1" s="221"/>
      <c r="EWQ1" s="221"/>
      <c r="EWR1" s="222"/>
      <c r="EWS1" s="220" t="s">
        <v>13331</v>
      </c>
      <c r="EWT1" s="221"/>
      <c r="EWU1" s="221"/>
      <c r="EWV1" s="222"/>
      <c r="EWW1" s="220" t="s">
        <v>13331</v>
      </c>
      <c r="EWX1" s="221"/>
      <c r="EWY1" s="221"/>
      <c r="EWZ1" s="222"/>
      <c r="EXA1" s="220" t="s">
        <v>13331</v>
      </c>
      <c r="EXB1" s="221"/>
      <c r="EXC1" s="221"/>
      <c r="EXD1" s="222"/>
      <c r="EXE1" s="220" t="s">
        <v>13331</v>
      </c>
      <c r="EXF1" s="221"/>
      <c r="EXG1" s="221"/>
      <c r="EXH1" s="222"/>
      <c r="EXI1" s="220" t="s">
        <v>13331</v>
      </c>
      <c r="EXJ1" s="221"/>
      <c r="EXK1" s="221"/>
      <c r="EXL1" s="222"/>
      <c r="EXM1" s="220" t="s">
        <v>13331</v>
      </c>
      <c r="EXN1" s="221"/>
      <c r="EXO1" s="221"/>
      <c r="EXP1" s="222"/>
      <c r="EXQ1" s="220" t="s">
        <v>13331</v>
      </c>
      <c r="EXR1" s="221"/>
      <c r="EXS1" s="221"/>
      <c r="EXT1" s="222"/>
      <c r="EXU1" s="220" t="s">
        <v>13331</v>
      </c>
      <c r="EXV1" s="221"/>
      <c r="EXW1" s="221"/>
      <c r="EXX1" s="222"/>
      <c r="EXY1" s="220" t="s">
        <v>13331</v>
      </c>
      <c r="EXZ1" s="221"/>
      <c r="EYA1" s="221"/>
      <c r="EYB1" s="222"/>
      <c r="EYC1" s="220" t="s">
        <v>13331</v>
      </c>
      <c r="EYD1" s="221"/>
      <c r="EYE1" s="221"/>
      <c r="EYF1" s="222"/>
      <c r="EYG1" s="220" t="s">
        <v>13331</v>
      </c>
      <c r="EYH1" s="221"/>
      <c r="EYI1" s="221"/>
      <c r="EYJ1" s="222"/>
      <c r="EYK1" s="220" t="s">
        <v>13331</v>
      </c>
      <c r="EYL1" s="221"/>
      <c r="EYM1" s="221"/>
      <c r="EYN1" s="222"/>
      <c r="EYO1" s="220" t="s">
        <v>13331</v>
      </c>
      <c r="EYP1" s="221"/>
      <c r="EYQ1" s="221"/>
      <c r="EYR1" s="222"/>
      <c r="EYS1" s="220" t="s">
        <v>13331</v>
      </c>
      <c r="EYT1" s="221"/>
      <c r="EYU1" s="221"/>
      <c r="EYV1" s="222"/>
      <c r="EYW1" s="220" t="s">
        <v>13331</v>
      </c>
      <c r="EYX1" s="221"/>
      <c r="EYY1" s="221"/>
      <c r="EYZ1" s="222"/>
      <c r="EZA1" s="220" t="s">
        <v>13331</v>
      </c>
      <c r="EZB1" s="221"/>
      <c r="EZC1" s="221"/>
      <c r="EZD1" s="222"/>
      <c r="EZE1" s="220" t="s">
        <v>13331</v>
      </c>
      <c r="EZF1" s="221"/>
      <c r="EZG1" s="221"/>
      <c r="EZH1" s="222"/>
      <c r="EZI1" s="220" t="s">
        <v>13331</v>
      </c>
      <c r="EZJ1" s="221"/>
      <c r="EZK1" s="221"/>
      <c r="EZL1" s="222"/>
      <c r="EZM1" s="220" t="s">
        <v>13331</v>
      </c>
      <c r="EZN1" s="221"/>
      <c r="EZO1" s="221"/>
      <c r="EZP1" s="222"/>
      <c r="EZQ1" s="220" t="s">
        <v>13331</v>
      </c>
      <c r="EZR1" s="221"/>
      <c r="EZS1" s="221"/>
      <c r="EZT1" s="222"/>
      <c r="EZU1" s="220" t="s">
        <v>13331</v>
      </c>
      <c r="EZV1" s="221"/>
      <c r="EZW1" s="221"/>
      <c r="EZX1" s="222"/>
      <c r="EZY1" s="220" t="s">
        <v>13331</v>
      </c>
      <c r="EZZ1" s="221"/>
      <c r="FAA1" s="221"/>
      <c r="FAB1" s="222"/>
      <c r="FAC1" s="220" t="s">
        <v>13331</v>
      </c>
      <c r="FAD1" s="221"/>
      <c r="FAE1" s="221"/>
      <c r="FAF1" s="222"/>
      <c r="FAG1" s="220" t="s">
        <v>13331</v>
      </c>
      <c r="FAH1" s="221"/>
      <c r="FAI1" s="221"/>
      <c r="FAJ1" s="222"/>
      <c r="FAK1" s="220" t="s">
        <v>13331</v>
      </c>
      <c r="FAL1" s="221"/>
      <c r="FAM1" s="221"/>
      <c r="FAN1" s="222"/>
      <c r="FAO1" s="220" t="s">
        <v>13331</v>
      </c>
      <c r="FAP1" s="221"/>
      <c r="FAQ1" s="221"/>
      <c r="FAR1" s="222"/>
      <c r="FAS1" s="220" t="s">
        <v>13331</v>
      </c>
      <c r="FAT1" s="221"/>
      <c r="FAU1" s="221"/>
      <c r="FAV1" s="222"/>
      <c r="FAW1" s="220" t="s">
        <v>13331</v>
      </c>
      <c r="FAX1" s="221"/>
      <c r="FAY1" s="221"/>
      <c r="FAZ1" s="222"/>
      <c r="FBA1" s="220" t="s">
        <v>13331</v>
      </c>
      <c r="FBB1" s="221"/>
      <c r="FBC1" s="221"/>
      <c r="FBD1" s="222"/>
      <c r="FBE1" s="220" t="s">
        <v>13331</v>
      </c>
      <c r="FBF1" s="221"/>
      <c r="FBG1" s="221"/>
      <c r="FBH1" s="222"/>
      <c r="FBI1" s="220" t="s">
        <v>13331</v>
      </c>
      <c r="FBJ1" s="221"/>
      <c r="FBK1" s="221"/>
      <c r="FBL1" s="222"/>
      <c r="FBM1" s="220" t="s">
        <v>13331</v>
      </c>
      <c r="FBN1" s="221"/>
      <c r="FBO1" s="221"/>
      <c r="FBP1" s="222"/>
      <c r="FBQ1" s="220" t="s">
        <v>13331</v>
      </c>
      <c r="FBR1" s="221"/>
      <c r="FBS1" s="221"/>
      <c r="FBT1" s="222"/>
      <c r="FBU1" s="220" t="s">
        <v>13331</v>
      </c>
      <c r="FBV1" s="221"/>
      <c r="FBW1" s="221"/>
      <c r="FBX1" s="222"/>
      <c r="FBY1" s="220" t="s">
        <v>13331</v>
      </c>
      <c r="FBZ1" s="221"/>
      <c r="FCA1" s="221"/>
      <c r="FCB1" s="222"/>
      <c r="FCC1" s="220" t="s">
        <v>13331</v>
      </c>
      <c r="FCD1" s="221"/>
      <c r="FCE1" s="221"/>
      <c r="FCF1" s="222"/>
      <c r="FCG1" s="220" t="s">
        <v>13331</v>
      </c>
      <c r="FCH1" s="221"/>
      <c r="FCI1" s="221"/>
      <c r="FCJ1" s="222"/>
      <c r="FCK1" s="220" t="s">
        <v>13331</v>
      </c>
      <c r="FCL1" s="221"/>
      <c r="FCM1" s="221"/>
      <c r="FCN1" s="222"/>
      <c r="FCO1" s="220" t="s">
        <v>13331</v>
      </c>
      <c r="FCP1" s="221"/>
      <c r="FCQ1" s="221"/>
      <c r="FCR1" s="222"/>
      <c r="FCS1" s="220" t="s">
        <v>13331</v>
      </c>
      <c r="FCT1" s="221"/>
      <c r="FCU1" s="221"/>
      <c r="FCV1" s="222"/>
      <c r="FCW1" s="220" t="s">
        <v>13331</v>
      </c>
      <c r="FCX1" s="221"/>
      <c r="FCY1" s="221"/>
      <c r="FCZ1" s="222"/>
      <c r="FDA1" s="220" t="s">
        <v>13331</v>
      </c>
      <c r="FDB1" s="221"/>
      <c r="FDC1" s="221"/>
      <c r="FDD1" s="222"/>
      <c r="FDE1" s="220" t="s">
        <v>13331</v>
      </c>
      <c r="FDF1" s="221"/>
      <c r="FDG1" s="221"/>
      <c r="FDH1" s="222"/>
      <c r="FDI1" s="220" t="s">
        <v>13331</v>
      </c>
      <c r="FDJ1" s="221"/>
      <c r="FDK1" s="221"/>
      <c r="FDL1" s="222"/>
      <c r="FDM1" s="220" t="s">
        <v>13331</v>
      </c>
      <c r="FDN1" s="221"/>
      <c r="FDO1" s="221"/>
      <c r="FDP1" s="222"/>
      <c r="FDQ1" s="220" t="s">
        <v>13331</v>
      </c>
      <c r="FDR1" s="221"/>
      <c r="FDS1" s="221"/>
      <c r="FDT1" s="222"/>
      <c r="FDU1" s="220" t="s">
        <v>13331</v>
      </c>
      <c r="FDV1" s="221"/>
      <c r="FDW1" s="221"/>
      <c r="FDX1" s="222"/>
      <c r="FDY1" s="220" t="s">
        <v>13331</v>
      </c>
      <c r="FDZ1" s="221"/>
      <c r="FEA1" s="221"/>
      <c r="FEB1" s="222"/>
      <c r="FEC1" s="220" t="s">
        <v>13331</v>
      </c>
      <c r="FED1" s="221"/>
      <c r="FEE1" s="221"/>
      <c r="FEF1" s="222"/>
      <c r="FEG1" s="220" t="s">
        <v>13331</v>
      </c>
      <c r="FEH1" s="221"/>
      <c r="FEI1" s="221"/>
      <c r="FEJ1" s="222"/>
      <c r="FEK1" s="220" t="s">
        <v>13331</v>
      </c>
      <c r="FEL1" s="221"/>
      <c r="FEM1" s="221"/>
      <c r="FEN1" s="222"/>
      <c r="FEO1" s="220" t="s">
        <v>13331</v>
      </c>
      <c r="FEP1" s="221"/>
      <c r="FEQ1" s="221"/>
      <c r="FER1" s="222"/>
      <c r="FES1" s="220" t="s">
        <v>13331</v>
      </c>
      <c r="FET1" s="221"/>
      <c r="FEU1" s="221"/>
      <c r="FEV1" s="222"/>
      <c r="FEW1" s="220" t="s">
        <v>13331</v>
      </c>
      <c r="FEX1" s="221"/>
      <c r="FEY1" s="221"/>
      <c r="FEZ1" s="222"/>
      <c r="FFA1" s="220" t="s">
        <v>13331</v>
      </c>
      <c r="FFB1" s="221"/>
      <c r="FFC1" s="221"/>
      <c r="FFD1" s="222"/>
      <c r="FFE1" s="220" t="s">
        <v>13331</v>
      </c>
      <c r="FFF1" s="221"/>
      <c r="FFG1" s="221"/>
      <c r="FFH1" s="222"/>
      <c r="FFI1" s="220" t="s">
        <v>13331</v>
      </c>
      <c r="FFJ1" s="221"/>
      <c r="FFK1" s="221"/>
      <c r="FFL1" s="222"/>
      <c r="FFM1" s="220" t="s">
        <v>13331</v>
      </c>
      <c r="FFN1" s="221"/>
      <c r="FFO1" s="221"/>
      <c r="FFP1" s="222"/>
      <c r="FFQ1" s="220" t="s">
        <v>13331</v>
      </c>
      <c r="FFR1" s="221"/>
      <c r="FFS1" s="221"/>
      <c r="FFT1" s="222"/>
      <c r="FFU1" s="220" t="s">
        <v>13331</v>
      </c>
      <c r="FFV1" s="221"/>
      <c r="FFW1" s="221"/>
      <c r="FFX1" s="222"/>
      <c r="FFY1" s="220" t="s">
        <v>13331</v>
      </c>
      <c r="FFZ1" s="221"/>
      <c r="FGA1" s="221"/>
      <c r="FGB1" s="222"/>
      <c r="FGC1" s="220" t="s">
        <v>13331</v>
      </c>
      <c r="FGD1" s="221"/>
      <c r="FGE1" s="221"/>
      <c r="FGF1" s="222"/>
      <c r="FGG1" s="220" t="s">
        <v>13331</v>
      </c>
      <c r="FGH1" s="221"/>
      <c r="FGI1" s="221"/>
      <c r="FGJ1" s="222"/>
      <c r="FGK1" s="220" t="s">
        <v>13331</v>
      </c>
      <c r="FGL1" s="221"/>
      <c r="FGM1" s="221"/>
      <c r="FGN1" s="222"/>
      <c r="FGO1" s="220" t="s">
        <v>13331</v>
      </c>
      <c r="FGP1" s="221"/>
      <c r="FGQ1" s="221"/>
      <c r="FGR1" s="222"/>
      <c r="FGS1" s="220" t="s">
        <v>13331</v>
      </c>
      <c r="FGT1" s="221"/>
      <c r="FGU1" s="221"/>
      <c r="FGV1" s="222"/>
      <c r="FGW1" s="220" t="s">
        <v>13331</v>
      </c>
      <c r="FGX1" s="221"/>
      <c r="FGY1" s="221"/>
      <c r="FGZ1" s="222"/>
      <c r="FHA1" s="220" t="s">
        <v>13331</v>
      </c>
      <c r="FHB1" s="221"/>
      <c r="FHC1" s="221"/>
      <c r="FHD1" s="222"/>
      <c r="FHE1" s="220" t="s">
        <v>13331</v>
      </c>
      <c r="FHF1" s="221"/>
      <c r="FHG1" s="221"/>
      <c r="FHH1" s="222"/>
      <c r="FHI1" s="220" t="s">
        <v>13331</v>
      </c>
      <c r="FHJ1" s="221"/>
      <c r="FHK1" s="221"/>
      <c r="FHL1" s="222"/>
      <c r="FHM1" s="220" t="s">
        <v>13331</v>
      </c>
      <c r="FHN1" s="221"/>
      <c r="FHO1" s="221"/>
      <c r="FHP1" s="222"/>
      <c r="FHQ1" s="220" t="s">
        <v>13331</v>
      </c>
      <c r="FHR1" s="221"/>
      <c r="FHS1" s="221"/>
      <c r="FHT1" s="222"/>
      <c r="FHU1" s="220" t="s">
        <v>13331</v>
      </c>
      <c r="FHV1" s="221"/>
      <c r="FHW1" s="221"/>
      <c r="FHX1" s="222"/>
      <c r="FHY1" s="220" t="s">
        <v>13331</v>
      </c>
      <c r="FHZ1" s="221"/>
      <c r="FIA1" s="221"/>
      <c r="FIB1" s="222"/>
      <c r="FIC1" s="220" t="s">
        <v>13331</v>
      </c>
      <c r="FID1" s="221"/>
      <c r="FIE1" s="221"/>
      <c r="FIF1" s="222"/>
      <c r="FIG1" s="220" t="s">
        <v>13331</v>
      </c>
      <c r="FIH1" s="221"/>
      <c r="FII1" s="221"/>
      <c r="FIJ1" s="222"/>
      <c r="FIK1" s="220" t="s">
        <v>13331</v>
      </c>
      <c r="FIL1" s="221"/>
      <c r="FIM1" s="221"/>
      <c r="FIN1" s="222"/>
      <c r="FIO1" s="220" t="s">
        <v>13331</v>
      </c>
      <c r="FIP1" s="221"/>
      <c r="FIQ1" s="221"/>
      <c r="FIR1" s="222"/>
      <c r="FIS1" s="220" t="s">
        <v>13331</v>
      </c>
      <c r="FIT1" s="221"/>
      <c r="FIU1" s="221"/>
      <c r="FIV1" s="222"/>
      <c r="FIW1" s="220" t="s">
        <v>13331</v>
      </c>
      <c r="FIX1" s="221"/>
      <c r="FIY1" s="221"/>
      <c r="FIZ1" s="222"/>
      <c r="FJA1" s="220" t="s">
        <v>13331</v>
      </c>
      <c r="FJB1" s="221"/>
      <c r="FJC1" s="221"/>
      <c r="FJD1" s="222"/>
      <c r="FJE1" s="220" t="s">
        <v>13331</v>
      </c>
      <c r="FJF1" s="221"/>
      <c r="FJG1" s="221"/>
      <c r="FJH1" s="222"/>
      <c r="FJI1" s="220" t="s">
        <v>13331</v>
      </c>
      <c r="FJJ1" s="221"/>
      <c r="FJK1" s="221"/>
      <c r="FJL1" s="222"/>
      <c r="FJM1" s="220" t="s">
        <v>13331</v>
      </c>
      <c r="FJN1" s="221"/>
      <c r="FJO1" s="221"/>
      <c r="FJP1" s="222"/>
      <c r="FJQ1" s="220" t="s">
        <v>13331</v>
      </c>
      <c r="FJR1" s="221"/>
      <c r="FJS1" s="221"/>
      <c r="FJT1" s="222"/>
      <c r="FJU1" s="220" t="s">
        <v>13331</v>
      </c>
      <c r="FJV1" s="221"/>
      <c r="FJW1" s="221"/>
      <c r="FJX1" s="222"/>
      <c r="FJY1" s="220" t="s">
        <v>13331</v>
      </c>
      <c r="FJZ1" s="221"/>
      <c r="FKA1" s="221"/>
      <c r="FKB1" s="222"/>
      <c r="FKC1" s="220" t="s">
        <v>13331</v>
      </c>
      <c r="FKD1" s="221"/>
      <c r="FKE1" s="221"/>
      <c r="FKF1" s="222"/>
      <c r="FKG1" s="220" t="s">
        <v>13331</v>
      </c>
      <c r="FKH1" s="221"/>
      <c r="FKI1" s="221"/>
      <c r="FKJ1" s="222"/>
      <c r="FKK1" s="220" t="s">
        <v>13331</v>
      </c>
      <c r="FKL1" s="221"/>
      <c r="FKM1" s="221"/>
      <c r="FKN1" s="222"/>
      <c r="FKO1" s="220" t="s">
        <v>13331</v>
      </c>
      <c r="FKP1" s="221"/>
      <c r="FKQ1" s="221"/>
      <c r="FKR1" s="222"/>
      <c r="FKS1" s="220" t="s">
        <v>13331</v>
      </c>
      <c r="FKT1" s="221"/>
      <c r="FKU1" s="221"/>
      <c r="FKV1" s="222"/>
      <c r="FKW1" s="220" t="s">
        <v>13331</v>
      </c>
      <c r="FKX1" s="221"/>
      <c r="FKY1" s="221"/>
      <c r="FKZ1" s="222"/>
      <c r="FLA1" s="220" t="s">
        <v>13331</v>
      </c>
      <c r="FLB1" s="221"/>
      <c r="FLC1" s="221"/>
      <c r="FLD1" s="222"/>
      <c r="FLE1" s="220" t="s">
        <v>13331</v>
      </c>
      <c r="FLF1" s="221"/>
      <c r="FLG1" s="221"/>
      <c r="FLH1" s="222"/>
      <c r="FLI1" s="220" t="s">
        <v>13331</v>
      </c>
      <c r="FLJ1" s="221"/>
      <c r="FLK1" s="221"/>
      <c r="FLL1" s="222"/>
      <c r="FLM1" s="220" t="s">
        <v>13331</v>
      </c>
      <c r="FLN1" s="221"/>
      <c r="FLO1" s="221"/>
      <c r="FLP1" s="222"/>
      <c r="FLQ1" s="220" t="s">
        <v>13331</v>
      </c>
      <c r="FLR1" s="221"/>
      <c r="FLS1" s="221"/>
      <c r="FLT1" s="222"/>
      <c r="FLU1" s="220" t="s">
        <v>13331</v>
      </c>
      <c r="FLV1" s="221"/>
      <c r="FLW1" s="221"/>
      <c r="FLX1" s="222"/>
      <c r="FLY1" s="220" t="s">
        <v>13331</v>
      </c>
      <c r="FLZ1" s="221"/>
      <c r="FMA1" s="221"/>
      <c r="FMB1" s="222"/>
      <c r="FMC1" s="220" t="s">
        <v>13331</v>
      </c>
      <c r="FMD1" s="221"/>
      <c r="FME1" s="221"/>
      <c r="FMF1" s="222"/>
      <c r="FMG1" s="220" t="s">
        <v>13331</v>
      </c>
      <c r="FMH1" s="221"/>
      <c r="FMI1" s="221"/>
      <c r="FMJ1" s="222"/>
      <c r="FMK1" s="220" t="s">
        <v>13331</v>
      </c>
      <c r="FML1" s="221"/>
      <c r="FMM1" s="221"/>
      <c r="FMN1" s="222"/>
      <c r="FMO1" s="220" t="s">
        <v>13331</v>
      </c>
      <c r="FMP1" s="221"/>
      <c r="FMQ1" s="221"/>
      <c r="FMR1" s="222"/>
      <c r="FMS1" s="220" t="s">
        <v>13331</v>
      </c>
      <c r="FMT1" s="221"/>
      <c r="FMU1" s="221"/>
      <c r="FMV1" s="222"/>
      <c r="FMW1" s="220" t="s">
        <v>13331</v>
      </c>
      <c r="FMX1" s="221"/>
      <c r="FMY1" s="221"/>
      <c r="FMZ1" s="222"/>
      <c r="FNA1" s="220" t="s">
        <v>13331</v>
      </c>
      <c r="FNB1" s="221"/>
      <c r="FNC1" s="221"/>
      <c r="FND1" s="222"/>
      <c r="FNE1" s="220" t="s">
        <v>13331</v>
      </c>
      <c r="FNF1" s="221"/>
      <c r="FNG1" s="221"/>
      <c r="FNH1" s="222"/>
      <c r="FNI1" s="220" t="s">
        <v>13331</v>
      </c>
      <c r="FNJ1" s="221"/>
      <c r="FNK1" s="221"/>
      <c r="FNL1" s="222"/>
      <c r="FNM1" s="220" t="s">
        <v>13331</v>
      </c>
      <c r="FNN1" s="221"/>
      <c r="FNO1" s="221"/>
      <c r="FNP1" s="222"/>
      <c r="FNQ1" s="220" t="s">
        <v>13331</v>
      </c>
      <c r="FNR1" s="221"/>
      <c r="FNS1" s="221"/>
      <c r="FNT1" s="222"/>
      <c r="FNU1" s="220" t="s">
        <v>13331</v>
      </c>
      <c r="FNV1" s="221"/>
      <c r="FNW1" s="221"/>
      <c r="FNX1" s="222"/>
      <c r="FNY1" s="220" t="s">
        <v>13331</v>
      </c>
      <c r="FNZ1" s="221"/>
      <c r="FOA1" s="221"/>
      <c r="FOB1" s="222"/>
      <c r="FOC1" s="220" t="s">
        <v>13331</v>
      </c>
      <c r="FOD1" s="221"/>
      <c r="FOE1" s="221"/>
      <c r="FOF1" s="222"/>
      <c r="FOG1" s="220" t="s">
        <v>13331</v>
      </c>
      <c r="FOH1" s="221"/>
      <c r="FOI1" s="221"/>
      <c r="FOJ1" s="222"/>
      <c r="FOK1" s="220" t="s">
        <v>13331</v>
      </c>
      <c r="FOL1" s="221"/>
      <c r="FOM1" s="221"/>
      <c r="FON1" s="222"/>
      <c r="FOO1" s="220" t="s">
        <v>13331</v>
      </c>
      <c r="FOP1" s="221"/>
      <c r="FOQ1" s="221"/>
      <c r="FOR1" s="222"/>
      <c r="FOS1" s="220" t="s">
        <v>13331</v>
      </c>
      <c r="FOT1" s="221"/>
      <c r="FOU1" s="221"/>
      <c r="FOV1" s="222"/>
      <c r="FOW1" s="220" t="s">
        <v>13331</v>
      </c>
      <c r="FOX1" s="221"/>
      <c r="FOY1" s="221"/>
      <c r="FOZ1" s="222"/>
      <c r="FPA1" s="220" t="s">
        <v>13331</v>
      </c>
      <c r="FPB1" s="221"/>
      <c r="FPC1" s="221"/>
      <c r="FPD1" s="222"/>
      <c r="FPE1" s="220" t="s">
        <v>13331</v>
      </c>
      <c r="FPF1" s="221"/>
      <c r="FPG1" s="221"/>
      <c r="FPH1" s="222"/>
      <c r="FPI1" s="220" t="s">
        <v>13331</v>
      </c>
      <c r="FPJ1" s="221"/>
      <c r="FPK1" s="221"/>
      <c r="FPL1" s="222"/>
      <c r="FPM1" s="220" t="s">
        <v>13331</v>
      </c>
      <c r="FPN1" s="221"/>
      <c r="FPO1" s="221"/>
      <c r="FPP1" s="222"/>
      <c r="FPQ1" s="220" t="s">
        <v>13331</v>
      </c>
      <c r="FPR1" s="221"/>
      <c r="FPS1" s="221"/>
      <c r="FPT1" s="222"/>
      <c r="FPU1" s="220" t="s">
        <v>13331</v>
      </c>
      <c r="FPV1" s="221"/>
      <c r="FPW1" s="221"/>
      <c r="FPX1" s="222"/>
      <c r="FPY1" s="220" t="s">
        <v>13331</v>
      </c>
      <c r="FPZ1" s="221"/>
      <c r="FQA1" s="221"/>
      <c r="FQB1" s="222"/>
      <c r="FQC1" s="220" t="s">
        <v>13331</v>
      </c>
      <c r="FQD1" s="221"/>
      <c r="FQE1" s="221"/>
      <c r="FQF1" s="222"/>
      <c r="FQG1" s="220" t="s">
        <v>13331</v>
      </c>
      <c r="FQH1" s="221"/>
      <c r="FQI1" s="221"/>
      <c r="FQJ1" s="222"/>
      <c r="FQK1" s="220" t="s">
        <v>13331</v>
      </c>
      <c r="FQL1" s="221"/>
      <c r="FQM1" s="221"/>
      <c r="FQN1" s="222"/>
      <c r="FQO1" s="220" t="s">
        <v>13331</v>
      </c>
      <c r="FQP1" s="221"/>
      <c r="FQQ1" s="221"/>
      <c r="FQR1" s="222"/>
      <c r="FQS1" s="220" t="s">
        <v>13331</v>
      </c>
      <c r="FQT1" s="221"/>
      <c r="FQU1" s="221"/>
      <c r="FQV1" s="222"/>
      <c r="FQW1" s="220" t="s">
        <v>13331</v>
      </c>
      <c r="FQX1" s="221"/>
      <c r="FQY1" s="221"/>
      <c r="FQZ1" s="222"/>
      <c r="FRA1" s="220" t="s">
        <v>13331</v>
      </c>
      <c r="FRB1" s="221"/>
      <c r="FRC1" s="221"/>
      <c r="FRD1" s="222"/>
      <c r="FRE1" s="220" t="s">
        <v>13331</v>
      </c>
      <c r="FRF1" s="221"/>
      <c r="FRG1" s="221"/>
      <c r="FRH1" s="222"/>
      <c r="FRI1" s="220" t="s">
        <v>13331</v>
      </c>
      <c r="FRJ1" s="221"/>
      <c r="FRK1" s="221"/>
      <c r="FRL1" s="222"/>
      <c r="FRM1" s="220" t="s">
        <v>13331</v>
      </c>
      <c r="FRN1" s="221"/>
      <c r="FRO1" s="221"/>
      <c r="FRP1" s="222"/>
      <c r="FRQ1" s="220" t="s">
        <v>13331</v>
      </c>
      <c r="FRR1" s="221"/>
      <c r="FRS1" s="221"/>
      <c r="FRT1" s="222"/>
      <c r="FRU1" s="220" t="s">
        <v>13331</v>
      </c>
      <c r="FRV1" s="221"/>
      <c r="FRW1" s="221"/>
      <c r="FRX1" s="222"/>
      <c r="FRY1" s="220" t="s">
        <v>13331</v>
      </c>
      <c r="FRZ1" s="221"/>
      <c r="FSA1" s="221"/>
      <c r="FSB1" s="222"/>
      <c r="FSC1" s="220" t="s">
        <v>13331</v>
      </c>
      <c r="FSD1" s="221"/>
      <c r="FSE1" s="221"/>
      <c r="FSF1" s="222"/>
      <c r="FSG1" s="220" t="s">
        <v>13331</v>
      </c>
      <c r="FSH1" s="221"/>
      <c r="FSI1" s="221"/>
      <c r="FSJ1" s="222"/>
      <c r="FSK1" s="220" t="s">
        <v>13331</v>
      </c>
      <c r="FSL1" s="221"/>
      <c r="FSM1" s="221"/>
      <c r="FSN1" s="222"/>
      <c r="FSO1" s="220" t="s">
        <v>13331</v>
      </c>
      <c r="FSP1" s="221"/>
      <c r="FSQ1" s="221"/>
      <c r="FSR1" s="222"/>
      <c r="FSS1" s="220" t="s">
        <v>13331</v>
      </c>
      <c r="FST1" s="221"/>
      <c r="FSU1" s="221"/>
      <c r="FSV1" s="222"/>
      <c r="FSW1" s="220" t="s">
        <v>13331</v>
      </c>
      <c r="FSX1" s="221"/>
      <c r="FSY1" s="221"/>
      <c r="FSZ1" s="222"/>
      <c r="FTA1" s="220" t="s">
        <v>13331</v>
      </c>
      <c r="FTB1" s="221"/>
      <c r="FTC1" s="221"/>
      <c r="FTD1" s="222"/>
      <c r="FTE1" s="220" t="s">
        <v>13331</v>
      </c>
      <c r="FTF1" s="221"/>
      <c r="FTG1" s="221"/>
      <c r="FTH1" s="222"/>
      <c r="FTI1" s="220" t="s">
        <v>13331</v>
      </c>
      <c r="FTJ1" s="221"/>
      <c r="FTK1" s="221"/>
      <c r="FTL1" s="222"/>
      <c r="FTM1" s="220" t="s">
        <v>13331</v>
      </c>
      <c r="FTN1" s="221"/>
      <c r="FTO1" s="221"/>
      <c r="FTP1" s="222"/>
      <c r="FTQ1" s="220" t="s">
        <v>13331</v>
      </c>
      <c r="FTR1" s="221"/>
      <c r="FTS1" s="221"/>
      <c r="FTT1" s="222"/>
      <c r="FTU1" s="220" t="s">
        <v>13331</v>
      </c>
      <c r="FTV1" s="221"/>
      <c r="FTW1" s="221"/>
      <c r="FTX1" s="222"/>
      <c r="FTY1" s="220" t="s">
        <v>13331</v>
      </c>
      <c r="FTZ1" s="221"/>
      <c r="FUA1" s="221"/>
      <c r="FUB1" s="222"/>
      <c r="FUC1" s="220" t="s">
        <v>13331</v>
      </c>
      <c r="FUD1" s="221"/>
      <c r="FUE1" s="221"/>
      <c r="FUF1" s="222"/>
      <c r="FUG1" s="220" t="s">
        <v>13331</v>
      </c>
      <c r="FUH1" s="221"/>
      <c r="FUI1" s="221"/>
      <c r="FUJ1" s="222"/>
      <c r="FUK1" s="220" t="s">
        <v>13331</v>
      </c>
      <c r="FUL1" s="221"/>
      <c r="FUM1" s="221"/>
      <c r="FUN1" s="222"/>
      <c r="FUO1" s="220" t="s">
        <v>13331</v>
      </c>
      <c r="FUP1" s="221"/>
      <c r="FUQ1" s="221"/>
      <c r="FUR1" s="222"/>
      <c r="FUS1" s="220" t="s">
        <v>13331</v>
      </c>
      <c r="FUT1" s="221"/>
      <c r="FUU1" s="221"/>
      <c r="FUV1" s="222"/>
      <c r="FUW1" s="220" t="s">
        <v>13331</v>
      </c>
      <c r="FUX1" s="221"/>
      <c r="FUY1" s="221"/>
      <c r="FUZ1" s="222"/>
      <c r="FVA1" s="220" t="s">
        <v>13331</v>
      </c>
      <c r="FVB1" s="221"/>
      <c r="FVC1" s="221"/>
      <c r="FVD1" s="222"/>
      <c r="FVE1" s="220" t="s">
        <v>13331</v>
      </c>
      <c r="FVF1" s="221"/>
      <c r="FVG1" s="221"/>
      <c r="FVH1" s="222"/>
      <c r="FVI1" s="220" t="s">
        <v>13331</v>
      </c>
      <c r="FVJ1" s="221"/>
      <c r="FVK1" s="221"/>
      <c r="FVL1" s="222"/>
      <c r="FVM1" s="220" t="s">
        <v>13331</v>
      </c>
      <c r="FVN1" s="221"/>
      <c r="FVO1" s="221"/>
      <c r="FVP1" s="222"/>
      <c r="FVQ1" s="220" t="s">
        <v>13331</v>
      </c>
      <c r="FVR1" s="221"/>
      <c r="FVS1" s="221"/>
      <c r="FVT1" s="222"/>
      <c r="FVU1" s="220" t="s">
        <v>13331</v>
      </c>
      <c r="FVV1" s="221"/>
      <c r="FVW1" s="221"/>
      <c r="FVX1" s="222"/>
      <c r="FVY1" s="220" t="s">
        <v>13331</v>
      </c>
      <c r="FVZ1" s="221"/>
      <c r="FWA1" s="221"/>
      <c r="FWB1" s="222"/>
      <c r="FWC1" s="220" t="s">
        <v>13331</v>
      </c>
      <c r="FWD1" s="221"/>
      <c r="FWE1" s="221"/>
      <c r="FWF1" s="222"/>
      <c r="FWG1" s="220" t="s">
        <v>13331</v>
      </c>
      <c r="FWH1" s="221"/>
      <c r="FWI1" s="221"/>
      <c r="FWJ1" s="222"/>
      <c r="FWK1" s="220" t="s">
        <v>13331</v>
      </c>
      <c r="FWL1" s="221"/>
      <c r="FWM1" s="221"/>
      <c r="FWN1" s="222"/>
      <c r="FWO1" s="220" t="s">
        <v>13331</v>
      </c>
      <c r="FWP1" s="221"/>
      <c r="FWQ1" s="221"/>
      <c r="FWR1" s="222"/>
      <c r="FWS1" s="220" t="s">
        <v>13331</v>
      </c>
      <c r="FWT1" s="221"/>
      <c r="FWU1" s="221"/>
      <c r="FWV1" s="222"/>
      <c r="FWW1" s="220" t="s">
        <v>13331</v>
      </c>
      <c r="FWX1" s="221"/>
      <c r="FWY1" s="221"/>
      <c r="FWZ1" s="222"/>
      <c r="FXA1" s="220" t="s">
        <v>13331</v>
      </c>
      <c r="FXB1" s="221"/>
      <c r="FXC1" s="221"/>
      <c r="FXD1" s="222"/>
      <c r="FXE1" s="220" t="s">
        <v>13331</v>
      </c>
      <c r="FXF1" s="221"/>
      <c r="FXG1" s="221"/>
      <c r="FXH1" s="222"/>
      <c r="FXI1" s="220" t="s">
        <v>13331</v>
      </c>
      <c r="FXJ1" s="221"/>
      <c r="FXK1" s="221"/>
      <c r="FXL1" s="222"/>
      <c r="FXM1" s="220" t="s">
        <v>13331</v>
      </c>
      <c r="FXN1" s="221"/>
      <c r="FXO1" s="221"/>
      <c r="FXP1" s="222"/>
      <c r="FXQ1" s="220" t="s">
        <v>13331</v>
      </c>
      <c r="FXR1" s="221"/>
      <c r="FXS1" s="221"/>
      <c r="FXT1" s="222"/>
      <c r="FXU1" s="220" t="s">
        <v>13331</v>
      </c>
      <c r="FXV1" s="221"/>
      <c r="FXW1" s="221"/>
      <c r="FXX1" s="222"/>
      <c r="FXY1" s="220" t="s">
        <v>13331</v>
      </c>
      <c r="FXZ1" s="221"/>
      <c r="FYA1" s="221"/>
      <c r="FYB1" s="222"/>
      <c r="FYC1" s="220" t="s">
        <v>13331</v>
      </c>
      <c r="FYD1" s="221"/>
      <c r="FYE1" s="221"/>
      <c r="FYF1" s="222"/>
      <c r="FYG1" s="220" t="s">
        <v>13331</v>
      </c>
      <c r="FYH1" s="221"/>
      <c r="FYI1" s="221"/>
      <c r="FYJ1" s="222"/>
      <c r="FYK1" s="220" t="s">
        <v>13331</v>
      </c>
      <c r="FYL1" s="221"/>
      <c r="FYM1" s="221"/>
      <c r="FYN1" s="222"/>
      <c r="FYO1" s="220" t="s">
        <v>13331</v>
      </c>
      <c r="FYP1" s="221"/>
      <c r="FYQ1" s="221"/>
      <c r="FYR1" s="222"/>
      <c r="FYS1" s="220" t="s">
        <v>13331</v>
      </c>
      <c r="FYT1" s="221"/>
      <c r="FYU1" s="221"/>
      <c r="FYV1" s="222"/>
      <c r="FYW1" s="220" t="s">
        <v>13331</v>
      </c>
      <c r="FYX1" s="221"/>
      <c r="FYY1" s="221"/>
      <c r="FYZ1" s="222"/>
      <c r="FZA1" s="220" t="s">
        <v>13331</v>
      </c>
      <c r="FZB1" s="221"/>
      <c r="FZC1" s="221"/>
      <c r="FZD1" s="222"/>
      <c r="FZE1" s="220" t="s">
        <v>13331</v>
      </c>
      <c r="FZF1" s="221"/>
      <c r="FZG1" s="221"/>
      <c r="FZH1" s="222"/>
      <c r="FZI1" s="220" t="s">
        <v>13331</v>
      </c>
      <c r="FZJ1" s="221"/>
      <c r="FZK1" s="221"/>
      <c r="FZL1" s="222"/>
      <c r="FZM1" s="220" t="s">
        <v>13331</v>
      </c>
      <c r="FZN1" s="221"/>
      <c r="FZO1" s="221"/>
      <c r="FZP1" s="222"/>
      <c r="FZQ1" s="220" t="s">
        <v>13331</v>
      </c>
      <c r="FZR1" s="221"/>
      <c r="FZS1" s="221"/>
      <c r="FZT1" s="222"/>
      <c r="FZU1" s="220" t="s">
        <v>13331</v>
      </c>
      <c r="FZV1" s="221"/>
      <c r="FZW1" s="221"/>
      <c r="FZX1" s="222"/>
      <c r="FZY1" s="220" t="s">
        <v>13331</v>
      </c>
      <c r="FZZ1" s="221"/>
      <c r="GAA1" s="221"/>
      <c r="GAB1" s="222"/>
      <c r="GAC1" s="220" t="s">
        <v>13331</v>
      </c>
      <c r="GAD1" s="221"/>
      <c r="GAE1" s="221"/>
      <c r="GAF1" s="222"/>
      <c r="GAG1" s="220" t="s">
        <v>13331</v>
      </c>
      <c r="GAH1" s="221"/>
      <c r="GAI1" s="221"/>
      <c r="GAJ1" s="222"/>
      <c r="GAK1" s="220" t="s">
        <v>13331</v>
      </c>
      <c r="GAL1" s="221"/>
      <c r="GAM1" s="221"/>
      <c r="GAN1" s="222"/>
      <c r="GAO1" s="220" t="s">
        <v>13331</v>
      </c>
      <c r="GAP1" s="221"/>
      <c r="GAQ1" s="221"/>
      <c r="GAR1" s="222"/>
      <c r="GAS1" s="220" t="s">
        <v>13331</v>
      </c>
      <c r="GAT1" s="221"/>
      <c r="GAU1" s="221"/>
      <c r="GAV1" s="222"/>
      <c r="GAW1" s="220" t="s">
        <v>13331</v>
      </c>
      <c r="GAX1" s="221"/>
      <c r="GAY1" s="221"/>
      <c r="GAZ1" s="222"/>
      <c r="GBA1" s="220" t="s">
        <v>13331</v>
      </c>
      <c r="GBB1" s="221"/>
      <c r="GBC1" s="221"/>
      <c r="GBD1" s="222"/>
      <c r="GBE1" s="220" t="s">
        <v>13331</v>
      </c>
      <c r="GBF1" s="221"/>
      <c r="GBG1" s="221"/>
      <c r="GBH1" s="222"/>
      <c r="GBI1" s="220" t="s">
        <v>13331</v>
      </c>
      <c r="GBJ1" s="221"/>
      <c r="GBK1" s="221"/>
      <c r="GBL1" s="222"/>
      <c r="GBM1" s="220" t="s">
        <v>13331</v>
      </c>
      <c r="GBN1" s="221"/>
      <c r="GBO1" s="221"/>
      <c r="GBP1" s="222"/>
      <c r="GBQ1" s="220" t="s">
        <v>13331</v>
      </c>
      <c r="GBR1" s="221"/>
      <c r="GBS1" s="221"/>
      <c r="GBT1" s="222"/>
      <c r="GBU1" s="220" t="s">
        <v>13331</v>
      </c>
      <c r="GBV1" s="221"/>
      <c r="GBW1" s="221"/>
      <c r="GBX1" s="222"/>
      <c r="GBY1" s="220" t="s">
        <v>13331</v>
      </c>
      <c r="GBZ1" s="221"/>
      <c r="GCA1" s="221"/>
      <c r="GCB1" s="222"/>
      <c r="GCC1" s="220" t="s">
        <v>13331</v>
      </c>
      <c r="GCD1" s="221"/>
      <c r="GCE1" s="221"/>
      <c r="GCF1" s="222"/>
      <c r="GCG1" s="220" t="s">
        <v>13331</v>
      </c>
      <c r="GCH1" s="221"/>
      <c r="GCI1" s="221"/>
      <c r="GCJ1" s="222"/>
      <c r="GCK1" s="220" t="s">
        <v>13331</v>
      </c>
      <c r="GCL1" s="221"/>
      <c r="GCM1" s="221"/>
      <c r="GCN1" s="222"/>
      <c r="GCO1" s="220" t="s">
        <v>13331</v>
      </c>
      <c r="GCP1" s="221"/>
      <c r="GCQ1" s="221"/>
      <c r="GCR1" s="222"/>
      <c r="GCS1" s="220" t="s">
        <v>13331</v>
      </c>
      <c r="GCT1" s="221"/>
      <c r="GCU1" s="221"/>
      <c r="GCV1" s="222"/>
      <c r="GCW1" s="220" t="s">
        <v>13331</v>
      </c>
      <c r="GCX1" s="221"/>
      <c r="GCY1" s="221"/>
      <c r="GCZ1" s="222"/>
      <c r="GDA1" s="220" t="s">
        <v>13331</v>
      </c>
      <c r="GDB1" s="221"/>
      <c r="GDC1" s="221"/>
      <c r="GDD1" s="222"/>
      <c r="GDE1" s="220" t="s">
        <v>13331</v>
      </c>
      <c r="GDF1" s="221"/>
      <c r="GDG1" s="221"/>
      <c r="GDH1" s="222"/>
      <c r="GDI1" s="220" t="s">
        <v>13331</v>
      </c>
      <c r="GDJ1" s="221"/>
      <c r="GDK1" s="221"/>
      <c r="GDL1" s="222"/>
      <c r="GDM1" s="220" t="s">
        <v>13331</v>
      </c>
      <c r="GDN1" s="221"/>
      <c r="GDO1" s="221"/>
      <c r="GDP1" s="222"/>
      <c r="GDQ1" s="220" t="s">
        <v>13331</v>
      </c>
      <c r="GDR1" s="221"/>
      <c r="GDS1" s="221"/>
      <c r="GDT1" s="222"/>
      <c r="GDU1" s="220" t="s">
        <v>13331</v>
      </c>
      <c r="GDV1" s="221"/>
      <c r="GDW1" s="221"/>
      <c r="GDX1" s="222"/>
      <c r="GDY1" s="220" t="s">
        <v>13331</v>
      </c>
      <c r="GDZ1" s="221"/>
      <c r="GEA1" s="221"/>
      <c r="GEB1" s="222"/>
      <c r="GEC1" s="220" t="s">
        <v>13331</v>
      </c>
      <c r="GED1" s="221"/>
      <c r="GEE1" s="221"/>
      <c r="GEF1" s="222"/>
      <c r="GEG1" s="220" t="s">
        <v>13331</v>
      </c>
      <c r="GEH1" s="221"/>
      <c r="GEI1" s="221"/>
      <c r="GEJ1" s="222"/>
      <c r="GEK1" s="220" t="s">
        <v>13331</v>
      </c>
      <c r="GEL1" s="221"/>
      <c r="GEM1" s="221"/>
      <c r="GEN1" s="222"/>
      <c r="GEO1" s="220" t="s">
        <v>13331</v>
      </c>
      <c r="GEP1" s="221"/>
      <c r="GEQ1" s="221"/>
      <c r="GER1" s="222"/>
      <c r="GES1" s="220" t="s">
        <v>13331</v>
      </c>
      <c r="GET1" s="221"/>
      <c r="GEU1" s="221"/>
      <c r="GEV1" s="222"/>
      <c r="GEW1" s="220" t="s">
        <v>13331</v>
      </c>
      <c r="GEX1" s="221"/>
      <c r="GEY1" s="221"/>
      <c r="GEZ1" s="222"/>
      <c r="GFA1" s="220" t="s">
        <v>13331</v>
      </c>
      <c r="GFB1" s="221"/>
      <c r="GFC1" s="221"/>
      <c r="GFD1" s="222"/>
      <c r="GFE1" s="220" t="s">
        <v>13331</v>
      </c>
      <c r="GFF1" s="221"/>
      <c r="GFG1" s="221"/>
      <c r="GFH1" s="222"/>
      <c r="GFI1" s="220" t="s">
        <v>13331</v>
      </c>
      <c r="GFJ1" s="221"/>
      <c r="GFK1" s="221"/>
      <c r="GFL1" s="222"/>
      <c r="GFM1" s="220" t="s">
        <v>13331</v>
      </c>
      <c r="GFN1" s="221"/>
      <c r="GFO1" s="221"/>
      <c r="GFP1" s="222"/>
      <c r="GFQ1" s="220" t="s">
        <v>13331</v>
      </c>
      <c r="GFR1" s="221"/>
      <c r="GFS1" s="221"/>
      <c r="GFT1" s="222"/>
      <c r="GFU1" s="220" t="s">
        <v>13331</v>
      </c>
      <c r="GFV1" s="221"/>
      <c r="GFW1" s="221"/>
      <c r="GFX1" s="222"/>
      <c r="GFY1" s="220" t="s">
        <v>13331</v>
      </c>
      <c r="GFZ1" s="221"/>
      <c r="GGA1" s="221"/>
      <c r="GGB1" s="222"/>
      <c r="GGC1" s="220" t="s">
        <v>13331</v>
      </c>
      <c r="GGD1" s="221"/>
      <c r="GGE1" s="221"/>
      <c r="GGF1" s="222"/>
      <c r="GGG1" s="220" t="s">
        <v>13331</v>
      </c>
      <c r="GGH1" s="221"/>
      <c r="GGI1" s="221"/>
      <c r="GGJ1" s="222"/>
      <c r="GGK1" s="220" t="s">
        <v>13331</v>
      </c>
      <c r="GGL1" s="221"/>
      <c r="GGM1" s="221"/>
      <c r="GGN1" s="222"/>
      <c r="GGO1" s="220" t="s">
        <v>13331</v>
      </c>
      <c r="GGP1" s="221"/>
      <c r="GGQ1" s="221"/>
      <c r="GGR1" s="222"/>
      <c r="GGS1" s="220" t="s">
        <v>13331</v>
      </c>
      <c r="GGT1" s="221"/>
      <c r="GGU1" s="221"/>
      <c r="GGV1" s="222"/>
      <c r="GGW1" s="220" t="s">
        <v>13331</v>
      </c>
      <c r="GGX1" s="221"/>
      <c r="GGY1" s="221"/>
      <c r="GGZ1" s="222"/>
      <c r="GHA1" s="220" t="s">
        <v>13331</v>
      </c>
      <c r="GHB1" s="221"/>
      <c r="GHC1" s="221"/>
      <c r="GHD1" s="222"/>
      <c r="GHE1" s="220" t="s">
        <v>13331</v>
      </c>
      <c r="GHF1" s="221"/>
      <c r="GHG1" s="221"/>
      <c r="GHH1" s="222"/>
      <c r="GHI1" s="220" t="s">
        <v>13331</v>
      </c>
      <c r="GHJ1" s="221"/>
      <c r="GHK1" s="221"/>
      <c r="GHL1" s="222"/>
      <c r="GHM1" s="220" t="s">
        <v>13331</v>
      </c>
      <c r="GHN1" s="221"/>
      <c r="GHO1" s="221"/>
      <c r="GHP1" s="222"/>
      <c r="GHQ1" s="220" t="s">
        <v>13331</v>
      </c>
      <c r="GHR1" s="221"/>
      <c r="GHS1" s="221"/>
      <c r="GHT1" s="222"/>
      <c r="GHU1" s="220" t="s">
        <v>13331</v>
      </c>
      <c r="GHV1" s="221"/>
      <c r="GHW1" s="221"/>
      <c r="GHX1" s="222"/>
      <c r="GHY1" s="220" t="s">
        <v>13331</v>
      </c>
      <c r="GHZ1" s="221"/>
      <c r="GIA1" s="221"/>
      <c r="GIB1" s="222"/>
      <c r="GIC1" s="220" t="s">
        <v>13331</v>
      </c>
      <c r="GID1" s="221"/>
      <c r="GIE1" s="221"/>
      <c r="GIF1" s="222"/>
      <c r="GIG1" s="220" t="s">
        <v>13331</v>
      </c>
      <c r="GIH1" s="221"/>
      <c r="GII1" s="221"/>
      <c r="GIJ1" s="222"/>
      <c r="GIK1" s="220" t="s">
        <v>13331</v>
      </c>
      <c r="GIL1" s="221"/>
      <c r="GIM1" s="221"/>
      <c r="GIN1" s="222"/>
      <c r="GIO1" s="220" t="s">
        <v>13331</v>
      </c>
      <c r="GIP1" s="221"/>
      <c r="GIQ1" s="221"/>
      <c r="GIR1" s="222"/>
      <c r="GIS1" s="220" t="s">
        <v>13331</v>
      </c>
      <c r="GIT1" s="221"/>
      <c r="GIU1" s="221"/>
      <c r="GIV1" s="222"/>
      <c r="GIW1" s="220" t="s">
        <v>13331</v>
      </c>
      <c r="GIX1" s="221"/>
      <c r="GIY1" s="221"/>
      <c r="GIZ1" s="222"/>
      <c r="GJA1" s="220" t="s">
        <v>13331</v>
      </c>
      <c r="GJB1" s="221"/>
      <c r="GJC1" s="221"/>
      <c r="GJD1" s="222"/>
      <c r="GJE1" s="220" t="s">
        <v>13331</v>
      </c>
      <c r="GJF1" s="221"/>
      <c r="GJG1" s="221"/>
      <c r="GJH1" s="222"/>
      <c r="GJI1" s="220" t="s">
        <v>13331</v>
      </c>
      <c r="GJJ1" s="221"/>
      <c r="GJK1" s="221"/>
      <c r="GJL1" s="222"/>
      <c r="GJM1" s="220" t="s">
        <v>13331</v>
      </c>
      <c r="GJN1" s="221"/>
      <c r="GJO1" s="221"/>
      <c r="GJP1" s="222"/>
      <c r="GJQ1" s="220" t="s">
        <v>13331</v>
      </c>
      <c r="GJR1" s="221"/>
      <c r="GJS1" s="221"/>
      <c r="GJT1" s="222"/>
      <c r="GJU1" s="220" t="s">
        <v>13331</v>
      </c>
      <c r="GJV1" s="221"/>
      <c r="GJW1" s="221"/>
      <c r="GJX1" s="222"/>
      <c r="GJY1" s="220" t="s">
        <v>13331</v>
      </c>
      <c r="GJZ1" s="221"/>
      <c r="GKA1" s="221"/>
      <c r="GKB1" s="222"/>
      <c r="GKC1" s="220" t="s">
        <v>13331</v>
      </c>
      <c r="GKD1" s="221"/>
      <c r="GKE1" s="221"/>
      <c r="GKF1" s="222"/>
      <c r="GKG1" s="220" t="s">
        <v>13331</v>
      </c>
      <c r="GKH1" s="221"/>
      <c r="GKI1" s="221"/>
      <c r="GKJ1" s="222"/>
      <c r="GKK1" s="220" t="s">
        <v>13331</v>
      </c>
      <c r="GKL1" s="221"/>
      <c r="GKM1" s="221"/>
      <c r="GKN1" s="222"/>
      <c r="GKO1" s="220" t="s">
        <v>13331</v>
      </c>
      <c r="GKP1" s="221"/>
      <c r="GKQ1" s="221"/>
      <c r="GKR1" s="222"/>
      <c r="GKS1" s="220" t="s">
        <v>13331</v>
      </c>
      <c r="GKT1" s="221"/>
      <c r="GKU1" s="221"/>
      <c r="GKV1" s="222"/>
      <c r="GKW1" s="220" t="s">
        <v>13331</v>
      </c>
      <c r="GKX1" s="221"/>
      <c r="GKY1" s="221"/>
      <c r="GKZ1" s="222"/>
      <c r="GLA1" s="220" t="s">
        <v>13331</v>
      </c>
      <c r="GLB1" s="221"/>
      <c r="GLC1" s="221"/>
      <c r="GLD1" s="222"/>
      <c r="GLE1" s="220" t="s">
        <v>13331</v>
      </c>
      <c r="GLF1" s="221"/>
      <c r="GLG1" s="221"/>
      <c r="GLH1" s="222"/>
      <c r="GLI1" s="220" t="s">
        <v>13331</v>
      </c>
      <c r="GLJ1" s="221"/>
      <c r="GLK1" s="221"/>
      <c r="GLL1" s="222"/>
      <c r="GLM1" s="220" t="s">
        <v>13331</v>
      </c>
      <c r="GLN1" s="221"/>
      <c r="GLO1" s="221"/>
      <c r="GLP1" s="222"/>
      <c r="GLQ1" s="220" t="s">
        <v>13331</v>
      </c>
      <c r="GLR1" s="221"/>
      <c r="GLS1" s="221"/>
      <c r="GLT1" s="222"/>
      <c r="GLU1" s="220" t="s">
        <v>13331</v>
      </c>
      <c r="GLV1" s="221"/>
      <c r="GLW1" s="221"/>
      <c r="GLX1" s="222"/>
      <c r="GLY1" s="220" t="s">
        <v>13331</v>
      </c>
      <c r="GLZ1" s="221"/>
      <c r="GMA1" s="221"/>
      <c r="GMB1" s="222"/>
      <c r="GMC1" s="220" t="s">
        <v>13331</v>
      </c>
      <c r="GMD1" s="221"/>
      <c r="GME1" s="221"/>
      <c r="GMF1" s="222"/>
      <c r="GMG1" s="220" t="s">
        <v>13331</v>
      </c>
      <c r="GMH1" s="221"/>
      <c r="GMI1" s="221"/>
      <c r="GMJ1" s="222"/>
      <c r="GMK1" s="220" t="s">
        <v>13331</v>
      </c>
      <c r="GML1" s="221"/>
      <c r="GMM1" s="221"/>
      <c r="GMN1" s="222"/>
      <c r="GMO1" s="220" t="s">
        <v>13331</v>
      </c>
      <c r="GMP1" s="221"/>
      <c r="GMQ1" s="221"/>
      <c r="GMR1" s="222"/>
      <c r="GMS1" s="220" t="s">
        <v>13331</v>
      </c>
      <c r="GMT1" s="221"/>
      <c r="GMU1" s="221"/>
      <c r="GMV1" s="222"/>
      <c r="GMW1" s="220" t="s">
        <v>13331</v>
      </c>
      <c r="GMX1" s="221"/>
      <c r="GMY1" s="221"/>
      <c r="GMZ1" s="222"/>
      <c r="GNA1" s="220" t="s">
        <v>13331</v>
      </c>
      <c r="GNB1" s="221"/>
      <c r="GNC1" s="221"/>
      <c r="GND1" s="222"/>
      <c r="GNE1" s="220" t="s">
        <v>13331</v>
      </c>
      <c r="GNF1" s="221"/>
      <c r="GNG1" s="221"/>
      <c r="GNH1" s="222"/>
      <c r="GNI1" s="220" t="s">
        <v>13331</v>
      </c>
      <c r="GNJ1" s="221"/>
      <c r="GNK1" s="221"/>
      <c r="GNL1" s="222"/>
      <c r="GNM1" s="220" t="s">
        <v>13331</v>
      </c>
      <c r="GNN1" s="221"/>
      <c r="GNO1" s="221"/>
      <c r="GNP1" s="222"/>
      <c r="GNQ1" s="220" t="s">
        <v>13331</v>
      </c>
      <c r="GNR1" s="221"/>
      <c r="GNS1" s="221"/>
      <c r="GNT1" s="222"/>
      <c r="GNU1" s="220" t="s">
        <v>13331</v>
      </c>
      <c r="GNV1" s="221"/>
      <c r="GNW1" s="221"/>
      <c r="GNX1" s="222"/>
      <c r="GNY1" s="220" t="s">
        <v>13331</v>
      </c>
      <c r="GNZ1" s="221"/>
      <c r="GOA1" s="221"/>
      <c r="GOB1" s="222"/>
      <c r="GOC1" s="220" t="s">
        <v>13331</v>
      </c>
      <c r="GOD1" s="221"/>
      <c r="GOE1" s="221"/>
      <c r="GOF1" s="222"/>
      <c r="GOG1" s="220" t="s">
        <v>13331</v>
      </c>
      <c r="GOH1" s="221"/>
      <c r="GOI1" s="221"/>
      <c r="GOJ1" s="222"/>
      <c r="GOK1" s="220" t="s">
        <v>13331</v>
      </c>
      <c r="GOL1" s="221"/>
      <c r="GOM1" s="221"/>
      <c r="GON1" s="222"/>
      <c r="GOO1" s="220" t="s">
        <v>13331</v>
      </c>
      <c r="GOP1" s="221"/>
      <c r="GOQ1" s="221"/>
      <c r="GOR1" s="222"/>
      <c r="GOS1" s="220" t="s">
        <v>13331</v>
      </c>
      <c r="GOT1" s="221"/>
      <c r="GOU1" s="221"/>
      <c r="GOV1" s="222"/>
      <c r="GOW1" s="220" t="s">
        <v>13331</v>
      </c>
      <c r="GOX1" s="221"/>
      <c r="GOY1" s="221"/>
      <c r="GOZ1" s="222"/>
      <c r="GPA1" s="220" t="s">
        <v>13331</v>
      </c>
      <c r="GPB1" s="221"/>
      <c r="GPC1" s="221"/>
      <c r="GPD1" s="222"/>
      <c r="GPE1" s="220" t="s">
        <v>13331</v>
      </c>
      <c r="GPF1" s="221"/>
      <c r="GPG1" s="221"/>
      <c r="GPH1" s="222"/>
      <c r="GPI1" s="220" t="s">
        <v>13331</v>
      </c>
      <c r="GPJ1" s="221"/>
      <c r="GPK1" s="221"/>
      <c r="GPL1" s="222"/>
      <c r="GPM1" s="220" t="s">
        <v>13331</v>
      </c>
      <c r="GPN1" s="221"/>
      <c r="GPO1" s="221"/>
      <c r="GPP1" s="222"/>
      <c r="GPQ1" s="220" t="s">
        <v>13331</v>
      </c>
      <c r="GPR1" s="221"/>
      <c r="GPS1" s="221"/>
      <c r="GPT1" s="222"/>
      <c r="GPU1" s="220" t="s">
        <v>13331</v>
      </c>
      <c r="GPV1" s="221"/>
      <c r="GPW1" s="221"/>
      <c r="GPX1" s="222"/>
      <c r="GPY1" s="220" t="s">
        <v>13331</v>
      </c>
      <c r="GPZ1" s="221"/>
      <c r="GQA1" s="221"/>
      <c r="GQB1" s="222"/>
      <c r="GQC1" s="220" t="s">
        <v>13331</v>
      </c>
      <c r="GQD1" s="221"/>
      <c r="GQE1" s="221"/>
      <c r="GQF1" s="222"/>
      <c r="GQG1" s="220" t="s">
        <v>13331</v>
      </c>
      <c r="GQH1" s="221"/>
      <c r="GQI1" s="221"/>
      <c r="GQJ1" s="222"/>
      <c r="GQK1" s="220" t="s">
        <v>13331</v>
      </c>
      <c r="GQL1" s="221"/>
      <c r="GQM1" s="221"/>
      <c r="GQN1" s="222"/>
      <c r="GQO1" s="220" t="s">
        <v>13331</v>
      </c>
      <c r="GQP1" s="221"/>
      <c r="GQQ1" s="221"/>
      <c r="GQR1" s="222"/>
      <c r="GQS1" s="220" t="s">
        <v>13331</v>
      </c>
      <c r="GQT1" s="221"/>
      <c r="GQU1" s="221"/>
      <c r="GQV1" s="222"/>
      <c r="GQW1" s="220" t="s">
        <v>13331</v>
      </c>
      <c r="GQX1" s="221"/>
      <c r="GQY1" s="221"/>
      <c r="GQZ1" s="222"/>
      <c r="GRA1" s="220" t="s">
        <v>13331</v>
      </c>
      <c r="GRB1" s="221"/>
      <c r="GRC1" s="221"/>
      <c r="GRD1" s="222"/>
      <c r="GRE1" s="220" t="s">
        <v>13331</v>
      </c>
      <c r="GRF1" s="221"/>
      <c r="GRG1" s="221"/>
      <c r="GRH1" s="222"/>
      <c r="GRI1" s="220" t="s">
        <v>13331</v>
      </c>
      <c r="GRJ1" s="221"/>
      <c r="GRK1" s="221"/>
      <c r="GRL1" s="222"/>
      <c r="GRM1" s="220" t="s">
        <v>13331</v>
      </c>
      <c r="GRN1" s="221"/>
      <c r="GRO1" s="221"/>
      <c r="GRP1" s="222"/>
      <c r="GRQ1" s="220" t="s">
        <v>13331</v>
      </c>
      <c r="GRR1" s="221"/>
      <c r="GRS1" s="221"/>
      <c r="GRT1" s="222"/>
      <c r="GRU1" s="220" t="s">
        <v>13331</v>
      </c>
      <c r="GRV1" s="221"/>
      <c r="GRW1" s="221"/>
      <c r="GRX1" s="222"/>
      <c r="GRY1" s="220" t="s">
        <v>13331</v>
      </c>
      <c r="GRZ1" s="221"/>
      <c r="GSA1" s="221"/>
      <c r="GSB1" s="222"/>
      <c r="GSC1" s="220" t="s">
        <v>13331</v>
      </c>
      <c r="GSD1" s="221"/>
      <c r="GSE1" s="221"/>
      <c r="GSF1" s="222"/>
      <c r="GSG1" s="220" t="s">
        <v>13331</v>
      </c>
      <c r="GSH1" s="221"/>
      <c r="GSI1" s="221"/>
      <c r="GSJ1" s="222"/>
      <c r="GSK1" s="220" t="s">
        <v>13331</v>
      </c>
      <c r="GSL1" s="221"/>
      <c r="GSM1" s="221"/>
      <c r="GSN1" s="222"/>
      <c r="GSO1" s="220" t="s">
        <v>13331</v>
      </c>
      <c r="GSP1" s="221"/>
      <c r="GSQ1" s="221"/>
      <c r="GSR1" s="222"/>
      <c r="GSS1" s="220" t="s">
        <v>13331</v>
      </c>
      <c r="GST1" s="221"/>
      <c r="GSU1" s="221"/>
      <c r="GSV1" s="222"/>
      <c r="GSW1" s="220" t="s">
        <v>13331</v>
      </c>
      <c r="GSX1" s="221"/>
      <c r="GSY1" s="221"/>
      <c r="GSZ1" s="222"/>
      <c r="GTA1" s="220" t="s">
        <v>13331</v>
      </c>
      <c r="GTB1" s="221"/>
      <c r="GTC1" s="221"/>
      <c r="GTD1" s="222"/>
      <c r="GTE1" s="220" t="s">
        <v>13331</v>
      </c>
      <c r="GTF1" s="221"/>
      <c r="GTG1" s="221"/>
      <c r="GTH1" s="222"/>
      <c r="GTI1" s="220" t="s">
        <v>13331</v>
      </c>
      <c r="GTJ1" s="221"/>
      <c r="GTK1" s="221"/>
      <c r="GTL1" s="222"/>
      <c r="GTM1" s="220" t="s">
        <v>13331</v>
      </c>
      <c r="GTN1" s="221"/>
      <c r="GTO1" s="221"/>
      <c r="GTP1" s="222"/>
      <c r="GTQ1" s="220" t="s">
        <v>13331</v>
      </c>
      <c r="GTR1" s="221"/>
      <c r="GTS1" s="221"/>
      <c r="GTT1" s="222"/>
      <c r="GTU1" s="220" t="s">
        <v>13331</v>
      </c>
      <c r="GTV1" s="221"/>
      <c r="GTW1" s="221"/>
      <c r="GTX1" s="222"/>
      <c r="GTY1" s="220" t="s">
        <v>13331</v>
      </c>
      <c r="GTZ1" s="221"/>
      <c r="GUA1" s="221"/>
      <c r="GUB1" s="222"/>
      <c r="GUC1" s="220" t="s">
        <v>13331</v>
      </c>
      <c r="GUD1" s="221"/>
      <c r="GUE1" s="221"/>
      <c r="GUF1" s="222"/>
      <c r="GUG1" s="220" t="s">
        <v>13331</v>
      </c>
      <c r="GUH1" s="221"/>
      <c r="GUI1" s="221"/>
      <c r="GUJ1" s="222"/>
      <c r="GUK1" s="220" t="s">
        <v>13331</v>
      </c>
      <c r="GUL1" s="221"/>
      <c r="GUM1" s="221"/>
      <c r="GUN1" s="222"/>
      <c r="GUO1" s="220" t="s">
        <v>13331</v>
      </c>
      <c r="GUP1" s="221"/>
      <c r="GUQ1" s="221"/>
      <c r="GUR1" s="222"/>
      <c r="GUS1" s="220" t="s">
        <v>13331</v>
      </c>
      <c r="GUT1" s="221"/>
      <c r="GUU1" s="221"/>
      <c r="GUV1" s="222"/>
      <c r="GUW1" s="220" t="s">
        <v>13331</v>
      </c>
      <c r="GUX1" s="221"/>
      <c r="GUY1" s="221"/>
      <c r="GUZ1" s="222"/>
      <c r="GVA1" s="220" t="s">
        <v>13331</v>
      </c>
      <c r="GVB1" s="221"/>
      <c r="GVC1" s="221"/>
      <c r="GVD1" s="222"/>
      <c r="GVE1" s="220" t="s">
        <v>13331</v>
      </c>
      <c r="GVF1" s="221"/>
      <c r="GVG1" s="221"/>
      <c r="GVH1" s="222"/>
      <c r="GVI1" s="220" t="s">
        <v>13331</v>
      </c>
      <c r="GVJ1" s="221"/>
      <c r="GVK1" s="221"/>
      <c r="GVL1" s="222"/>
      <c r="GVM1" s="220" t="s">
        <v>13331</v>
      </c>
      <c r="GVN1" s="221"/>
      <c r="GVO1" s="221"/>
      <c r="GVP1" s="222"/>
      <c r="GVQ1" s="220" t="s">
        <v>13331</v>
      </c>
      <c r="GVR1" s="221"/>
      <c r="GVS1" s="221"/>
      <c r="GVT1" s="222"/>
      <c r="GVU1" s="220" t="s">
        <v>13331</v>
      </c>
      <c r="GVV1" s="221"/>
      <c r="GVW1" s="221"/>
      <c r="GVX1" s="222"/>
      <c r="GVY1" s="220" t="s">
        <v>13331</v>
      </c>
      <c r="GVZ1" s="221"/>
      <c r="GWA1" s="221"/>
      <c r="GWB1" s="222"/>
      <c r="GWC1" s="220" t="s">
        <v>13331</v>
      </c>
      <c r="GWD1" s="221"/>
      <c r="GWE1" s="221"/>
      <c r="GWF1" s="222"/>
      <c r="GWG1" s="220" t="s">
        <v>13331</v>
      </c>
      <c r="GWH1" s="221"/>
      <c r="GWI1" s="221"/>
      <c r="GWJ1" s="222"/>
      <c r="GWK1" s="220" t="s">
        <v>13331</v>
      </c>
      <c r="GWL1" s="221"/>
      <c r="GWM1" s="221"/>
      <c r="GWN1" s="222"/>
      <c r="GWO1" s="220" t="s">
        <v>13331</v>
      </c>
      <c r="GWP1" s="221"/>
      <c r="GWQ1" s="221"/>
      <c r="GWR1" s="222"/>
      <c r="GWS1" s="220" t="s">
        <v>13331</v>
      </c>
      <c r="GWT1" s="221"/>
      <c r="GWU1" s="221"/>
      <c r="GWV1" s="222"/>
      <c r="GWW1" s="220" t="s">
        <v>13331</v>
      </c>
      <c r="GWX1" s="221"/>
      <c r="GWY1" s="221"/>
      <c r="GWZ1" s="222"/>
      <c r="GXA1" s="220" t="s">
        <v>13331</v>
      </c>
      <c r="GXB1" s="221"/>
      <c r="GXC1" s="221"/>
      <c r="GXD1" s="222"/>
      <c r="GXE1" s="220" t="s">
        <v>13331</v>
      </c>
      <c r="GXF1" s="221"/>
      <c r="GXG1" s="221"/>
      <c r="GXH1" s="222"/>
      <c r="GXI1" s="220" t="s">
        <v>13331</v>
      </c>
      <c r="GXJ1" s="221"/>
      <c r="GXK1" s="221"/>
      <c r="GXL1" s="222"/>
      <c r="GXM1" s="220" t="s">
        <v>13331</v>
      </c>
      <c r="GXN1" s="221"/>
      <c r="GXO1" s="221"/>
      <c r="GXP1" s="222"/>
      <c r="GXQ1" s="220" t="s">
        <v>13331</v>
      </c>
      <c r="GXR1" s="221"/>
      <c r="GXS1" s="221"/>
      <c r="GXT1" s="222"/>
      <c r="GXU1" s="220" t="s">
        <v>13331</v>
      </c>
      <c r="GXV1" s="221"/>
      <c r="GXW1" s="221"/>
      <c r="GXX1" s="222"/>
      <c r="GXY1" s="220" t="s">
        <v>13331</v>
      </c>
      <c r="GXZ1" s="221"/>
      <c r="GYA1" s="221"/>
      <c r="GYB1" s="222"/>
      <c r="GYC1" s="220" t="s">
        <v>13331</v>
      </c>
      <c r="GYD1" s="221"/>
      <c r="GYE1" s="221"/>
      <c r="GYF1" s="222"/>
      <c r="GYG1" s="220" t="s">
        <v>13331</v>
      </c>
      <c r="GYH1" s="221"/>
      <c r="GYI1" s="221"/>
      <c r="GYJ1" s="222"/>
      <c r="GYK1" s="220" t="s">
        <v>13331</v>
      </c>
      <c r="GYL1" s="221"/>
      <c r="GYM1" s="221"/>
      <c r="GYN1" s="222"/>
      <c r="GYO1" s="220" t="s">
        <v>13331</v>
      </c>
      <c r="GYP1" s="221"/>
      <c r="GYQ1" s="221"/>
      <c r="GYR1" s="222"/>
      <c r="GYS1" s="220" t="s">
        <v>13331</v>
      </c>
      <c r="GYT1" s="221"/>
      <c r="GYU1" s="221"/>
      <c r="GYV1" s="222"/>
      <c r="GYW1" s="220" t="s">
        <v>13331</v>
      </c>
      <c r="GYX1" s="221"/>
      <c r="GYY1" s="221"/>
      <c r="GYZ1" s="222"/>
      <c r="GZA1" s="220" t="s">
        <v>13331</v>
      </c>
      <c r="GZB1" s="221"/>
      <c r="GZC1" s="221"/>
      <c r="GZD1" s="222"/>
      <c r="GZE1" s="220" t="s">
        <v>13331</v>
      </c>
      <c r="GZF1" s="221"/>
      <c r="GZG1" s="221"/>
      <c r="GZH1" s="222"/>
      <c r="GZI1" s="220" t="s">
        <v>13331</v>
      </c>
      <c r="GZJ1" s="221"/>
      <c r="GZK1" s="221"/>
      <c r="GZL1" s="222"/>
      <c r="GZM1" s="220" t="s">
        <v>13331</v>
      </c>
      <c r="GZN1" s="221"/>
      <c r="GZO1" s="221"/>
      <c r="GZP1" s="222"/>
      <c r="GZQ1" s="220" t="s">
        <v>13331</v>
      </c>
      <c r="GZR1" s="221"/>
      <c r="GZS1" s="221"/>
      <c r="GZT1" s="222"/>
      <c r="GZU1" s="220" t="s">
        <v>13331</v>
      </c>
      <c r="GZV1" s="221"/>
      <c r="GZW1" s="221"/>
      <c r="GZX1" s="222"/>
      <c r="GZY1" s="220" t="s">
        <v>13331</v>
      </c>
      <c r="GZZ1" s="221"/>
      <c r="HAA1" s="221"/>
      <c r="HAB1" s="222"/>
      <c r="HAC1" s="220" t="s">
        <v>13331</v>
      </c>
      <c r="HAD1" s="221"/>
      <c r="HAE1" s="221"/>
      <c r="HAF1" s="222"/>
      <c r="HAG1" s="220" t="s">
        <v>13331</v>
      </c>
      <c r="HAH1" s="221"/>
      <c r="HAI1" s="221"/>
      <c r="HAJ1" s="222"/>
      <c r="HAK1" s="220" t="s">
        <v>13331</v>
      </c>
      <c r="HAL1" s="221"/>
      <c r="HAM1" s="221"/>
      <c r="HAN1" s="222"/>
      <c r="HAO1" s="220" t="s">
        <v>13331</v>
      </c>
      <c r="HAP1" s="221"/>
      <c r="HAQ1" s="221"/>
      <c r="HAR1" s="222"/>
      <c r="HAS1" s="220" t="s">
        <v>13331</v>
      </c>
      <c r="HAT1" s="221"/>
      <c r="HAU1" s="221"/>
      <c r="HAV1" s="222"/>
      <c r="HAW1" s="220" t="s">
        <v>13331</v>
      </c>
      <c r="HAX1" s="221"/>
      <c r="HAY1" s="221"/>
      <c r="HAZ1" s="222"/>
      <c r="HBA1" s="220" t="s">
        <v>13331</v>
      </c>
      <c r="HBB1" s="221"/>
      <c r="HBC1" s="221"/>
      <c r="HBD1" s="222"/>
      <c r="HBE1" s="220" t="s">
        <v>13331</v>
      </c>
      <c r="HBF1" s="221"/>
      <c r="HBG1" s="221"/>
      <c r="HBH1" s="222"/>
      <c r="HBI1" s="220" t="s">
        <v>13331</v>
      </c>
      <c r="HBJ1" s="221"/>
      <c r="HBK1" s="221"/>
      <c r="HBL1" s="222"/>
      <c r="HBM1" s="220" t="s">
        <v>13331</v>
      </c>
      <c r="HBN1" s="221"/>
      <c r="HBO1" s="221"/>
      <c r="HBP1" s="222"/>
      <c r="HBQ1" s="220" t="s">
        <v>13331</v>
      </c>
      <c r="HBR1" s="221"/>
      <c r="HBS1" s="221"/>
      <c r="HBT1" s="222"/>
      <c r="HBU1" s="220" t="s">
        <v>13331</v>
      </c>
      <c r="HBV1" s="221"/>
      <c r="HBW1" s="221"/>
      <c r="HBX1" s="222"/>
      <c r="HBY1" s="220" t="s">
        <v>13331</v>
      </c>
      <c r="HBZ1" s="221"/>
      <c r="HCA1" s="221"/>
      <c r="HCB1" s="222"/>
      <c r="HCC1" s="220" t="s">
        <v>13331</v>
      </c>
      <c r="HCD1" s="221"/>
      <c r="HCE1" s="221"/>
      <c r="HCF1" s="222"/>
      <c r="HCG1" s="220" t="s">
        <v>13331</v>
      </c>
      <c r="HCH1" s="221"/>
      <c r="HCI1" s="221"/>
      <c r="HCJ1" s="222"/>
      <c r="HCK1" s="220" t="s">
        <v>13331</v>
      </c>
      <c r="HCL1" s="221"/>
      <c r="HCM1" s="221"/>
      <c r="HCN1" s="222"/>
      <c r="HCO1" s="220" t="s">
        <v>13331</v>
      </c>
      <c r="HCP1" s="221"/>
      <c r="HCQ1" s="221"/>
      <c r="HCR1" s="222"/>
      <c r="HCS1" s="220" t="s">
        <v>13331</v>
      </c>
      <c r="HCT1" s="221"/>
      <c r="HCU1" s="221"/>
      <c r="HCV1" s="222"/>
      <c r="HCW1" s="220" t="s">
        <v>13331</v>
      </c>
      <c r="HCX1" s="221"/>
      <c r="HCY1" s="221"/>
      <c r="HCZ1" s="222"/>
      <c r="HDA1" s="220" t="s">
        <v>13331</v>
      </c>
      <c r="HDB1" s="221"/>
      <c r="HDC1" s="221"/>
      <c r="HDD1" s="222"/>
      <c r="HDE1" s="220" t="s">
        <v>13331</v>
      </c>
      <c r="HDF1" s="221"/>
      <c r="HDG1" s="221"/>
      <c r="HDH1" s="222"/>
      <c r="HDI1" s="220" t="s">
        <v>13331</v>
      </c>
      <c r="HDJ1" s="221"/>
      <c r="HDK1" s="221"/>
      <c r="HDL1" s="222"/>
      <c r="HDM1" s="220" t="s">
        <v>13331</v>
      </c>
      <c r="HDN1" s="221"/>
      <c r="HDO1" s="221"/>
      <c r="HDP1" s="222"/>
      <c r="HDQ1" s="220" t="s">
        <v>13331</v>
      </c>
      <c r="HDR1" s="221"/>
      <c r="HDS1" s="221"/>
      <c r="HDT1" s="222"/>
      <c r="HDU1" s="220" t="s">
        <v>13331</v>
      </c>
      <c r="HDV1" s="221"/>
      <c r="HDW1" s="221"/>
      <c r="HDX1" s="222"/>
      <c r="HDY1" s="220" t="s">
        <v>13331</v>
      </c>
      <c r="HDZ1" s="221"/>
      <c r="HEA1" s="221"/>
      <c r="HEB1" s="222"/>
      <c r="HEC1" s="220" t="s">
        <v>13331</v>
      </c>
      <c r="HED1" s="221"/>
      <c r="HEE1" s="221"/>
      <c r="HEF1" s="222"/>
      <c r="HEG1" s="220" t="s">
        <v>13331</v>
      </c>
      <c r="HEH1" s="221"/>
      <c r="HEI1" s="221"/>
      <c r="HEJ1" s="222"/>
      <c r="HEK1" s="220" t="s">
        <v>13331</v>
      </c>
      <c r="HEL1" s="221"/>
      <c r="HEM1" s="221"/>
      <c r="HEN1" s="222"/>
      <c r="HEO1" s="220" t="s">
        <v>13331</v>
      </c>
      <c r="HEP1" s="221"/>
      <c r="HEQ1" s="221"/>
      <c r="HER1" s="222"/>
      <c r="HES1" s="220" t="s">
        <v>13331</v>
      </c>
      <c r="HET1" s="221"/>
      <c r="HEU1" s="221"/>
      <c r="HEV1" s="222"/>
      <c r="HEW1" s="220" t="s">
        <v>13331</v>
      </c>
      <c r="HEX1" s="221"/>
      <c r="HEY1" s="221"/>
      <c r="HEZ1" s="222"/>
      <c r="HFA1" s="220" t="s">
        <v>13331</v>
      </c>
      <c r="HFB1" s="221"/>
      <c r="HFC1" s="221"/>
      <c r="HFD1" s="222"/>
      <c r="HFE1" s="220" t="s">
        <v>13331</v>
      </c>
      <c r="HFF1" s="221"/>
      <c r="HFG1" s="221"/>
      <c r="HFH1" s="222"/>
      <c r="HFI1" s="220" t="s">
        <v>13331</v>
      </c>
      <c r="HFJ1" s="221"/>
      <c r="HFK1" s="221"/>
      <c r="HFL1" s="222"/>
      <c r="HFM1" s="220" t="s">
        <v>13331</v>
      </c>
      <c r="HFN1" s="221"/>
      <c r="HFO1" s="221"/>
      <c r="HFP1" s="222"/>
      <c r="HFQ1" s="220" t="s">
        <v>13331</v>
      </c>
      <c r="HFR1" s="221"/>
      <c r="HFS1" s="221"/>
      <c r="HFT1" s="222"/>
      <c r="HFU1" s="220" t="s">
        <v>13331</v>
      </c>
      <c r="HFV1" s="221"/>
      <c r="HFW1" s="221"/>
      <c r="HFX1" s="222"/>
      <c r="HFY1" s="220" t="s">
        <v>13331</v>
      </c>
      <c r="HFZ1" s="221"/>
      <c r="HGA1" s="221"/>
      <c r="HGB1" s="222"/>
      <c r="HGC1" s="220" t="s">
        <v>13331</v>
      </c>
      <c r="HGD1" s="221"/>
      <c r="HGE1" s="221"/>
      <c r="HGF1" s="222"/>
      <c r="HGG1" s="220" t="s">
        <v>13331</v>
      </c>
      <c r="HGH1" s="221"/>
      <c r="HGI1" s="221"/>
      <c r="HGJ1" s="222"/>
      <c r="HGK1" s="220" t="s">
        <v>13331</v>
      </c>
      <c r="HGL1" s="221"/>
      <c r="HGM1" s="221"/>
      <c r="HGN1" s="222"/>
      <c r="HGO1" s="220" t="s">
        <v>13331</v>
      </c>
      <c r="HGP1" s="221"/>
      <c r="HGQ1" s="221"/>
      <c r="HGR1" s="222"/>
      <c r="HGS1" s="220" t="s">
        <v>13331</v>
      </c>
      <c r="HGT1" s="221"/>
      <c r="HGU1" s="221"/>
      <c r="HGV1" s="222"/>
      <c r="HGW1" s="220" t="s">
        <v>13331</v>
      </c>
      <c r="HGX1" s="221"/>
      <c r="HGY1" s="221"/>
      <c r="HGZ1" s="222"/>
      <c r="HHA1" s="220" t="s">
        <v>13331</v>
      </c>
      <c r="HHB1" s="221"/>
      <c r="HHC1" s="221"/>
      <c r="HHD1" s="222"/>
      <c r="HHE1" s="220" t="s">
        <v>13331</v>
      </c>
      <c r="HHF1" s="221"/>
      <c r="HHG1" s="221"/>
      <c r="HHH1" s="222"/>
      <c r="HHI1" s="220" t="s">
        <v>13331</v>
      </c>
      <c r="HHJ1" s="221"/>
      <c r="HHK1" s="221"/>
      <c r="HHL1" s="222"/>
      <c r="HHM1" s="220" t="s">
        <v>13331</v>
      </c>
      <c r="HHN1" s="221"/>
      <c r="HHO1" s="221"/>
      <c r="HHP1" s="222"/>
      <c r="HHQ1" s="220" t="s">
        <v>13331</v>
      </c>
      <c r="HHR1" s="221"/>
      <c r="HHS1" s="221"/>
      <c r="HHT1" s="222"/>
      <c r="HHU1" s="220" t="s">
        <v>13331</v>
      </c>
      <c r="HHV1" s="221"/>
      <c r="HHW1" s="221"/>
      <c r="HHX1" s="222"/>
      <c r="HHY1" s="220" t="s">
        <v>13331</v>
      </c>
      <c r="HHZ1" s="221"/>
      <c r="HIA1" s="221"/>
      <c r="HIB1" s="222"/>
      <c r="HIC1" s="220" t="s">
        <v>13331</v>
      </c>
      <c r="HID1" s="221"/>
      <c r="HIE1" s="221"/>
      <c r="HIF1" s="222"/>
      <c r="HIG1" s="220" t="s">
        <v>13331</v>
      </c>
      <c r="HIH1" s="221"/>
      <c r="HII1" s="221"/>
      <c r="HIJ1" s="222"/>
      <c r="HIK1" s="220" t="s">
        <v>13331</v>
      </c>
      <c r="HIL1" s="221"/>
      <c r="HIM1" s="221"/>
      <c r="HIN1" s="222"/>
      <c r="HIO1" s="220" t="s">
        <v>13331</v>
      </c>
      <c r="HIP1" s="221"/>
      <c r="HIQ1" s="221"/>
      <c r="HIR1" s="222"/>
      <c r="HIS1" s="220" t="s">
        <v>13331</v>
      </c>
      <c r="HIT1" s="221"/>
      <c r="HIU1" s="221"/>
      <c r="HIV1" s="222"/>
      <c r="HIW1" s="220" t="s">
        <v>13331</v>
      </c>
      <c r="HIX1" s="221"/>
      <c r="HIY1" s="221"/>
      <c r="HIZ1" s="222"/>
      <c r="HJA1" s="220" t="s">
        <v>13331</v>
      </c>
      <c r="HJB1" s="221"/>
      <c r="HJC1" s="221"/>
      <c r="HJD1" s="222"/>
      <c r="HJE1" s="220" t="s">
        <v>13331</v>
      </c>
      <c r="HJF1" s="221"/>
      <c r="HJG1" s="221"/>
      <c r="HJH1" s="222"/>
      <c r="HJI1" s="220" t="s">
        <v>13331</v>
      </c>
      <c r="HJJ1" s="221"/>
      <c r="HJK1" s="221"/>
      <c r="HJL1" s="222"/>
      <c r="HJM1" s="220" t="s">
        <v>13331</v>
      </c>
      <c r="HJN1" s="221"/>
      <c r="HJO1" s="221"/>
      <c r="HJP1" s="222"/>
      <c r="HJQ1" s="220" t="s">
        <v>13331</v>
      </c>
      <c r="HJR1" s="221"/>
      <c r="HJS1" s="221"/>
      <c r="HJT1" s="222"/>
      <c r="HJU1" s="220" t="s">
        <v>13331</v>
      </c>
      <c r="HJV1" s="221"/>
      <c r="HJW1" s="221"/>
      <c r="HJX1" s="222"/>
      <c r="HJY1" s="220" t="s">
        <v>13331</v>
      </c>
      <c r="HJZ1" s="221"/>
      <c r="HKA1" s="221"/>
      <c r="HKB1" s="222"/>
      <c r="HKC1" s="220" t="s">
        <v>13331</v>
      </c>
      <c r="HKD1" s="221"/>
      <c r="HKE1" s="221"/>
      <c r="HKF1" s="222"/>
      <c r="HKG1" s="220" t="s">
        <v>13331</v>
      </c>
      <c r="HKH1" s="221"/>
      <c r="HKI1" s="221"/>
      <c r="HKJ1" s="222"/>
      <c r="HKK1" s="220" t="s">
        <v>13331</v>
      </c>
      <c r="HKL1" s="221"/>
      <c r="HKM1" s="221"/>
      <c r="HKN1" s="222"/>
      <c r="HKO1" s="220" t="s">
        <v>13331</v>
      </c>
      <c r="HKP1" s="221"/>
      <c r="HKQ1" s="221"/>
      <c r="HKR1" s="222"/>
      <c r="HKS1" s="220" t="s">
        <v>13331</v>
      </c>
      <c r="HKT1" s="221"/>
      <c r="HKU1" s="221"/>
      <c r="HKV1" s="222"/>
      <c r="HKW1" s="220" t="s">
        <v>13331</v>
      </c>
      <c r="HKX1" s="221"/>
      <c r="HKY1" s="221"/>
      <c r="HKZ1" s="222"/>
      <c r="HLA1" s="220" t="s">
        <v>13331</v>
      </c>
      <c r="HLB1" s="221"/>
      <c r="HLC1" s="221"/>
      <c r="HLD1" s="222"/>
      <c r="HLE1" s="220" t="s">
        <v>13331</v>
      </c>
      <c r="HLF1" s="221"/>
      <c r="HLG1" s="221"/>
      <c r="HLH1" s="222"/>
      <c r="HLI1" s="220" t="s">
        <v>13331</v>
      </c>
      <c r="HLJ1" s="221"/>
      <c r="HLK1" s="221"/>
      <c r="HLL1" s="222"/>
      <c r="HLM1" s="220" t="s">
        <v>13331</v>
      </c>
      <c r="HLN1" s="221"/>
      <c r="HLO1" s="221"/>
      <c r="HLP1" s="222"/>
      <c r="HLQ1" s="220" t="s">
        <v>13331</v>
      </c>
      <c r="HLR1" s="221"/>
      <c r="HLS1" s="221"/>
      <c r="HLT1" s="222"/>
      <c r="HLU1" s="220" t="s">
        <v>13331</v>
      </c>
      <c r="HLV1" s="221"/>
      <c r="HLW1" s="221"/>
      <c r="HLX1" s="222"/>
      <c r="HLY1" s="220" t="s">
        <v>13331</v>
      </c>
      <c r="HLZ1" s="221"/>
      <c r="HMA1" s="221"/>
      <c r="HMB1" s="222"/>
      <c r="HMC1" s="220" t="s">
        <v>13331</v>
      </c>
      <c r="HMD1" s="221"/>
      <c r="HME1" s="221"/>
      <c r="HMF1" s="222"/>
      <c r="HMG1" s="220" t="s">
        <v>13331</v>
      </c>
      <c r="HMH1" s="221"/>
      <c r="HMI1" s="221"/>
      <c r="HMJ1" s="222"/>
      <c r="HMK1" s="220" t="s">
        <v>13331</v>
      </c>
      <c r="HML1" s="221"/>
      <c r="HMM1" s="221"/>
      <c r="HMN1" s="222"/>
      <c r="HMO1" s="220" t="s">
        <v>13331</v>
      </c>
      <c r="HMP1" s="221"/>
      <c r="HMQ1" s="221"/>
      <c r="HMR1" s="222"/>
      <c r="HMS1" s="220" t="s">
        <v>13331</v>
      </c>
      <c r="HMT1" s="221"/>
      <c r="HMU1" s="221"/>
      <c r="HMV1" s="222"/>
      <c r="HMW1" s="220" t="s">
        <v>13331</v>
      </c>
      <c r="HMX1" s="221"/>
      <c r="HMY1" s="221"/>
      <c r="HMZ1" s="222"/>
      <c r="HNA1" s="220" t="s">
        <v>13331</v>
      </c>
      <c r="HNB1" s="221"/>
      <c r="HNC1" s="221"/>
      <c r="HND1" s="222"/>
      <c r="HNE1" s="220" t="s">
        <v>13331</v>
      </c>
      <c r="HNF1" s="221"/>
      <c r="HNG1" s="221"/>
      <c r="HNH1" s="222"/>
      <c r="HNI1" s="220" t="s">
        <v>13331</v>
      </c>
      <c r="HNJ1" s="221"/>
      <c r="HNK1" s="221"/>
      <c r="HNL1" s="222"/>
      <c r="HNM1" s="220" t="s">
        <v>13331</v>
      </c>
      <c r="HNN1" s="221"/>
      <c r="HNO1" s="221"/>
      <c r="HNP1" s="222"/>
      <c r="HNQ1" s="220" t="s">
        <v>13331</v>
      </c>
      <c r="HNR1" s="221"/>
      <c r="HNS1" s="221"/>
      <c r="HNT1" s="222"/>
      <c r="HNU1" s="220" t="s">
        <v>13331</v>
      </c>
      <c r="HNV1" s="221"/>
      <c r="HNW1" s="221"/>
      <c r="HNX1" s="222"/>
      <c r="HNY1" s="220" t="s">
        <v>13331</v>
      </c>
      <c r="HNZ1" s="221"/>
      <c r="HOA1" s="221"/>
      <c r="HOB1" s="222"/>
      <c r="HOC1" s="220" t="s">
        <v>13331</v>
      </c>
      <c r="HOD1" s="221"/>
      <c r="HOE1" s="221"/>
      <c r="HOF1" s="222"/>
      <c r="HOG1" s="220" t="s">
        <v>13331</v>
      </c>
      <c r="HOH1" s="221"/>
      <c r="HOI1" s="221"/>
      <c r="HOJ1" s="222"/>
      <c r="HOK1" s="220" t="s">
        <v>13331</v>
      </c>
      <c r="HOL1" s="221"/>
      <c r="HOM1" s="221"/>
      <c r="HON1" s="222"/>
      <c r="HOO1" s="220" t="s">
        <v>13331</v>
      </c>
      <c r="HOP1" s="221"/>
      <c r="HOQ1" s="221"/>
      <c r="HOR1" s="222"/>
      <c r="HOS1" s="220" t="s">
        <v>13331</v>
      </c>
      <c r="HOT1" s="221"/>
      <c r="HOU1" s="221"/>
      <c r="HOV1" s="222"/>
      <c r="HOW1" s="220" t="s">
        <v>13331</v>
      </c>
      <c r="HOX1" s="221"/>
      <c r="HOY1" s="221"/>
      <c r="HOZ1" s="222"/>
      <c r="HPA1" s="220" t="s">
        <v>13331</v>
      </c>
      <c r="HPB1" s="221"/>
      <c r="HPC1" s="221"/>
      <c r="HPD1" s="222"/>
      <c r="HPE1" s="220" t="s">
        <v>13331</v>
      </c>
      <c r="HPF1" s="221"/>
      <c r="HPG1" s="221"/>
      <c r="HPH1" s="222"/>
      <c r="HPI1" s="220" t="s">
        <v>13331</v>
      </c>
      <c r="HPJ1" s="221"/>
      <c r="HPK1" s="221"/>
      <c r="HPL1" s="222"/>
      <c r="HPM1" s="220" t="s">
        <v>13331</v>
      </c>
      <c r="HPN1" s="221"/>
      <c r="HPO1" s="221"/>
      <c r="HPP1" s="222"/>
      <c r="HPQ1" s="220" t="s">
        <v>13331</v>
      </c>
      <c r="HPR1" s="221"/>
      <c r="HPS1" s="221"/>
      <c r="HPT1" s="222"/>
      <c r="HPU1" s="220" t="s">
        <v>13331</v>
      </c>
      <c r="HPV1" s="221"/>
      <c r="HPW1" s="221"/>
      <c r="HPX1" s="222"/>
      <c r="HPY1" s="220" t="s">
        <v>13331</v>
      </c>
      <c r="HPZ1" s="221"/>
      <c r="HQA1" s="221"/>
      <c r="HQB1" s="222"/>
      <c r="HQC1" s="220" t="s">
        <v>13331</v>
      </c>
      <c r="HQD1" s="221"/>
      <c r="HQE1" s="221"/>
      <c r="HQF1" s="222"/>
      <c r="HQG1" s="220" t="s">
        <v>13331</v>
      </c>
      <c r="HQH1" s="221"/>
      <c r="HQI1" s="221"/>
      <c r="HQJ1" s="222"/>
      <c r="HQK1" s="220" t="s">
        <v>13331</v>
      </c>
      <c r="HQL1" s="221"/>
      <c r="HQM1" s="221"/>
      <c r="HQN1" s="222"/>
      <c r="HQO1" s="220" t="s">
        <v>13331</v>
      </c>
      <c r="HQP1" s="221"/>
      <c r="HQQ1" s="221"/>
      <c r="HQR1" s="222"/>
      <c r="HQS1" s="220" t="s">
        <v>13331</v>
      </c>
      <c r="HQT1" s="221"/>
      <c r="HQU1" s="221"/>
      <c r="HQV1" s="222"/>
      <c r="HQW1" s="220" t="s">
        <v>13331</v>
      </c>
      <c r="HQX1" s="221"/>
      <c r="HQY1" s="221"/>
      <c r="HQZ1" s="222"/>
      <c r="HRA1" s="220" t="s">
        <v>13331</v>
      </c>
      <c r="HRB1" s="221"/>
      <c r="HRC1" s="221"/>
      <c r="HRD1" s="222"/>
      <c r="HRE1" s="220" t="s">
        <v>13331</v>
      </c>
      <c r="HRF1" s="221"/>
      <c r="HRG1" s="221"/>
      <c r="HRH1" s="222"/>
      <c r="HRI1" s="220" t="s">
        <v>13331</v>
      </c>
      <c r="HRJ1" s="221"/>
      <c r="HRK1" s="221"/>
      <c r="HRL1" s="222"/>
      <c r="HRM1" s="220" t="s">
        <v>13331</v>
      </c>
      <c r="HRN1" s="221"/>
      <c r="HRO1" s="221"/>
      <c r="HRP1" s="222"/>
      <c r="HRQ1" s="220" t="s">
        <v>13331</v>
      </c>
      <c r="HRR1" s="221"/>
      <c r="HRS1" s="221"/>
      <c r="HRT1" s="222"/>
      <c r="HRU1" s="220" t="s">
        <v>13331</v>
      </c>
      <c r="HRV1" s="221"/>
      <c r="HRW1" s="221"/>
      <c r="HRX1" s="222"/>
      <c r="HRY1" s="220" t="s">
        <v>13331</v>
      </c>
      <c r="HRZ1" s="221"/>
      <c r="HSA1" s="221"/>
      <c r="HSB1" s="222"/>
      <c r="HSC1" s="220" t="s">
        <v>13331</v>
      </c>
      <c r="HSD1" s="221"/>
      <c r="HSE1" s="221"/>
      <c r="HSF1" s="222"/>
      <c r="HSG1" s="220" t="s">
        <v>13331</v>
      </c>
      <c r="HSH1" s="221"/>
      <c r="HSI1" s="221"/>
      <c r="HSJ1" s="222"/>
      <c r="HSK1" s="220" t="s">
        <v>13331</v>
      </c>
      <c r="HSL1" s="221"/>
      <c r="HSM1" s="221"/>
      <c r="HSN1" s="222"/>
      <c r="HSO1" s="220" t="s">
        <v>13331</v>
      </c>
      <c r="HSP1" s="221"/>
      <c r="HSQ1" s="221"/>
      <c r="HSR1" s="222"/>
      <c r="HSS1" s="220" t="s">
        <v>13331</v>
      </c>
      <c r="HST1" s="221"/>
      <c r="HSU1" s="221"/>
      <c r="HSV1" s="222"/>
      <c r="HSW1" s="220" t="s">
        <v>13331</v>
      </c>
      <c r="HSX1" s="221"/>
      <c r="HSY1" s="221"/>
      <c r="HSZ1" s="222"/>
      <c r="HTA1" s="220" t="s">
        <v>13331</v>
      </c>
      <c r="HTB1" s="221"/>
      <c r="HTC1" s="221"/>
      <c r="HTD1" s="222"/>
      <c r="HTE1" s="220" t="s">
        <v>13331</v>
      </c>
      <c r="HTF1" s="221"/>
      <c r="HTG1" s="221"/>
      <c r="HTH1" s="222"/>
      <c r="HTI1" s="220" t="s">
        <v>13331</v>
      </c>
      <c r="HTJ1" s="221"/>
      <c r="HTK1" s="221"/>
      <c r="HTL1" s="222"/>
      <c r="HTM1" s="220" t="s">
        <v>13331</v>
      </c>
      <c r="HTN1" s="221"/>
      <c r="HTO1" s="221"/>
      <c r="HTP1" s="222"/>
      <c r="HTQ1" s="220" t="s">
        <v>13331</v>
      </c>
      <c r="HTR1" s="221"/>
      <c r="HTS1" s="221"/>
      <c r="HTT1" s="222"/>
      <c r="HTU1" s="220" t="s">
        <v>13331</v>
      </c>
      <c r="HTV1" s="221"/>
      <c r="HTW1" s="221"/>
      <c r="HTX1" s="222"/>
      <c r="HTY1" s="220" t="s">
        <v>13331</v>
      </c>
      <c r="HTZ1" s="221"/>
      <c r="HUA1" s="221"/>
      <c r="HUB1" s="222"/>
      <c r="HUC1" s="220" t="s">
        <v>13331</v>
      </c>
      <c r="HUD1" s="221"/>
      <c r="HUE1" s="221"/>
      <c r="HUF1" s="222"/>
      <c r="HUG1" s="220" t="s">
        <v>13331</v>
      </c>
      <c r="HUH1" s="221"/>
      <c r="HUI1" s="221"/>
      <c r="HUJ1" s="222"/>
      <c r="HUK1" s="220" t="s">
        <v>13331</v>
      </c>
      <c r="HUL1" s="221"/>
      <c r="HUM1" s="221"/>
      <c r="HUN1" s="222"/>
      <c r="HUO1" s="220" t="s">
        <v>13331</v>
      </c>
      <c r="HUP1" s="221"/>
      <c r="HUQ1" s="221"/>
      <c r="HUR1" s="222"/>
      <c r="HUS1" s="220" t="s">
        <v>13331</v>
      </c>
      <c r="HUT1" s="221"/>
      <c r="HUU1" s="221"/>
      <c r="HUV1" s="222"/>
      <c r="HUW1" s="220" t="s">
        <v>13331</v>
      </c>
      <c r="HUX1" s="221"/>
      <c r="HUY1" s="221"/>
      <c r="HUZ1" s="222"/>
      <c r="HVA1" s="220" t="s">
        <v>13331</v>
      </c>
      <c r="HVB1" s="221"/>
      <c r="HVC1" s="221"/>
      <c r="HVD1" s="222"/>
      <c r="HVE1" s="220" t="s">
        <v>13331</v>
      </c>
      <c r="HVF1" s="221"/>
      <c r="HVG1" s="221"/>
      <c r="HVH1" s="222"/>
      <c r="HVI1" s="220" t="s">
        <v>13331</v>
      </c>
      <c r="HVJ1" s="221"/>
      <c r="HVK1" s="221"/>
      <c r="HVL1" s="222"/>
      <c r="HVM1" s="220" t="s">
        <v>13331</v>
      </c>
      <c r="HVN1" s="221"/>
      <c r="HVO1" s="221"/>
      <c r="HVP1" s="222"/>
      <c r="HVQ1" s="220" t="s">
        <v>13331</v>
      </c>
      <c r="HVR1" s="221"/>
      <c r="HVS1" s="221"/>
      <c r="HVT1" s="222"/>
      <c r="HVU1" s="220" t="s">
        <v>13331</v>
      </c>
      <c r="HVV1" s="221"/>
      <c r="HVW1" s="221"/>
      <c r="HVX1" s="222"/>
      <c r="HVY1" s="220" t="s">
        <v>13331</v>
      </c>
      <c r="HVZ1" s="221"/>
      <c r="HWA1" s="221"/>
      <c r="HWB1" s="222"/>
      <c r="HWC1" s="220" t="s">
        <v>13331</v>
      </c>
      <c r="HWD1" s="221"/>
      <c r="HWE1" s="221"/>
      <c r="HWF1" s="222"/>
      <c r="HWG1" s="220" t="s">
        <v>13331</v>
      </c>
      <c r="HWH1" s="221"/>
      <c r="HWI1" s="221"/>
      <c r="HWJ1" s="222"/>
      <c r="HWK1" s="220" t="s">
        <v>13331</v>
      </c>
      <c r="HWL1" s="221"/>
      <c r="HWM1" s="221"/>
      <c r="HWN1" s="222"/>
      <c r="HWO1" s="220" t="s">
        <v>13331</v>
      </c>
      <c r="HWP1" s="221"/>
      <c r="HWQ1" s="221"/>
      <c r="HWR1" s="222"/>
      <c r="HWS1" s="220" t="s">
        <v>13331</v>
      </c>
      <c r="HWT1" s="221"/>
      <c r="HWU1" s="221"/>
      <c r="HWV1" s="222"/>
      <c r="HWW1" s="220" t="s">
        <v>13331</v>
      </c>
      <c r="HWX1" s="221"/>
      <c r="HWY1" s="221"/>
      <c r="HWZ1" s="222"/>
      <c r="HXA1" s="220" t="s">
        <v>13331</v>
      </c>
      <c r="HXB1" s="221"/>
      <c r="HXC1" s="221"/>
      <c r="HXD1" s="222"/>
      <c r="HXE1" s="220" t="s">
        <v>13331</v>
      </c>
      <c r="HXF1" s="221"/>
      <c r="HXG1" s="221"/>
      <c r="HXH1" s="222"/>
      <c r="HXI1" s="220" t="s">
        <v>13331</v>
      </c>
      <c r="HXJ1" s="221"/>
      <c r="HXK1" s="221"/>
      <c r="HXL1" s="222"/>
      <c r="HXM1" s="220" t="s">
        <v>13331</v>
      </c>
      <c r="HXN1" s="221"/>
      <c r="HXO1" s="221"/>
      <c r="HXP1" s="222"/>
      <c r="HXQ1" s="220" t="s">
        <v>13331</v>
      </c>
      <c r="HXR1" s="221"/>
      <c r="HXS1" s="221"/>
      <c r="HXT1" s="222"/>
      <c r="HXU1" s="220" t="s">
        <v>13331</v>
      </c>
      <c r="HXV1" s="221"/>
      <c r="HXW1" s="221"/>
      <c r="HXX1" s="222"/>
      <c r="HXY1" s="220" t="s">
        <v>13331</v>
      </c>
      <c r="HXZ1" s="221"/>
      <c r="HYA1" s="221"/>
      <c r="HYB1" s="222"/>
      <c r="HYC1" s="220" t="s">
        <v>13331</v>
      </c>
      <c r="HYD1" s="221"/>
      <c r="HYE1" s="221"/>
      <c r="HYF1" s="222"/>
      <c r="HYG1" s="220" t="s">
        <v>13331</v>
      </c>
      <c r="HYH1" s="221"/>
      <c r="HYI1" s="221"/>
      <c r="HYJ1" s="222"/>
      <c r="HYK1" s="220" t="s">
        <v>13331</v>
      </c>
      <c r="HYL1" s="221"/>
      <c r="HYM1" s="221"/>
      <c r="HYN1" s="222"/>
      <c r="HYO1" s="220" t="s">
        <v>13331</v>
      </c>
      <c r="HYP1" s="221"/>
      <c r="HYQ1" s="221"/>
      <c r="HYR1" s="222"/>
      <c r="HYS1" s="220" t="s">
        <v>13331</v>
      </c>
      <c r="HYT1" s="221"/>
      <c r="HYU1" s="221"/>
      <c r="HYV1" s="222"/>
      <c r="HYW1" s="220" t="s">
        <v>13331</v>
      </c>
      <c r="HYX1" s="221"/>
      <c r="HYY1" s="221"/>
      <c r="HYZ1" s="222"/>
      <c r="HZA1" s="220" t="s">
        <v>13331</v>
      </c>
      <c r="HZB1" s="221"/>
      <c r="HZC1" s="221"/>
      <c r="HZD1" s="222"/>
      <c r="HZE1" s="220" t="s">
        <v>13331</v>
      </c>
      <c r="HZF1" s="221"/>
      <c r="HZG1" s="221"/>
      <c r="HZH1" s="222"/>
      <c r="HZI1" s="220" t="s">
        <v>13331</v>
      </c>
      <c r="HZJ1" s="221"/>
      <c r="HZK1" s="221"/>
      <c r="HZL1" s="222"/>
      <c r="HZM1" s="220" t="s">
        <v>13331</v>
      </c>
      <c r="HZN1" s="221"/>
      <c r="HZO1" s="221"/>
      <c r="HZP1" s="222"/>
      <c r="HZQ1" s="220" t="s">
        <v>13331</v>
      </c>
      <c r="HZR1" s="221"/>
      <c r="HZS1" s="221"/>
      <c r="HZT1" s="222"/>
      <c r="HZU1" s="220" t="s">
        <v>13331</v>
      </c>
      <c r="HZV1" s="221"/>
      <c r="HZW1" s="221"/>
      <c r="HZX1" s="222"/>
      <c r="HZY1" s="220" t="s">
        <v>13331</v>
      </c>
      <c r="HZZ1" s="221"/>
      <c r="IAA1" s="221"/>
      <c r="IAB1" s="222"/>
      <c r="IAC1" s="220" t="s">
        <v>13331</v>
      </c>
      <c r="IAD1" s="221"/>
      <c r="IAE1" s="221"/>
      <c r="IAF1" s="222"/>
      <c r="IAG1" s="220" t="s">
        <v>13331</v>
      </c>
      <c r="IAH1" s="221"/>
      <c r="IAI1" s="221"/>
      <c r="IAJ1" s="222"/>
      <c r="IAK1" s="220" t="s">
        <v>13331</v>
      </c>
      <c r="IAL1" s="221"/>
      <c r="IAM1" s="221"/>
      <c r="IAN1" s="222"/>
      <c r="IAO1" s="220" t="s">
        <v>13331</v>
      </c>
      <c r="IAP1" s="221"/>
      <c r="IAQ1" s="221"/>
      <c r="IAR1" s="222"/>
      <c r="IAS1" s="220" t="s">
        <v>13331</v>
      </c>
      <c r="IAT1" s="221"/>
      <c r="IAU1" s="221"/>
      <c r="IAV1" s="222"/>
      <c r="IAW1" s="220" t="s">
        <v>13331</v>
      </c>
      <c r="IAX1" s="221"/>
      <c r="IAY1" s="221"/>
      <c r="IAZ1" s="222"/>
      <c r="IBA1" s="220" t="s">
        <v>13331</v>
      </c>
      <c r="IBB1" s="221"/>
      <c r="IBC1" s="221"/>
      <c r="IBD1" s="222"/>
      <c r="IBE1" s="220" t="s">
        <v>13331</v>
      </c>
      <c r="IBF1" s="221"/>
      <c r="IBG1" s="221"/>
      <c r="IBH1" s="222"/>
      <c r="IBI1" s="220" t="s">
        <v>13331</v>
      </c>
      <c r="IBJ1" s="221"/>
      <c r="IBK1" s="221"/>
      <c r="IBL1" s="222"/>
      <c r="IBM1" s="220" t="s">
        <v>13331</v>
      </c>
      <c r="IBN1" s="221"/>
      <c r="IBO1" s="221"/>
      <c r="IBP1" s="222"/>
      <c r="IBQ1" s="220" t="s">
        <v>13331</v>
      </c>
      <c r="IBR1" s="221"/>
      <c r="IBS1" s="221"/>
      <c r="IBT1" s="222"/>
      <c r="IBU1" s="220" t="s">
        <v>13331</v>
      </c>
      <c r="IBV1" s="221"/>
      <c r="IBW1" s="221"/>
      <c r="IBX1" s="222"/>
      <c r="IBY1" s="220" t="s">
        <v>13331</v>
      </c>
      <c r="IBZ1" s="221"/>
      <c r="ICA1" s="221"/>
      <c r="ICB1" s="222"/>
      <c r="ICC1" s="220" t="s">
        <v>13331</v>
      </c>
      <c r="ICD1" s="221"/>
      <c r="ICE1" s="221"/>
      <c r="ICF1" s="222"/>
      <c r="ICG1" s="220" t="s">
        <v>13331</v>
      </c>
      <c r="ICH1" s="221"/>
      <c r="ICI1" s="221"/>
      <c r="ICJ1" s="222"/>
      <c r="ICK1" s="220" t="s">
        <v>13331</v>
      </c>
      <c r="ICL1" s="221"/>
      <c r="ICM1" s="221"/>
      <c r="ICN1" s="222"/>
      <c r="ICO1" s="220" t="s">
        <v>13331</v>
      </c>
      <c r="ICP1" s="221"/>
      <c r="ICQ1" s="221"/>
      <c r="ICR1" s="222"/>
      <c r="ICS1" s="220" t="s">
        <v>13331</v>
      </c>
      <c r="ICT1" s="221"/>
      <c r="ICU1" s="221"/>
      <c r="ICV1" s="222"/>
      <c r="ICW1" s="220" t="s">
        <v>13331</v>
      </c>
      <c r="ICX1" s="221"/>
      <c r="ICY1" s="221"/>
      <c r="ICZ1" s="222"/>
      <c r="IDA1" s="220" t="s">
        <v>13331</v>
      </c>
      <c r="IDB1" s="221"/>
      <c r="IDC1" s="221"/>
      <c r="IDD1" s="222"/>
      <c r="IDE1" s="220" t="s">
        <v>13331</v>
      </c>
      <c r="IDF1" s="221"/>
      <c r="IDG1" s="221"/>
      <c r="IDH1" s="222"/>
      <c r="IDI1" s="220" t="s">
        <v>13331</v>
      </c>
      <c r="IDJ1" s="221"/>
      <c r="IDK1" s="221"/>
      <c r="IDL1" s="222"/>
      <c r="IDM1" s="220" t="s">
        <v>13331</v>
      </c>
      <c r="IDN1" s="221"/>
      <c r="IDO1" s="221"/>
      <c r="IDP1" s="222"/>
      <c r="IDQ1" s="220" t="s">
        <v>13331</v>
      </c>
      <c r="IDR1" s="221"/>
      <c r="IDS1" s="221"/>
      <c r="IDT1" s="222"/>
      <c r="IDU1" s="220" t="s">
        <v>13331</v>
      </c>
      <c r="IDV1" s="221"/>
      <c r="IDW1" s="221"/>
      <c r="IDX1" s="222"/>
      <c r="IDY1" s="220" t="s">
        <v>13331</v>
      </c>
      <c r="IDZ1" s="221"/>
      <c r="IEA1" s="221"/>
      <c r="IEB1" s="222"/>
      <c r="IEC1" s="220" t="s">
        <v>13331</v>
      </c>
      <c r="IED1" s="221"/>
      <c r="IEE1" s="221"/>
      <c r="IEF1" s="222"/>
      <c r="IEG1" s="220" t="s">
        <v>13331</v>
      </c>
      <c r="IEH1" s="221"/>
      <c r="IEI1" s="221"/>
      <c r="IEJ1" s="222"/>
      <c r="IEK1" s="220" t="s">
        <v>13331</v>
      </c>
      <c r="IEL1" s="221"/>
      <c r="IEM1" s="221"/>
      <c r="IEN1" s="222"/>
      <c r="IEO1" s="220" t="s">
        <v>13331</v>
      </c>
      <c r="IEP1" s="221"/>
      <c r="IEQ1" s="221"/>
      <c r="IER1" s="222"/>
      <c r="IES1" s="220" t="s">
        <v>13331</v>
      </c>
      <c r="IET1" s="221"/>
      <c r="IEU1" s="221"/>
      <c r="IEV1" s="222"/>
      <c r="IEW1" s="220" t="s">
        <v>13331</v>
      </c>
      <c r="IEX1" s="221"/>
      <c r="IEY1" s="221"/>
      <c r="IEZ1" s="222"/>
      <c r="IFA1" s="220" t="s">
        <v>13331</v>
      </c>
      <c r="IFB1" s="221"/>
      <c r="IFC1" s="221"/>
      <c r="IFD1" s="222"/>
      <c r="IFE1" s="220" t="s">
        <v>13331</v>
      </c>
      <c r="IFF1" s="221"/>
      <c r="IFG1" s="221"/>
      <c r="IFH1" s="222"/>
      <c r="IFI1" s="220" t="s">
        <v>13331</v>
      </c>
      <c r="IFJ1" s="221"/>
      <c r="IFK1" s="221"/>
      <c r="IFL1" s="222"/>
      <c r="IFM1" s="220" t="s">
        <v>13331</v>
      </c>
      <c r="IFN1" s="221"/>
      <c r="IFO1" s="221"/>
      <c r="IFP1" s="222"/>
      <c r="IFQ1" s="220" t="s">
        <v>13331</v>
      </c>
      <c r="IFR1" s="221"/>
      <c r="IFS1" s="221"/>
      <c r="IFT1" s="222"/>
      <c r="IFU1" s="220" t="s">
        <v>13331</v>
      </c>
      <c r="IFV1" s="221"/>
      <c r="IFW1" s="221"/>
      <c r="IFX1" s="222"/>
      <c r="IFY1" s="220" t="s">
        <v>13331</v>
      </c>
      <c r="IFZ1" s="221"/>
      <c r="IGA1" s="221"/>
      <c r="IGB1" s="222"/>
      <c r="IGC1" s="220" t="s">
        <v>13331</v>
      </c>
      <c r="IGD1" s="221"/>
      <c r="IGE1" s="221"/>
      <c r="IGF1" s="222"/>
      <c r="IGG1" s="220" t="s">
        <v>13331</v>
      </c>
      <c r="IGH1" s="221"/>
      <c r="IGI1" s="221"/>
      <c r="IGJ1" s="222"/>
      <c r="IGK1" s="220" t="s">
        <v>13331</v>
      </c>
      <c r="IGL1" s="221"/>
      <c r="IGM1" s="221"/>
      <c r="IGN1" s="222"/>
      <c r="IGO1" s="220" t="s">
        <v>13331</v>
      </c>
      <c r="IGP1" s="221"/>
      <c r="IGQ1" s="221"/>
      <c r="IGR1" s="222"/>
      <c r="IGS1" s="220" t="s">
        <v>13331</v>
      </c>
      <c r="IGT1" s="221"/>
      <c r="IGU1" s="221"/>
      <c r="IGV1" s="222"/>
      <c r="IGW1" s="220" t="s">
        <v>13331</v>
      </c>
      <c r="IGX1" s="221"/>
      <c r="IGY1" s="221"/>
      <c r="IGZ1" s="222"/>
      <c r="IHA1" s="220" t="s">
        <v>13331</v>
      </c>
      <c r="IHB1" s="221"/>
      <c r="IHC1" s="221"/>
      <c r="IHD1" s="222"/>
      <c r="IHE1" s="220" t="s">
        <v>13331</v>
      </c>
      <c r="IHF1" s="221"/>
      <c r="IHG1" s="221"/>
      <c r="IHH1" s="222"/>
      <c r="IHI1" s="220" t="s">
        <v>13331</v>
      </c>
      <c r="IHJ1" s="221"/>
      <c r="IHK1" s="221"/>
      <c r="IHL1" s="222"/>
      <c r="IHM1" s="220" t="s">
        <v>13331</v>
      </c>
      <c r="IHN1" s="221"/>
      <c r="IHO1" s="221"/>
      <c r="IHP1" s="222"/>
      <c r="IHQ1" s="220" t="s">
        <v>13331</v>
      </c>
      <c r="IHR1" s="221"/>
      <c r="IHS1" s="221"/>
      <c r="IHT1" s="222"/>
      <c r="IHU1" s="220" t="s">
        <v>13331</v>
      </c>
      <c r="IHV1" s="221"/>
      <c r="IHW1" s="221"/>
      <c r="IHX1" s="222"/>
      <c r="IHY1" s="220" t="s">
        <v>13331</v>
      </c>
      <c r="IHZ1" s="221"/>
      <c r="IIA1" s="221"/>
      <c r="IIB1" s="222"/>
      <c r="IIC1" s="220" t="s">
        <v>13331</v>
      </c>
      <c r="IID1" s="221"/>
      <c r="IIE1" s="221"/>
      <c r="IIF1" s="222"/>
      <c r="IIG1" s="220" t="s">
        <v>13331</v>
      </c>
      <c r="IIH1" s="221"/>
      <c r="III1" s="221"/>
      <c r="IIJ1" s="222"/>
      <c r="IIK1" s="220" t="s">
        <v>13331</v>
      </c>
      <c r="IIL1" s="221"/>
      <c r="IIM1" s="221"/>
      <c r="IIN1" s="222"/>
      <c r="IIO1" s="220" t="s">
        <v>13331</v>
      </c>
      <c r="IIP1" s="221"/>
      <c r="IIQ1" s="221"/>
      <c r="IIR1" s="222"/>
      <c r="IIS1" s="220" t="s">
        <v>13331</v>
      </c>
      <c r="IIT1" s="221"/>
      <c r="IIU1" s="221"/>
      <c r="IIV1" s="222"/>
      <c r="IIW1" s="220" t="s">
        <v>13331</v>
      </c>
      <c r="IIX1" s="221"/>
      <c r="IIY1" s="221"/>
      <c r="IIZ1" s="222"/>
      <c r="IJA1" s="220" t="s">
        <v>13331</v>
      </c>
      <c r="IJB1" s="221"/>
      <c r="IJC1" s="221"/>
      <c r="IJD1" s="222"/>
      <c r="IJE1" s="220" t="s">
        <v>13331</v>
      </c>
      <c r="IJF1" s="221"/>
      <c r="IJG1" s="221"/>
      <c r="IJH1" s="222"/>
      <c r="IJI1" s="220" t="s">
        <v>13331</v>
      </c>
      <c r="IJJ1" s="221"/>
      <c r="IJK1" s="221"/>
      <c r="IJL1" s="222"/>
      <c r="IJM1" s="220" t="s">
        <v>13331</v>
      </c>
      <c r="IJN1" s="221"/>
      <c r="IJO1" s="221"/>
      <c r="IJP1" s="222"/>
      <c r="IJQ1" s="220" t="s">
        <v>13331</v>
      </c>
      <c r="IJR1" s="221"/>
      <c r="IJS1" s="221"/>
      <c r="IJT1" s="222"/>
      <c r="IJU1" s="220" t="s">
        <v>13331</v>
      </c>
      <c r="IJV1" s="221"/>
      <c r="IJW1" s="221"/>
      <c r="IJX1" s="222"/>
      <c r="IJY1" s="220" t="s">
        <v>13331</v>
      </c>
      <c r="IJZ1" s="221"/>
      <c r="IKA1" s="221"/>
      <c r="IKB1" s="222"/>
      <c r="IKC1" s="220" t="s">
        <v>13331</v>
      </c>
      <c r="IKD1" s="221"/>
      <c r="IKE1" s="221"/>
      <c r="IKF1" s="222"/>
      <c r="IKG1" s="220" t="s">
        <v>13331</v>
      </c>
      <c r="IKH1" s="221"/>
      <c r="IKI1" s="221"/>
      <c r="IKJ1" s="222"/>
      <c r="IKK1" s="220" t="s">
        <v>13331</v>
      </c>
      <c r="IKL1" s="221"/>
      <c r="IKM1" s="221"/>
      <c r="IKN1" s="222"/>
      <c r="IKO1" s="220" t="s">
        <v>13331</v>
      </c>
      <c r="IKP1" s="221"/>
      <c r="IKQ1" s="221"/>
      <c r="IKR1" s="222"/>
      <c r="IKS1" s="220" t="s">
        <v>13331</v>
      </c>
      <c r="IKT1" s="221"/>
      <c r="IKU1" s="221"/>
      <c r="IKV1" s="222"/>
      <c r="IKW1" s="220" t="s">
        <v>13331</v>
      </c>
      <c r="IKX1" s="221"/>
      <c r="IKY1" s="221"/>
      <c r="IKZ1" s="222"/>
      <c r="ILA1" s="220" t="s">
        <v>13331</v>
      </c>
      <c r="ILB1" s="221"/>
      <c r="ILC1" s="221"/>
      <c r="ILD1" s="222"/>
      <c r="ILE1" s="220" t="s">
        <v>13331</v>
      </c>
      <c r="ILF1" s="221"/>
      <c r="ILG1" s="221"/>
      <c r="ILH1" s="222"/>
      <c r="ILI1" s="220" t="s">
        <v>13331</v>
      </c>
      <c r="ILJ1" s="221"/>
      <c r="ILK1" s="221"/>
      <c r="ILL1" s="222"/>
      <c r="ILM1" s="220" t="s">
        <v>13331</v>
      </c>
      <c r="ILN1" s="221"/>
      <c r="ILO1" s="221"/>
      <c r="ILP1" s="222"/>
      <c r="ILQ1" s="220" t="s">
        <v>13331</v>
      </c>
      <c r="ILR1" s="221"/>
      <c r="ILS1" s="221"/>
      <c r="ILT1" s="222"/>
      <c r="ILU1" s="220" t="s">
        <v>13331</v>
      </c>
      <c r="ILV1" s="221"/>
      <c r="ILW1" s="221"/>
      <c r="ILX1" s="222"/>
      <c r="ILY1" s="220" t="s">
        <v>13331</v>
      </c>
      <c r="ILZ1" s="221"/>
      <c r="IMA1" s="221"/>
      <c r="IMB1" s="222"/>
      <c r="IMC1" s="220" t="s">
        <v>13331</v>
      </c>
      <c r="IMD1" s="221"/>
      <c r="IME1" s="221"/>
      <c r="IMF1" s="222"/>
      <c r="IMG1" s="220" t="s">
        <v>13331</v>
      </c>
      <c r="IMH1" s="221"/>
      <c r="IMI1" s="221"/>
      <c r="IMJ1" s="222"/>
      <c r="IMK1" s="220" t="s">
        <v>13331</v>
      </c>
      <c r="IML1" s="221"/>
      <c r="IMM1" s="221"/>
      <c r="IMN1" s="222"/>
      <c r="IMO1" s="220" t="s">
        <v>13331</v>
      </c>
      <c r="IMP1" s="221"/>
      <c r="IMQ1" s="221"/>
      <c r="IMR1" s="222"/>
      <c r="IMS1" s="220" t="s">
        <v>13331</v>
      </c>
      <c r="IMT1" s="221"/>
      <c r="IMU1" s="221"/>
      <c r="IMV1" s="222"/>
      <c r="IMW1" s="220" t="s">
        <v>13331</v>
      </c>
      <c r="IMX1" s="221"/>
      <c r="IMY1" s="221"/>
      <c r="IMZ1" s="222"/>
      <c r="INA1" s="220" t="s">
        <v>13331</v>
      </c>
      <c r="INB1" s="221"/>
      <c r="INC1" s="221"/>
      <c r="IND1" s="222"/>
      <c r="INE1" s="220" t="s">
        <v>13331</v>
      </c>
      <c r="INF1" s="221"/>
      <c r="ING1" s="221"/>
      <c r="INH1" s="222"/>
      <c r="INI1" s="220" t="s">
        <v>13331</v>
      </c>
      <c r="INJ1" s="221"/>
      <c r="INK1" s="221"/>
      <c r="INL1" s="222"/>
      <c r="INM1" s="220" t="s">
        <v>13331</v>
      </c>
      <c r="INN1" s="221"/>
      <c r="INO1" s="221"/>
      <c r="INP1" s="222"/>
      <c r="INQ1" s="220" t="s">
        <v>13331</v>
      </c>
      <c r="INR1" s="221"/>
      <c r="INS1" s="221"/>
      <c r="INT1" s="222"/>
      <c r="INU1" s="220" t="s">
        <v>13331</v>
      </c>
      <c r="INV1" s="221"/>
      <c r="INW1" s="221"/>
      <c r="INX1" s="222"/>
      <c r="INY1" s="220" t="s">
        <v>13331</v>
      </c>
      <c r="INZ1" s="221"/>
      <c r="IOA1" s="221"/>
      <c r="IOB1" s="222"/>
      <c r="IOC1" s="220" t="s">
        <v>13331</v>
      </c>
      <c r="IOD1" s="221"/>
      <c r="IOE1" s="221"/>
      <c r="IOF1" s="222"/>
      <c r="IOG1" s="220" t="s">
        <v>13331</v>
      </c>
      <c r="IOH1" s="221"/>
      <c r="IOI1" s="221"/>
      <c r="IOJ1" s="222"/>
      <c r="IOK1" s="220" t="s">
        <v>13331</v>
      </c>
      <c r="IOL1" s="221"/>
      <c r="IOM1" s="221"/>
      <c r="ION1" s="222"/>
      <c r="IOO1" s="220" t="s">
        <v>13331</v>
      </c>
      <c r="IOP1" s="221"/>
      <c r="IOQ1" s="221"/>
      <c r="IOR1" s="222"/>
      <c r="IOS1" s="220" t="s">
        <v>13331</v>
      </c>
      <c r="IOT1" s="221"/>
      <c r="IOU1" s="221"/>
      <c r="IOV1" s="222"/>
      <c r="IOW1" s="220" t="s">
        <v>13331</v>
      </c>
      <c r="IOX1" s="221"/>
      <c r="IOY1" s="221"/>
      <c r="IOZ1" s="222"/>
      <c r="IPA1" s="220" t="s">
        <v>13331</v>
      </c>
      <c r="IPB1" s="221"/>
      <c r="IPC1" s="221"/>
      <c r="IPD1" s="222"/>
      <c r="IPE1" s="220" t="s">
        <v>13331</v>
      </c>
      <c r="IPF1" s="221"/>
      <c r="IPG1" s="221"/>
      <c r="IPH1" s="222"/>
      <c r="IPI1" s="220" t="s">
        <v>13331</v>
      </c>
      <c r="IPJ1" s="221"/>
      <c r="IPK1" s="221"/>
      <c r="IPL1" s="222"/>
      <c r="IPM1" s="220" t="s">
        <v>13331</v>
      </c>
      <c r="IPN1" s="221"/>
      <c r="IPO1" s="221"/>
      <c r="IPP1" s="222"/>
      <c r="IPQ1" s="220" t="s">
        <v>13331</v>
      </c>
      <c r="IPR1" s="221"/>
      <c r="IPS1" s="221"/>
      <c r="IPT1" s="222"/>
      <c r="IPU1" s="220" t="s">
        <v>13331</v>
      </c>
      <c r="IPV1" s="221"/>
      <c r="IPW1" s="221"/>
      <c r="IPX1" s="222"/>
      <c r="IPY1" s="220" t="s">
        <v>13331</v>
      </c>
      <c r="IPZ1" s="221"/>
      <c r="IQA1" s="221"/>
      <c r="IQB1" s="222"/>
      <c r="IQC1" s="220" t="s">
        <v>13331</v>
      </c>
      <c r="IQD1" s="221"/>
      <c r="IQE1" s="221"/>
      <c r="IQF1" s="222"/>
      <c r="IQG1" s="220" t="s">
        <v>13331</v>
      </c>
      <c r="IQH1" s="221"/>
      <c r="IQI1" s="221"/>
      <c r="IQJ1" s="222"/>
      <c r="IQK1" s="220" t="s">
        <v>13331</v>
      </c>
      <c r="IQL1" s="221"/>
      <c r="IQM1" s="221"/>
      <c r="IQN1" s="222"/>
      <c r="IQO1" s="220" t="s">
        <v>13331</v>
      </c>
      <c r="IQP1" s="221"/>
      <c r="IQQ1" s="221"/>
      <c r="IQR1" s="222"/>
      <c r="IQS1" s="220" t="s">
        <v>13331</v>
      </c>
      <c r="IQT1" s="221"/>
      <c r="IQU1" s="221"/>
      <c r="IQV1" s="222"/>
      <c r="IQW1" s="220" t="s">
        <v>13331</v>
      </c>
      <c r="IQX1" s="221"/>
      <c r="IQY1" s="221"/>
      <c r="IQZ1" s="222"/>
      <c r="IRA1" s="220" t="s">
        <v>13331</v>
      </c>
      <c r="IRB1" s="221"/>
      <c r="IRC1" s="221"/>
      <c r="IRD1" s="222"/>
      <c r="IRE1" s="220" t="s">
        <v>13331</v>
      </c>
      <c r="IRF1" s="221"/>
      <c r="IRG1" s="221"/>
      <c r="IRH1" s="222"/>
      <c r="IRI1" s="220" t="s">
        <v>13331</v>
      </c>
      <c r="IRJ1" s="221"/>
      <c r="IRK1" s="221"/>
      <c r="IRL1" s="222"/>
      <c r="IRM1" s="220" t="s">
        <v>13331</v>
      </c>
      <c r="IRN1" s="221"/>
      <c r="IRO1" s="221"/>
      <c r="IRP1" s="222"/>
      <c r="IRQ1" s="220" t="s">
        <v>13331</v>
      </c>
      <c r="IRR1" s="221"/>
      <c r="IRS1" s="221"/>
      <c r="IRT1" s="222"/>
      <c r="IRU1" s="220" t="s">
        <v>13331</v>
      </c>
      <c r="IRV1" s="221"/>
      <c r="IRW1" s="221"/>
      <c r="IRX1" s="222"/>
      <c r="IRY1" s="220" t="s">
        <v>13331</v>
      </c>
      <c r="IRZ1" s="221"/>
      <c r="ISA1" s="221"/>
      <c r="ISB1" s="222"/>
      <c r="ISC1" s="220" t="s">
        <v>13331</v>
      </c>
      <c r="ISD1" s="221"/>
      <c r="ISE1" s="221"/>
      <c r="ISF1" s="222"/>
      <c r="ISG1" s="220" t="s">
        <v>13331</v>
      </c>
      <c r="ISH1" s="221"/>
      <c r="ISI1" s="221"/>
      <c r="ISJ1" s="222"/>
      <c r="ISK1" s="220" t="s">
        <v>13331</v>
      </c>
      <c r="ISL1" s="221"/>
      <c r="ISM1" s="221"/>
      <c r="ISN1" s="222"/>
      <c r="ISO1" s="220" t="s">
        <v>13331</v>
      </c>
      <c r="ISP1" s="221"/>
      <c r="ISQ1" s="221"/>
      <c r="ISR1" s="222"/>
      <c r="ISS1" s="220" t="s">
        <v>13331</v>
      </c>
      <c r="IST1" s="221"/>
      <c r="ISU1" s="221"/>
      <c r="ISV1" s="222"/>
      <c r="ISW1" s="220" t="s">
        <v>13331</v>
      </c>
      <c r="ISX1" s="221"/>
      <c r="ISY1" s="221"/>
      <c r="ISZ1" s="222"/>
      <c r="ITA1" s="220" t="s">
        <v>13331</v>
      </c>
      <c r="ITB1" s="221"/>
      <c r="ITC1" s="221"/>
      <c r="ITD1" s="222"/>
      <c r="ITE1" s="220" t="s">
        <v>13331</v>
      </c>
      <c r="ITF1" s="221"/>
      <c r="ITG1" s="221"/>
      <c r="ITH1" s="222"/>
      <c r="ITI1" s="220" t="s">
        <v>13331</v>
      </c>
      <c r="ITJ1" s="221"/>
      <c r="ITK1" s="221"/>
      <c r="ITL1" s="222"/>
      <c r="ITM1" s="220" t="s">
        <v>13331</v>
      </c>
      <c r="ITN1" s="221"/>
      <c r="ITO1" s="221"/>
      <c r="ITP1" s="222"/>
      <c r="ITQ1" s="220" t="s">
        <v>13331</v>
      </c>
      <c r="ITR1" s="221"/>
      <c r="ITS1" s="221"/>
      <c r="ITT1" s="222"/>
      <c r="ITU1" s="220" t="s">
        <v>13331</v>
      </c>
      <c r="ITV1" s="221"/>
      <c r="ITW1" s="221"/>
      <c r="ITX1" s="222"/>
      <c r="ITY1" s="220" t="s">
        <v>13331</v>
      </c>
      <c r="ITZ1" s="221"/>
      <c r="IUA1" s="221"/>
      <c r="IUB1" s="222"/>
      <c r="IUC1" s="220" t="s">
        <v>13331</v>
      </c>
      <c r="IUD1" s="221"/>
      <c r="IUE1" s="221"/>
      <c r="IUF1" s="222"/>
      <c r="IUG1" s="220" t="s">
        <v>13331</v>
      </c>
      <c r="IUH1" s="221"/>
      <c r="IUI1" s="221"/>
      <c r="IUJ1" s="222"/>
      <c r="IUK1" s="220" t="s">
        <v>13331</v>
      </c>
      <c r="IUL1" s="221"/>
      <c r="IUM1" s="221"/>
      <c r="IUN1" s="222"/>
      <c r="IUO1" s="220" t="s">
        <v>13331</v>
      </c>
      <c r="IUP1" s="221"/>
      <c r="IUQ1" s="221"/>
      <c r="IUR1" s="222"/>
      <c r="IUS1" s="220" t="s">
        <v>13331</v>
      </c>
      <c r="IUT1" s="221"/>
      <c r="IUU1" s="221"/>
      <c r="IUV1" s="222"/>
      <c r="IUW1" s="220" t="s">
        <v>13331</v>
      </c>
      <c r="IUX1" s="221"/>
      <c r="IUY1" s="221"/>
      <c r="IUZ1" s="222"/>
      <c r="IVA1" s="220" t="s">
        <v>13331</v>
      </c>
      <c r="IVB1" s="221"/>
      <c r="IVC1" s="221"/>
      <c r="IVD1" s="222"/>
      <c r="IVE1" s="220" t="s">
        <v>13331</v>
      </c>
      <c r="IVF1" s="221"/>
      <c r="IVG1" s="221"/>
      <c r="IVH1" s="222"/>
      <c r="IVI1" s="220" t="s">
        <v>13331</v>
      </c>
      <c r="IVJ1" s="221"/>
      <c r="IVK1" s="221"/>
      <c r="IVL1" s="222"/>
      <c r="IVM1" s="220" t="s">
        <v>13331</v>
      </c>
      <c r="IVN1" s="221"/>
      <c r="IVO1" s="221"/>
      <c r="IVP1" s="222"/>
      <c r="IVQ1" s="220" t="s">
        <v>13331</v>
      </c>
      <c r="IVR1" s="221"/>
      <c r="IVS1" s="221"/>
      <c r="IVT1" s="222"/>
      <c r="IVU1" s="220" t="s">
        <v>13331</v>
      </c>
      <c r="IVV1" s="221"/>
      <c r="IVW1" s="221"/>
      <c r="IVX1" s="222"/>
      <c r="IVY1" s="220" t="s">
        <v>13331</v>
      </c>
      <c r="IVZ1" s="221"/>
      <c r="IWA1" s="221"/>
      <c r="IWB1" s="222"/>
      <c r="IWC1" s="220" t="s">
        <v>13331</v>
      </c>
      <c r="IWD1" s="221"/>
      <c r="IWE1" s="221"/>
      <c r="IWF1" s="222"/>
      <c r="IWG1" s="220" t="s">
        <v>13331</v>
      </c>
      <c r="IWH1" s="221"/>
      <c r="IWI1" s="221"/>
      <c r="IWJ1" s="222"/>
      <c r="IWK1" s="220" t="s">
        <v>13331</v>
      </c>
      <c r="IWL1" s="221"/>
      <c r="IWM1" s="221"/>
      <c r="IWN1" s="222"/>
      <c r="IWO1" s="220" t="s">
        <v>13331</v>
      </c>
      <c r="IWP1" s="221"/>
      <c r="IWQ1" s="221"/>
      <c r="IWR1" s="222"/>
      <c r="IWS1" s="220" t="s">
        <v>13331</v>
      </c>
      <c r="IWT1" s="221"/>
      <c r="IWU1" s="221"/>
      <c r="IWV1" s="222"/>
      <c r="IWW1" s="220" t="s">
        <v>13331</v>
      </c>
      <c r="IWX1" s="221"/>
      <c r="IWY1" s="221"/>
      <c r="IWZ1" s="222"/>
      <c r="IXA1" s="220" t="s">
        <v>13331</v>
      </c>
      <c r="IXB1" s="221"/>
      <c r="IXC1" s="221"/>
      <c r="IXD1" s="222"/>
      <c r="IXE1" s="220" t="s">
        <v>13331</v>
      </c>
      <c r="IXF1" s="221"/>
      <c r="IXG1" s="221"/>
      <c r="IXH1" s="222"/>
      <c r="IXI1" s="220" t="s">
        <v>13331</v>
      </c>
      <c r="IXJ1" s="221"/>
      <c r="IXK1" s="221"/>
      <c r="IXL1" s="222"/>
      <c r="IXM1" s="220" t="s">
        <v>13331</v>
      </c>
      <c r="IXN1" s="221"/>
      <c r="IXO1" s="221"/>
      <c r="IXP1" s="222"/>
      <c r="IXQ1" s="220" t="s">
        <v>13331</v>
      </c>
      <c r="IXR1" s="221"/>
      <c r="IXS1" s="221"/>
      <c r="IXT1" s="222"/>
      <c r="IXU1" s="220" t="s">
        <v>13331</v>
      </c>
      <c r="IXV1" s="221"/>
      <c r="IXW1" s="221"/>
      <c r="IXX1" s="222"/>
      <c r="IXY1" s="220" t="s">
        <v>13331</v>
      </c>
      <c r="IXZ1" s="221"/>
      <c r="IYA1" s="221"/>
      <c r="IYB1" s="222"/>
      <c r="IYC1" s="220" t="s">
        <v>13331</v>
      </c>
      <c r="IYD1" s="221"/>
      <c r="IYE1" s="221"/>
      <c r="IYF1" s="222"/>
      <c r="IYG1" s="220" t="s">
        <v>13331</v>
      </c>
      <c r="IYH1" s="221"/>
      <c r="IYI1" s="221"/>
      <c r="IYJ1" s="222"/>
      <c r="IYK1" s="220" t="s">
        <v>13331</v>
      </c>
      <c r="IYL1" s="221"/>
      <c r="IYM1" s="221"/>
      <c r="IYN1" s="222"/>
      <c r="IYO1" s="220" t="s">
        <v>13331</v>
      </c>
      <c r="IYP1" s="221"/>
      <c r="IYQ1" s="221"/>
      <c r="IYR1" s="222"/>
      <c r="IYS1" s="220" t="s">
        <v>13331</v>
      </c>
      <c r="IYT1" s="221"/>
      <c r="IYU1" s="221"/>
      <c r="IYV1" s="222"/>
      <c r="IYW1" s="220" t="s">
        <v>13331</v>
      </c>
      <c r="IYX1" s="221"/>
      <c r="IYY1" s="221"/>
      <c r="IYZ1" s="222"/>
      <c r="IZA1" s="220" t="s">
        <v>13331</v>
      </c>
      <c r="IZB1" s="221"/>
      <c r="IZC1" s="221"/>
      <c r="IZD1" s="222"/>
      <c r="IZE1" s="220" t="s">
        <v>13331</v>
      </c>
      <c r="IZF1" s="221"/>
      <c r="IZG1" s="221"/>
      <c r="IZH1" s="222"/>
      <c r="IZI1" s="220" t="s">
        <v>13331</v>
      </c>
      <c r="IZJ1" s="221"/>
      <c r="IZK1" s="221"/>
      <c r="IZL1" s="222"/>
      <c r="IZM1" s="220" t="s">
        <v>13331</v>
      </c>
      <c r="IZN1" s="221"/>
      <c r="IZO1" s="221"/>
      <c r="IZP1" s="222"/>
      <c r="IZQ1" s="220" t="s">
        <v>13331</v>
      </c>
      <c r="IZR1" s="221"/>
      <c r="IZS1" s="221"/>
      <c r="IZT1" s="222"/>
      <c r="IZU1" s="220" t="s">
        <v>13331</v>
      </c>
      <c r="IZV1" s="221"/>
      <c r="IZW1" s="221"/>
      <c r="IZX1" s="222"/>
      <c r="IZY1" s="220" t="s">
        <v>13331</v>
      </c>
      <c r="IZZ1" s="221"/>
      <c r="JAA1" s="221"/>
      <c r="JAB1" s="222"/>
      <c r="JAC1" s="220" t="s">
        <v>13331</v>
      </c>
      <c r="JAD1" s="221"/>
      <c r="JAE1" s="221"/>
      <c r="JAF1" s="222"/>
      <c r="JAG1" s="220" t="s">
        <v>13331</v>
      </c>
      <c r="JAH1" s="221"/>
      <c r="JAI1" s="221"/>
      <c r="JAJ1" s="222"/>
      <c r="JAK1" s="220" t="s">
        <v>13331</v>
      </c>
      <c r="JAL1" s="221"/>
      <c r="JAM1" s="221"/>
      <c r="JAN1" s="222"/>
      <c r="JAO1" s="220" t="s">
        <v>13331</v>
      </c>
      <c r="JAP1" s="221"/>
      <c r="JAQ1" s="221"/>
      <c r="JAR1" s="222"/>
      <c r="JAS1" s="220" t="s">
        <v>13331</v>
      </c>
      <c r="JAT1" s="221"/>
      <c r="JAU1" s="221"/>
      <c r="JAV1" s="222"/>
      <c r="JAW1" s="220" t="s">
        <v>13331</v>
      </c>
      <c r="JAX1" s="221"/>
      <c r="JAY1" s="221"/>
      <c r="JAZ1" s="222"/>
      <c r="JBA1" s="220" t="s">
        <v>13331</v>
      </c>
      <c r="JBB1" s="221"/>
      <c r="JBC1" s="221"/>
      <c r="JBD1" s="222"/>
      <c r="JBE1" s="220" t="s">
        <v>13331</v>
      </c>
      <c r="JBF1" s="221"/>
      <c r="JBG1" s="221"/>
      <c r="JBH1" s="222"/>
      <c r="JBI1" s="220" t="s">
        <v>13331</v>
      </c>
      <c r="JBJ1" s="221"/>
      <c r="JBK1" s="221"/>
      <c r="JBL1" s="222"/>
      <c r="JBM1" s="220" t="s">
        <v>13331</v>
      </c>
      <c r="JBN1" s="221"/>
      <c r="JBO1" s="221"/>
      <c r="JBP1" s="222"/>
      <c r="JBQ1" s="220" t="s">
        <v>13331</v>
      </c>
      <c r="JBR1" s="221"/>
      <c r="JBS1" s="221"/>
      <c r="JBT1" s="222"/>
      <c r="JBU1" s="220" t="s">
        <v>13331</v>
      </c>
      <c r="JBV1" s="221"/>
      <c r="JBW1" s="221"/>
      <c r="JBX1" s="222"/>
      <c r="JBY1" s="220" t="s">
        <v>13331</v>
      </c>
      <c r="JBZ1" s="221"/>
      <c r="JCA1" s="221"/>
      <c r="JCB1" s="222"/>
      <c r="JCC1" s="220" t="s">
        <v>13331</v>
      </c>
      <c r="JCD1" s="221"/>
      <c r="JCE1" s="221"/>
      <c r="JCF1" s="222"/>
      <c r="JCG1" s="220" t="s">
        <v>13331</v>
      </c>
      <c r="JCH1" s="221"/>
      <c r="JCI1" s="221"/>
      <c r="JCJ1" s="222"/>
      <c r="JCK1" s="220" t="s">
        <v>13331</v>
      </c>
      <c r="JCL1" s="221"/>
      <c r="JCM1" s="221"/>
      <c r="JCN1" s="222"/>
      <c r="JCO1" s="220" t="s">
        <v>13331</v>
      </c>
      <c r="JCP1" s="221"/>
      <c r="JCQ1" s="221"/>
      <c r="JCR1" s="222"/>
      <c r="JCS1" s="220" t="s">
        <v>13331</v>
      </c>
      <c r="JCT1" s="221"/>
      <c r="JCU1" s="221"/>
      <c r="JCV1" s="222"/>
      <c r="JCW1" s="220" t="s">
        <v>13331</v>
      </c>
      <c r="JCX1" s="221"/>
      <c r="JCY1" s="221"/>
      <c r="JCZ1" s="222"/>
      <c r="JDA1" s="220" t="s">
        <v>13331</v>
      </c>
      <c r="JDB1" s="221"/>
      <c r="JDC1" s="221"/>
      <c r="JDD1" s="222"/>
      <c r="JDE1" s="220" t="s">
        <v>13331</v>
      </c>
      <c r="JDF1" s="221"/>
      <c r="JDG1" s="221"/>
      <c r="JDH1" s="222"/>
      <c r="JDI1" s="220" t="s">
        <v>13331</v>
      </c>
      <c r="JDJ1" s="221"/>
      <c r="JDK1" s="221"/>
      <c r="JDL1" s="222"/>
      <c r="JDM1" s="220" t="s">
        <v>13331</v>
      </c>
      <c r="JDN1" s="221"/>
      <c r="JDO1" s="221"/>
      <c r="JDP1" s="222"/>
      <c r="JDQ1" s="220" t="s">
        <v>13331</v>
      </c>
      <c r="JDR1" s="221"/>
      <c r="JDS1" s="221"/>
      <c r="JDT1" s="222"/>
      <c r="JDU1" s="220" t="s">
        <v>13331</v>
      </c>
      <c r="JDV1" s="221"/>
      <c r="JDW1" s="221"/>
      <c r="JDX1" s="222"/>
      <c r="JDY1" s="220" t="s">
        <v>13331</v>
      </c>
      <c r="JDZ1" s="221"/>
      <c r="JEA1" s="221"/>
      <c r="JEB1" s="222"/>
      <c r="JEC1" s="220" t="s">
        <v>13331</v>
      </c>
      <c r="JED1" s="221"/>
      <c r="JEE1" s="221"/>
      <c r="JEF1" s="222"/>
      <c r="JEG1" s="220" t="s">
        <v>13331</v>
      </c>
      <c r="JEH1" s="221"/>
      <c r="JEI1" s="221"/>
      <c r="JEJ1" s="222"/>
      <c r="JEK1" s="220" t="s">
        <v>13331</v>
      </c>
      <c r="JEL1" s="221"/>
      <c r="JEM1" s="221"/>
      <c r="JEN1" s="222"/>
      <c r="JEO1" s="220" t="s">
        <v>13331</v>
      </c>
      <c r="JEP1" s="221"/>
      <c r="JEQ1" s="221"/>
      <c r="JER1" s="222"/>
      <c r="JES1" s="220" t="s">
        <v>13331</v>
      </c>
      <c r="JET1" s="221"/>
      <c r="JEU1" s="221"/>
      <c r="JEV1" s="222"/>
      <c r="JEW1" s="220" t="s">
        <v>13331</v>
      </c>
      <c r="JEX1" s="221"/>
      <c r="JEY1" s="221"/>
      <c r="JEZ1" s="222"/>
      <c r="JFA1" s="220" t="s">
        <v>13331</v>
      </c>
      <c r="JFB1" s="221"/>
      <c r="JFC1" s="221"/>
      <c r="JFD1" s="222"/>
      <c r="JFE1" s="220" t="s">
        <v>13331</v>
      </c>
      <c r="JFF1" s="221"/>
      <c r="JFG1" s="221"/>
      <c r="JFH1" s="222"/>
      <c r="JFI1" s="220" t="s">
        <v>13331</v>
      </c>
      <c r="JFJ1" s="221"/>
      <c r="JFK1" s="221"/>
      <c r="JFL1" s="222"/>
      <c r="JFM1" s="220" t="s">
        <v>13331</v>
      </c>
      <c r="JFN1" s="221"/>
      <c r="JFO1" s="221"/>
      <c r="JFP1" s="222"/>
      <c r="JFQ1" s="220" t="s">
        <v>13331</v>
      </c>
      <c r="JFR1" s="221"/>
      <c r="JFS1" s="221"/>
      <c r="JFT1" s="222"/>
      <c r="JFU1" s="220" t="s">
        <v>13331</v>
      </c>
      <c r="JFV1" s="221"/>
      <c r="JFW1" s="221"/>
      <c r="JFX1" s="222"/>
      <c r="JFY1" s="220" t="s">
        <v>13331</v>
      </c>
      <c r="JFZ1" s="221"/>
      <c r="JGA1" s="221"/>
      <c r="JGB1" s="222"/>
      <c r="JGC1" s="220" t="s">
        <v>13331</v>
      </c>
      <c r="JGD1" s="221"/>
      <c r="JGE1" s="221"/>
      <c r="JGF1" s="222"/>
      <c r="JGG1" s="220" t="s">
        <v>13331</v>
      </c>
      <c r="JGH1" s="221"/>
      <c r="JGI1" s="221"/>
      <c r="JGJ1" s="222"/>
      <c r="JGK1" s="220" t="s">
        <v>13331</v>
      </c>
      <c r="JGL1" s="221"/>
      <c r="JGM1" s="221"/>
      <c r="JGN1" s="222"/>
      <c r="JGO1" s="220" t="s">
        <v>13331</v>
      </c>
      <c r="JGP1" s="221"/>
      <c r="JGQ1" s="221"/>
      <c r="JGR1" s="222"/>
      <c r="JGS1" s="220" t="s">
        <v>13331</v>
      </c>
      <c r="JGT1" s="221"/>
      <c r="JGU1" s="221"/>
      <c r="JGV1" s="222"/>
      <c r="JGW1" s="220" t="s">
        <v>13331</v>
      </c>
      <c r="JGX1" s="221"/>
      <c r="JGY1" s="221"/>
      <c r="JGZ1" s="222"/>
      <c r="JHA1" s="220" t="s">
        <v>13331</v>
      </c>
      <c r="JHB1" s="221"/>
      <c r="JHC1" s="221"/>
      <c r="JHD1" s="222"/>
      <c r="JHE1" s="220" t="s">
        <v>13331</v>
      </c>
      <c r="JHF1" s="221"/>
      <c r="JHG1" s="221"/>
      <c r="JHH1" s="222"/>
      <c r="JHI1" s="220" t="s">
        <v>13331</v>
      </c>
      <c r="JHJ1" s="221"/>
      <c r="JHK1" s="221"/>
      <c r="JHL1" s="222"/>
      <c r="JHM1" s="220" t="s">
        <v>13331</v>
      </c>
      <c r="JHN1" s="221"/>
      <c r="JHO1" s="221"/>
      <c r="JHP1" s="222"/>
      <c r="JHQ1" s="220" t="s">
        <v>13331</v>
      </c>
      <c r="JHR1" s="221"/>
      <c r="JHS1" s="221"/>
      <c r="JHT1" s="222"/>
      <c r="JHU1" s="220" t="s">
        <v>13331</v>
      </c>
      <c r="JHV1" s="221"/>
      <c r="JHW1" s="221"/>
      <c r="JHX1" s="222"/>
      <c r="JHY1" s="220" t="s">
        <v>13331</v>
      </c>
      <c r="JHZ1" s="221"/>
      <c r="JIA1" s="221"/>
      <c r="JIB1" s="222"/>
      <c r="JIC1" s="220" t="s">
        <v>13331</v>
      </c>
      <c r="JID1" s="221"/>
      <c r="JIE1" s="221"/>
      <c r="JIF1" s="222"/>
      <c r="JIG1" s="220" t="s">
        <v>13331</v>
      </c>
      <c r="JIH1" s="221"/>
      <c r="JII1" s="221"/>
      <c r="JIJ1" s="222"/>
      <c r="JIK1" s="220" t="s">
        <v>13331</v>
      </c>
      <c r="JIL1" s="221"/>
      <c r="JIM1" s="221"/>
      <c r="JIN1" s="222"/>
      <c r="JIO1" s="220" t="s">
        <v>13331</v>
      </c>
      <c r="JIP1" s="221"/>
      <c r="JIQ1" s="221"/>
      <c r="JIR1" s="222"/>
      <c r="JIS1" s="220" t="s">
        <v>13331</v>
      </c>
      <c r="JIT1" s="221"/>
      <c r="JIU1" s="221"/>
      <c r="JIV1" s="222"/>
      <c r="JIW1" s="220" t="s">
        <v>13331</v>
      </c>
      <c r="JIX1" s="221"/>
      <c r="JIY1" s="221"/>
      <c r="JIZ1" s="222"/>
      <c r="JJA1" s="220" t="s">
        <v>13331</v>
      </c>
      <c r="JJB1" s="221"/>
      <c r="JJC1" s="221"/>
      <c r="JJD1" s="222"/>
      <c r="JJE1" s="220" t="s">
        <v>13331</v>
      </c>
      <c r="JJF1" s="221"/>
      <c r="JJG1" s="221"/>
      <c r="JJH1" s="222"/>
      <c r="JJI1" s="220" t="s">
        <v>13331</v>
      </c>
      <c r="JJJ1" s="221"/>
      <c r="JJK1" s="221"/>
      <c r="JJL1" s="222"/>
      <c r="JJM1" s="220" t="s">
        <v>13331</v>
      </c>
      <c r="JJN1" s="221"/>
      <c r="JJO1" s="221"/>
      <c r="JJP1" s="222"/>
      <c r="JJQ1" s="220" t="s">
        <v>13331</v>
      </c>
      <c r="JJR1" s="221"/>
      <c r="JJS1" s="221"/>
      <c r="JJT1" s="222"/>
      <c r="JJU1" s="220" t="s">
        <v>13331</v>
      </c>
      <c r="JJV1" s="221"/>
      <c r="JJW1" s="221"/>
      <c r="JJX1" s="222"/>
      <c r="JJY1" s="220" t="s">
        <v>13331</v>
      </c>
      <c r="JJZ1" s="221"/>
      <c r="JKA1" s="221"/>
      <c r="JKB1" s="222"/>
      <c r="JKC1" s="220" t="s">
        <v>13331</v>
      </c>
      <c r="JKD1" s="221"/>
      <c r="JKE1" s="221"/>
      <c r="JKF1" s="222"/>
      <c r="JKG1" s="220" t="s">
        <v>13331</v>
      </c>
      <c r="JKH1" s="221"/>
      <c r="JKI1" s="221"/>
      <c r="JKJ1" s="222"/>
      <c r="JKK1" s="220" t="s">
        <v>13331</v>
      </c>
      <c r="JKL1" s="221"/>
      <c r="JKM1" s="221"/>
      <c r="JKN1" s="222"/>
      <c r="JKO1" s="220" t="s">
        <v>13331</v>
      </c>
      <c r="JKP1" s="221"/>
      <c r="JKQ1" s="221"/>
      <c r="JKR1" s="222"/>
      <c r="JKS1" s="220" t="s">
        <v>13331</v>
      </c>
      <c r="JKT1" s="221"/>
      <c r="JKU1" s="221"/>
      <c r="JKV1" s="222"/>
      <c r="JKW1" s="220" t="s">
        <v>13331</v>
      </c>
      <c r="JKX1" s="221"/>
      <c r="JKY1" s="221"/>
      <c r="JKZ1" s="222"/>
      <c r="JLA1" s="220" t="s">
        <v>13331</v>
      </c>
      <c r="JLB1" s="221"/>
      <c r="JLC1" s="221"/>
      <c r="JLD1" s="222"/>
      <c r="JLE1" s="220" t="s">
        <v>13331</v>
      </c>
      <c r="JLF1" s="221"/>
      <c r="JLG1" s="221"/>
      <c r="JLH1" s="222"/>
      <c r="JLI1" s="220" t="s">
        <v>13331</v>
      </c>
      <c r="JLJ1" s="221"/>
      <c r="JLK1" s="221"/>
      <c r="JLL1" s="222"/>
      <c r="JLM1" s="220" t="s">
        <v>13331</v>
      </c>
      <c r="JLN1" s="221"/>
      <c r="JLO1" s="221"/>
      <c r="JLP1" s="222"/>
      <c r="JLQ1" s="220" t="s">
        <v>13331</v>
      </c>
      <c r="JLR1" s="221"/>
      <c r="JLS1" s="221"/>
      <c r="JLT1" s="222"/>
      <c r="JLU1" s="220" t="s">
        <v>13331</v>
      </c>
      <c r="JLV1" s="221"/>
      <c r="JLW1" s="221"/>
      <c r="JLX1" s="222"/>
      <c r="JLY1" s="220" t="s">
        <v>13331</v>
      </c>
      <c r="JLZ1" s="221"/>
      <c r="JMA1" s="221"/>
      <c r="JMB1" s="222"/>
      <c r="JMC1" s="220" t="s">
        <v>13331</v>
      </c>
      <c r="JMD1" s="221"/>
      <c r="JME1" s="221"/>
      <c r="JMF1" s="222"/>
      <c r="JMG1" s="220" t="s">
        <v>13331</v>
      </c>
      <c r="JMH1" s="221"/>
      <c r="JMI1" s="221"/>
      <c r="JMJ1" s="222"/>
      <c r="JMK1" s="220" t="s">
        <v>13331</v>
      </c>
      <c r="JML1" s="221"/>
      <c r="JMM1" s="221"/>
      <c r="JMN1" s="222"/>
      <c r="JMO1" s="220" t="s">
        <v>13331</v>
      </c>
      <c r="JMP1" s="221"/>
      <c r="JMQ1" s="221"/>
      <c r="JMR1" s="222"/>
      <c r="JMS1" s="220" t="s">
        <v>13331</v>
      </c>
      <c r="JMT1" s="221"/>
      <c r="JMU1" s="221"/>
      <c r="JMV1" s="222"/>
      <c r="JMW1" s="220" t="s">
        <v>13331</v>
      </c>
      <c r="JMX1" s="221"/>
      <c r="JMY1" s="221"/>
      <c r="JMZ1" s="222"/>
      <c r="JNA1" s="220" t="s">
        <v>13331</v>
      </c>
      <c r="JNB1" s="221"/>
      <c r="JNC1" s="221"/>
      <c r="JND1" s="222"/>
      <c r="JNE1" s="220" t="s">
        <v>13331</v>
      </c>
      <c r="JNF1" s="221"/>
      <c r="JNG1" s="221"/>
      <c r="JNH1" s="222"/>
      <c r="JNI1" s="220" t="s">
        <v>13331</v>
      </c>
      <c r="JNJ1" s="221"/>
      <c r="JNK1" s="221"/>
      <c r="JNL1" s="222"/>
      <c r="JNM1" s="220" t="s">
        <v>13331</v>
      </c>
      <c r="JNN1" s="221"/>
      <c r="JNO1" s="221"/>
      <c r="JNP1" s="222"/>
      <c r="JNQ1" s="220" t="s">
        <v>13331</v>
      </c>
      <c r="JNR1" s="221"/>
      <c r="JNS1" s="221"/>
      <c r="JNT1" s="222"/>
      <c r="JNU1" s="220" t="s">
        <v>13331</v>
      </c>
      <c r="JNV1" s="221"/>
      <c r="JNW1" s="221"/>
      <c r="JNX1" s="222"/>
      <c r="JNY1" s="220" t="s">
        <v>13331</v>
      </c>
      <c r="JNZ1" s="221"/>
      <c r="JOA1" s="221"/>
      <c r="JOB1" s="222"/>
      <c r="JOC1" s="220" t="s">
        <v>13331</v>
      </c>
      <c r="JOD1" s="221"/>
      <c r="JOE1" s="221"/>
      <c r="JOF1" s="222"/>
      <c r="JOG1" s="220" t="s">
        <v>13331</v>
      </c>
      <c r="JOH1" s="221"/>
      <c r="JOI1" s="221"/>
      <c r="JOJ1" s="222"/>
      <c r="JOK1" s="220" t="s">
        <v>13331</v>
      </c>
      <c r="JOL1" s="221"/>
      <c r="JOM1" s="221"/>
      <c r="JON1" s="222"/>
      <c r="JOO1" s="220" t="s">
        <v>13331</v>
      </c>
      <c r="JOP1" s="221"/>
      <c r="JOQ1" s="221"/>
      <c r="JOR1" s="222"/>
      <c r="JOS1" s="220" t="s">
        <v>13331</v>
      </c>
      <c r="JOT1" s="221"/>
      <c r="JOU1" s="221"/>
      <c r="JOV1" s="222"/>
      <c r="JOW1" s="220" t="s">
        <v>13331</v>
      </c>
      <c r="JOX1" s="221"/>
      <c r="JOY1" s="221"/>
      <c r="JOZ1" s="222"/>
      <c r="JPA1" s="220" t="s">
        <v>13331</v>
      </c>
      <c r="JPB1" s="221"/>
      <c r="JPC1" s="221"/>
      <c r="JPD1" s="222"/>
      <c r="JPE1" s="220" t="s">
        <v>13331</v>
      </c>
      <c r="JPF1" s="221"/>
      <c r="JPG1" s="221"/>
      <c r="JPH1" s="222"/>
      <c r="JPI1" s="220" t="s">
        <v>13331</v>
      </c>
      <c r="JPJ1" s="221"/>
      <c r="JPK1" s="221"/>
      <c r="JPL1" s="222"/>
      <c r="JPM1" s="220" t="s">
        <v>13331</v>
      </c>
      <c r="JPN1" s="221"/>
      <c r="JPO1" s="221"/>
      <c r="JPP1" s="222"/>
      <c r="JPQ1" s="220" t="s">
        <v>13331</v>
      </c>
      <c r="JPR1" s="221"/>
      <c r="JPS1" s="221"/>
      <c r="JPT1" s="222"/>
      <c r="JPU1" s="220" t="s">
        <v>13331</v>
      </c>
      <c r="JPV1" s="221"/>
      <c r="JPW1" s="221"/>
      <c r="JPX1" s="222"/>
      <c r="JPY1" s="220" t="s">
        <v>13331</v>
      </c>
      <c r="JPZ1" s="221"/>
      <c r="JQA1" s="221"/>
      <c r="JQB1" s="222"/>
      <c r="JQC1" s="220" t="s">
        <v>13331</v>
      </c>
      <c r="JQD1" s="221"/>
      <c r="JQE1" s="221"/>
      <c r="JQF1" s="222"/>
      <c r="JQG1" s="220" t="s">
        <v>13331</v>
      </c>
      <c r="JQH1" s="221"/>
      <c r="JQI1" s="221"/>
      <c r="JQJ1" s="222"/>
      <c r="JQK1" s="220" t="s">
        <v>13331</v>
      </c>
      <c r="JQL1" s="221"/>
      <c r="JQM1" s="221"/>
      <c r="JQN1" s="222"/>
      <c r="JQO1" s="220" t="s">
        <v>13331</v>
      </c>
      <c r="JQP1" s="221"/>
      <c r="JQQ1" s="221"/>
      <c r="JQR1" s="222"/>
      <c r="JQS1" s="220" t="s">
        <v>13331</v>
      </c>
      <c r="JQT1" s="221"/>
      <c r="JQU1" s="221"/>
      <c r="JQV1" s="222"/>
      <c r="JQW1" s="220" t="s">
        <v>13331</v>
      </c>
      <c r="JQX1" s="221"/>
      <c r="JQY1" s="221"/>
      <c r="JQZ1" s="222"/>
      <c r="JRA1" s="220" t="s">
        <v>13331</v>
      </c>
      <c r="JRB1" s="221"/>
      <c r="JRC1" s="221"/>
      <c r="JRD1" s="222"/>
      <c r="JRE1" s="220" t="s">
        <v>13331</v>
      </c>
      <c r="JRF1" s="221"/>
      <c r="JRG1" s="221"/>
      <c r="JRH1" s="222"/>
      <c r="JRI1" s="220" t="s">
        <v>13331</v>
      </c>
      <c r="JRJ1" s="221"/>
      <c r="JRK1" s="221"/>
      <c r="JRL1" s="222"/>
      <c r="JRM1" s="220" t="s">
        <v>13331</v>
      </c>
      <c r="JRN1" s="221"/>
      <c r="JRO1" s="221"/>
      <c r="JRP1" s="222"/>
      <c r="JRQ1" s="220" t="s">
        <v>13331</v>
      </c>
      <c r="JRR1" s="221"/>
      <c r="JRS1" s="221"/>
      <c r="JRT1" s="222"/>
      <c r="JRU1" s="220" t="s">
        <v>13331</v>
      </c>
      <c r="JRV1" s="221"/>
      <c r="JRW1" s="221"/>
      <c r="JRX1" s="222"/>
      <c r="JRY1" s="220" t="s">
        <v>13331</v>
      </c>
      <c r="JRZ1" s="221"/>
      <c r="JSA1" s="221"/>
      <c r="JSB1" s="222"/>
      <c r="JSC1" s="220" t="s">
        <v>13331</v>
      </c>
      <c r="JSD1" s="221"/>
      <c r="JSE1" s="221"/>
      <c r="JSF1" s="222"/>
      <c r="JSG1" s="220" t="s">
        <v>13331</v>
      </c>
      <c r="JSH1" s="221"/>
      <c r="JSI1" s="221"/>
      <c r="JSJ1" s="222"/>
      <c r="JSK1" s="220" t="s">
        <v>13331</v>
      </c>
      <c r="JSL1" s="221"/>
      <c r="JSM1" s="221"/>
      <c r="JSN1" s="222"/>
      <c r="JSO1" s="220" t="s">
        <v>13331</v>
      </c>
      <c r="JSP1" s="221"/>
      <c r="JSQ1" s="221"/>
      <c r="JSR1" s="222"/>
      <c r="JSS1" s="220" t="s">
        <v>13331</v>
      </c>
      <c r="JST1" s="221"/>
      <c r="JSU1" s="221"/>
      <c r="JSV1" s="222"/>
      <c r="JSW1" s="220" t="s">
        <v>13331</v>
      </c>
      <c r="JSX1" s="221"/>
      <c r="JSY1" s="221"/>
      <c r="JSZ1" s="222"/>
      <c r="JTA1" s="220" t="s">
        <v>13331</v>
      </c>
      <c r="JTB1" s="221"/>
      <c r="JTC1" s="221"/>
      <c r="JTD1" s="222"/>
      <c r="JTE1" s="220" t="s">
        <v>13331</v>
      </c>
      <c r="JTF1" s="221"/>
      <c r="JTG1" s="221"/>
      <c r="JTH1" s="222"/>
      <c r="JTI1" s="220" t="s">
        <v>13331</v>
      </c>
      <c r="JTJ1" s="221"/>
      <c r="JTK1" s="221"/>
      <c r="JTL1" s="222"/>
      <c r="JTM1" s="220" t="s">
        <v>13331</v>
      </c>
      <c r="JTN1" s="221"/>
      <c r="JTO1" s="221"/>
      <c r="JTP1" s="222"/>
      <c r="JTQ1" s="220" t="s">
        <v>13331</v>
      </c>
      <c r="JTR1" s="221"/>
      <c r="JTS1" s="221"/>
      <c r="JTT1" s="222"/>
      <c r="JTU1" s="220" t="s">
        <v>13331</v>
      </c>
      <c r="JTV1" s="221"/>
      <c r="JTW1" s="221"/>
      <c r="JTX1" s="222"/>
      <c r="JTY1" s="220" t="s">
        <v>13331</v>
      </c>
      <c r="JTZ1" s="221"/>
      <c r="JUA1" s="221"/>
      <c r="JUB1" s="222"/>
      <c r="JUC1" s="220" t="s">
        <v>13331</v>
      </c>
      <c r="JUD1" s="221"/>
      <c r="JUE1" s="221"/>
      <c r="JUF1" s="222"/>
      <c r="JUG1" s="220" t="s">
        <v>13331</v>
      </c>
      <c r="JUH1" s="221"/>
      <c r="JUI1" s="221"/>
      <c r="JUJ1" s="222"/>
      <c r="JUK1" s="220" t="s">
        <v>13331</v>
      </c>
      <c r="JUL1" s="221"/>
      <c r="JUM1" s="221"/>
      <c r="JUN1" s="222"/>
      <c r="JUO1" s="220" t="s">
        <v>13331</v>
      </c>
      <c r="JUP1" s="221"/>
      <c r="JUQ1" s="221"/>
      <c r="JUR1" s="222"/>
      <c r="JUS1" s="220" t="s">
        <v>13331</v>
      </c>
      <c r="JUT1" s="221"/>
      <c r="JUU1" s="221"/>
      <c r="JUV1" s="222"/>
      <c r="JUW1" s="220" t="s">
        <v>13331</v>
      </c>
      <c r="JUX1" s="221"/>
      <c r="JUY1" s="221"/>
      <c r="JUZ1" s="222"/>
      <c r="JVA1" s="220" t="s">
        <v>13331</v>
      </c>
      <c r="JVB1" s="221"/>
      <c r="JVC1" s="221"/>
      <c r="JVD1" s="222"/>
      <c r="JVE1" s="220" t="s">
        <v>13331</v>
      </c>
      <c r="JVF1" s="221"/>
      <c r="JVG1" s="221"/>
      <c r="JVH1" s="222"/>
      <c r="JVI1" s="220" t="s">
        <v>13331</v>
      </c>
      <c r="JVJ1" s="221"/>
      <c r="JVK1" s="221"/>
      <c r="JVL1" s="222"/>
      <c r="JVM1" s="220" t="s">
        <v>13331</v>
      </c>
      <c r="JVN1" s="221"/>
      <c r="JVO1" s="221"/>
      <c r="JVP1" s="222"/>
      <c r="JVQ1" s="220" t="s">
        <v>13331</v>
      </c>
      <c r="JVR1" s="221"/>
      <c r="JVS1" s="221"/>
      <c r="JVT1" s="222"/>
      <c r="JVU1" s="220" t="s">
        <v>13331</v>
      </c>
      <c r="JVV1" s="221"/>
      <c r="JVW1" s="221"/>
      <c r="JVX1" s="222"/>
      <c r="JVY1" s="220" t="s">
        <v>13331</v>
      </c>
      <c r="JVZ1" s="221"/>
      <c r="JWA1" s="221"/>
      <c r="JWB1" s="222"/>
      <c r="JWC1" s="220" t="s">
        <v>13331</v>
      </c>
      <c r="JWD1" s="221"/>
      <c r="JWE1" s="221"/>
      <c r="JWF1" s="222"/>
      <c r="JWG1" s="220" t="s">
        <v>13331</v>
      </c>
      <c r="JWH1" s="221"/>
      <c r="JWI1" s="221"/>
      <c r="JWJ1" s="222"/>
      <c r="JWK1" s="220" t="s">
        <v>13331</v>
      </c>
      <c r="JWL1" s="221"/>
      <c r="JWM1" s="221"/>
      <c r="JWN1" s="222"/>
      <c r="JWO1" s="220" t="s">
        <v>13331</v>
      </c>
      <c r="JWP1" s="221"/>
      <c r="JWQ1" s="221"/>
      <c r="JWR1" s="222"/>
      <c r="JWS1" s="220" t="s">
        <v>13331</v>
      </c>
      <c r="JWT1" s="221"/>
      <c r="JWU1" s="221"/>
      <c r="JWV1" s="222"/>
      <c r="JWW1" s="220" t="s">
        <v>13331</v>
      </c>
      <c r="JWX1" s="221"/>
      <c r="JWY1" s="221"/>
      <c r="JWZ1" s="222"/>
      <c r="JXA1" s="220" t="s">
        <v>13331</v>
      </c>
      <c r="JXB1" s="221"/>
      <c r="JXC1" s="221"/>
      <c r="JXD1" s="222"/>
      <c r="JXE1" s="220" t="s">
        <v>13331</v>
      </c>
      <c r="JXF1" s="221"/>
      <c r="JXG1" s="221"/>
      <c r="JXH1" s="222"/>
      <c r="JXI1" s="220" t="s">
        <v>13331</v>
      </c>
      <c r="JXJ1" s="221"/>
      <c r="JXK1" s="221"/>
      <c r="JXL1" s="222"/>
      <c r="JXM1" s="220" t="s">
        <v>13331</v>
      </c>
      <c r="JXN1" s="221"/>
      <c r="JXO1" s="221"/>
      <c r="JXP1" s="222"/>
      <c r="JXQ1" s="220" t="s">
        <v>13331</v>
      </c>
      <c r="JXR1" s="221"/>
      <c r="JXS1" s="221"/>
      <c r="JXT1" s="222"/>
      <c r="JXU1" s="220" t="s">
        <v>13331</v>
      </c>
      <c r="JXV1" s="221"/>
      <c r="JXW1" s="221"/>
      <c r="JXX1" s="222"/>
      <c r="JXY1" s="220" t="s">
        <v>13331</v>
      </c>
      <c r="JXZ1" s="221"/>
      <c r="JYA1" s="221"/>
      <c r="JYB1" s="222"/>
      <c r="JYC1" s="220" t="s">
        <v>13331</v>
      </c>
      <c r="JYD1" s="221"/>
      <c r="JYE1" s="221"/>
      <c r="JYF1" s="222"/>
      <c r="JYG1" s="220" t="s">
        <v>13331</v>
      </c>
      <c r="JYH1" s="221"/>
      <c r="JYI1" s="221"/>
      <c r="JYJ1" s="222"/>
      <c r="JYK1" s="220" t="s">
        <v>13331</v>
      </c>
      <c r="JYL1" s="221"/>
      <c r="JYM1" s="221"/>
      <c r="JYN1" s="222"/>
      <c r="JYO1" s="220" t="s">
        <v>13331</v>
      </c>
      <c r="JYP1" s="221"/>
      <c r="JYQ1" s="221"/>
      <c r="JYR1" s="222"/>
      <c r="JYS1" s="220" t="s">
        <v>13331</v>
      </c>
      <c r="JYT1" s="221"/>
      <c r="JYU1" s="221"/>
      <c r="JYV1" s="222"/>
      <c r="JYW1" s="220" t="s">
        <v>13331</v>
      </c>
      <c r="JYX1" s="221"/>
      <c r="JYY1" s="221"/>
      <c r="JYZ1" s="222"/>
      <c r="JZA1" s="220" t="s">
        <v>13331</v>
      </c>
      <c r="JZB1" s="221"/>
      <c r="JZC1" s="221"/>
      <c r="JZD1" s="222"/>
      <c r="JZE1" s="220" t="s">
        <v>13331</v>
      </c>
      <c r="JZF1" s="221"/>
      <c r="JZG1" s="221"/>
      <c r="JZH1" s="222"/>
      <c r="JZI1" s="220" t="s">
        <v>13331</v>
      </c>
      <c r="JZJ1" s="221"/>
      <c r="JZK1" s="221"/>
      <c r="JZL1" s="222"/>
      <c r="JZM1" s="220" t="s">
        <v>13331</v>
      </c>
      <c r="JZN1" s="221"/>
      <c r="JZO1" s="221"/>
      <c r="JZP1" s="222"/>
      <c r="JZQ1" s="220" t="s">
        <v>13331</v>
      </c>
      <c r="JZR1" s="221"/>
      <c r="JZS1" s="221"/>
      <c r="JZT1" s="222"/>
      <c r="JZU1" s="220" t="s">
        <v>13331</v>
      </c>
      <c r="JZV1" s="221"/>
      <c r="JZW1" s="221"/>
      <c r="JZX1" s="222"/>
      <c r="JZY1" s="220" t="s">
        <v>13331</v>
      </c>
      <c r="JZZ1" s="221"/>
      <c r="KAA1" s="221"/>
      <c r="KAB1" s="222"/>
      <c r="KAC1" s="220" t="s">
        <v>13331</v>
      </c>
      <c r="KAD1" s="221"/>
      <c r="KAE1" s="221"/>
      <c r="KAF1" s="222"/>
      <c r="KAG1" s="220" t="s">
        <v>13331</v>
      </c>
      <c r="KAH1" s="221"/>
      <c r="KAI1" s="221"/>
      <c r="KAJ1" s="222"/>
      <c r="KAK1" s="220" t="s">
        <v>13331</v>
      </c>
      <c r="KAL1" s="221"/>
      <c r="KAM1" s="221"/>
      <c r="KAN1" s="222"/>
      <c r="KAO1" s="220" t="s">
        <v>13331</v>
      </c>
      <c r="KAP1" s="221"/>
      <c r="KAQ1" s="221"/>
      <c r="KAR1" s="222"/>
      <c r="KAS1" s="220" t="s">
        <v>13331</v>
      </c>
      <c r="KAT1" s="221"/>
      <c r="KAU1" s="221"/>
      <c r="KAV1" s="222"/>
      <c r="KAW1" s="220" t="s">
        <v>13331</v>
      </c>
      <c r="KAX1" s="221"/>
      <c r="KAY1" s="221"/>
      <c r="KAZ1" s="222"/>
      <c r="KBA1" s="220" t="s">
        <v>13331</v>
      </c>
      <c r="KBB1" s="221"/>
      <c r="KBC1" s="221"/>
      <c r="KBD1" s="222"/>
      <c r="KBE1" s="220" t="s">
        <v>13331</v>
      </c>
      <c r="KBF1" s="221"/>
      <c r="KBG1" s="221"/>
      <c r="KBH1" s="222"/>
      <c r="KBI1" s="220" t="s">
        <v>13331</v>
      </c>
      <c r="KBJ1" s="221"/>
      <c r="KBK1" s="221"/>
      <c r="KBL1" s="222"/>
      <c r="KBM1" s="220" t="s">
        <v>13331</v>
      </c>
      <c r="KBN1" s="221"/>
      <c r="KBO1" s="221"/>
      <c r="KBP1" s="222"/>
      <c r="KBQ1" s="220" t="s">
        <v>13331</v>
      </c>
      <c r="KBR1" s="221"/>
      <c r="KBS1" s="221"/>
      <c r="KBT1" s="222"/>
      <c r="KBU1" s="220" t="s">
        <v>13331</v>
      </c>
      <c r="KBV1" s="221"/>
      <c r="KBW1" s="221"/>
      <c r="KBX1" s="222"/>
      <c r="KBY1" s="220" t="s">
        <v>13331</v>
      </c>
      <c r="KBZ1" s="221"/>
      <c r="KCA1" s="221"/>
      <c r="KCB1" s="222"/>
      <c r="KCC1" s="220" t="s">
        <v>13331</v>
      </c>
      <c r="KCD1" s="221"/>
      <c r="KCE1" s="221"/>
      <c r="KCF1" s="222"/>
      <c r="KCG1" s="220" t="s">
        <v>13331</v>
      </c>
      <c r="KCH1" s="221"/>
      <c r="KCI1" s="221"/>
      <c r="KCJ1" s="222"/>
      <c r="KCK1" s="220" t="s">
        <v>13331</v>
      </c>
      <c r="KCL1" s="221"/>
      <c r="KCM1" s="221"/>
      <c r="KCN1" s="222"/>
      <c r="KCO1" s="220" t="s">
        <v>13331</v>
      </c>
      <c r="KCP1" s="221"/>
      <c r="KCQ1" s="221"/>
      <c r="KCR1" s="222"/>
      <c r="KCS1" s="220" t="s">
        <v>13331</v>
      </c>
      <c r="KCT1" s="221"/>
      <c r="KCU1" s="221"/>
      <c r="KCV1" s="222"/>
      <c r="KCW1" s="220" t="s">
        <v>13331</v>
      </c>
      <c r="KCX1" s="221"/>
      <c r="KCY1" s="221"/>
      <c r="KCZ1" s="222"/>
      <c r="KDA1" s="220" t="s">
        <v>13331</v>
      </c>
      <c r="KDB1" s="221"/>
      <c r="KDC1" s="221"/>
      <c r="KDD1" s="222"/>
      <c r="KDE1" s="220" t="s">
        <v>13331</v>
      </c>
      <c r="KDF1" s="221"/>
      <c r="KDG1" s="221"/>
      <c r="KDH1" s="222"/>
      <c r="KDI1" s="220" t="s">
        <v>13331</v>
      </c>
      <c r="KDJ1" s="221"/>
      <c r="KDK1" s="221"/>
      <c r="KDL1" s="222"/>
      <c r="KDM1" s="220" t="s">
        <v>13331</v>
      </c>
      <c r="KDN1" s="221"/>
      <c r="KDO1" s="221"/>
      <c r="KDP1" s="222"/>
      <c r="KDQ1" s="220" t="s">
        <v>13331</v>
      </c>
      <c r="KDR1" s="221"/>
      <c r="KDS1" s="221"/>
      <c r="KDT1" s="222"/>
      <c r="KDU1" s="220" t="s">
        <v>13331</v>
      </c>
      <c r="KDV1" s="221"/>
      <c r="KDW1" s="221"/>
      <c r="KDX1" s="222"/>
      <c r="KDY1" s="220" t="s">
        <v>13331</v>
      </c>
      <c r="KDZ1" s="221"/>
      <c r="KEA1" s="221"/>
      <c r="KEB1" s="222"/>
      <c r="KEC1" s="220" t="s">
        <v>13331</v>
      </c>
      <c r="KED1" s="221"/>
      <c r="KEE1" s="221"/>
      <c r="KEF1" s="222"/>
      <c r="KEG1" s="220" t="s">
        <v>13331</v>
      </c>
      <c r="KEH1" s="221"/>
      <c r="KEI1" s="221"/>
      <c r="KEJ1" s="222"/>
      <c r="KEK1" s="220" t="s">
        <v>13331</v>
      </c>
      <c r="KEL1" s="221"/>
      <c r="KEM1" s="221"/>
      <c r="KEN1" s="222"/>
      <c r="KEO1" s="220" t="s">
        <v>13331</v>
      </c>
      <c r="KEP1" s="221"/>
      <c r="KEQ1" s="221"/>
      <c r="KER1" s="222"/>
      <c r="KES1" s="220" t="s">
        <v>13331</v>
      </c>
      <c r="KET1" s="221"/>
      <c r="KEU1" s="221"/>
      <c r="KEV1" s="222"/>
      <c r="KEW1" s="220" t="s">
        <v>13331</v>
      </c>
      <c r="KEX1" s="221"/>
      <c r="KEY1" s="221"/>
      <c r="KEZ1" s="222"/>
      <c r="KFA1" s="220" t="s">
        <v>13331</v>
      </c>
      <c r="KFB1" s="221"/>
      <c r="KFC1" s="221"/>
      <c r="KFD1" s="222"/>
      <c r="KFE1" s="220" t="s">
        <v>13331</v>
      </c>
      <c r="KFF1" s="221"/>
      <c r="KFG1" s="221"/>
      <c r="KFH1" s="222"/>
      <c r="KFI1" s="220" t="s">
        <v>13331</v>
      </c>
      <c r="KFJ1" s="221"/>
      <c r="KFK1" s="221"/>
      <c r="KFL1" s="222"/>
      <c r="KFM1" s="220" t="s">
        <v>13331</v>
      </c>
      <c r="KFN1" s="221"/>
      <c r="KFO1" s="221"/>
      <c r="KFP1" s="222"/>
      <c r="KFQ1" s="220" t="s">
        <v>13331</v>
      </c>
      <c r="KFR1" s="221"/>
      <c r="KFS1" s="221"/>
      <c r="KFT1" s="222"/>
      <c r="KFU1" s="220" t="s">
        <v>13331</v>
      </c>
      <c r="KFV1" s="221"/>
      <c r="KFW1" s="221"/>
      <c r="KFX1" s="222"/>
      <c r="KFY1" s="220" t="s">
        <v>13331</v>
      </c>
      <c r="KFZ1" s="221"/>
      <c r="KGA1" s="221"/>
      <c r="KGB1" s="222"/>
      <c r="KGC1" s="220" t="s">
        <v>13331</v>
      </c>
      <c r="KGD1" s="221"/>
      <c r="KGE1" s="221"/>
      <c r="KGF1" s="222"/>
      <c r="KGG1" s="220" t="s">
        <v>13331</v>
      </c>
      <c r="KGH1" s="221"/>
      <c r="KGI1" s="221"/>
      <c r="KGJ1" s="222"/>
      <c r="KGK1" s="220" t="s">
        <v>13331</v>
      </c>
      <c r="KGL1" s="221"/>
      <c r="KGM1" s="221"/>
      <c r="KGN1" s="222"/>
      <c r="KGO1" s="220" t="s">
        <v>13331</v>
      </c>
      <c r="KGP1" s="221"/>
      <c r="KGQ1" s="221"/>
      <c r="KGR1" s="222"/>
      <c r="KGS1" s="220" t="s">
        <v>13331</v>
      </c>
      <c r="KGT1" s="221"/>
      <c r="KGU1" s="221"/>
      <c r="KGV1" s="222"/>
      <c r="KGW1" s="220" t="s">
        <v>13331</v>
      </c>
      <c r="KGX1" s="221"/>
      <c r="KGY1" s="221"/>
      <c r="KGZ1" s="222"/>
      <c r="KHA1" s="220" t="s">
        <v>13331</v>
      </c>
      <c r="KHB1" s="221"/>
      <c r="KHC1" s="221"/>
      <c r="KHD1" s="222"/>
      <c r="KHE1" s="220" t="s">
        <v>13331</v>
      </c>
      <c r="KHF1" s="221"/>
      <c r="KHG1" s="221"/>
      <c r="KHH1" s="222"/>
      <c r="KHI1" s="220" t="s">
        <v>13331</v>
      </c>
      <c r="KHJ1" s="221"/>
      <c r="KHK1" s="221"/>
      <c r="KHL1" s="222"/>
      <c r="KHM1" s="220" t="s">
        <v>13331</v>
      </c>
      <c r="KHN1" s="221"/>
      <c r="KHO1" s="221"/>
      <c r="KHP1" s="222"/>
      <c r="KHQ1" s="220" t="s">
        <v>13331</v>
      </c>
      <c r="KHR1" s="221"/>
      <c r="KHS1" s="221"/>
      <c r="KHT1" s="222"/>
      <c r="KHU1" s="220" t="s">
        <v>13331</v>
      </c>
      <c r="KHV1" s="221"/>
      <c r="KHW1" s="221"/>
      <c r="KHX1" s="222"/>
      <c r="KHY1" s="220" t="s">
        <v>13331</v>
      </c>
      <c r="KHZ1" s="221"/>
      <c r="KIA1" s="221"/>
      <c r="KIB1" s="222"/>
      <c r="KIC1" s="220" t="s">
        <v>13331</v>
      </c>
      <c r="KID1" s="221"/>
      <c r="KIE1" s="221"/>
      <c r="KIF1" s="222"/>
      <c r="KIG1" s="220" t="s">
        <v>13331</v>
      </c>
      <c r="KIH1" s="221"/>
      <c r="KII1" s="221"/>
      <c r="KIJ1" s="222"/>
      <c r="KIK1" s="220" t="s">
        <v>13331</v>
      </c>
      <c r="KIL1" s="221"/>
      <c r="KIM1" s="221"/>
      <c r="KIN1" s="222"/>
      <c r="KIO1" s="220" t="s">
        <v>13331</v>
      </c>
      <c r="KIP1" s="221"/>
      <c r="KIQ1" s="221"/>
      <c r="KIR1" s="222"/>
      <c r="KIS1" s="220" t="s">
        <v>13331</v>
      </c>
      <c r="KIT1" s="221"/>
      <c r="KIU1" s="221"/>
      <c r="KIV1" s="222"/>
      <c r="KIW1" s="220" t="s">
        <v>13331</v>
      </c>
      <c r="KIX1" s="221"/>
      <c r="KIY1" s="221"/>
      <c r="KIZ1" s="222"/>
      <c r="KJA1" s="220" t="s">
        <v>13331</v>
      </c>
      <c r="KJB1" s="221"/>
      <c r="KJC1" s="221"/>
      <c r="KJD1" s="222"/>
      <c r="KJE1" s="220" t="s">
        <v>13331</v>
      </c>
      <c r="KJF1" s="221"/>
      <c r="KJG1" s="221"/>
      <c r="KJH1" s="222"/>
      <c r="KJI1" s="220" t="s">
        <v>13331</v>
      </c>
      <c r="KJJ1" s="221"/>
      <c r="KJK1" s="221"/>
      <c r="KJL1" s="222"/>
      <c r="KJM1" s="220" t="s">
        <v>13331</v>
      </c>
      <c r="KJN1" s="221"/>
      <c r="KJO1" s="221"/>
      <c r="KJP1" s="222"/>
      <c r="KJQ1" s="220" t="s">
        <v>13331</v>
      </c>
      <c r="KJR1" s="221"/>
      <c r="KJS1" s="221"/>
      <c r="KJT1" s="222"/>
      <c r="KJU1" s="220" t="s">
        <v>13331</v>
      </c>
      <c r="KJV1" s="221"/>
      <c r="KJW1" s="221"/>
      <c r="KJX1" s="222"/>
      <c r="KJY1" s="220" t="s">
        <v>13331</v>
      </c>
      <c r="KJZ1" s="221"/>
      <c r="KKA1" s="221"/>
      <c r="KKB1" s="222"/>
      <c r="KKC1" s="220" t="s">
        <v>13331</v>
      </c>
      <c r="KKD1" s="221"/>
      <c r="KKE1" s="221"/>
      <c r="KKF1" s="222"/>
      <c r="KKG1" s="220" t="s">
        <v>13331</v>
      </c>
      <c r="KKH1" s="221"/>
      <c r="KKI1" s="221"/>
      <c r="KKJ1" s="222"/>
      <c r="KKK1" s="220" t="s">
        <v>13331</v>
      </c>
      <c r="KKL1" s="221"/>
      <c r="KKM1" s="221"/>
      <c r="KKN1" s="222"/>
      <c r="KKO1" s="220" t="s">
        <v>13331</v>
      </c>
      <c r="KKP1" s="221"/>
      <c r="KKQ1" s="221"/>
      <c r="KKR1" s="222"/>
      <c r="KKS1" s="220" t="s">
        <v>13331</v>
      </c>
      <c r="KKT1" s="221"/>
      <c r="KKU1" s="221"/>
      <c r="KKV1" s="222"/>
      <c r="KKW1" s="220" t="s">
        <v>13331</v>
      </c>
      <c r="KKX1" s="221"/>
      <c r="KKY1" s="221"/>
      <c r="KKZ1" s="222"/>
      <c r="KLA1" s="220" t="s">
        <v>13331</v>
      </c>
      <c r="KLB1" s="221"/>
      <c r="KLC1" s="221"/>
      <c r="KLD1" s="222"/>
      <c r="KLE1" s="220" t="s">
        <v>13331</v>
      </c>
      <c r="KLF1" s="221"/>
      <c r="KLG1" s="221"/>
      <c r="KLH1" s="222"/>
      <c r="KLI1" s="220" t="s">
        <v>13331</v>
      </c>
      <c r="KLJ1" s="221"/>
      <c r="KLK1" s="221"/>
      <c r="KLL1" s="222"/>
      <c r="KLM1" s="220" t="s">
        <v>13331</v>
      </c>
      <c r="KLN1" s="221"/>
      <c r="KLO1" s="221"/>
      <c r="KLP1" s="222"/>
      <c r="KLQ1" s="220" t="s">
        <v>13331</v>
      </c>
      <c r="KLR1" s="221"/>
      <c r="KLS1" s="221"/>
      <c r="KLT1" s="222"/>
      <c r="KLU1" s="220" t="s">
        <v>13331</v>
      </c>
      <c r="KLV1" s="221"/>
      <c r="KLW1" s="221"/>
      <c r="KLX1" s="222"/>
      <c r="KLY1" s="220" t="s">
        <v>13331</v>
      </c>
      <c r="KLZ1" s="221"/>
      <c r="KMA1" s="221"/>
      <c r="KMB1" s="222"/>
      <c r="KMC1" s="220" t="s">
        <v>13331</v>
      </c>
      <c r="KMD1" s="221"/>
      <c r="KME1" s="221"/>
      <c r="KMF1" s="222"/>
      <c r="KMG1" s="220" t="s">
        <v>13331</v>
      </c>
      <c r="KMH1" s="221"/>
      <c r="KMI1" s="221"/>
      <c r="KMJ1" s="222"/>
      <c r="KMK1" s="220" t="s">
        <v>13331</v>
      </c>
      <c r="KML1" s="221"/>
      <c r="KMM1" s="221"/>
      <c r="KMN1" s="222"/>
      <c r="KMO1" s="220" t="s">
        <v>13331</v>
      </c>
      <c r="KMP1" s="221"/>
      <c r="KMQ1" s="221"/>
      <c r="KMR1" s="222"/>
      <c r="KMS1" s="220" t="s">
        <v>13331</v>
      </c>
      <c r="KMT1" s="221"/>
      <c r="KMU1" s="221"/>
      <c r="KMV1" s="222"/>
      <c r="KMW1" s="220" t="s">
        <v>13331</v>
      </c>
      <c r="KMX1" s="221"/>
      <c r="KMY1" s="221"/>
      <c r="KMZ1" s="222"/>
      <c r="KNA1" s="220" t="s">
        <v>13331</v>
      </c>
      <c r="KNB1" s="221"/>
      <c r="KNC1" s="221"/>
      <c r="KND1" s="222"/>
      <c r="KNE1" s="220" t="s">
        <v>13331</v>
      </c>
      <c r="KNF1" s="221"/>
      <c r="KNG1" s="221"/>
      <c r="KNH1" s="222"/>
      <c r="KNI1" s="220" t="s">
        <v>13331</v>
      </c>
      <c r="KNJ1" s="221"/>
      <c r="KNK1" s="221"/>
      <c r="KNL1" s="222"/>
      <c r="KNM1" s="220" t="s">
        <v>13331</v>
      </c>
      <c r="KNN1" s="221"/>
      <c r="KNO1" s="221"/>
      <c r="KNP1" s="222"/>
      <c r="KNQ1" s="220" t="s">
        <v>13331</v>
      </c>
      <c r="KNR1" s="221"/>
      <c r="KNS1" s="221"/>
      <c r="KNT1" s="222"/>
      <c r="KNU1" s="220" t="s">
        <v>13331</v>
      </c>
      <c r="KNV1" s="221"/>
      <c r="KNW1" s="221"/>
      <c r="KNX1" s="222"/>
      <c r="KNY1" s="220" t="s">
        <v>13331</v>
      </c>
      <c r="KNZ1" s="221"/>
      <c r="KOA1" s="221"/>
      <c r="KOB1" s="222"/>
      <c r="KOC1" s="220" t="s">
        <v>13331</v>
      </c>
      <c r="KOD1" s="221"/>
      <c r="KOE1" s="221"/>
      <c r="KOF1" s="222"/>
      <c r="KOG1" s="220" t="s">
        <v>13331</v>
      </c>
      <c r="KOH1" s="221"/>
      <c r="KOI1" s="221"/>
      <c r="KOJ1" s="222"/>
      <c r="KOK1" s="220" t="s">
        <v>13331</v>
      </c>
      <c r="KOL1" s="221"/>
      <c r="KOM1" s="221"/>
      <c r="KON1" s="222"/>
      <c r="KOO1" s="220" t="s">
        <v>13331</v>
      </c>
      <c r="KOP1" s="221"/>
      <c r="KOQ1" s="221"/>
      <c r="KOR1" s="222"/>
      <c r="KOS1" s="220" t="s">
        <v>13331</v>
      </c>
      <c r="KOT1" s="221"/>
      <c r="KOU1" s="221"/>
      <c r="KOV1" s="222"/>
      <c r="KOW1" s="220" t="s">
        <v>13331</v>
      </c>
      <c r="KOX1" s="221"/>
      <c r="KOY1" s="221"/>
      <c r="KOZ1" s="222"/>
      <c r="KPA1" s="220" t="s">
        <v>13331</v>
      </c>
      <c r="KPB1" s="221"/>
      <c r="KPC1" s="221"/>
      <c r="KPD1" s="222"/>
      <c r="KPE1" s="220" t="s">
        <v>13331</v>
      </c>
      <c r="KPF1" s="221"/>
      <c r="KPG1" s="221"/>
      <c r="KPH1" s="222"/>
      <c r="KPI1" s="220" t="s">
        <v>13331</v>
      </c>
      <c r="KPJ1" s="221"/>
      <c r="KPK1" s="221"/>
      <c r="KPL1" s="222"/>
      <c r="KPM1" s="220" t="s">
        <v>13331</v>
      </c>
      <c r="KPN1" s="221"/>
      <c r="KPO1" s="221"/>
      <c r="KPP1" s="222"/>
      <c r="KPQ1" s="220" t="s">
        <v>13331</v>
      </c>
      <c r="KPR1" s="221"/>
      <c r="KPS1" s="221"/>
      <c r="KPT1" s="222"/>
      <c r="KPU1" s="220" t="s">
        <v>13331</v>
      </c>
      <c r="KPV1" s="221"/>
      <c r="KPW1" s="221"/>
      <c r="KPX1" s="222"/>
      <c r="KPY1" s="220" t="s">
        <v>13331</v>
      </c>
      <c r="KPZ1" s="221"/>
      <c r="KQA1" s="221"/>
      <c r="KQB1" s="222"/>
      <c r="KQC1" s="220" t="s">
        <v>13331</v>
      </c>
      <c r="KQD1" s="221"/>
      <c r="KQE1" s="221"/>
      <c r="KQF1" s="222"/>
      <c r="KQG1" s="220" t="s">
        <v>13331</v>
      </c>
      <c r="KQH1" s="221"/>
      <c r="KQI1" s="221"/>
      <c r="KQJ1" s="222"/>
      <c r="KQK1" s="220" t="s">
        <v>13331</v>
      </c>
      <c r="KQL1" s="221"/>
      <c r="KQM1" s="221"/>
      <c r="KQN1" s="222"/>
      <c r="KQO1" s="220" t="s">
        <v>13331</v>
      </c>
      <c r="KQP1" s="221"/>
      <c r="KQQ1" s="221"/>
      <c r="KQR1" s="222"/>
      <c r="KQS1" s="220" t="s">
        <v>13331</v>
      </c>
      <c r="KQT1" s="221"/>
      <c r="KQU1" s="221"/>
      <c r="KQV1" s="222"/>
      <c r="KQW1" s="220" t="s">
        <v>13331</v>
      </c>
      <c r="KQX1" s="221"/>
      <c r="KQY1" s="221"/>
      <c r="KQZ1" s="222"/>
      <c r="KRA1" s="220" t="s">
        <v>13331</v>
      </c>
      <c r="KRB1" s="221"/>
      <c r="KRC1" s="221"/>
      <c r="KRD1" s="222"/>
      <c r="KRE1" s="220" t="s">
        <v>13331</v>
      </c>
      <c r="KRF1" s="221"/>
      <c r="KRG1" s="221"/>
      <c r="KRH1" s="222"/>
      <c r="KRI1" s="220" t="s">
        <v>13331</v>
      </c>
      <c r="KRJ1" s="221"/>
      <c r="KRK1" s="221"/>
      <c r="KRL1" s="222"/>
      <c r="KRM1" s="220" t="s">
        <v>13331</v>
      </c>
      <c r="KRN1" s="221"/>
      <c r="KRO1" s="221"/>
      <c r="KRP1" s="222"/>
      <c r="KRQ1" s="220" t="s">
        <v>13331</v>
      </c>
      <c r="KRR1" s="221"/>
      <c r="KRS1" s="221"/>
      <c r="KRT1" s="222"/>
      <c r="KRU1" s="220" t="s">
        <v>13331</v>
      </c>
      <c r="KRV1" s="221"/>
      <c r="KRW1" s="221"/>
      <c r="KRX1" s="222"/>
      <c r="KRY1" s="220" t="s">
        <v>13331</v>
      </c>
      <c r="KRZ1" s="221"/>
      <c r="KSA1" s="221"/>
      <c r="KSB1" s="222"/>
      <c r="KSC1" s="220" t="s">
        <v>13331</v>
      </c>
      <c r="KSD1" s="221"/>
      <c r="KSE1" s="221"/>
      <c r="KSF1" s="222"/>
      <c r="KSG1" s="220" t="s">
        <v>13331</v>
      </c>
      <c r="KSH1" s="221"/>
      <c r="KSI1" s="221"/>
      <c r="KSJ1" s="222"/>
      <c r="KSK1" s="220" t="s">
        <v>13331</v>
      </c>
      <c r="KSL1" s="221"/>
      <c r="KSM1" s="221"/>
      <c r="KSN1" s="222"/>
      <c r="KSO1" s="220" t="s">
        <v>13331</v>
      </c>
      <c r="KSP1" s="221"/>
      <c r="KSQ1" s="221"/>
      <c r="KSR1" s="222"/>
      <c r="KSS1" s="220" t="s">
        <v>13331</v>
      </c>
      <c r="KST1" s="221"/>
      <c r="KSU1" s="221"/>
      <c r="KSV1" s="222"/>
      <c r="KSW1" s="220" t="s">
        <v>13331</v>
      </c>
      <c r="KSX1" s="221"/>
      <c r="KSY1" s="221"/>
      <c r="KSZ1" s="222"/>
      <c r="KTA1" s="220" t="s">
        <v>13331</v>
      </c>
      <c r="KTB1" s="221"/>
      <c r="KTC1" s="221"/>
      <c r="KTD1" s="222"/>
      <c r="KTE1" s="220" t="s">
        <v>13331</v>
      </c>
      <c r="KTF1" s="221"/>
      <c r="KTG1" s="221"/>
      <c r="KTH1" s="222"/>
      <c r="KTI1" s="220" t="s">
        <v>13331</v>
      </c>
      <c r="KTJ1" s="221"/>
      <c r="KTK1" s="221"/>
      <c r="KTL1" s="222"/>
      <c r="KTM1" s="220" t="s">
        <v>13331</v>
      </c>
      <c r="KTN1" s="221"/>
      <c r="KTO1" s="221"/>
      <c r="KTP1" s="222"/>
      <c r="KTQ1" s="220" t="s">
        <v>13331</v>
      </c>
      <c r="KTR1" s="221"/>
      <c r="KTS1" s="221"/>
      <c r="KTT1" s="222"/>
      <c r="KTU1" s="220" t="s">
        <v>13331</v>
      </c>
      <c r="KTV1" s="221"/>
      <c r="KTW1" s="221"/>
      <c r="KTX1" s="222"/>
      <c r="KTY1" s="220" t="s">
        <v>13331</v>
      </c>
      <c r="KTZ1" s="221"/>
      <c r="KUA1" s="221"/>
      <c r="KUB1" s="222"/>
      <c r="KUC1" s="220" t="s">
        <v>13331</v>
      </c>
      <c r="KUD1" s="221"/>
      <c r="KUE1" s="221"/>
      <c r="KUF1" s="222"/>
      <c r="KUG1" s="220" t="s">
        <v>13331</v>
      </c>
      <c r="KUH1" s="221"/>
      <c r="KUI1" s="221"/>
      <c r="KUJ1" s="222"/>
      <c r="KUK1" s="220" t="s">
        <v>13331</v>
      </c>
      <c r="KUL1" s="221"/>
      <c r="KUM1" s="221"/>
      <c r="KUN1" s="222"/>
      <c r="KUO1" s="220" t="s">
        <v>13331</v>
      </c>
      <c r="KUP1" s="221"/>
      <c r="KUQ1" s="221"/>
      <c r="KUR1" s="222"/>
      <c r="KUS1" s="220" t="s">
        <v>13331</v>
      </c>
      <c r="KUT1" s="221"/>
      <c r="KUU1" s="221"/>
      <c r="KUV1" s="222"/>
      <c r="KUW1" s="220" t="s">
        <v>13331</v>
      </c>
      <c r="KUX1" s="221"/>
      <c r="KUY1" s="221"/>
      <c r="KUZ1" s="222"/>
      <c r="KVA1" s="220" t="s">
        <v>13331</v>
      </c>
      <c r="KVB1" s="221"/>
      <c r="KVC1" s="221"/>
      <c r="KVD1" s="222"/>
      <c r="KVE1" s="220" t="s">
        <v>13331</v>
      </c>
      <c r="KVF1" s="221"/>
      <c r="KVG1" s="221"/>
      <c r="KVH1" s="222"/>
      <c r="KVI1" s="220" t="s">
        <v>13331</v>
      </c>
      <c r="KVJ1" s="221"/>
      <c r="KVK1" s="221"/>
      <c r="KVL1" s="222"/>
      <c r="KVM1" s="220" t="s">
        <v>13331</v>
      </c>
      <c r="KVN1" s="221"/>
      <c r="KVO1" s="221"/>
      <c r="KVP1" s="222"/>
      <c r="KVQ1" s="220" t="s">
        <v>13331</v>
      </c>
      <c r="KVR1" s="221"/>
      <c r="KVS1" s="221"/>
      <c r="KVT1" s="222"/>
      <c r="KVU1" s="220" t="s">
        <v>13331</v>
      </c>
      <c r="KVV1" s="221"/>
      <c r="KVW1" s="221"/>
      <c r="KVX1" s="222"/>
      <c r="KVY1" s="220" t="s">
        <v>13331</v>
      </c>
      <c r="KVZ1" s="221"/>
      <c r="KWA1" s="221"/>
      <c r="KWB1" s="222"/>
      <c r="KWC1" s="220" t="s">
        <v>13331</v>
      </c>
      <c r="KWD1" s="221"/>
      <c r="KWE1" s="221"/>
      <c r="KWF1" s="222"/>
      <c r="KWG1" s="220" t="s">
        <v>13331</v>
      </c>
      <c r="KWH1" s="221"/>
      <c r="KWI1" s="221"/>
      <c r="KWJ1" s="222"/>
      <c r="KWK1" s="220" t="s">
        <v>13331</v>
      </c>
      <c r="KWL1" s="221"/>
      <c r="KWM1" s="221"/>
      <c r="KWN1" s="222"/>
      <c r="KWO1" s="220" t="s">
        <v>13331</v>
      </c>
      <c r="KWP1" s="221"/>
      <c r="KWQ1" s="221"/>
      <c r="KWR1" s="222"/>
      <c r="KWS1" s="220" t="s">
        <v>13331</v>
      </c>
      <c r="KWT1" s="221"/>
      <c r="KWU1" s="221"/>
      <c r="KWV1" s="222"/>
      <c r="KWW1" s="220" t="s">
        <v>13331</v>
      </c>
      <c r="KWX1" s="221"/>
      <c r="KWY1" s="221"/>
      <c r="KWZ1" s="222"/>
      <c r="KXA1" s="220" t="s">
        <v>13331</v>
      </c>
      <c r="KXB1" s="221"/>
      <c r="KXC1" s="221"/>
      <c r="KXD1" s="222"/>
      <c r="KXE1" s="220" t="s">
        <v>13331</v>
      </c>
      <c r="KXF1" s="221"/>
      <c r="KXG1" s="221"/>
      <c r="KXH1" s="222"/>
      <c r="KXI1" s="220" t="s">
        <v>13331</v>
      </c>
      <c r="KXJ1" s="221"/>
      <c r="KXK1" s="221"/>
      <c r="KXL1" s="222"/>
      <c r="KXM1" s="220" t="s">
        <v>13331</v>
      </c>
      <c r="KXN1" s="221"/>
      <c r="KXO1" s="221"/>
      <c r="KXP1" s="222"/>
      <c r="KXQ1" s="220" t="s">
        <v>13331</v>
      </c>
      <c r="KXR1" s="221"/>
      <c r="KXS1" s="221"/>
      <c r="KXT1" s="222"/>
      <c r="KXU1" s="220" t="s">
        <v>13331</v>
      </c>
      <c r="KXV1" s="221"/>
      <c r="KXW1" s="221"/>
      <c r="KXX1" s="222"/>
      <c r="KXY1" s="220" t="s">
        <v>13331</v>
      </c>
      <c r="KXZ1" s="221"/>
      <c r="KYA1" s="221"/>
      <c r="KYB1" s="222"/>
      <c r="KYC1" s="220" t="s">
        <v>13331</v>
      </c>
      <c r="KYD1" s="221"/>
      <c r="KYE1" s="221"/>
      <c r="KYF1" s="222"/>
      <c r="KYG1" s="220" t="s">
        <v>13331</v>
      </c>
      <c r="KYH1" s="221"/>
      <c r="KYI1" s="221"/>
      <c r="KYJ1" s="222"/>
      <c r="KYK1" s="220" t="s">
        <v>13331</v>
      </c>
      <c r="KYL1" s="221"/>
      <c r="KYM1" s="221"/>
      <c r="KYN1" s="222"/>
      <c r="KYO1" s="220" t="s">
        <v>13331</v>
      </c>
      <c r="KYP1" s="221"/>
      <c r="KYQ1" s="221"/>
      <c r="KYR1" s="222"/>
      <c r="KYS1" s="220" t="s">
        <v>13331</v>
      </c>
      <c r="KYT1" s="221"/>
      <c r="KYU1" s="221"/>
      <c r="KYV1" s="222"/>
      <c r="KYW1" s="220" t="s">
        <v>13331</v>
      </c>
      <c r="KYX1" s="221"/>
      <c r="KYY1" s="221"/>
      <c r="KYZ1" s="222"/>
      <c r="KZA1" s="220" t="s">
        <v>13331</v>
      </c>
      <c r="KZB1" s="221"/>
      <c r="KZC1" s="221"/>
      <c r="KZD1" s="222"/>
      <c r="KZE1" s="220" t="s">
        <v>13331</v>
      </c>
      <c r="KZF1" s="221"/>
      <c r="KZG1" s="221"/>
      <c r="KZH1" s="222"/>
      <c r="KZI1" s="220" t="s">
        <v>13331</v>
      </c>
      <c r="KZJ1" s="221"/>
      <c r="KZK1" s="221"/>
      <c r="KZL1" s="222"/>
      <c r="KZM1" s="220" t="s">
        <v>13331</v>
      </c>
      <c r="KZN1" s="221"/>
      <c r="KZO1" s="221"/>
      <c r="KZP1" s="222"/>
      <c r="KZQ1" s="220" t="s">
        <v>13331</v>
      </c>
      <c r="KZR1" s="221"/>
      <c r="KZS1" s="221"/>
      <c r="KZT1" s="222"/>
      <c r="KZU1" s="220" t="s">
        <v>13331</v>
      </c>
      <c r="KZV1" s="221"/>
      <c r="KZW1" s="221"/>
      <c r="KZX1" s="222"/>
      <c r="KZY1" s="220" t="s">
        <v>13331</v>
      </c>
      <c r="KZZ1" s="221"/>
      <c r="LAA1" s="221"/>
      <c r="LAB1" s="222"/>
      <c r="LAC1" s="220" t="s">
        <v>13331</v>
      </c>
      <c r="LAD1" s="221"/>
      <c r="LAE1" s="221"/>
      <c r="LAF1" s="222"/>
      <c r="LAG1" s="220" t="s">
        <v>13331</v>
      </c>
      <c r="LAH1" s="221"/>
      <c r="LAI1" s="221"/>
      <c r="LAJ1" s="222"/>
      <c r="LAK1" s="220" t="s">
        <v>13331</v>
      </c>
      <c r="LAL1" s="221"/>
      <c r="LAM1" s="221"/>
      <c r="LAN1" s="222"/>
      <c r="LAO1" s="220" t="s">
        <v>13331</v>
      </c>
      <c r="LAP1" s="221"/>
      <c r="LAQ1" s="221"/>
      <c r="LAR1" s="222"/>
      <c r="LAS1" s="220" t="s">
        <v>13331</v>
      </c>
      <c r="LAT1" s="221"/>
      <c r="LAU1" s="221"/>
      <c r="LAV1" s="222"/>
      <c r="LAW1" s="220" t="s">
        <v>13331</v>
      </c>
      <c r="LAX1" s="221"/>
      <c r="LAY1" s="221"/>
      <c r="LAZ1" s="222"/>
      <c r="LBA1" s="220" t="s">
        <v>13331</v>
      </c>
      <c r="LBB1" s="221"/>
      <c r="LBC1" s="221"/>
      <c r="LBD1" s="222"/>
      <c r="LBE1" s="220" t="s">
        <v>13331</v>
      </c>
      <c r="LBF1" s="221"/>
      <c r="LBG1" s="221"/>
      <c r="LBH1" s="222"/>
      <c r="LBI1" s="220" t="s">
        <v>13331</v>
      </c>
      <c r="LBJ1" s="221"/>
      <c r="LBK1" s="221"/>
      <c r="LBL1" s="222"/>
      <c r="LBM1" s="220" t="s">
        <v>13331</v>
      </c>
      <c r="LBN1" s="221"/>
      <c r="LBO1" s="221"/>
      <c r="LBP1" s="222"/>
      <c r="LBQ1" s="220" t="s">
        <v>13331</v>
      </c>
      <c r="LBR1" s="221"/>
      <c r="LBS1" s="221"/>
      <c r="LBT1" s="222"/>
      <c r="LBU1" s="220" t="s">
        <v>13331</v>
      </c>
      <c r="LBV1" s="221"/>
      <c r="LBW1" s="221"/>
      <c r="LBX1" s="222"/>
      <c r="LBY1" s="220" t="s">
        <v>13331</v>
      </c>
      <c r="LBZ1" s="221"/>
      <c r="LCA1" s="221"/>
      <c r="LCB1" s="222"/>
      <c r="LCC1" s="220" t="s">
        <v>13331</v>
      </c>
      <c r="LCD1" s="221"/>
      <c r="LCE1" s="221"/>
      <c r="LCF1" s="222"/>
      <c r="LCG1" s="220" t="s">
        <v>13331</v>
      </c>
      <c r="LCH1" s="221"/>
      <c r="LCI1" s="221"/>
      <c r="LCJ1" s="222"/>
      <c r="LCK1" s="220" t="s">
        <v>13331</v>
      </c>
      <c r="LCL1" s="221"/>
      <c r="LCM1" s="221"/>
      <c r="LCN1" s="222"/>
      <c r="LCO1" s="220" t="s">
        <v>13331</v>
      </c>
      <c r="LCP1" s="221"/>
      <c r="LCQ1" s="221"/>
      <c r="LCR1" s="222"/>
      <c r="LCS1" s="220" t="s">
        <v>13331</v>
      </c>
      <c r="LCT1" s="221"/>
      <c r="LCU1" s="221"/>
      <c r="LCV1" s="222"/>
      <c r="LCW1" s="220" t="s">
        <v>13331</v>
      </c>
      <c r="LCX1" s="221"/>
      <c r="LCY1" s="221"/>
      <c r="LCZ1" s="222"/>
      <c r="LDA1" s="220" t="s">
        <v>13331</v>
      </c>
      <c r="LDB1" s="221"/>
      <c r="LDC1" s="221"/>
      <c r="LDD1" s="222"/>
      <c r="LDE1" s="220" t="s">
        <v>13331</v>
      </c>
      <c r="LDF1" s="221"/>
      <c r="LDG1" s="221"/>
      <c r="LDH1" s="222"/>
      <c r="LDI1" s="220" t="s">
        <v>13331</v>
      </c>
      <c r="LDJ1" s="221"/>
      <c r="LDK1" s="221"/>
      <c r="LDL1" s="222"/>
      <c r="LDM1" s="220" t="s">
        <v>13331</v>
      </c>
      <c r="LDN1" s="221"/>
      <c r="LDO1" s="221"/>
      <c r="LDP1" s="222"/>
      <c r="LDQ1" s="220" t="s">
        <v>13331</v>
      </c>
      <c r="LDR1" s="221"/>
      <c r="LDS1" s="221"/>
      <c r="LDT1" s="222"/>
      <c r="LDU1" s="220" t="s">
        <v>13331</v>
      </c>
      <c r="LDV1" s="221"/>
      <c r="LDW1" s="221"/>
      <c r="LDX1" s="222"/>
      <c r="LDY1" s="220" t="s">
        <v>13331</v>
      </c>
      <c r="LDZ1" s="221"/>
      <c r="LEA1" s="221"/>
      <c r="LEB1" s="222"/>
      <c r="LEC1" s="220" t="s">
        <v>13331</v>
      </c>
      <c r="LED1" s="221"/>
      <c r="LEE1" s="221"/>
      <c r="LEF1" s="222"/>
      <c r="LEG1" s="220" t="s">
        <v>13331</v>
      </c>
      <c r="LEH1" s="221"/>
      <c r="LEI1" s="221"/>
      <c r="LEJ1" s="222"/>
      <c r="LEK1" s="220" t="s">
        <v>13331</v>
      </c>
      <c r="LEL1" s="221"/>
      <c r="LEM1" s="221"/>
      <c r="LEN1" s="222"/>
      <c r="LEO1" s="220" t="s">
        <v>13331</v>
      </c>
      <c r="LEP1" s="221"/>
      <c r="LEQ1" s="221"/>
      <c r="LER1" s="222"/>
      <c r="LES1" s="220" t="s">
        <v>13331</v>
      </c>
      <c r="LET1" s="221"/>
      <c r="LEU1" s="221"/>
      <c r="LEV1" s="222"/>
      <c r="LEW1" s="220" t="s">
        <v>13331</v>
      </c>
      <c r="LEX1" s="221"/>
      <c r="LEY1" s="221"/>
      <c r="LEZ1" s="222"/>
      <c r="LFA1" s="220" t="s">
        <v>13331</v>
      </c>
      <c r="LFB1" s="221"/>
      <c r="LFC1" s="221"/>
      <c r="LFD1" s="222"/>
      <c r="LFE1" s="220" t="s">
        <v>13331</v>
      </c>
      <c r="LFF1" s="221"/>
      <c r="LFG1" s="221"/>
      <c r="LFH1" s="222"/>
      <c r="LFI1" s="220" t="s">
        <v>13331</v>
      </c>
      <c r="LFJ1" s="221"/>
      <c r="LFK1" s="221"/>
      <c r="LFL1" s="222"/>
      <c r="LFM1" s="220" t="s">
        <v>13331</v>
      </c>
      <c r="LFN1" s="221"/>
      <c r="LFO1" s="221"/>
      <c r="LFP1" s="222"/>
      <c r="LFQ1" s="220" t="s">
        <v>13331</v>
      </c>
      <c r="LFR1" s="221"/>
      <c r="LFS1" s="221"/>
      <c r="LFT1" s="222"/>
      <c r="LFU1" s="220" t="s">
        <v>13331</v>
      </c>
      <c r="LFV1" s="221"/>
      <c r="LFW1" s="221"/>
      <c r="LFX1" s="222"/>
      <c r="LFY1" s="220" t="s">
        <v>13331</v>
      </c>
      <c r="LFZ1" s="221"/>
      <c r="LGA1" s="221"/>
      <c r="LGB1" s="222"/>
      <c r="LGC1" s="220" t="s">
        <v>13331</v>
      </c>
      <c r="LGD1" s="221"/>
      <c r="LGE1" s="221"/>
      <c r="LGF1" s="222"/>
      <c r="LGG1" s="220" t="s">
        <v>13331</v>
      </c>
      <c r="LGH1" s="221"/>
      <c r="LGI1" s="221"/>
      <c r="LGJ1" s="222"/>
      <c r="LGK1" s="220" t="s">
        <v>13331</v>
      </c>
      <c r="LGL1" s="221"/>
      <c r="LGM1" s="221"/>
      <c r="LGN1" s="222"/>
      <c r="LGO1" s="220" t="s">
        <v>13331</v>
      </c>
      <c r="LGP1" s="221"/>
      <c r="LGQ1" s="221"/>
      <c r="LGR1" s="222"/>
      <c r="LGS1" s="220" t="s">
        <v>13331</v>
      </c>
      <c r="LGT1" s="221"/>
      <c r="LGU1" s="221"/>
      <c r="LGV1" s="222"/>
      <c r="LGW1" s="220" t="s">
        <v>13331</v>
      </c>
      <c r="LGX1" s="221"/>
      <c r="LGY1" s="221"/>
      <c r="LGZ1" s="222"/>
      <c r="LHA1" s="220" t="s">
        <v>13331</v>
      </c>
      <c r="LHB1" s="221"/>
      <c r="LHC1" s="221"/>
      <c r="LHD1" s="222"/>
      <c r="LHE1" s="220" t="s">
        <v>13331</v>
      </c>
      <c r="LHF1" s="221"/>
      <c r="LHG1" s="221"/>
      <c r="LHH1" s="222"/>
      <c r="LHI1" s="220" t="s">
        <v>13331</v>
      </c>
      <c r="LHJ1" s="221"/>
      <c r="LHK1" s="221"/>
      <c r="LHL1" s="222"/>
      <c r="LHM1" s="220" t="s">
        <v>13331</v>
      </c>
      <c r="LHN1" s="221"/>
      <c r="LHO1" s="221"/>
      <c r="LHP1" s="222"/>
      <c r="LHQ1" s="220" t="s">
        <v>13331</v>
      </c>
      <c r="LHR1" s="221"/>
      <c r="LHS1" s="221"/>
      <c r="LHT1" s="222"/>
      <c r="LHU1" s="220" t="s">
        <v>13331</v>
      </c>
      <c r="LHV1" s="221"/>
      <c r="LHW1" s="221"/>
      <c r="LHX1" s="222"/>
      <c r="LHY1" s="220" t="s">
        <v>13331</v>
      </c>
      <c r="LHZ1" s="221"/>
      <c r="LIA1" s="221"/>
      <c r="LIB1" s="222"/>
      <c r="LIC1" s="220" t="s">
        <v>13331</v>
      </c>
      <c r="LID1" s="221"/>
      <c r="LIE1" s="221"/>
      <c r="LIF1" s="222"/>
      <c r="LIG1" s="220" t="s">
        <v>13331</v>
      </c>
      <c r="LIH1" s="221"/>
      <c r="LII1" s="221"/>
      <c r="LIJ1" s="222"/>
      <c r="LIK1" s="220" t="s">
        <v>13331</v>
      </c>
      <c r="LIL1" s="221"/>
      <c r="LIM1" s="221"/>
      <c r="LIN1" s="222"/>
      <c r="LIO1" s="220" t="s">
        <v>13331</v>
      </c>
      <c r="LIP1" s="221"/>
      <c r="LIQ1" s="221"/>
      <c r="LIR1" s="222"/>
      <c r="LIS1" s="220" t="s">
        <v>13331</v>
      </c>
      <c r="LIT1" s="221"/>
      <c r="LIU1" s="221"/>
      <c r="LIV1" s="222"/>
      <c r="LIW1" s="220" t="s">
        <v>13331</v>
      </c>
      <c r="LIX1" s="221"/>
      <c r="LIY1" s="221"/>
      <c r="LIZ1" s="222"/>
      <c r="LJA1" s="220" t="s">
        <v>13331</v>
      </c>
      <c r="LJB1" s="221"/>
      <c r="LJC1" s="221"/>
      <c r="LJD1" s="222"/>
      <c r="LJE1" s="220" t="s">
        <v>13331</v>
      </c>
      <c r="LJF1" s="221"/>
      <c r="LJG1" s="221"/>
      <c r="LJH1" s="222"/>
      <c r="LJI1" s="220" t="s">
        <v>13331</v>
      </c>
      <c r="LJJ1" s="221"/>
      <c r="LJK1" s="221"/>
      <c r="LJL1" s="222"/>
      <c r="LJM1" s="220" t="s">
        <v>13331</v>
      </c>
      <c r="LJN1" s="221"/>
      <c r="LJO1" s="221"/>
      <c r="LJP1" s="222"/>
      <c r="LJQ1" s="220" t="s">
        <v>13331</v>
      </c>
      <c r="LJR1" s="221"/>
      <c r="LJS1" s="221"/>
      <c r="LJT1" s="222"/>
      <c r="LJU1" s="220" t="s">
        <v>13331</v>
      </c>
      <c r="LJV1" s="221"/>
      <c r="LJW1" s="221"/>
      <c r="LJX1" s="222"/>
      <c r="LJY1" s="220" t="s">
        <v>13331</v>
      </c>
      <c r="LJZ1" s="221"/>
      <c r="LKA1" s="221"/>
      <c r="LKB1" s="222"/>
      <c r="LKC1" s="220" t="s">
        <v>13331</v>
      </c>
      <c r="LKD1" s="221"/>
      <c r="LKE1" s="221"/>
      <c r="LKF1" s="222"/>
      <c r="LKG1" s="220" t="s">
        <v>13331</v>
      </c>
      <c r="LKH1" s="221"/>
      <c r="LKI1" s="221"/>
      <c r="LKJ1" s="222"/>
      <c r="LKK1" s="220" t="s">
        <v>13331</v>
      </c>
      <c r="LKL1" s="221"/>
      <c r="LKM1" s="221"/>
      <c r="LKN1" s="222"/>
      <c r="LKO1" s="220" t="s">
        <v>13331</v>
      </c>
      <c r="LKP1" s="221"/>
      <c r="LKQ1" s="221"/>
      <c r="LKR1" s="222"/>
      <c r="LKS1" s="220" t="s">
        <v>13331</v>
      </c>
      <c r="LKT1" s="221"/>
      <c r="LKU1" s="221"/>
      <c r="LKV1" s="222"/>
      <c r="LKW1" s="220" t="s">
        <v>13331</v>
      </c>
      <c r="LKX1" s="221"/>
      <c r="LKY1" s="221"/>
      <c r="LKZ1" s="222"/>
      <c r="LLA1" s="220" t="s">
        <v>13331</v>
      </c>
      <c r="LLB1" s="221"/>
      <c r="LLC1" s="221"/>
      <c r="LLD1" s="222"/>
      <c r="LLE1" s="220" t="s">
        <v>13331</v>
      </c>
      <c r="LLF1" s="221"/>
      <c r="LLG1" s="221"/>
      <c r="LLH1" s="222"/>
      <c r="LLI1" s="220" t="s">
        <v>13331</v>
      </c>
      <c r="LLJ1" s="221"/>
      <c r="LLK1" s="221"/>
      <c r="LLL1" s="222"/>
      <c r="LLM1" s="220" t="s">
        <v>13331</v>
      </c>
      <c r="LLN1" s="221"/>
      <c r="LLO1" s="221"/>
      <c r="LLP1" s="222"/>
      <c r="LLQ1" s="220" t="s">
        <v>13331</v>
      </c>
      <c r="LLR1" s="221"/>
      <c r="LLS1" s="221"/>
      <c r="LLT1" s="222"/>
      <c r="LLU1" s="220" t="s">
        <v>13331</v>
      </c>
      <c r="LLV1" s="221"/>
      <c r="LLW1" s="221"/>
      <c r="LLX1" s="222"/>
      <c r="LLY1" s="220" t="s">
        <v>13331</v>
      </c>
      <c r="LLZ1" s="221"/>
      <c r="LMA1" s="221"/>
      <c r="LMB1" s="222"/>
      <c r="LMC1" s="220" t="s">
        <v>13331</v>
      </c>
      <c r="LMD1" s="221"/>
      <c r="LME1" s="221"/>
      <c r="LMF1" s="222"/>
      <c r="LMG1" s="220" t="s">
        <v>13331</v>
      </c>
      <c r="LMH1" s="221"/>
      <c r="LMI1" s="221"/>
      <c r="LMJ1" s="222"/>
      <c r="LMK1" s="220" t="s">
        <v>13331</v>
      </c>
      <c r="LML1" s="221"/>
      <c r="LMM1" s="221"/>
      <c r="LMN1" s="222"/>
      <c r="LMO1" s="220" t="s">
        <v>13331</v>
      </c>
      <c r="LMP1" s="221"/>
      <c r="LMQ1" s="221"/>
      <c r="LMR1" s="222"/>
      <c r="LMS1" s="220" t="s">
        <v>13331</v>
      </c>
      <c r="LMT1" s="221"/>
      <c r="LMU1" s="221"/>
      <c r="LMV1" s="222"/>
      <c r="LMW1" s="220" t="s">
        <v>13331</v>
      </c>
      <c r="LMX1" s="221"/>
      <c r="LMY1" s="221"/>
      <c r="LMZ1" s="222"/>
      <c r="LNA1" s="220" t="s">
        <v>13331</v>
      </c>
      <c r="LNB1" s="221"/>
      <c r="LNC1" s="221"/>
      <c r="LND1" s="222"/>
      <c r="LNE1" s="220" t="s">
        <v>13331</v>
      </c>
      <c r="LNF1" s="221"/>
      <c r="LNG1" s="221"/>
      <c r="LNH1" s="222"/>
      <c r="LNI1" s="220" t="s">
        <v>13331</v>
      </c>
      <c r="LNJ1" s="221"/>
      <c r="LNK1" s="221"/>
      <c r="LNL1" s="222"/>
      <c r="LNM1" s="220" t="s">
        <v>13331</v>
      </c>
      <c r="LNN1" s="221"/>
      <c r="LNO1" s="221"/>
      <c r="LNP1" s="222"/>
      <c r="LNQ1" s="220" t="s">
        <v>13331</v>
      </c>
      <c r="LNR1" s="221"/>
      <c r="LNS1" s="221"/>
      <c r="LNT1" s="222"/>
      <c r="LNU1" s="220" t="s">
        <v>13331</v>
      </c>
      <c r="LNV1" s="221"/>
      <c r="LNW1" s="221"/>
      <c r="LNX1" s="222"/>
      <c r="LNY1" s="220" t="s">
        <v>13331</v>
      </c>
      <c r="LNZ1" s="221"/>
      <c r="LOA1" s="221"/>
      <c r="LOB1" s="222"/>
      <c r="LOC1" s="220" t="s">
        <v>13331</v>
      </c>
      <c r="LOD1" s="221"/>
      <c r="LOE1" s="221"/>
      <c r="LOF1" s="222"/>
      <c r="LOG1" s="220" t="s">
        <v>13331</v>
      </c>
      <c r="LOH1" s="221"/>
      <c r="LOI1" s="221"/>
      <c r="LOJ1" s="222"/>
      <c r="LOK1" s="220" t="s">
        <v>13331</v>
      </c>
      <c r="LOL1" s="221"/>
      <c r="LOM1" s="221"/>
      <c r="LON1" s="222"/>
      <c r="LOO1" s="220" t="s">
        <v>13331</v>
      </c>
      <c r="LOP1" s="221"/>
      <c r="LOQ1" s="221"/>
      <c r="LOR1" s="222"/>
      <c r="LOS1" s="220" t="s">
        <v>13331</v>
      </c>
      <c r="LOT1" s="221"/>
      <c r="LOU1" s="221"/>
      <c r="LOV1" s="222"/>
      <c r="LOW1" s="220" t="s">
        <v>13331</v>
      </c>
      <c r="LOX1" s="221"/>
      <c r="LOY1" s="221"/>
      <c r="LOZ1" s="222"/>
      <c r="LPA1" s="220" t="s">
        <v>13331</v>
      </c>
      <c r="LPB1" s="221"/>
      <c r="LPC1" s="221"/>
      <c r="LPD1" s="222"/>
      <c r="LPE1" s="220" t="s">
        <v>13331</v>
      </c>
      <c r="LPF1" s="221"/>
      <c r="LPG1" s="221"/>
      <c r="LPH1" s="222"/>
      <c r="LPI1" s="220" t="s">
        <v>13331</v>
      </c>
      <c r="LPJ1" s="221"/>
      <c r="LPK1" s="221"/>
      <c r="LPL1" s="222"/>
      <c r="LPM1" s="220" t="s">
        <v>13331</v>
      </c>
      <c r="LPN1" s="221"/>
      <c r="LPO1" s="221"/>
      <c r="LPP1" s="222"/>
      <c r="LPQ1" s="220" t="s">
        <v>13331</v>
      </c>
      <c r="LPR1" s="221"/>
      <c r="LPS1" s="221"/>
      <c r="LPT1" s="222"/>
      <c r="LPU1" s="220" t="s">
        <v>13331</v>
      </c>
      <c r="LPV1" s="221"/>
      <c r="LPW1" s="221"/>
      <c r="LPX1" s="222"/>
      <c r="LPY1" s="220" t="s">
        <v>13331</v>
      </c>
      <c r="LPZ1" s="221"/>
      <c r="LQA1" s="221"/>
      <c r="LQB1" s="222"/>
      <c r="LQC1" s="220" t="s">
        <v>13331</v>
      </c>
      <c r="LQD1" s="221"/>
      <c r="LQE1" s="221"/>
      <c r="LQF1" s="222"/>
      <c r="LQG1" s="220" t="s">
        <v>13331</v>
      </c>
      <c r="LQH1" s="221"/>
      <c r="LQI1" s="221"/>
      <c r="LQJ1" s="222"/>
      <c r="LQK1" s="220" t="s">
        <v>13331</v>
      </c>
      <c r="LQL1" s="221"/>
      <c r="LQM1" s="221"/>
      <c r="LQN1" s="222"/>
      <c r="LQO1" s="220" t="s">
        <v>13331</v>
      </c>
      <c r="LQP1" s="221"/>
      <c r="LQQ1" s="221"/>
      <c r="LQR1" s="222"/>
      <c r="LQS1" s="220" t="s">
        <v>13331</v>
      </c>
      <c r="LQT1" s="221"/>
      <c r="LQU1" s="221"/>
      <c r="LQV1" s="222"/>
      <c r="LQW1" s="220" t="s">
        <v>13331</v>
      </c>
      <c r="LQX1" s="221"/>
      <c r="LQY1" s="221"/>
      <c r="LQZ1" s="222"/>
      <c r="LRA1" s="220" t="s">
        <v>13331</v>
      </c>
      <c r="LRB1" s="221"/>
      <c r="LRC1" s="221"/>
      <c r="LRD1" s="222"/>
      <c r="LRE1" s="220" t="s">
        <v>13331</v>
      </c>
      <c r="LRF1" s="221"/>
      <c r="LRG1" s="221"/>
      <c r="LRH1" s="222"/>
      <c r="LRI1" s="220" t="s">
        <v>13331</v>
      </c>
      <c r="LRJ1" s="221"/>
      <c r="LRK1" s="221"/>
      <c r="LRL1" s="222"/>
      <c r="LRM1" s="220" t="s">
        <v>13331</v>
      </c>
      <c r="LRN1" s="221"/>
      <c r="LRO1" s="221"/>
      <c r="LRP1" s="222"/>
      <c r="LRQ1" s="220" t="s">
        <v>13331</v>
      </c>
      <c r="LRR1" s="221"/>
      <c r="LRS1" s="221"/>
      <c r="LRT1" s="222"/>
      <c r="LRU1" s="220" t="s">
        <v>13331</v>
      </c>
      <c r="LRV1" s="221"/>
      <c r="LRW1" s="221"/>
      <c r="LRX1" s="222"/>
      <c r="LRY1" s="220" t="s">
        <v>13331</v>
      </c>
      <c r="LRZ1" s="221"/>
      <c r="LSA1" s="221"/>
      <c r="LSB1" s="222"/>
      <c r="LSC1" s="220" t="s">
        <v>13331</v>
      </c>
      <c r="LSD1" s="221"/>
      <c r="LSE1" s="221"/>
      <c r="LSF1" s="222"/>
      <c r="LSG1" s="220" t="s">
        <v>13331</v>
      </c>
      <c r="LSH1" s="221"/>
      <c r="LSI1" s="221"/>
      <c r="LSJ1" s="222"/>
      <c r="LSK1" s="220" t="s">
        <v>13331</v>
      </c>
      <c r="LSL1" s="221"/>
      <c r="LSM1" s="221"/>
      <c r="LSN1" s="222"/>
      <c r="LSO1" s="220" t="s">
        <v>13331</v>
      </c>
      <c r="LSP1" s="221"/>
      <c r="LSQ1" s="221"/>
      <c r="LSR1" s="222"/>
      <c r="LSS1" s="220" t="s">
        <v>13331</v>
      </c>
      <c r="LST1" s="221"/>
      <c r="LSU1" s="221"/>
      <c r="LSV1" s="222"/>
      <c r="LSW1" s="220" t="s">
        <v>13331</v>
      </c>
      <c r="LSX1" s="221"/>
      <c r="LSY1" s="221"/>
      <c r="LSZ1" s="222"/>
      <c r="LTA1" s="220" t="s">
        <v>13331</v>
      </c>
      <c r="LTB1" s="221"/>
      <c r="LTC1" s="221"/>
      <c r="LTD1" s="222"/>
      <c r="LTE1" s="220" t="s">
        <v>13331</v>
      </c>
      <c r="LTF1" s="221"/>
      <c r="LTG1" s="221"/>
      <c r="LTH1" s="222"/>
      <c r="LTI1" s="220" t="s">
        <v>13331</v>
      </c>
      <c r="LTJ1" s="221"/>
      <c r="LTK1" s="221"/>
      <c r="LTL1" s="222"/>
      <c r="LTM1" s="220" t="s">
        <v>13331</v>
      </c>
      <c r="LTN1" s="221"/>
      <c r="LTO1" s="221"/>
      <c r="LTP1" s="222"/>
      <c r="LTQ1" s="220" t="s">
        <v>13331</v>
      </c>
      <c r="LTR1" s="221"/>
      <c r="LTS1" s="221"/>
      <c r="LTT1" s="222"/>
      <c r="LTU1" s="220" t="s">
        <v>13331</v>
      </c>
      <c r="LTV1" s="221"/>
      <c r="LTW1" s="221"/>
      <c r="LTX1" s="222"/>
      <c r="LTY1" s="220" t="s">
        <v>13331</v>
      </c>
      <c r="LTZ1" s="221"/>
      <c r="LUA1" s="221"/>
      <c r="LUB1" s="222"/>
      <c r="LUC1" s="220" t="s">
        <v>13331</v>
      </c>
      <c r="LUD1" s="221"/>
      <c r="LUE1" s="221"/>
      <c r="LUF1" s="222"/>
      <c r="LUG1" s="220" t="s">
        <v>13331</v>
      </c>
      <c r="LUH1" s="221"/>
      <c r="LUI1" s="221"/>
      <c r="LUJ1" s="222"/>
      <c r="LUK1" s="220" t="s">
        <v>13331</v>
      </c>
      <c r="LUL1" s="221"/>
      <c r="LUM1" s="221"/>
      <c r="LUN1" s="222"/>
      <c r="LUO1" s="220" t="s">
        <v>13331</v>
      </c>
      <c r="LUP1" s="221"/>
      <c r="LUQ1" s="221"/>
      <c r="LUR1" s="222"/>
      <c r="LUS1" s="220" t="s">
        <v>13331</v>
      </c>
      <c r="LUT1" s="221"/>
      <c r="LUU1" s="221"/>
      <c r="LUV1" s="222"/>
      <c r="LUW1" s="220" t="s">
        <v>13331</v>
      </c>
      <c r="LUX1" s="221"/>
      <c r="LUY1" s="221"/>
      <c r="LUZ1" s="222"/>
      <c r="LVA1" s="220" t="s">
        <v>13331</v>
      </c>
      <c r="LVB1" s="221"/>
      <c r="LVC1" s="221"/>
      <c r="LVD1" s="222"/>
      <c r="LVE1" s="220" t="s">
        <v>13331</v>
      </c>
      <c r="LVF1" s="221"/>
      <c r="LVG1" s="221"/>
      <c r="LVH1" s="222"/>
      <c r="LVI1" s="220" t="s">
        <v>13331</v>
      </c>
      <c r="LVJ1" s="221"/>
      <c r="LVK1" s="221"/>
      <c r="LVL1" s="222"/>
      <c r="LVM1" s="220" t="s">
        <v>13331</v>
      </c>
      <c r="LVN1" s="221"/>
      <c r="LVO1" s="221"/>
      <c r="LVP1" s="222"/>
      <c r="LVQ1" s="220" t="s">
        <v>13331</v>
      </c>
      <c r="LVR1" s="221"/>
      <c r="LVS1" s="221"/>
      <c r="LVT1" s="222"/>
      <c r="LVU1" s="220" t="s">
        <v>13331</v>
      </c>
      <c r="LVV1" s="221"/>
      <c r="LVW1" s="221"/>
      <c r="LVX1" s="222"/>
      <c r="LVY1" s="220" t="s">
        <v>13331</v>
      </c>
      <c r="LVZ1" s="221"/>
      <c r="LWA1" s="221"/>
      <c r="LWB1" s="222"/>
      <c r="LWC1" s="220" t="s">
        <v>13331</v>
      </c>
      <c r="LWD1" s="221"/>
      <c r="LWE1" s="221"/>
      <c r="LWF1" s="222"/>
      <c r="LWG1" s="220" t="s">
        <v>13331</v>
      </c>
      <c r="LWH1" s="221"/>
      <c r="LWI1" s="221"/>
      <c r="LWJ1" s="222"/>
      <c r="LWK1" s="220" t="s">
        <v>13331</v>
      </c>
      <c r="LWL1" s="221"/>
      <c r="LWM1" s="221"/>
      <c r="LWN1" s="222"/>
      <c r="LWO1" s="220" t="s">
        <v>13331</v>
      </c>
      <c r="LWP1" s="221"/>
      <c r="LWQ1" s="221"/>
      <c r="LWR1" s="222"/>
      <c r="LWS1" s="220" t="s">
        <v>13331</v>
      </c>
      <c r="LWT1" s="221"/>
      <c r="LWU1" s="221"/>
      <c r="LWV1" s="222"/>
      <c r="LWW1" s="220" t="s">
        <v>13331</v>
      </c>
      <c r="LWX1" s="221"/>
      <c r="LWY1" s="221"/>
      <c r="LWZ1" s="222"/>
      <c r="LXA1" s="220" t="s">
        <v>13331</v>
      </c>
      <c r="LXB1" s="221"/>
      <c r="LXC1" s="221"/>
      <c r="LXD1" s="222"/>
      <c r="LXE1" s="220" t="s">
        <v>13331</v>
      </c>
      <c r="LXF1" s="221"/>
      <c r="LXG1" s="221"/>
      <c r="LXH1" s="222"/>
      <c r="LXI1" s="220" t="s">
        <v>13331</v>
      </c>
      <c r="LXJ1" s="221"/>
      <c r="LXK1" s="221"/>
      <c r="LXL1" s="222"/>
      <c r="LXM1" s="220" t="s">
        <v>13331</v>
      </c>
      <c r="LXN1" s="221"/>
      <c r="LXO1" s="221"/>
      <c r="LXP1" s="222"/>
      <c r="LXQ1" s="220" t="s">
        <v>13331</v>
      </c>
      <c r="LXR1" s="221"/>
      <c r="LXS1" s="221"/>
      <c r="LXT1" s="222"/>
      <c r="LXU1" s="220" t="s">
        <v>13331</v>
      </c>
      <c r="LXV1" s="221"/>
      <c r="LXW1" s="221"/>
      <c r="LXX1" s="222"/>
      <c r="LXY1" s="220" t="s">
        <v>13331</v>
      </c>
      <c r="LXZ1" s="221"/>
      <c r="LYA1" s="221"/>
      <c r="LYB1" s="222"/>
      <c r="LYC1" s="220" t="s">
        <v>13331</v>
      </c>
      <c r="LYD1" s="221"/>
      <c r="LYE1" s="221"/>
      <c r="LYF1" s="222"/>
      <c r="LYG1" s="220" t="s">
        <v>13331</v>
      </c>
      <c r="LYH1" s="221"/>
      <c r="LYI1" s="221"/>
      <c r="LYJ1" s="222"/>
      <c r="LYK1" s="220" t="s">
        <v>13331</v>
      </c>
      <c r="LYL1" s="221"/>
      <c r="LYM1" s="221"/>
      <c r="LYN1" s="222"/>
      <c r="LYO1" s="220" t="s">
        <v>13331</v>
      </c>
      <c r="LYP1" s="221"/>
      <c r="LYQ1" s="221"/>
      <c r="LYR1" s="222"/>
      <c r="LYS1" s="220" t="s">
        <v>13331</v>
      </c>
      <c r="LYT1" s="221"/>
      <c r="LYU1" s="221"/>
      <c r="LYV1" s="222"/>
      <c r="LYW1" s="220" t="s">
        <v>13331</v>
      </c>
      <c r="LYX1" s="221"/>
      <c r="LYY1" s="221"/>
      <c r="LYZ1" s="222"/>
      <c r="LZA1" s="220" t="s">
        <v>13331</v>
      </c>
      <c r="LZB1" s="221"/>
      <c r="LZC1" s="221"/>
      <c r="LZD1" s="222"/>
      <c r="LZE1" s="220" t="s">
        <v>13331</v>
      </c>
      <c r="LZF1" s="221"/>
      <c r="LZG1" s="221"/>
      <c r="LZH1" s="222"/>
      <c r="LZI1" s="220" t="s">
        <v>13331</v>
      </c>
      <c r="LZJ1" s="221"/>
      <c r="LZK1" s="221"/>
      <c r="LZL1" s="222"/>
      <c r="LZM1" s="220" t="s">
        <v>13331</v>
      </c>
      <c r="LZN1" s="221"/>
      <c r="LZO1" s="221"/>
      <c r="LZP1" s="222"/>
      <c r="LZQ1" s="220" t="s">
        <v>13331</v>
      </c>
      <c r="LZR1" s="221"/>
      <c r="LZS1" s="221"/>
      <c r="LZT1" s="222"/>
      <c r="LZU1" s="220" t="s">
        <v>13331</v>
      </c>
      <c r="LZV1" s="221"/>
      <c r="LZW1" s="221"/>
      <c r="LZX1" s="222"/>
      <c r="LZY1" s="220" t="s">
        <v>13331</v>
      </c>
      <c r="LZZ1" s="221"/>
      <c r="MAA1" s="221"/>
      <c r="MAB1" s="222"/>
      <c r="MAC1" s="220" t="s">
        <v>13331</v>
      </c>
      <c r="MAD1" s="221"/>
      <c r="MAE1" s="221"/>
      <c r="MAF1" s="222"/>
      <c r="MAG1" s="220" t="s">
        <v>13331</v>
      </c>
      <c r="MAH1" s="221"/>
      <c r="MAI1" s="221"/>
      <c r="MAJ1" s="222"/>
      <c r="MAK1" s="220" t="s">
        <v>13331</v>
      </c>
      <c r="MAL1" s="221"/>
      <c r="MAM1" s="221"/>
      <c r="MAN1" s="222"/>
      <c r="MAO1" s="220" t="s">
        <v>13331</v>
      </c>
      <c r="MAP1" s="221"/>
      <c r="MAQ1" s="221"/>
      <c r="MAR1" s="222"/>
      <c r="MAS1" s="220" t="s">
        <v>13331</v>
      </c>
      <c r="MAT1" s="221"/>
      <c r="MAU1" s="221"/>
      <c r="MAV1" s="222"/>
      <c r="MAW1" s="220" t="s">
        <v>13331</v>
      </c>
      <c r="MAX1" s="221"/>
      <c r="MAY1" s="221"/>
      <c r="MAZ1" s="222"/>
      <c r="MBA1" s="220" t="s">
        <v>13331</v>
      </c>
      <c r="MBB1" s="221"/>
      <c r="MBC1" s="221"/>
      <c r="MBD1" s="222"/>
      <c r="MBE1" s="220" t="s">
        <v>13331</v>
      </c>
      <c r="MBF1" s="221"/>
      <c r="MBG1" s="221"/>
      <c r="MBH1" s="222"/>
      <c r="MBI1" s="220" t="s">
        <v>13331</v>
      </c>
      <c r="MBJ1" s="221"/>
      <c r="MBK1" s="221"/>
      <c r="MBL1" s="222"/>
      <c r="MBM1" s="220" t="s">
        <v>13331</v>
      </c>
      <c r="MBN1" s="221"/>
      <c r="MBO1" s="221"/>
      <c r="MBP1" s="222"/>
      <c r="MBQ1" s="220" t="s">
        <v>13331</v>
      </c>
      <c r="MBR1" s="221"/>
      <c r="MBS1" s="221"/>
      <c r="MBT1" s="222"/>
      <c r="MBU1" s="220" t="s">
        <v>13331</v>
      </c>
      <c r="MBV1" s="221"/>
      <c r="MBW1" s="221"/>
      <c r="MBX1" s="222"/>
      <c r="MBY1" s="220" t="s">
        <v>13331</v>
      </c>
      <c r="MBZ1" s="221"/>
      <c r="MCA1" s="221"/>
      <c r="MCB1" s="222"/>
      <c r="MCC1" s="220" t="s">
        <v>13331</v>
      </c>
      <c r="MCD1" s="221"/>
      <c r="MCE1" s="221"/>
      <c r="MCF1" s="222"/>
      <c r="MCG1" s="220" t="s">
        <v>13331</v>
      </c>
      <c r="MCH1" s="221"/>
      <c r="MCI1" s="221"/>
      <c r="MCJ1" s="222"/>
      <c r="MCK1" s="220" t="s">
        <v>13331</v>
      </c>
      <c r="MCL1" s="221"/>
      <c r="MCM1" s="221"/>
      <c r="MCN1" s="222"/>
      <c r="MCO1" s="220" t="s">
        <v>13331</v>
      </c>
      <c r="MCP1" s="221"/>
      <c r="MCQ1" s="221"/>
      <c r="MCR1" s="222"/>
      <c r="MCS1" s="220" t="s">
        <v>13331</v>
      </c>
      <c r="MCT1" s="221"/>
      <c r="MCU1" s="221"/>
      <c r="MCV1" s="222"/>
      <c r="MCW1" s="220" t="s">
        <v>13331</v>
      </c>
      <c r="MCX1" s="221"/>
      <c r="MCY1" s="221"/>
      <c r="MCZ1" s="222"/>
      <c r="MDA1" s="220" t="s">
        <v>13331</v>
      </c>
      <c r="MDB1" s="221"/>
      <c r="MDC1" s="221"/>
      <c r="MDD1" s="222"/>
      <c r="MDE1" s="220" t="s">
        <v>13331</v>
      </c>
      <c r="MDF1" s="221"/>
      <c r="MDG1" s="221"/>
      <c r="MDH1" s="222"/>
      <c r="MDI1" s="220" t="s">
        <v>13331</v>
      </c>
      <c r="MDJ1" s="221"/>
      <c r="MDK1" s="221"/>
      <c r="MDL1" s="222"/>
      <c r="MDM1" s="220" t="s">
        <v>13331</v>
      </c>
      <c r="MDN1" s="221"/>
      <c r="MDO1" s="221"/>
      <c r="MDP1" s="222"/>
      <c r="MDQ1" s="220" t="s">
        <v>13331</v>
      </c>
      <c r="MDR1" s="221"/>
      <c r="MDS1" s="221"/>
      <c r="MDT1" s="222"/>
      <c r="MDU1" s="220" t="s">
        <v>13331</v>
      </c>
      <c r="MDV1" s="221"/>
      <c r="MDW1" s="221"/>
      <c r="MDX1" s="222"/>
      <c r="MDY1" s="220" t="s">
        <v>13331</v>
      </c>
      <c r="MDZ1" s="221"/>
      <c r="MEA1" s="221"/>
      <c r="MEB1" s="222"/>
      <c r="MEC1" s="220" t="s">
        <v>13331</v>
      </c>
      <c r="MED1" s="221"/>
      <c r="MEE1" s="221"/>
      <c r="MEF1" s="222"/>
      <c r="MEG1" s="220" t="s">
        <v>13331</v>
      </c>
      <c r="MEH1" s="221"/>
      <c r="MEI1" s="221"/>
      <c r="MEJ1" s="222"/>
      <c r="MEK1" s="220" t="s">
        <v>13331</v>
      </c>
      <c r="MEL1" s="221"/>
      <c r="MEM1" s="221"/>
      <c r="MEN1" s="222"/>
      <c r="MEO1" s="220" t="s">
        <v>13331</v>
      </c>
      <c r="MEP1" s="221"/>
      <c r="MEQ1" s="221"/>
      <c r="MER1" s="222"/>
      <c r="MES1" s="220" t="s">
        <v>13331</v>
      </c>
      <c r="MET1" s="221"/>
      <c r="MEU1" s="221"/>
      <c r="MEV1" s="222"/>
      <c r="MEW1" s="220" t="s">
        <v>13331</v>
      </c>
      <c r="MEX1" s="221"/>
      <c r="MEY1" s="221"/>
      <c r="MEZ1" s="222"/>
      <c r="MFA1" s="220" t="s">
        <v>13331</v>
      </c>
      <c r="MFB1" s="221"/>
      <c r="MFC1" s="221"/>
      <c r="MFD1" s="222"/>
      <c r="MFE1" s="220" t="s">
        <v>13331</v>
      </c>
      <c r="MFF1" s="221"/>
      <c r="MFG1" s="221"/>
      <c r="MFH1" s="222"/>
      <c r="MFI1" s="220" t="s">
        <v>13331</v>
      </c>
      <c r="MFJ1" s="221"/>
      <c r="MFK1" s="221"/>
      <c r="MFL1" s="222"/>
      <c r="MFM1" s="220" t="s">
        <v>13331</v>
      </c>
      <c r="MFN1" s="221"/>
      <c r="MFO1" s="221"/>
      <c r="MFP1" s="222"/>
      <c r="MFQ1" s="220" t="s">
        <v>13331</v>
      </c>
      <c r="MFR1" s="221"/>
      <c r="MFS1" s="221"/>
      <c r="MFT1" s="222"/>
      <c r="MFU1" s="220" t="s">
        <v>13331</v>
      </c>
      <c r="MFV1" s="221"/>
      <c r="MFW1" s="221"/>
      <c r="MFX1" s="222"/>
      <c r="MFY1" s="220" t="s">
        <v>13331</v>
      </c>
      <c r="MFZ1" s="221"/>
      <c r="MGA1" s="221"/>
      <c r="MGB1" s="222"/>
      <c r="MGC1" s="220" t="s">
        <v>13331</v>
      </c>
      <c r="MGD1" s="221"/>
      <c r="MGE1" s="221"/>
      <c r="MGF1" s="222"/>
      <c r="MGG1" s="220" t="s">
        <v>13331</v>
      </c>
      <c r="MGH1" s="221"/>
      <c r="MGI1" s="221"/>
      <c r="MGJ1" s="222"/>
      <c r="MGK1" s="220" t="s">
        <v>13331</v>
      </c>
      <c r="MGL1" s="221"/>
      <c r="MGM1" s="221"/>
      <c r="MGN1" s="222"/>
      <c r="MGO1" s="220" t="s">
        <v>13331</v>
      </c>
      <c r="MGP1" s="221"/>
      <c r="MGQ1" s="221"/>
      <c r="MGR1" s="222"/>
      <c r="MGS1" s="220" t="s">
        <v>13331</v>
      </c>
      <c r="MGT1" s="221"/>
      <c r="MGU1" s="221"/>
      <c r="MGV1" s="222"/>
      <c r="MGW1" s="220" t="s">
        <v>13331</v>
      </c>
      <c r="MGX1" s="221"/>
      <c r="MGY1" s="221"/>
      <c r="MGZ1" s="222"/>
      <c r="MHA1" s="220" t="s">
        <v>13331</v>
      </c>
      <c r="MHB1" s="221"/>
      <c r="MHC1" s="221"/>
      <c r="MHD1" s="222"/>
      <c r="MHE1" s="220" t="s">
        <v>13331</v>
      </c>
      <c r="MHF1" s="221"/>
      <c r="MHG1" s="221"/>
      <c r="MHH1" s="222"/>
      <c r="MHI1" s="220" t="s">
        <v>13331</v>
      </c>
      <c r="MHJ1" s="221"/>
      <c r="MHK1" s="221"/>
      <c r="MHL1" s="222"/>
      <c r="MHM1" s="220" t="s">
        <v>13331</v>
      </c>
      <c r="MHN1" s="221"/>
      <c r="MHO1" s="221"/>
      <c r="MHP1" s="222"/>
      <c r="MHQ1" s="220" t="s">
        <v>13331</v>
      </c>
      <c r="MHR1" s="221"/>
      <c r="MHS1" s="221"/>
      <c r="MHT1" s="222"/>
      <c r="MHU1" s="220" t="s">
        <v>13331</v>
      </c>
      <c r="MHV1" s="221"/>
      <c r="MHW1" s="221"/>
      <c r="MHX1" s="222"/>
      <c r="MHY1" s="220" t="s">
        <v>13331</v>
      </c>
      <c r="MHZ1" s="221"/>
      <c r="MIA1" s="221"/>
      <c r="MIB1" s="222"/>
      <c r="MIC1" s="220" t="s">
        <v>13331</v>
      </c>
      <c r="MID1" s="221"/>
      <c r="MIE1" s="221"/>
      <c r="MIF1" s="222"/>
      <c r="MIG1" s="220" t="s">
        <v>13331</v>
      </c>
      <c r="MIH1" s="221"/>
      <c r="MII1" s="221"/>
      <c r="MIJ1" s="222"/>
      <c r="MIK1" s="220" t="s">
        <v>13331</v>
      </c>
      <c r="MIL1" s="221"/>
      <c r="MIM1" s="221"/>
      <c r="MIN1" s="222"/>
      <c r="MIO1" s="220" t="s">
        <v>13331</v>
      </c>
      <c r="MIP1" s="221"/>
      <c r="MIQ1" s="221"/>
      <c r="MIR1" s="222"/>
      <c r="MIS1" s="220" t="s">
        <v>13331</v>
      </c>
      <c r="MIT1" s="221"/>
      <c r="MIU1" s="221"/>
      <c r="MIV1" s="222"/>
      <c r="MIW1" s="220" t="s">
        <v>13331</v>
      </c>
      <c r="MIX1" s="221"/>
      <c r="MIY1" s="221"/>
      <c r="MIZ1" s="222"/>
      <c r="MJA1" s="220" t="s">
        <v>13331</v>
      </c>
      <c r="MJB1" s="221"/>
      <c r="MJC1" s="221"/>
      <c r="MJD1" s="222"/>
      <c r="MJE1" s="220" t="s">
        <v>13331</v>
      </c>
      <c r="MJF1" s="221"/>
      <c r="MJG1" s="221"/>
      <c r="MJH1" s="222"/>
      <c r="MJI1" s="220" t="s">
        <v>13331</v>
      </c>
      <c r="MJJ1" s="221"/>
      <c r="MJK1" s="221"/>
      <c r="MJL1" s="222"/>
      <c r="MJM1" s="220" t="s">
        <v>13331</v>
      </c>
      <c r="MJN1" s="221"/>
      <c r="MJO1" s="221"/>
      <c r="MJP1" s="222"/>
      <c r="MJQ1" s="220" t="s">
        <v>13331</v>
      </c>
      <c r="MJR1" s="221"/>
      <c r="MJS1" s="221"/>
      <c r="MJT1" s="222"/>
      <c r="MJU1" s="220" t="s">
        <v>13331</v>
      </c>
      <c r="MJV1" s="221"/>
      <c r="MJW1" s="221"/>
      <c r="MJX1" s="222"/>
      <c r="MJY1" s="220" t="s">
        <v>13331</v>
      </c>
      <c r="MJZ1" s="221"/>
      <c r="MKA1" s="221"/>
      <c r="MKB1" s="222"/>
      <c r="MKC1" s="220" t="s">
        <v>13331</v>
      </c>
      <c r="MKD1" s="221"/>
      <c r="MKE1" s="221"/>
      <c r="MKF1" s="222"/>
      <c r="MKG1" s="220" t="s">
        <v>13331</v>
      </c>
      <c r="MKH1" s="221"/>
      <c r="MKI1" s="221"/>
      <c r="MKJ1" s="222"/>
      <c r="MKK1" s="220" t="s">
        <v>13331</v>
      </c>
      <c r="MKL1" s="221"/>
      <c r="MKM1" s="221"/>
      <c r="MKN1" s="222"/>
      <c r="MKO1" s="220" t="s">
        <v>13331</v>
      </c>
      <c r="MKP1" s="221"/>
      <c r="MKQ1" s="221"/>
      <c r="MKR1" s="222"/>
      <c r="MKS1" s="220" t="s">
        <v>13331</v>
      </c>
      <c r="MKT1" s="221"/>
      <c r="MKU1" s="221"/>
      <c r="MKV1" s="222"/>
      <c r="MKW1" s="220" t="s">
        <v>13331</v>
      </c>
      <c r="MKX1" s="221"/>
      <c r="MKY1" s="221"/>
      <c r="MKZ1" s="222"/>
      <c r="MLA1" s="220" t="s">
        <v>13331</v>
      </c>
      <c r="MLB1" s="221"/>
      <c r="MLC1" s="221"/>
      <c r="MLD1" s="222"/>
      <c r="MLE1" s="220" t="s">
        <v>13331</v>
      </c>
      <c r="MLF1" s="221"/>
      <c r="MLG1" s="221"/>
      <c r="MLH1" s="222"/>
      <c r="MLI1" s="220" t="s">
        <v>13331</v>
      </c>
      <c r="MLJ1" s="221"/>
      <c r="MLK1" s="221"/>
      <c r="MLL1" s="222"/>
      <c r="MLM1" s="220" t="s">
        <v>13331</v>
      </c>
      <c r="MLN1" s="221"/>
      <c r="MLO1" s="221"/>
      <c r="MLP1" s="222"/>
      <c r="MLQ1" s="220" t="s">
        <v>13331</v>
      </c>
      <c r="MLR1" s="221"/>
      <c r="MLS1" s="221"/>
      <c r="MLT1" s="222"/>
      <c r="MLU1" s="220" t="s">
        <v>13331</v>
      </c>
      <c r="MLV1" s="221"/>
      <c r="MLW1" s="221"/>
      <c r="MLX1" s="222"/>
      <c r="MLY1" s="220" t="s">
        <v>13331</v>
      </c>
      <c r="MLZ1" s="221"/>
      <c r="MMA1" s="221"/>
      <c r="MMB1" s="222"/>
      <c r="MMC1" s="220" t="s">
        <v>13331</v>
      </c>
      <c r="MMD1" s="221"/>
      <c r="MME1" s="221"/>
      <c r="MMF1" s="222"/>
      <c r="MMG1" s="220" t="s">
        <v>13331</v>
      </c>
      <c r="MMH1" s="221"/>
      <c r="MMI1" s="221"/>
      <c r="MMJ1" s="222"/>
      <c r="MMK1" s="220" t="s">
        <v>13331</v>
      </c>
      <c r="MML1" s="221"/>
      <c r="MMM1" s="221"/>
      <c r="MMN1" s="222"/>
      <c r="MMO1" s="220" t="s">
        <v>13331</v>
      </c>
      <c r="MMP1" s="221"/>
      <c r="MMQ1" s="221"/>
      <c r="MMR1" s="222"/>
      <c r="MMS1" s="220" t="s">
        <v>13331</v>
      </c>
      <c r="MMT1" s="221"/>
      <c r="MMU1" s="221"/>
      <c r="MMV1" s="222"/>
      <c r="MMW1" s="220" t="s">
        <v>13331</v>
      </c>
      <c r="MMX1" s="221"/>
      <c r="MMY1" s="221"/>
      <c r="MMZ1" s="222"/>
      <c r="MNA1" s="220" t="s">
        <v>13331</v>
      </c>
      <c r="MNB1" s="221"/>
      <c r="MNC1" s="221"/>
      <c r="MND1" s="222"/>
      <c r="MNE1" s="220" t="s">
        <v>13331</v>
      </c>
      <c r="MNF1" s="221"/>
      <c r="MNG1" s="221"/>
      <c r="MNH1" s="222"/>
      <c r="MNI1" s="220" t="s">
        <v>13331</v>
      </c>
      <c r="MNJ1" s="221"/>
      <c r="MNK1" s="221"/>
      <c r="MNL1" s="222"/>
      <c r="MNM1" s="220" t="s">
        <v>13331</v>
      </c>
      <c r="MNN1" s="221"/>
      <c r="MNO1" s="221"/>
      <c r="MNP1" s="222"/>
      <c r="MNQ1" s="220" t="s">
        <v>13331</v>
      </c>
      <c r="MNR1" s="221"/>
      <c r="MNS1" s="221"/>
      <c r="MNT1" s="222"/>
      <c r="MNU1" s="220" t="s">
        <v>13331</v>
      </c>
      <c r="MNV1" s="221"/>
      <c r="MNW1" s="221"/>
      <c r="MNX1" s="222"/>
      <c r="MNY1" s="220" t="s">
        <v>13331</v>
      </c>
      <c r="MNZ1" s="221"/>
      <c r="MOA1" s="221"/>
      <c r="MOB1" s="222"/>
      <c r="MOC1" s="220" t="s">
        <v>13331</v>
      </c>
      <c r="MOD1" s="221"/>
      <c r="MOE1" s="221"/>
      <c r="MOF1" s="222"/>
      <c r="MOG1" s="220" t="s">
        <v>13331</v>
      </c>
      <c r="MOH1" s="221"/>
      <c r="MOI1" s="221"/>
      <c r="MOJ1" s="222"/>
      <c r="MOK1" s="220" t="s">
        <v>13331</v>
      </c>
      <c r="MOL1" s="221"/>
      <c r="MOM1" s="221"/>
      <c r="MON1" s="222"/>
      <c r="MOO1" s="220" t="s">
        <v>13331</v>
      </c>
      <c r="MOP1" s="221"/>
      <c r="MOQ1" s="221"/>
      <c r="MOR1" s="222"/>
      <c r="MOS1" s="220" t="s">
        <v>13331</v>
      </c>
      <c r="MOT1" s="221"/>
      <c r="MOU1" s="221"/>
      <c r="MOV1" s="222"/>
      <c r="MOW1" s="220" t="s">
        <v>13331</v>
      </c>
      <c r="MOX1" s="221"/>
      <c r="MOY1" s="221"/>
      <c r="MOZ1" s="222"/>
      <c r="MPA1" s="220" t="s">
        <v>13331</v>
      </c>
      <c r="MPB1" s="221"/>
      <c r="MPC1" s="221"/>
      <c r="MPD1" s="222"/>
      <c r="MPE1" s="220" t="s">
        <v>13331</v>
      </c>
      <c r="MPF1" s="221"/>
      <c r="MPG1" s="221"/>
      <c r="MPH1" s="222"/>
      <c r="MPI1" s="220" t="s">
        <v>13331</v>
      </c>
      <c r="MPJ1" s="221"/>
      <c r="MPK1" s="221"/>
      <c r="MPL1" s="222"/>
      <c r="MPM1" s="220" t="s">
        <v>13331</v>
      </c>
      <c r="MPN1" s="221"/>
      <c r="MPO1" s="221"/>
      <c r="MPP1" s="222"/>
      <c r="MPQ1" s="220" t="s">
        <v>13331</v>
      </c>
      <c r="MPR1" s="221"/>
      <c r="MPS1" s="221"/>
      <c r="MPT1" s="222"/>
      <c r="MPU1" s="220" t="s">
        <v>13331</v>
      </c>
      <c r="MPV1" s="221"/>
      <c r="MPW1" s="221"/>
      <c r="MPX1" s="222"/>
      <c r="MPY1" s="220" t="s">
        <v>13331</v>
      </c>
      <c r="MPZ1" s="221"/>
      <c r="MQA1" s="221"/>
      <c r="MQB1" s="222"/>
      <c r="MQC1" s="220" t="s">
        <v>13331</v>
      </c>
      <c r="MQD1" s="221"/>
      <c r="MQE1" s="221"/>
      <c r="MQF1" s="222"/>
      <c r="MQG1" s="220" t="s">
        <v>13331</v>
      </c>
      <c r="MQH1" s="221"/>
      <c r="MQI1" s="221"/>
      <c r="MQJ1" s="222"/>
      <c r="MQK1" s="220" t="s">
        <v>13331</v>
      </c>
      <c r="MQL1" s="221"/>
      <c r="MQM1" s="221"/>
      <c r="MQN1" s="222"/>
      <c r="MQO1" s="220" t="s">
        <v>13331</v>
      </c>
      <c r="MQP1" s="221"/>
      <c r="MQQ1" s="221"/>
      <c r="MQR1" s="222"/>
      <c r="MQS1" s="220" t="s">
        <v>13331</v>
      </c>
      <c r="MQT1" s="221"/>
      <c r="MQU1" s="221"/>
      <c r="MQV1" s="222"/>
      <c r="MQW1" s="220" t="s">
        <v>13331</v>
      </c>
      <c r="MQX1" s="221"/>
      <c r="MQY1" s="221"/>
      <c r="MQZ1" s="222"/>
      <c r="MRA1" s="220" t="s">
        <v>13331</v>
      </c>
      <c r="MRB1" s="221"/>
      <c r="MRC1" s="221"/>
      <c r="MRD1" s="222"/>
      <c r="MRE1" s="220" t="s">
        <v>13331</v>
      </c>
      <c r="MRF1" s="221"/>
      <c r="MRG1" s="221"/>
      <c r="MRH1" s="222"/>
      <c r="MRI1" s="220" t="s">
        <v>13331</v>
      </c>
      <c r="MRJ1" s="221"/>
      <c r="MRK1" s="221"/>
      <c r="MRL1" s="222"/>
      <c r="MRM1" s="220" t="s">
        <v>13331</v>
      </c>
      <c r="MRN1" s="221"/>
      <c r="MRO1" s="221"/>
      <c r="MRP1" s="222"/>
      <c r="MRQ1" s="220" t="s">
        <v>13331</v>
      </c>
      <c r="MRR1" s="221"/>
      <c r="MRS1" s="221"/>
      <c r="MRT1" s="222"/>
      <c r="MRU1" s="220" t="s">
        <v>13331</v>
      </c>
      <c r="MRV1" s="221"/>
      <c r="MRW1" s="221"/>
      <c r="MRX1" s="222"/>
      <c r="MRY1" s="220" t="s">
        <v>13331</v>
      </c>
      <c r="MRZ1" s="221"/>
      <c r="MSA1" s="221"/>
      <c r="MSB1" s="222"/>
      <c r="MSC1" s="220" t="s">
        <v>13331</v>
      </c>
      <c r="MSD1" s="221"/>
      <c r="MSE1" s="221"/>
      <c r="MSF1" s="222"/>
      <c r="MSG1" s="220" t="s">
        <v>13331</v>
      </c>
      <c r="MSH1" s="221"/>
      <c r="MSI1" s="221"/>
      <c r="MSJ1" s="222"/>
      <c r="MSK1" s="220" t="s">
        <v>13331</v>
      </c>
      <c r="MSL1" s="221"/>
      <c r="MSM1" s="221"/>
      <c r="MSN1" s="222"/>
      <c r="MSO1" s="220" t="s">
        <v>13331</v>
      </c>
      <c r="MSP1" s="221"/>
      <c r="MSQ1" s="221"/>
      <c r="MSR1" s="222"/>
      <c r="MSS1" s="220" t="s">
        <v>13331</v>
      </c>
      <c r="MST1" s="221"/>
      <c r="MSU1" s="221"/>
      <c r="MSV1" s="222"/>
      <c r="MSW1" s="220" t="s">
        <v>13331</v>
      </c>
      <c r="MSX1" s="221"/>
      <c r="MSY1" s="221"/>
      <c r="MSZ1" s="222"/>
      <c r="MTA1" s="220" t="s">
        <v>13331</v>
      </c>
      <c r="MTB1" s="221"/>
      <c r="MTC1" s="221"/>
      <c r="MTD1" s="222"/>
      <c r="MTE1" s="220" t="s">
        <v>13331</v>
      </c>
      <c r="MTF1" s="221"/>
      <c r="MTG1" s="221"/>
      <c r="MTH1" s="222"/>
      <c r="MTI1" s="220" t="s">
        <v>13331</v>
      </c>
      <c r="MTJ1" s="221"/>
      <c r="MTK1" s="221"/>
      <c r="MTL1" s="222"/>
      <c r="MTM1" s="220" t="s">
        <v>13331</v>
      </c>
      <c r="MTN1" s="221"/>
      <c r="MTO1" s="221"/>
      <c r="MTP1" s="222"/>
      <c r="MTQ1" s="220" t="s">
        <v>13331</v>
      </c>
      <c r="MTR1" s="221"/>
      <c r="MTS1" s="221"/>
      <c r="MTT1" s="222"/>
      <c r="MTU1" s="220" t="s">
        <v>13331</v>
      </c>
      <c r="MTV1" s="221"/>
      <c r="MTW1" s="221"/>
      <c r="MTX1" s="222"/>
      <c r="MTY1" s="220" t="s">
        <v>13331</v>
      </c>
      <c r="MTZ1" s="221"/>
      <c r="MUA1" s="221"/>
      <c r="MUB1" s="222"/>
      <c r="MUC1" s="220" t="s">
        <v>13331</v>
      </c>
      <c r="MUD1" s="221"/>
      <c r="MUE1" s="221"/>
      <c r="MUF1" s="222"/>
      <c r="MUG1" s="220" t="s">
        <v>13331</v>
      </c>
      <c r="MUH1" s="221"/>
      <c r="MUI1" s="221"/>
      <c r="MUJ1" s="222"/>
      <c r="MUK1" s="220" t="s">
        <v>13331</v>
      </c>
      <c r="MUL1" s="221"/>
      <c r="MUM1" s="221"/>
      <c r="MUN1" s="222"/>
      <c r="MUO1" s="220" t="s">
        <v>13331</v>
      </c>
      <c r="MUP1" s="221"/>
      <c r="MUQ1" s="221"/>
      <c r="MUR1" s="222"/>
      <c r="MUS1" s="220" t="s">
        <v>13331</v>
      </c>
      <c r="MUT1" s="221"/>
      <c r="MUU1" s="221"/>
      <c r="MUV1" s="222"/>
      <c r="MUW1" s="220" t="s">
        <v>13331</v>
      </c>
      <c r="MUX1" s="221"/>
      <c r="MUY1" s="221"/>
      <c r="MUZ1" s="222"/>
      <c r="MVA1" s="220" t="s">
        <v>13331</v>
      </c>
      <c r="MVB1" s="221"/>
      <c r="MVC1" s="221"/>
      <c r="MVD1" s="222"/>
      <c r="MVE1" s="220" t="s">
        <v>13331</v>
      </c>
      <c r="MVF1" s="221"/>
      <c r="MVG1" s="221"/>
      <c r="MVH1" s="222"/>
      <c r="MVI1" s="220" t="s">
        <v>13331</v>
      </c>
      <c r="MVJ1" s="221"/>
      <c r="MVK1" s="221"/>
      <c r="MVL1" s="222"/>
      <c r="MVM1" s="220" t="s">
        <v>13331</v>
      </c>
      <c r="MVN1" s="221"/>
      <c r="MVO1" s="221"/>
      <c r="MVP1" s="222"/>
      <c r="MVQ1" s="220" t="s">
        <v>13331</v>
      </c>
      <c r="MVR1" s="221"/>
      <c r="MVS1" s="221"/>
      <c r="MVT1" s="222"/>
      <c r="MVU1" s="220" t="s">
        <v>13331</v>
      </c>
      <c r="MVV1" s="221"/>
      <c r="MVW1" s="221"/>
      <c r="MVX1" s="222"/>
      <c r="MVY1" s="220" t="s">
        <v>13331</v>
      </c>
      <c r="MVZ1" s="221"/>
      <c r="MWA1" s="221"/>
      <c r="MWB1" s="222"/>
      <c r="MWC1" s="220" t="s">
        <v>13331</v>
      </c>
      <c r="MWD1" s="221"/>
      <c r="MWE1" s="221"/>
      <c r="MWF1" s="222"/>
      <c r="MWG1" s="220" t="s">
        <v>13331</v>
      </c>
      <c r="MWH1" s="221"/>
      <c r="MWI1" s="221"/>
      <c r="MWJ1" s="222"/>
      <c r="MWK1" s="220" t="s">
        <v>13331</v>
      </c>
      <c r="MWL1" s="221"/>
      <c r="MWM1" s="221"/>
      <c r="MWN1" s="222"/>
      <c r="MWO1" s="220" t="s">
        <v>13331</v>
      </c>
      <c r="MWP1" s="221"/>
      <c r="MWQ1" s="221"/>
      <c r="MWR1" s="222"/>
      <c r="MWS1" s="220" t="s">
        <v>13331</v>
      </c>
      <c r="MWT1" s="221"/>
      <c r="MWU1" s="221"/>
      <c r="MWV1" s="222"/>
      <c r="MWW1" s="220" t="s">
        <v>13331</v>
      </c>
      <c r="MWX1" s="221"/>
      <c r="MWY1" s="221"/>
      <c r="MWZ1" s="222"/>
      <c r="MXA1" s="220" t="s">
        <v>13331</v>
      </c>
      <c r="MXB1" s="221"/>
      <c r="MXC1" s="221"/>
      <c r="MXD1" s="222"/>
      <c r="MXE1" s="220" t="s">
        <v>13331</v>
      </c>
      <c r="MXF1" s="221"/>
      <c r="MXG1" s="221"/>
      <c r="MXH1" s="222"/>
      <c r="MXI1" s="220" t="s">
        <v>13331</v>
      </c>
      <c r="MXJ1" s="221"/>
      <c r="MXK1" s="221"/>
      <c r="MXL1" s="222"/>
      <c r="MXM1" s="220" t="s">
        <v>13331</v>
      </c>
      <c r="MXN1" s="221"/>
      <c r="MXO1" s="221"/>
      <c r="MXP1" s="222"/>
      <c r="MXQ1" s="220" t="s">
        <v>13331</v>
      </c>
      <c r="MXR1" s="221"/>
      <c r="MXS1" s="221"/>
      <c r="MXT1" s="222"/>
      <c r="MXU1" s="220" t="s">
        <v>13331</v>
      </c>
      <c r="MXV1" s="221"/>
      <c r="MXW1" s="221"/>
      <c r="MXX1" s="222"/>
      <c r="MXY1" s="220" t="s">
        <v>13331</v>
      </c>
      <c r="MXZ1" s="221"/>
      <c r="MYA1" s="221"/>
      <c r="MYB1" s="222"/>
      <c r="MYC1" s="220" t="s">
        <v>13331</v>
      </c>
      <c r="MYD1" s="221"/>
      <c r="MYE1" s="221"/>
      <c r="MYF1" s="222"/>
      <c r="MYG1" s="220" t="s">
        <v>13331</v>
      </c>
      <c r="MYH1" s="221"/>
      <c r="MYI1" s="221"/>
      <c r="MYJ1" s="222"/>
      <c r="MYK1" s="220" t="s">
        <v>13331</v>
      </c>
      <c r="MYL1" s="221"/>
      <c r="MYM1" s="221"/>
      <c r="MYN1" s="222"/>
      <c r="MYO1" s="220" t="s">
        <v>13331</v>
      </c>
      <c r="MYP1" s="221"/>
      <c r="MYQ1" s="221"/>
      <c r="MYR1" s="222"/>
      <c r="MYS1" s="220" t="s">
        <v>13331</v>
      </c>
      <c r="MYT1" s="221"/>
      <c r="MYU1" s="221"/>
      <c r="MYV1" s="222"/>
      <c r="MYW1" s="220" t="s">
        <v>13331</v>
      </c>
      <c r="MYX1" s="221"/>
      <c r="MYY1" s="221"/>
      <c r="MYZ1" s="222"/>
      <c r="MZA1" s="220" t="s">
        <v>13331</v>
      </c>
      <c r="MZB1" s="221"/>
      <c r="MZC1" s="221"/>
      <c r="MZD1" s="222"/>
      <c r="MZE1" s="220" t="s">
        <v>13331</v>
      </c>
      <c r="MZF1" s="221"/>
      <c r="MZG1" s="221"/>
      <c r="MZH1" s="222"/>
      <c r="MZI1" s="220" t="s">
        <v>13331</v>
      </c>
      <c r="MZJ1" s="221"/>
      <c r="MZK1" s="221"/>
      <c r="MZL1" s="222"/>
      <c r="MZM1" s="220" t="s">
        <v>13331</v>
      </c>
      <c r="MZN1" s="221"/>
      <c r="MZO1" s="221"/>
      <c r="MZP1" s="222"/>
      <c r="MZQ1" s="220" t="s">
        <v>13331</v>
      </c>
      <c r="MZR1" s="221"/>
      <c r="MZS1" s="221"/>
      <c r="MZT1" s="222"/>
      <c r="MZU1" s="220" t="s">
        <v>13331</v>
      </c>
      <c r="MZV1" s="221"/>
      <c r="MZW1" s="221"/>
      <c r="MZX1" s="222"/>
      <c r="MZY1" s="220" t="s">
        <v>13331</v>
      </c>
      <c r="MZZ1" s="221"/>
      <c r="NAA1" s="221"/>
      <c r="NAB1" s="222"/>
      <c r="NAC1" s="220" t="s">
        <v>13331</v>
      </c>
      <c r="NAD1" s="221"/>
      <c r="NAE1" s="221"/>
      <c r="NAF1" s="222"/>
      <c r="NAG1" s="220" t="s">
        <v>13331</v>
      </c>
      <c r="NAH1" s="221"/>
      <c r="NAI1" s="221"/>
      <c r="NAJ1" s="222"/>
      <c r="NAK1" s="220" t="s">
        <v>13331</v>
      </c>
      <c r="NAL1" s="221"/>
      <c r="NAM1" s="221"/>
      <c r="NAN1" s="222"/>
      <c r="NAO1" s="220" t="s">
        <v>13331</v>
      </c>
      <c r="NAP1" s="221"/>
      <c r="NAQ1" s="221"/>
      <c r="NAR1" s="222"/>
      <c r="NAS1" s="220" t="s">
        <v>13331</v>
      </c>
      <c r="NAT1" s="221"/>
      <c r="NAU1" s="221"/>
      <c r="NAV1" s="222"/>
      <c r="NAW1" s="220" t="s">
        <v>13331</v>
      </c>
      <c r="NAX1" s="221"/>
      <c r="NAY1" s="221"/>
      <c r="NAZ1" s="222"/>
      <c r="NBA1" s="220" t="s">
        <v>13331</v>
      </c>
      <c r="NBB1" s="221"/>
      <c r="NBC1" s="221"/>
      <c r="NBD1" s="222"/>
      <c r="NBE1" s="220" t="s">
        <v>13331</v>
      </c>
      <c r="NBF1" s="221"/>
      <c r="NBG1" s="221"/>
      <c r="NBH1" s="222"/>
      <c r="NBI1" s="220" t="s">
        <v>13331</v>
      </c>
      <c r="NBJ1" s="221"/>
      <c r="NBK1" s="221"/>
      <c r="NBL1" s="222"/>
      <c r="NBM1" s="220" t="s">
        <v>13331</v>
      </c>
      <c r="NBN1" s="221"/>
      <c r="NBO1" s="221"/>
      <c r="NBP1" s="222"/>
      <c r="NBQ1" s="220" t="s">
        <v>13331</v>
      </c>
      <c r="NBR1" s="221"/>
      <c r="NBS1" s="221"/>
      <c r="NBT1" s="222"/>
      <c r="NBU1" s="220" t="s">
        <v>13331</v>
      </c>
      <c r="NBV1" s="221"/>
      <c r="NBW1" s="221"/>
      <c r="NBX1" s="222"/>
      <c r="NBY1" s="220" t="s">
        <v>13331</v>
      </c>
      <c r="NBZ1" s="221"/>
      <c r="NCA1" s="221"/>
      <c r="NCB1" s="222"/>
      <c r="NCC1" s="220" t="s">
        <v>13331</v>
      </c>
      <c r="NCD1" s="221"/>
      <c r="NCE1" s="221"/>
      <c r="NCF1" s="222"/>
      <c r="NCG1" s="220" t="s">
        <v>13331</v>
      </c>
      <c r="NCH1" s="221"/>
      <c r="NCI1" s="221"/>
      <c r="NCJ1" s="222"/>
      <c r="NCK1" s="220" t="s">
        <v>13331</v>
      </c>
      <c r="NCL1" s="221"/>
      <c r="NCM1" s="221"/>
      <c r="NCN1" s="222"/>
      <c r="NCO1" s="220" t="s">
        <v>13331</v>
      </c>
      <c r="NCP1" s="221"/>
      <c r="NCQ1" s="221"/>
      <c r="NCR1" s="222"/>
      <c r="NCS1" s="220" t="s">
        <v>13331</v>
      </c>
      <c r="NCT1" s="221"/>
      <c r="NCU1" s="221"/>
      <c r="NCV1" s="222"/>
      <c r="NCW1" s="220" t="s">
        <v>13331</v>
      </c>
      <c r="NCX1" s="221"/>
      <c r="NCY1" s="221"/>
      <c r="NCZ1" s="222"/>
      <c r="NDA1" s="220" t="s">
        <v>13331</v>
      </c>
      <c r="NDB1" s="221"/>
      <c r="NDC1" s="221"/>
      <c r="NDD1" s="222"/>
      <c r="NDE1" s="220" t="s">
        <v>13331</v>
      </c>
      <c r="NDF1" s="221"/>
      <c r="NDG1" s="221"/>
      <c r="NDH1" s="222"/>
      <c r="NDI1" s="220" t="s">
        <v>13331</v>
      </c>
      <c r="NDJ1" s="221"/>
      <c r="NDK1" s="221"/>
      <c r="NDL1" s="222"/>
      <c r="NDM1" s="220" t="s">
        <v>13331</v>
      </c>
      <c r="NDN1" s="221"/>
      <c r="NDO1" s="221"/>
      <c r="NDP1" s="222"/>
      <c r="NDQ1" s="220" t="s">
        <v>13331</v>
      </c>
      <c r="NDR1" s="221"/>
      <c r="NDS1" s="221"/>
      <c r="NDT1" s="222"/>
      <c r="NDU1" s="220" t="s">
        <v>13331</v>
      </c>
      <c r="NDV1" s="221"/>
      <c r="NDW1" s="221"/>
      <c r="NDX1" s="222"/>
      <c r="NDY1" s="220" t="s">
        <v>13331</v>
      </c>
      <c r="NDZ1" s="221"/>
      <c r="NEA1" s="221"/>
      <c r="NEB1" s="222"/>
      <c r="NEC1" s="220" t="s">
        <v>13331</v>
      </c>
      <c r="NED1" s="221"/>
      <c r="NEE1" s="221"/>
      <c r="NEF1" s="222"/>
      <c r="NEG1" s="220" t="s">
        <v>13331</v>
      </c>
      <c r="NEH1" s="221"/>
      <c r="NEI1" s="221"/>
      <c r="NEJ1" s="222"/>
      <c r="NEK1" s="220" t="s">
        <v>13331</v>
      </c>
      <c r="NEL1" s="221"/>
      <c r="NEM1" s="221"/>
      <c r="NEN1" s="222"/>
      <c r="NEO1" s="220" t="s">
        <v>13331</v>
      </c>
      <c r="NEP1" s="221"/>
      <c r="NEQ1" s="221"/>
      <c r="NER1" s="222"/>
      <c r="NES1" s="220" t="s">
        <v>13331</v>
      </c>
      <c r="NET1" s="221"/>
      <c r="NEU1" s="221"/>
      <c r="NEV1" s="222"/>
      <c r="NEW1" s="220" t="s">
        <v>13331</v>
      </c>
      <c r="NEX1" s="221"/>
      <c r="NEY1" s="221"/>
      <c r="NEZ1" s="222"/>
      <c r="NFA1" s="220" t="s">
        <v>13331</v>
      </c>
      <c r="NFB1" s="221"/>
      <c r="NFC1" s="221"/>
      <c r="NFD1" s="222"/>
      <c r="NFE1" s="220" t="s">
        <v>13331</v>
      </c>
      <c r="NFF1" s="221"/>
      <c r="NFG1" s="221"/>
      <c r="NFH1" s="222"/>
      <c r="NFI1" s="220" t="s">
        <v>13331</v>
      </c>
      <c r="NFJ1" s="221"/>
      <c r="NFK1" s="221"/>
      <c r="NFL1" s="222"/>
      <c r="NFM1" s="220" t="s">
        <v>13331</v>
      </c>
      <c r="NFN1" s="221"/>
      <c r="NFO1" s="221"/>
      <c r="NFP1" s="222"/>
      <c r="NFQ1" s="220" t="s">
        <v>13331</v>
      </c>
      <c r="NFR1" s="221"/>
      <c r="NFS1" s="221"/>
      <c r="NFT1" s="222"/>
      <c r="NFU1" s="220" t="s">
        <v>13331</v>
      </c>
      <c r="NFV1" s="221"/>
      <c r="NFW1" s="221"/>
      <c r="NFX1" s="222"/>
      <c r="NFY1" s="220" t="s">
        <v>13331</v>
      </c>
      <c r="NFZ1" s="221"/>
      <c r="NGA1" s="221"/>
      <c r="NGB1" s="222"/>
      <c r="NGC1" s="220" t="s">
        <v>13331</v>
      </c>
      <c r="NGD1" s="221"/>
      <c r="NGE1" s="221"/>
      <c r="NGF1" s="222"/>
      <c r="NGG1" s="220" t="s">
        <v>13331</v>
      </c>
      <c r="NGH1" s="221"/>
      <c r="NGI1" s="221"/>
      <c r="NGJ1" s="222"/>
      <c r="NGK1" s="220" t="s">
        <v>13331</v>
      </c>
      <c r="NGL1" s="221"/>
      <c r="NGM1" s="221"/>
      <c r="NGN1" s="222"/>
      <c r="NGO1" s="220" t="s">
        <v>13331</v>
      </c>
      <c r="NGP1" s="221"/>
      <c r="NGQ1" s="221"/>
      <c r="NGR1" s="222"/>
      <c r="NGS1" s="220" t="s">
        <v>13331</v>
      </c>
      <c r="NGT1" s="221"/>
      <c r="NGU1" s="221"/>
      <c r="NGV1" s="222"/>
      <c r="NGW1" s="220" t="s">
        <v>13331</v>
      </c>
      <c r="NGX1" s="221"/>
      <c r="NGY1" s="221"/>
      <c r="NGZ1" s="222"/>
      <c r="NHA1" s="220" t="s">
        <v>13331</v>
      </c>
      <c r="NHB1" s="221"/>
      <c r="NHC1" s="221"/>
      <c r="NHD1" s="222"/>
      <c r="NHE1" s="220" t="s">
        <v>13331</v>
      </c>
      <c r="NHF1" s="221"/>
      <c r="NHG1" s="221"/>
      <c r="NHH1" s="222"/>
      <c r="NHI1" s="220" t="s">
        <v>13331</v>
      </c>
      <c r="NHJ1" s="221"/>
      <c r="NHK1" s="221"/>
      <c r="NHL1" s="222"/>
      <c r="NHM1" s="220" t="s">
        <v>13331</v>
      </c>
      <c r="NHN1" s="221"/>
      <c r="NHO1" s="221"/>
      <c r="NHP1" s="222"/>
      <c r="NHQ1" s="220" t="s">
        <v>13331</v>
      </c>
      <c r="NHR1" s="221"/>
      <c r="NHS1" s="221"/>
      <c r="NHT1" s="222"/>
      <c r="NHU1" s="220" t="s">
        <v>13331</v>
      </c>
      <c r="NHV1" s="221"/>
      <c r="NHW1" s="221"/>
      <c r="NHX1" s="222"/>
      <c r="NHY1" s="220" t="s">
        <v>13331</v>
      </c>
      <c r="NHZ1" s="221"/>
      <c r="NIA1" s="221"/>
      <c r="NIB1" s="222"/>
      <c r="NIC1" s="220" t="s">
        <v>13331</v>
      </c>
      <c r="NID1" s="221"/>
      <c r="NIE1" s="221"/>
      <c r="NIF1" s="222"/>
      <c r="NIG1" s="220" t="s">
        <v>13331</v>
      </c>
      <c r="NIH1" s="221"/>
      <c r="NII1" s="221"/>
      <c r="NIJ1" s="222"/>
      <c r="NIK1" s="220" t="s">
        <v>13331</v>
      </c>
      <c r="NIL1" s="221"/>
      <c r="NIM1" s="221"/>
      <c r="NIN1" s="222"/>
      <c r="NIO1" s="220" t="s">
        <v>13331</v>
      </c>
      <c r="NIP1" s="221"/>
      <c r="NIQ1" s="221"/>
      <c r="NIR1" s="222"/>
      <c r="NIS1" s="220" t="s">
        <v>13331</v>
      </c>
      <c r="NIT1" s="221"/>
      <c r="NIU1" s="221"/>
      <c r="NIV1" s="222"/>
      <c r="NIW1" s="220" t="s">
        <v>13331</v>
      </c>
      <c r="NIX1" s="221"/>
      <c r="NIY1" s="221"/>
      <c r="NIZ1" s="222"/>
      <c r="NJA1" s="220" t="s">
        <v>13331</v>
      </c>
      <c r="NJB1" s="221"/>
      <c r="NJC1" s="221"/>
      <c r="NJD1" s="222"/>
      <c r="NJE1" s="220" t="s">
        <v>13331</v>
      </c>
      <c r="NJF1" s="221"/>
      <c r="NJG1" s="221"/>
      <c r="NJH1" s="222"/>
      <c r="NJI1" s="220" t="s">
        <v>13331</v>
      </c>
      <c r="NJJ1" s="221"/>
      <c r="NJK1" s="221"/>
      <c r="NJL1" s="222"/>
      <c r="NJM1" s="220" t="s">
        <v>13331</v>
      </c>
      <c r="NJN1" s="221"/>
      <c r="NJO1" s="221"/>
      <c r="NJP1" s="222"/>
      <c r="NJQ1" s="220" t="s">
        <v>13331</v>
      </c>
      <c r="NJR1" s="221"/>
      <c r="NJS1" s="221"/>
      <c r="NJT1" s="222"/>
      <c r="NJU1" s="220" t="s">
        <v>13331</v>
      </c>
      <c r="NJV1" s="221"/>
      <c r="NJW1" s="221"/>
      <c r="NJX1" s="222"/>
      <c r="NJY1" s="220" t="s">
        <v>13331</v>
      </c>
      <c r="NJZ1" s="221"/>
      <c r="NKA1" s="221"/>
      <c r="NKB1" s="222"/>
      <c r="NKC1" s="220" t="s">
        <v>13331</v>
      </c>
      <c r="NKD1" s="221"/>
      <c r="NKE1" s="221"/>
      <c r="NKF1" s="222"/>
      <c r="NKG1" s="220" t="s">
        <v>13331</v>
      </c>
      <c r="NKH1" s="221"/>
      <c r="NKI1" s="221"/>
      <c r="NKJ1" s="222"/>
      <c r="NKK1" s="220" t="s">
        <v>13331</v>
      </c>
      <c r="NKL1" s="221"/>
      <c r="NKM1" s="221"/>
      <c r="NKN1" s="222"/>
      <c r="NKO1" s="220" t="s">
        <v>13331</v>
      </c>
      <c r="NKP1" s="221"/>
      <c r="NKQ1" s="221"/>
      <c r="NKR1" s="222"/>
      <c r="NKS1" s="220" t="s">
        <v>13331</v>
      </c>
      <c r="NKT1" s="221"/>
      <c r="NKU1" s="221"/>
      <c r="NKV1" s="222"/>
      <c r="NKW1" s="220" t="s">
        <v>13331</v>
      </c>
      <c r="NKX1" s="221"/>
      <c r="NKY1" s="221"/>
      <c r="NKZ1" s="222"/>
      <c r="NLA1" s="220" t="s">
        <v>13331</v>
      </c>
      <c r="NLB1" s="221"/>
      <c r="NLC1" s="221"/>
      <c r="NLD1" s="222"/>
      <c r="NLE1" s="220" t="s">
        <v>13331</v>
      </c>
      <c r="NLF1" s="221"/>
      <c r="NLG1" s="221"/>
      <c r="NLH1" s="222"/>
      <c r="NLI1" s="220" t="s">
        <v>13331</v>
      </c>
      <c r="NLJ1" s="221"/>
      <c r="NLK1" s="221"/>
      <c r="NLL1" s="222"/>
      <c r="NLM1" s="220" t="s">
        <v>13331</v>
      </c>
      <c r="NLN1" s="221"/>
      <c r="NLO1" s="221"/>
      <c r="NLP1" s="222"/>
      <c r="NLQ1" s="220" t="s">
        <v>13331</v>
      </c>
      <c r="NLR1" s="221"/>
      <c r="NLS1" s="221"/>
      <c r="NLT1" s="222"/>
      <c r="NLU1" s="220" t="s">
        <v>13331</v>
      </c>
      <c r="NLV1" s="221"/>
      <c r="NLW1" s="221"/>
      <c r="NLX1" s="222"/>
      <c r="NLY1" s="220" t="s">
        <v>13331</v>
      </c>
      <c r="NLZ1" s="221"/>
      <c r="NMA1" s="221"/>
      <c r="NMB1" s="222"/>
      <c r="NMC1" s="220" t="s">
        <v>13331</v>
      </c>
      <c r="NMD1" s="221"/>
      <c r="NME1" s="221"/>
      <c r="NMF1" s="222"/>
      <c r="NMG1" s="220" t="s">
        <v>13331</v>
      </c>
      <c r="NMH1" s="221"/>
      <c r="NMI1" s="221"/>
      <c r="NMJ1" s="222"/>
      <c r="NMK1" s="220" t="s">
        <v>13331</v>
      </c>
      <c r="NML1" s="221"/>
      <c r="NMM1" s="221"/>
      <c r="NMN1" s="222"/>
      <c r="NMO1" s="220" t="s">
        <v>13331</v>
      </c>
      <c r="NMP1" s="221"/>
      <c r="NMQ1" s="221"/>
      <c r="NMR1" s="222"/>
      <c r="NMS1" s="220" t="s">
        <v>13331</v>
      </c>
      <c r="NMT1" s="221"/>
      <c r="NMU1" s="221"/>
      <c r="NMV1" s="222"/>
      <c r="NMW1" s="220" t="s">
        <v>13331</v>
      </c>
      <c r="NMX1" s="221"/>
      <c r="NMY1" s="221"/>
      <c r="NMZ1" s="222"/>
      <c r="NNA1" s="220" t="s">
        <v>13331</v>
      </c>
      <c r="NNB1" s="221"/>
      <c r="NNC1" s="221"/>
      <c r="NND1" s="222"/>
      <c r="NNE1" s="220" t="s">
        <v>13331</v>
      </c>
      <c r="NNF1" s="221"/>
      <c r="NNG1" s="221"/>
      <c r="NNH1" s="222"/>
      <c r="NNI1" s="220" t="s">
        <v>13331</v>
      </c>
      <c r="NNJ1" s="221"/>
      <c r="NNK1" s="221"/>
      <c r="NNL1" s="222"/>
      <c r="NNM1" s="220" t="s">
        <v>13331</v>
      </c>
      <c r="NNN1" s="221"/>
      <c r="NNO1" s="221"/>
      <c r="NNP1" s="222"/>
      <c r="NNQ1" s="220" t="s">
        <v>13331</v>
      </c>
      <c r="NNR1" s="221"/>
      <c r="NNS1" s="221"/>
      <c r="NNT1" s="222"/>
      <c r="NNU1" s="220" t="s">
        <v>13331</v>
      </c>
      <c r="NNV1" s="221"/>
      <c r="NNW1" s="221"/>
      <c r="NNX1" s="222"/>
      <c r="NNY1" s="220" t="s">
        <v>13331</v>
      </c>
      <c r="NNZ1" s="221"/>
      <c r="NOA1" s="221"/>
      <c r="NOB1" s="222"/>
      <c r="NOC1" s="220" t="s">
        <v>13331</v>
      </c>
      <c r="NOD1" s="221"/>
      <c r="NOE1" s="221"/>
      <c r="NOF1" s="222"/>
      <c r="NOG1" s="220" t="s">
        <v>13331</v>
      </c>
      <c r="NOH1" s="221"/>
      <c r="NOI1" s="221"/>
      <c r="NOJ1" s="222"/>
      <c r="NOK1" s="220" t="s">
        <v>13331</v>
      </c>
      <c r="NOL1" s="221"/>
      <c r="NOM1" s="221"/>
      <c r="NON1" s="222"/>
      <c r="NOO1" s="220" t="s">
        <v>13331</v>
      </c>
      <c r="NOP1" s="221"/>
      <c r="NOQ1" s="221"/>
      <c r="NOR1" s="222"/>
      <c r="NOS1" s="220" t="s">
        <v>13331</v>
      </c>
      <c r="NOT1" s="221"/>
      <c r="NOU1" s="221"/>
      <c r="NOV1" s="222"/>
      <c r="NOW1" s="220" t="s">
        <v>13331</v>
      </c>
      <c r="NOX1" s="221"/>
      <c r="NOY1" s="221"/>
      <c r="NOZ1" s="222"/>
      <c r="NPA1" s="220" t="s">
        <v>13331</v>
      </c>
      <c r="NPB1" s="221"/>
      <c r="NPC1" s="221"/>
      <c r="NPD1" s="222"/>
      <c r="NPE1" s="220" t="s">
        <v>13331</v>
      </c>
      <c r="NPF1" s="221"/>
      <c r="NPG1" s="221"/>
      <c r="NPH1" s="222"/>
      <c r="NPI1" s="220" t="s">
        <v>13331</v>
      </c>
      <c r="NPJ1" s="221"/>
      <c r="NPK1" s="221"/>
      <c r="NPL1" s="222"/>
      <c r="NPM1" s="220" t="s">
        <v>13331</v>
      </c>
      <c r="NPN1" s="221"/>
      <c r="NPO1" s="221"/>
      <c r="NPP1" s="222"/>
      <c r="NPQ1" s="220" t="s">
        <v>13331</v>
      </c>
      <c r="NPR1" s="221"/>
      <c r="NPS1" s="221"/>
      <c r="NPT1" s="222"/>
      <c r="NPU1" s="220" t="s">
        <v>13331</v>
      </c>
      <c r="NPV1" s="221"/>
      <c r="NPW1" s="221"/>
      <c r="NPX1" s="222"/>
      <c r="NPY1" s="220" t="s">
        <v>13331</v>
      </c>
      <c r="NPZ1" s="221"/>
      <c r="NQA1" s="221"/>
      <c r="NQB1" s="222"/>
      <c r="NQC1" s="220" t="s">
        <v>13331</v>
      </c>
      <c r="NQD1" s="221"/>
      <c r="NQE1" s="221"/>
      <c r="NQF1" s="222"/>
      <c r="NQG1" s="220" t="s">
        <v>13331</v>
      </c>
      <c r="NQH1" s="221"/>
      <c r="NQI1" s="221"/>
      <c r="NQJ1" s="222"/>
      <c r="NQK1" s="220" t="s">
        <v>13331</v>
      </c>
      <c r="NQL1" s="221"/>
      <c r="NQM1" s="221"/>
      <c r="NQN1" s="222"/>
      <c r="NQO1" s="220" t="s">
        <v>13331</v>
      </c>
      <c r="NQP1" s="221"/>
      <c r="NQQ1" s="221"/>
      <c r="NQR1" s="222"/>
      <c r="NQS1" s="220" t="s">
        <v>13331</v>
      </c>
      <c r="NQT1" s="221"/>
      <c r="NQU1" s="221"/>
      <c r="NQV1" s="222"/>
      <c r="NQW1" s="220" t="s">
        <v>13331</v>
      </c>
      <c r="NQX1" s="221"/>
      <c r="NQY1" s="221"/>
      <c r="NQZ1" s="222"/>
      <c r="NRA1" s="220" t="s">
        <v>13331</v>
      </c>
      <c r="NRB1" s="221"/>
      <c r="NRC1" s="221"/>
      <c r="NRD1" s="222"/>
      <c r="NRE1" s="220" t="s">
        <v>13331</v>
      </c>
      <c r="NRF1" s="221"/>
      <c r="NRG1" s="221"/>
      <c r="NRH1" s="222"/>
      <c r="NRI1" s="220" t="s">
        <v>13331</v>
      </c>
      <c r="NRJ1" s="221"/>
      <c r="NRK1" s="221"/>
      <c r="NRL1" s="222"/>
      <c r="NRM1" s="220" t="s">
        <v>13331</v>
      </c>
      <c r="NRN1" s="221"/>
      <c r="NRO1" s="221"/>
      <c r="NRP1" s="222"/>
      <c r="NRQ1" s="220" t="s">
        <v>13331</v>
      </c>
      <c r="NRR1" s="221"/>
      <c r="NRS1" s="221"/>
      <c r="NRT1" s="222"/>
      <c r="NRU1" s="220" t="s">
        <v>13331</v>
      </c>
      <c r="NRV1" s="221"/>
      <c r="NRW1" s="221"/>
      <c r="NRX1" s="222"/>
      <c r="NRY1" s="220" t="s">
        <v>13331</v>
      </c>
      <c r="NRZ1" s="221"/>
      <c r="NSA1" s="221"/>
      <c r="NSB1" s="222"/>
      <c r="NSC1" s="220" t="s">
        <v>13331</v>
      </c>
      <c r="NSD1" s="221"/>
      <c r="NSE1" s="221"/>
      <c r="NSF1" s="222"/>
      <c r="NSG1" s="220" t="s">
        <v>13331</v>
      </c>
      <c r="NSH1" s="221"/>
      <c r="NSI1" s="221"/>
      <c r="NSJ1" s="222"/>
      <c r="NSK1" s="220" t="s">
        <v>13331</v>
      </c>
      <c r="NSL1" s="221"/>
      <c r="NSM1" s="221"/>
      <c r="NSN1" s="222"/>
      <c r="NSO1" s="220" t="s">
        <v>13331</v>
      </c>
      <c r="NSP1" s="221"/>
      <c r="NSQ1" s="221"/>
      <c r="NSR1" s="222"/>
      <c r="NSS1" s="220" t="s">
        <v>13331</v>
      </c>
      <c r="NST1" s="221"/>
      <c r="NSU1" s="221"/>
      <c r="NSV1" s="222"/>
      <c r="NSW1" s="220" t="s">
        <v>13331</v>
      </c>
      <c r="NSX1" s="221"/>
      <c r="NSY1" s="221"/>
      <c r="NSZ1" s="222"/>
      <c r="NTA1" s="220" t="s">
        <v>13331</v>
      </c>
      <c r="NTB1" s="221"/>
      <c r="NTC1" s="221"/>
      <c r="NTD1" s="222"/>
      <c r="NTE1" s="220" t="s">
        <v>13331</v>
      </c>
      <c r="NTF1" s="221"/>
      <c r="NTG1" s="221"/>
      <c r="NTH1" s="222"/>
      <c r="NTI1" s="220" t="s">
        <v>13331</v>
      </c>
      <c r="NTJ1" s="221"/>
      <c r="NTK1" s="221"/>
      <c r="NTL1" s="222"/>
      <c r="NTM1" s="220" t="s">
        <v>13331</v>
      </c>
      <c r="NTN1" s="221"/>
      <c r="NTO1" s="221"/>
      <c r="NTP1" s="222"/>
      <c r="NTQ1" s="220" t="s">
        <v>13331</v>
      </c>
      <c r="NTR1" s="221"/>
      <c r="NTS1" s="221"/>
      <c r="NTT1" s="222"/>
      <c r="NTU1" s="220" t="s">
        <v>13331</v>
      </c>
      <c r="NTV1" s="221"/>
      <c r="NTW1" s="221"/>
      <c r="NTX1" s="222"/>
      <c r="NTY1" s="220" t="s">
        <v>13331</v>
      </c>
      <c r="NTZ1" s="221"/>
      <c r="NUA1" s="221"/>
      <c r="NUB1" s="222"/>
      <c r="NUC1" s="220" t="s">
        <v>13331</v>
      </c>
      <c r="NUD1" s="221"/>
      <c r="NUE1" s="221"/>
      <c r="NUF1" s="222"/>
      <c r="NUG1" s="220" t="s">
        <v>13331</v>
      </c>
      <c r="NUH1" s="221"/>
      <c r="NUI1" s="221"/>
      <c r="NUJ1" s="222"/>
      <c r="NUK1" s="220" t="s">
        <v>13331</v>
      </c>
      <c r="NUL1" s="221"/>
      <c r="NUM1" s="221"/>
      <c r="NUN1" s="222"/>
      <c r="NUO1" s="220" t="s">
        <v>13331</v>
      </c>
      <c r="NUP1" s="221"/>
      <c r="NUQ1" s="221"/>
      <c r="NUR1" s="222"/>
      <c r="NUS1" s="220" t="s">
        <v>13331</v>
      </c>
      <c r="NUT1" s="221"/>
      <c r="NUU1" s="221"/>
      <c r="NUV1" s="222"/>
      <c r="NUW1" s="220" t="s">
        <v>13331</v>
      </c>
      <c r="NUX1" s="221"/>
      <c r="NUY1" s="221"/>
      <c r="NUZ1" s="222"/>
      <c r="NVA1" s="220" t="s">
        <v>13331</v>
      </c>
      <c r="NVB1" s="221"/>
      <c r="NVC1" s="221"/>
      <c r="NVD1" s="222"/>
      <c r="NVE1" s="220" t="s">
        <v>13331</v>
      </c>
      <c r="NVF1" s="221"/>
      <c r="NVG1" s="221"/>
      <c r="NVH1" s="222"/>
      <c r="NVI1" s="220" t="s">
        <v>13331</v>
      </c>
      <c r="NVJ1" s="221"/>
      <c r="NVK1" s="221"/>
      <c r="NVL1" s="222"/>
      <c r="NVM1" s="220" t="s">
        <v>13331</v>
      </c>
      <c r="NVN1" s="221"/>
      <c r="NVO1" s="221"/>
      <c r="NVP1" s="222"/>
      <c r="NVQ1" s="220" t="s">
        <v>13331</v>
      </c>
      <c r="NVR1" s="221"/>
      <c r="NVS1" s="221"/>
      <c r="NVT1" s="222"/>
      <c r="NVU1" s="220" t="s">
        <v>13331</v>
      </c>
      <c r="NVV1" s="221"/>
      <c r="NVW1" s="221"/>
      <c r="NVX1" s="222"/>
      <c r="NVY1" s="220" t="s">
        <v>13331</v>
      </c>
      <c r="NVZ1" s="221"/>
      <c r="NWA1" s="221"/>
      <c r="NWB1" s="222"/>
      <c r="NWC1" s="220" t="s">
        <v>13331</v>
      </c>
      <c r="NWD1" s="221"/>
      <c r="NWE1" s="221"/>
      <c r="NWF1" s="222"/>
      <c r="NWG1" s="220" t="s">
        <v>13331</v>
      </c>
      <c r="NWH1" s="221"/>
      <c r="NWI1" s="221"/>
      <c r="NWJ1" s="222"/>
      <c r="NWK1" s="220" t="s">
        <v>13331</v>
      </c>
      <c r="NWL1" s="221"/>
      <c r="NWM1" s="221"/>
      <c r="NWN1" s="222"/>
      <c r="NWO1" s="220" t="s">
        <v>13331</v>
      </c>
      <c r="NWP1" s="221"/>
      <c r="NWQ1" s="221"/>
      <c r="NWR1" s="222"/>
      <c r="NWS1" s="220" t="s">
        <v>13331</v>
      </c>
      <c r="NWT1" s="221"/>
      <c r="NWU1" s="221"/>
      <c r="NWV1" s="222"/>
      <c r="NWW1" s="220" t="s">
        <v>13331</v>
      </c>
      <c r="NWX1" s="221"/>
      <c r="NWY1" s="221"/>
      <c r="NWZ1" s="222"/>
      <c r="NXA1" s="220" t="s">
        <v>13331</v>
      </c>
      <c r="NXB1" s="221"/>
      <c r="NXC1" s="221"/>
      <c r="NXD1" s="222"/>
      <c r="NXE1" s="220" t="s">
        <v>13331</v>
      </c>
      <c r="NXF1" s="221"/>
      <c r="NXG1" s="221"/>
      <c r="NXH1" s="222"/>
      <c r="NXI1" s="220" t="s">
        <v>13331</v>
      </c>
      <c r="NXJ1" s="221"/>
      <c r="NXK1" s="221"/>
      <c r="NXL1" s="222"/>
      <c r="NXM1" s="220" t="s">
        <v>13331</v>
      </c>
      <c r="NXN1" s="221"/>
      <c r="NXO1" s="221"/>
      <c r="NXP1" s="222"/>
      <c r="NXQ1" s="220" t="s">
        <v>13331</v>
      </c>
      <c r="NXR1" s="221"/>
      <c r="NXS1" s="221"/>
      <c r="NXT1" s="222"/>
      <c r="NXU1" s="220" t="s">
        <v>13331</v>
      </c>
      <c r="NXV1" s="221"/>
      <c r="NXW1" s="221"/>
      <c r="NXX1" s="222"/>
      <c r="NXY1" s="220" t="s">
        <v>13331</v>
      </c>
      <c r="NXZ1" s="221"/>
      <c r="NYA1" s="221"/>
      <c r="NYB1" s="222"/>
      <c r="NYC1" s="220" t="s">
        <v>13331</v>
      </c>
      <c r="NYD1" s="221"/>
      <c r="NYE1" s="221"/>
      <c r="NYF1" s="222"/>
      <c r="NYG1" s="220" t="s">
        <v>13331</v>
      </c>
      <c r="NYH1" s="221"/>
      <c r="NYI1" s="221"/>
      <c r="NYJ1" s="222"/>
      <c r="NYK1" s="220" t="s">
        <v>13331</v>
      </c>
      <c r="NYL1" s="221"/>
      <c r="NYM1" s="221"/>
      <c r="NYN1" s="222"/>
      <c r="NYO1" s="220" t="s">
        <v>13331</v>
      </c>
      <c r="NYP1" s="221"/>
      <c r="NYQ1" s="221"/>
      <c r="NYR1" s="222"/>
      <c r="NYS1" s="220" t="s">
        <v>13331</v>
      </c>
      <c r="NYT1" s="221"/>
      <c r="NYU1" s="221"/>
      <c r="NYV1" s="222"/>
      <c r="NYW1" s="220" t="s">
        <v>13331</v>
      </c>
      <c r="NYX1" s="221"/>
      <c r="NYY1" s="221"/>
      <c r="NYZ1" s="222"/>
      <c r="NZA1" s="220" t="s">
        <v>13331</v>
      </c>
      <c r="NZB1" s="221"/>
      <c r="NZC1" s="221"/>
      <c r="NZD1" s="222"/>
      <c r="NZE1" s="220" t="s">
        <v>13331</v>
      </c>
      <c r="NZF1" s="221"/>
      <c r="NZG1" s="221"/>
      <c r="NZH1" s="222"/>
      <c r="NZI1" s="220" t="s">
        <v>13331</v>
      </c>
      <c r="NZJ1" s="221"/>
      <c r="NZK1" s="221"/>
      <c r="NZL1" s="222"/>
      <c r="NZM1" s="220" t="s">
        <v>13331</v>
      </c>
      <c r="NZN1" s="221"/>
      <c r="NZO1" s="221"/>
      <c r="NZP1" s="222"/>
      <c r="NZQ1" s="220" t="s">
        <v>13331</v>
      </c>
      <c r="NZR1" s="221"/>
      <c r="NZS1" s="221"/>
      <c r="NZT1" s="222"/>
      <c r="NZU1" s="220" t="s">
        <v>13331</v>
      </c>
      <c r="NZV1" s="221"/>
      <c r="NZW1" s="221"/>
      <c r="NZX1" s="222"/>
      <c r="NZY1" s="220" t="s">
        <v>13331</v>
      </c>
      <c r="NZZ1" s="221"/>
      <c r="OAA1" s="221"/>
      <c r="OAB1" s="222"/>
      <c r="OAC1" s="220" t="s">
        <v>13331</v>
      </c>
      <c r="OAD1" s="221"/>
      <c r="OAE1" s="221"/>
      <c r="OAF1" s="222"/>
      <c r="OAG1" s="220" t="s">
        <v>13331</v>
      </c>
      <c r="OAH1" s="221"/>
      <c r="OAI1" s="221"/>
      <c r="OAJ1" s="222"/>
      <c r="OAK1" s="220" t="s">
        <v>13331</v>
      </c>
      <c r="OAL1" s="221"/>
      <c r="OAM1" s="221"/>
      <c r="OAN1" s="222"/>
      <c r="OAO1" s="220" t="s">
        <v>13331</v>
      </c>
      <c r="OAP1" s="221"/>
      <c r="OAQ1" s="221"/>
      <c r="OAR1" s="222"/>
      <c r="OAS1" s="220" t="s">
        <v>13331</v>
      </c>
      <c r="OAT1" s="221"/>
      <c r="OAU1" s="221"/>
      <c r="OAV1" s="222"/>
      <c r="OAW1" s="220" t="s">
        <v>13331</v>
      </c>
      <c r="OAX1" s="221"/>
      <c r="OAY1" s="221"/>
      <c r="OAZ1" s="222"/>
      <c r="OBA1" s="220" t="s">
        <v>13331</v>
      </c>
      <c r="OBB1" s="221"/>
      <c r="OBC1" s="221"/>
      <c r="OBD1" s="222"/>
      <c r="OBE1" s="220" t="s">
        <v>13331</v>
      </c>
      <c r="OBF1" s="221"/>
      <c r="OBG1" s="221"/>
      <c r="OBH1" s="222"/>
      <c r="OBI1" s="220" t="s">
        <v>13331</v>
      </c>
      <c r="OBJ1" s="221"/>
      <c r="OBK1" s="221"/>
      <c r="OBL1" s="222"/>
      <c r="OBM1" s="220" t="s">
        <v>13331</v>
      </c>
      <c r="OBN1" s="221"/>
      <c r="OBO1" s="221"/>
      <c r="OBP1" s="222"/>
      <c r="OBQ1" s="220" t="s">
        <v>13331</v>
      </c>
      <c r="OBR1" s="221"/>
      <c r="OBS1" s="221"/>
      <c r="OBT1" s="222"/>
      <c r="OBU1" s="220" t="s">
        <v>13331</v>
      </c>
      <c r="OBV1" s="221"/>
      <c r="OBW1" s="221"/>
      <c r="OBX1" s="222"/>
      <c r="OBY1" s="220" t="s">
        <v>13331</v>
      </c>
      <c r="OBZ1" s="221"/>
      <c r="OCA1" s="221"/>
      <c r="OCB1" s="222"/>
      <c r="OCC1" s="220" t="s">
        <v>13331</v>
      </c>
      <c r="OCD1" s="221"/>
      <c r="OCE1" s="221"/>
      <c r="OCF1" s="222"/>
      <c r="OCG1" s="220" t="s">
        <v>13331</v>
      </c>
      <c r="OCH1" s="221"/>
      <c r="OCI1" s="221"/>
      <c r="OCJ1" s="222"/>
      <c r="OCK1" s="220" t="s">
        <v>13331</v>
      </c>
      <c r="OCL1" s="221"/>
      <c r="OCM1" s="221"/>
      <c r="OCN1" s="222"/>
      <c r="OCO1" s="220" t="s">
        <v>13331</v>
      </c>
      <c r="OCP1" s="221"/>
      <c r="OCQ1" s="221"/>
      <c r="OCR1" s="222"/>
      <c r="OCS1" s="220" t="s">
        <v>13331</v>
      </c>
      <c r="OCT1" s="221"/>
      <c r="OCU1" s="221"/>
      <c r="OCV1" s="222"/>
      <c r="OCW1" s="220" t="s">
        <v>13331</v>
      </c>
      <c r="OCX1" s="221"/>
      <c r="OCY1" s="221"/>
      <c r="OCZ1" s="222"/>
      <c r="ODA1" s="220" t="s">
        <v>13331</v>
      </c>
      <c r="ODB1" s="221"/>
      <c r="ODC1" s="221"/>
      <c r="ODD1" s="222"/>
      <c r="ODE1" s="220" t="s">
        <v>13331</v>
      </c>
      <c r="ODF1" s="221"/>
      <c r="ODG1" s="221"/>
      <c r="ODH1" s="222"/>
      <c r="ODI1" s="220" t="s">
        <v>13331</v>
      </c>
      <c r="ODJ1" s="221"/>
      <c r="ODK1" s="221"/>
      <c r="ODL1" s="222"/>
      <c r="ODM1" s="220" t="s">
        <v>13331</v>
      </c>
      <c r="ODN1" s="221"/>
      <c r="ODO1" s="221"/>
      <c r="ODP1" s="222"/>
      <c r="ODQ1" s="220" t="s">
        <v>13331</v>
      </c>
      <c r="ODR1" s="221"/>
      <c r="ODS1" s="221"/>
      <c r="ODT1" s="222"/>
      <c r="ODU1" s="220" t="s">
        <v>13331</v>
      </c>
      <c r="ODV1" s="221"/>
      <c r="ODW1" s="221"/>
      <c r="ODX1" s="222"/>
      <c r="ODY1" s="220" t="s">
        <v>13331</v>
      </c>
      <c r="ODZ1" s="221"/>
      <c r="OEA1" s="221"/>
      <c r="OEB1" s="222"/>
      <c r="OEC1" s="220" t="s">
        <v>13331</v>
      </c>
      <c r="OED1" s="221"/>
      <c r="OEE1" s="221"/>
      <c r="OEF1" s="222"/>
      <c r="OEG1" s="220" t="s">
        <v>13331</v>
      </c>
      <c r="OEH1" s="221"/>
      <c r="OEI1" s="221"/>
      <c r="OEJ1" s="222"/>
      <c r="OEK1" s="220" t="s">
        <v>13331</v>
      </c>
      <c r="OEL1" s="221"/>
      <c r="OEM1" s="221"/>
      <c r="OEN1" s="222"/>
      <c r="OEO1" s="220" t="s">
        <v>13331</v>
      </c>
      <c r="OEP1" s="221"/>
      <c r="OEQ1" s="221"/>
      <c r="OER1" s="222"/>
      <c r="OES1" s="220" t="s">
        <v>13331</v>
      </c>
      <c r="OET1" s="221"/>
      <c r="OEU1" s="221"/>
      <c r="OEV1" s="222"/>
      <c r="OEW1" s="220" t="s">
        <v>13331</v>
      </c>
      <c r="OEX1" s="221"/>
      <c r="OEY1" s="221"/>
      <c r="OEZ1" s="222"/>
      <c r="OFA1" s="220" t="s">
        <v>13331</v>
      </c>
      <c r="OFB1" s="221"/>
      <c r="OFC1" s="221"/>
      <c r="OFD1" s="222"/>
      <c r="OFE1" s="220" t="s">
        <v>13331</v>
      </c>
      <c r="OFF1" s="221"/>
      <c r="OFG1" s="221"/>
      <c r="OFH1" s="222"/>
      <c r="OFI1" s="220" t="s">
        <v>13331</v>
      </c>
      <c r="OFJ1" s="221"/>
      <c r="OFK1" s="221"/>
      <c r="OFL1" s="222"/>
      <c r="OFM1" s="220" t="s">
        <v>13331</v>
      </c>
      <c r="OFN1" s="221"/>
      <c r="OFO1" s="221"/>
      <c r="OFP1" s="222"/>
      <c r="OFQ1" s="220" t="s">
        <v>13331</v>
      </c>
      <c r="OFR1" s="221"/>
      <c r="OFS1" s="221"/>
      <c r="OFT1" s="222"/>
      <c r="OFU1" s="220" t="s">
        <v>13331</v>
      </c>
      <c r="OFV1" s="221"/>
      <c r="OFW1" s="221"/>
      <c r="OFX1" s="222"/>
      <c r="OFY1" s="220" t="s">
        <v>13331</v>
      </c>
      <c r="OFZ1" s="221"/>
      <c r="OGA1" s="221"/>
      <c r="OGB1" s="222"/>
      <c r="OGC1" s="220" t="s">
        <v>13331</v>
      </c>
      <c r="OGD1" s="221"/>
      <c r="OGE1" s="221"/>
      <c r="OGF1" s="222"/>
      <c r="OGG1" s="220" t="s">
        <v>13331</v>
      </c>
      <c r="OGH1" s="221"/>
      <c r="OGI1" s="221"/>
      <c r="OGJ1" s="222"/>
      <c r="OGK1" s="220" t="s">
        <v>13331</v>
      </c>
      <c r="OGL1" s="221"/>
      <c r="OGM1" s="221"/>
      <c r="OGN1" s="222"/>
      <c r="OGO1" s="220" t="s">
        <v>13331</v>
      </c>
      <c r="OGP1" s="221"/>
      <c r="OGQ1" s="221"/>
      <c r="OGR1" s="222"/>
      <c r="OGS1" s="220" t="s">
        <v>13331</v>
      </c>
      <c r="OGT1" s="221"/>
      <c r="OGU1" s="221"/>
      <c r="OGV1" s="222"/>
      <c r="OGW1" s="220" t="s">
        <v>13331</v>
      </c>
      <c r="OGX1" s="221"/>
      <c r="OGY1" s="221"/>
      <c r="OGZ1" s="222"/>
      <c r="OHA1" s="220" t="s">
        <v>13331</v>
      </c>
      <c r="OHB1" s="221"/>
      <c r="OHC1" s="221"/>
      <c r="OHD1" s="222"/>
      <c r="OHE1" s="220" t="s">
        <v>13331</v>
      </c>
      <c r="OHF1" s="221"/>
      <c r="OHG1" s="221"/>
      <c r="OHH1" s="222"/>
      <c r="OHI1" s="220" t="s">
        <v>13331</v>
      </c>
      <c r="OHJ1" s="221"/>
      <c r="OHK1" s="221"/>
      <c r="OHL1" s="222"/>
      <c r="OHM1" s="220" t="s">
        <v>13331</v>
      </c>
      <c r="OHN1" s="221"/>
      <c r="OHO1" s="221"/>
      <c r="OHP1" s="222"/>
      <c r="OHQ1" s="220" t="s">
        <v>13331</v>
      </c>
      <c r="OHR1" s="221"/>
      <c r="OHS1" s="221"/>
      <c r="OHT1" s="222"/>
      <c r="OHU1" s="220" t="s">
        <v>13331</v>
      </c>
      <c r="OHV1" s="221"/>
      <c r="OHW1" s="221"/>
      <c r="OHX1" s="222"/>
      <c r="OHY1" s="220" t="s">
        <v>13331</v>
      </c>
      <c r="OHZ1" s="221"/>
      <c r="OIA1" s="221"/>
      <c r="OIB1" s="222"/>
      <c r="OIC1" s="220" t="s">
        <v>13331</v>
      </c>
      <c r="OID1" s="221"/>
      <c r="OIE1" s="221"/>
      <c r="OIF1" s="222"/>
      <c r="OIG1" s="220" t="s">
        <v>13331</v>
      </c>
      <c r="OIH1" s="221"/>
      <c r="OII1" s="221"/>
      <c r="OIJ1" s="222"/>
      <c r="OIK1" s="220" t="s">
        <v>13331</v>
      </c>
      <c r="OIL1" s="221"/>
      <c r="OIM1" s="221"/>
      <c r="OIN1" s="222"/>
      <c r="OIO1" s="220" t="s">
        <v>13331</v>
      </c>
      <c r="OIP1" s="221"/>
      <c r="OIQ1" s="221"/>
      <c r="OIR1" s="222"/>
      <c r="OIS1" s="220" t="s">
        <v>13331</v>
      </c>
      <c r="OIT1" s="221"/>
      <c r="OIU1" s="221"/>
      <c r="OIV1" s="222"/>
      <c r="OIW1" s="220" t="s">
        <v>13331</v>
      </c>
      <c r="OIX1" s="221"/>
      <c r="OIY1" s="221"/>
      <c r="OIZ1" s="222"/>
      <c r="OJA1" s="220" t="s">
        <v>13331</v>
      </c>
      <c r="OJB1" s="221"/>
      <c r="OJC1" s="221"/>
      <c r="OJD1" s="222"/>
      <c r="OJE1" s="220" t="s">
        <v>13331</v>
      </c>
      <c r="OJF1" s="221"/>
      <c r="OJG1" s="221"/>
      <c r="OJH1" s="222"/>
      <c r="OJI1" s="220" t="s">
        <v>13331</v>
      </c>
      <c r="OJJ1" s="221"/>
      <c r="OJK1" s="221"/>
      <c r="OJL1" s="222"/>
      <c r="OJM1" s="220" t="s">
        <v>13331</v>
      </c>
      <c r="OJN1" s="221"/>
      <c r="OJO1" s="221"/>
      <c r="OJP1" s="222"/>
      <c r="OJQ1" s="220" t="s">
        <v>13331</v>
      </c>
      <c r="OJR1" s="221"/>
      <c r="OJS1" s="221"/>
      <c r="OJT1" s="222"/>
      <c r="OJU1" s="220" t="s">
        <v>13331</v>
      </c>
      <c r="OJV1" s="221"/>
      <c r="OJW1" s="221"/>
      <c r="OJX1" s="222"/>
      <c r="OJY1" s="220" t="s">
        <v>13331</v>
      </c>
      <c r="OJZ1" s="221"/>
      <c r="OKA1" s="221"/>
      <c r="OKB1" s="222"/>
      <c r="OKC1" s="220" t="s">
        <v>13331</v>
      </c>
      <c r="OKD1" s="221"/>
      <c r="OKE1" s="221"/>
      <c r="OKF1" s="222"/>
      <c r="OKG1" s="220" t="s">
        <v>13331</v>
      </c>
      <c r="OKH1" s="221"/>
      <c r="OKI1" s="221"/>
      <c r="OKJ1" s="222"/>
      <c r="OKK1" s="220" t="s">
        <v>13331</v>
      </c>
      <c r="OKL1" s="221"/>
      <c r="OKM1" s="221"/>
      <c r="OKN1" s="222"/>
      <c r="OKO1" s="220" t="s">
        <v>13331</v>
      </c>
      <c r="OKP1" s="221"/>
      <c r="OKQ1" s="221"/>
      <c r="OKR1" s="222"/>
      <c r="OKS1" s="220" t="s">
        <v>13331</v>
      </c>
      <c r="OKT1" s="221"/>
      <c r="OKU1" s="221"/>
      <c r="OKV1" s="222"/>
      <c r="OKW1" s="220" t="s">
        <v>13331</v>
      </c>
      <c r="OKX1" s="221"/>
      <c r="OKY1" s="221"/>
      <c r="OKZ1" s="222"/>
      <c r="OLA1" s="220" t="s">
        <v>13331</v>
      </c>
      <c r="OLB1" s="221"/>
      <c r="OLC1" s="221"/>
      <c r="OLD1" s="222"/>
      <c r="OLE1" s="220" t="s">
        <v>13331</v>
      </c>
      <c r="OLF1" s="221"/>
      <c r="OLG1" s="221"/>
      <c r="OLH1" s="222"/>
      <c r="OLI1" s="220" t="s">
        <v>13331</v>
      </c>
      <c r="OLJ1" s="221"/>
      <c r="OLK1" s="221"/>
      <c r="OLL1" s="222"/>
      <c r="OLM1" s="220" t="s">
        <v>13331</v>
      </c>
      <c r="OLN1" s="221"/>
      <c r="OLO1" s="221"/>
      <c r="OLP1" s="222"/>
      <c r="OLQ1" s="220" t="s">
        <v>13331</v>
      </c>
      <c r="OLR1" s="221"/>
      <c r="OLS1" s="221"/>
      <c r="OLT1" s="222"/>
      <c r="OLU1" s="220" t="s">
        <v>13331</v>
      </c>
      <c r="OLV1" s="221"/>
      <c r="OLW1" s="221"/>
      <c r="OLX1" s="222"/>
      <c r="OLY1" s="220" t="s">
        <v>13331</v>
      </c>
      <c r="OLZ1" s="221"/>
      <c r="OMA1" s="221"/>
      <c r="OMB1" s="222"/>
      <c r="OMC1" s="220" t="s">
        <v>13331</v>
      </c>
      <c r="OMD1" s="221"/>
      <c r="OME1" s="221"/>
      <c r="OMF1" s="222"/>
      <c r="OMG1" s="220" t="s">
        <v>13331</v>
      </c>
      <c r="OMH1" s="221"/>
      <c r="OMI1" s="221"/>
      <c r="OMJ1" s="222"/>
      <c r="OMK1" s="220" t="s">
        <v>13331</v>
      </c>
      <c r="OML1" s="221"/>
      <c r="OMM1" s="221"/>
      <c r="OMN1" s="222"/>
      <c r="OMO1" s="220" t="s">
        <v>13331</v>
      </c>
      <c r="OMP1" s="221"/>
      <c r="OMQ1" s="221"/>
      <c r="OMR1" s="222"/>
      <c r="OMS1" s="220" t="s">
        <v>13331</v>
      </c>
      <c r="OMT1" s="221"/>
      <c r="OMU1" s="221"/>
      <c r="OMV1" s="222"/>
      <c r="OMW1" s="220" t="s">
        <v>13331</v>
      </c>
      <c r="OMX1" s="221"/>
      <c r="OMY1" s="221"/>
      <c r="OMZ1" s="222"/>
      <c r="ONA1" s="220" t="s">
        <v>13331</v>
      </c>
      <c r="ONB1" s="221"/>
      <c r="ONC1" s="221"/>
      <c r="OND1" s="222"/>
      <c r="ONE1" s="220" t="s">
        <v>13331</v>
      </c>
      <c r="ONF1" s="221"/>
      <c r="ONG1" s="221"/>
      <c r="ONH1" s="222"/>
      <c r="ONI1" s="220" t="s">
        <v>13331</v>
      </c>
      <c r="ONJ1" s="221"/>
      <c r="ONK1" s="221"/>
      <c r="ONL1" s="222"/>
      <c r="ONM1" s="220" t="s">
        <v>13331</v>
      </c>
      <c r="ONN1" s="221"/>
      <c r="ONO1" s="221"/>
      <c r="ONP1" s="222"/>
      <c r="ONQ1" s="220" t="s">
        <v>13331</v>
      </c>
      <c r="ONR1" s="221"/>
      <c r="ONS1" s="221"/>
      <c r="ONT1" s="222"/>
      <c r="ONU1" s="220" t="s">
        <v>13331</v>
      </c>
      <c r="ONV1" s="221"/>
      <c r="ONW1" s="221"/>
      <c r="ONX1" s="222"/>
      <c r="ONY1" s="220" t="s">
        <v>13331</v>
      </c>
      <c r="ONZ1" s="221"/>
      <c r="OOA1" s="221"/>
      <c r="OOB1" s="222"/>
      <c r="OOC1" s="220" t="s">
        <v>13331</v>
      </c>
      <c r="OOD1" s="221"/>
      <c r="OOE1" s="221"/>
      <c r="OOF1" s="222"/>
      <c r="OOG1" s="220" t="s">
        <v>13331</v>
      </c>
      <c r="OOH1" s="221"/>
      <c r="OOI1" s="221"/>
      <c r="OOJ1" s="222"/>
      <c r="OOK1" s="220" t="s">
        <v>13331</v>
      </c>
      <c r="OOL1" s="221"/>
      <c r="OOM1" s="221"/>
      <c r="OON1" s="222"/>
      <c r="OOO1" s="220" t="s">
        <v>13331</v>
      </c>
      <c r="OOP1" s="221"/>
      <c r="OOQ1" s="221"/>
      <c r="OOR1" s="222"/>
      <c r="OOS1" s="220" t="s">
        <v>13331</v>
      </c>
      <c r="OOT1" s="221"/>
      <c r="OOU1" s="221"/>
      <c r="OOV1" s="222"/>
      <c r="OOW1" s="220" t="s">
        <v>13331</v>
      </c>
      <c r="OOX1" s="221"/>
      <c r="OOY1" s="221"/>
      <c r="OOZ1" s="222"/>
      <c r="OPA1" s="220" t="s">
        <v>13331</v>
      </c>
      <c r="OPB1" s="221"/>
      <c r="OPC1" s="221"/>
      <c r="OPD1" s="222"/>
      <c r="OPE1" s="220" t="s">
        <v>13331</v>
      </c>
      <c r="OPF1" s="221"/>
      <c r="OPG1" s="221"/>
      <c r="OPH1" s="222"/>
      <c r="OPI1" s="220" t="s">
        <v>13331</v>
      </c>
      <c r="OPJ1" s="221"/>
      <c r="OPK1" s="221"/>
      <c r="OPL1" s="222"/>
      <c r="OPM1" s="220" t="s">
        <v>13331</v>
      </c>
      <c r="OPN1" s="221"/>
      <c r="OPO1" s="221"/>
      <c r="OPP1" s="222"/>
      <c r="OPQ1" s="220" t="s">
        <v>13331</v>
      </c>
      <c r="OPR1" s="221"/>
      <c r="OPS1" s="221"/>
      <c r="OPT1" s="222"/>
      <c r="OPU1" s="220" t="s">
        <v>13331</v>
      </c>
      <c r="OPV1" s="221"/>
      <c r="OPW1" s="221"/>
      <c r="OPX1" s="222"/>
      <c r="OPY1" s="220" t="s">
        <v>13331</v>
      </c>
      <c r="OPZ1" s="221"/>
      <c r="OQA1" s="221"/>
      <c r="OQB1" s="222"/>
      <c r="OQC1" s="220" t="s">
        <v>13331</v>
      </c>
      <c r="OQD1" s="221"/>
      <c r="OQE1" s="221"/>
      <c r="OQF1" s="222"/>
      <c r="OQG1" s="220" t="s">
        <v>13331</v>
      </c>
      <c r="OQH1" s="221"/>
      <c r="OQI1" s="221"/>
      <c r="OQJ1" s="222"/>
      <c r="OQK1" s="220" t="s">
        <v>13331</v>
      </c>
      <c r="OQL1" s="221"/>
      <c r="OQM1" s="221"/>
      <c r="OQN1" s="222"/>
      <c r="OQO1" s="220" t="s">
        <v>13331</v>
      </c>
      <c r="OQP1" s="221"/>
      <c r="OQQ1" s="221"/>
      <c r="OQR1" s="222"/>
      <c r="OQS1" s="220" t="s">
        <v>13331</v>
      </c>
      <c r="OQT1" s="221"/>
      <c r="OQU1" s="221"/>
      <c r="OQV1" s="222"/>
      <c r="OQW1" s="220" t="s">
        <v>13331</v>
      </c>
      <c r="OQX1" s="221"/>
      <c r="OQY1" s="221"/>
      <c r="OQZ1" s="222"/>
      <c r="ORA1" s="220" t="s">
        <v>13331</v>
      </c>
      <c r="ORB1" s="221"/>
      <c r="ORC1" s="221"/>
      <c r="ORD1" s="222"/>
      <c r="ORE1" s="220" t="s">
        <v>13331</v>
      </c>
      <c r="ORF1" s="221"/>
      <c r="ORG1" s="221"/>
      <c r="ORH1" s="222"/>
      <c r="ORI1" s="220" t="s">
        <v>13331</v>
      </c>
      <c r="ORJ1" s="221"/>
      <c r="ORK1" s="221"/>
      <c r="ORL1" s="222"/>
      <c r="ORM1" s="220" t="s">
        <v>13331</v>
      </c>
      <c r="ORN1" s="221"/>
      <c r="ORO1" s="221"/>
      <c r="ORP1" s="222"/>
      <c r="ORQ1" s="220" t="s">
        <v>13331</v>
      </c>
      <c r="ORR1" s="221"/>
      <c r="ORS1" s="221"/>
      <c r="ORT1" s="222"/>
      <c r="ORU1" s="220" t="s">
        <v>13331</v>
      </c>
      <c r="ORV1" s="221"/>
      <c r="ORW1" s="221"/>
      <c r="ORX1" s="222"/>
      <c r="ORY1" s="220" t="s">
        <v>13331</v>
      </c>
      <c r="ORZ1" s="221"/>
      <c r="OSA1" s="221"/>
      <c r="OSB1" s="222"/>
      <c r="OSC1" s="220" t="s">
        <v>13331</v>
      </c>
      <c r="OSD1" s="221"/>
      <c r="OSE1" s="221"/>
      <c r="OSF1" s="222"/>
      <c r="OSG1" s="220" t="s">
        <v>13331</v>
      </c>
      <c r="OSH1" s="221"/>
      <c r="OSI1" s="221"/>
      <c r="OSJ1" s="222"/>
      <c r="OSK1" s="220" t="s">
        <v>13331</v>
      </c>
      <c r="OSL1" s="221"/>
      <c r="OSM1" s="221"/>
      <c r="OSN1" s="222"/>
      <c r="OSO1" s="220" t="s">
        <v>13331</v>
      </c>
      <c r="OSP1" s="221"/>
      <c r="OSQ1" s="221"/>
      <c r="OSR1" s="222"/>
      <c r="OSS1" s="220" t="s">
        <v>13331</v>
      </c>
      <c r="OST1" s="221"/>
      <c r="OSU1" s="221"/>
      <c r="OSV1" s="222"/>
      <c r="OSW1" s="220" t="s">
        <v>13331</v>
      </c>
      <c r="OSX1" s="221"/>
      <c r="OSY1" s="221"/>
      <c r="OSZ1" s="222"/>
      <c r="OTA1" s="220" t="s">
        <v>13331</v>
      </c>
      <c r="OTB1" s="221"/>
      <c r="OTC1" s="221"/>
      <c r="OTD1" s="222"/>
      <c r="OTE1" s="220" t="s">
        <v>13331</v>
      </c>
      <c r="OTF1" s="221"/>
      <c r="OTG1" s="221"/>
      <c r="OTH1" s="222"/>
      <c r="OTI1" s="220" t="s">
        <v>13331</v>
      </c>
      <c r="OTJ1" s="221"/>
      <c r="OTK1" s="221"/>
      <c r="OTL1" s="222"/>
      <c r="OTM1" s="220" t="s">
        <v>13331</v>
      </c>
      <c r="OTN1" s="221"/>
      <c r="OTO1" s="221"/>
      <c r="OTP1" s="222"/>
      <c r="OTQ1" s="220" t="s">
        <v>13331</v>
      </c>
      <c r="OTR1" s="221"/>
      <c r="OTS1" s="221"/>
      <c r="OTT1" s="222"/>
      <c r="OTU1" s="220" t="s">
        <v>13331</v>
      </c>
      <c r="OTV1" s="221"/>
      <c r="OTW1" s="221"/>
      <c r="OTX1" s="222"/>
      <c r="OTY1" s="220" t="s">
        <v>13331</v>
      </c>
      <c r="OTZ1" s="221"/>
      <c r="OUA1" s="221"/>
      <c r="OUB1" s="222"/>
      <c r="OUC1" s="220" t="s">
        <v>13331</v>
      </c>
      <c r="OUD1" s="221"/>
      <c r="OUE1" s="221"/>
      <c r="OUF1" s="222"/>
      <c r="OUG1" s="220" t="s">
        <v>13331</v>
      </c>
      <c r="OUH1" s="221"/>
      <c r="OUI1" s="221"/>
      <c r="OUJ1" s="222"/>
      <c r="OUK1" s="220" t="s">
        <v>13331</v>
      </c>
      <c r="OUL1" s="221"/>
      <c r="OUM1" s="221"/>
      <c r="OUN1" s="222"/>
      <c r="OUO1" s="220" t="s">
        <v>13331</v>
      </c>
      <c r="OUP1" s="221"/>
      <c r="OUQ1" s="221"/>
      <c r="OUR1" s="222"/>
      <c r="OUS1" s="220" t="s">
        <v>13331</v>
      </c>
      <c r="OUT1" s="221"/>
      <c r="OUU1" s="221"/>
      <c r="OUV1" s="222"/>
      <c r="OUW1" s="220" t="s">
        <v>13331</v>
      </c>
      <c r="OUX1" s="221"/>
      <c r="OUY1" s="221"/>
      <c r="OUZ1" s="222"/>
      <c r="OVA1" s="220" t="s">
        <v>13331</v>
      </c>
      <c r="OVB1" s="221"/>
      <c r="OVC1" s="221"/>
      <c r="OVD1" s="222"/>
      <c r="OVE1" s="220" t="s">
        <v>13331</v>
      </c>
      <c r="OVF1" s="221"/>
      <c r="OVG1" s="221"/>
      <c r="OVH1" s="222"/>
      <c r="OVI1" s="220" t="s">
        <v>13331</v>
      </c>
      <c r="OVJ1" s="221"/>
      <c r="OVK1" s="221"/>
      <c r="OVL1" s="222"/>
      <c r="OVM1" s="220" t="s">
        <v>13331</v>
      </c>
      <c r="OVN1" s="221"/>
      <c r="OVO1" s="221"/>
      <c r="OVP1" s="222"/>
      <c r="OVQ1" s="220" t="s">
        <v>13331</v>
      </c>
      <c r="OVR1" s="221"/>
      <c r="OVS1" s="221"/>
      <c r="OVT1" s="222"/>
      <c r="OVU1" s="220" t="s">
        <v>13331</v>
      </c>
      <c r="OVV1" s="221"/>
      <c r="OVW1" s="221"/>
      <c r="OVX1" s="222"/>
      <c r="OVY1" s="220" t="s">
        <v>13331</v>
      </c>
      <c r="OVZ1" s="221"/>
      <c r="OWA1" s="221"/>
      <c r="OWB1" s="222"/>
      <c r="OWC1" s="220" t="s">
        <v>13331</v>
      </c>
      <c r="OWD1" s="221"/>
      <c r="OWE1" s="221"/>
      <c r="OWF1" s="222"/>
      <c r="OWG1" s="220" t="s">
        <v>13331</v>
      </c>
      <c r="OWH1" s="221"/>
      <c r="OWI1" s="221"/>
      <c r="OWJ1" s="222"/>
      <c r="OWK1" s="220" t="s">
        <v>13331</v>
      </c>
      <c r="OWL1" s="221"/>
      <c r="OWM1" s="221"/>
      <c r="OWN1" s="222"/>
      <c r="OWO1" s="220" t="s">
        <v>13331</v>
      </c>
      <c r="OWP1" s="221"/>
      <c r="OWQ1" s="221"/>
      <c r="OWR1" s="222"/>
      <c r="OWS1" s="220" t="s">
        <v>13331</v>
      </c>
      <c r="OWT1" s="221"/>
      <c r="OWU1" s="221"/>
      <c r="OWV1" s="222"/>
      <c r="OWW1" s="220" t="s">
        <v>13331</v>
      </c>
      <c r="OWX1" s="221"/>
      <c r="OWY1" s="221"/>
      <c r="OWZ1" s="222"/>
      <c r="OXA1" s="220" t="s">
        <v>13331</v>
      </c>
      <c r="OXB1" s="221"/>
      <c r="OXC1" s="221"/>
      <c r="OXD1" s="222"/>
      <c r="OXE1" s="220" t="s">
        <v>13331</v>
      </c>
      <c r="OXF1" s="221"/>
      <c r="OXG1" s="221"/>
      <c r="OXH1" s="222"/>
      <c r="OXI1" s="220" t="s">
        <v>13331</v>
      </c>
      <c r="OXJ1" s="221"/>
      <c r="OXK1" s="221"/>
      <c r="OXL1" s="222"/>
      <c r="OXM1" s="220" t="s">
        <v>13331</v>
      </c>
      <c r="OXN1" s="221"/>
      <c r="OXO1" s="221"/>
      <c r="OXP1" s="222"/>
      <c r="OXQ1" s="220" t="s">
        <v>13331</v>
      </c>
      <c r="OXR1" s="221"/>
      <c r="OXS1" s="221"/>
      <c r="OXT1" s="222"/>
      <c r="OXU1" s="220" t="s">
        <v>13331</v>
      </c>
      <c r="OXV1" s="221"/>
      <c r="OXW1" s="221"/>
      <c r="OXX1" s="222"/>
      <c r="OXY1" s="220" t="s">
        <v>13331</v>
      </c>
      <c r="OXZ1" s="221"/>
      <c r="OYA1" s="221"/>
      <c r="OYB1" s="222"/>
      <c r="OYC1" s="220" t="s">
        <v>13331</v>
      </c>
      <c r="OYD1" s="221"/>
      <c r="OYE1" s="221"/>
      <c r="OYF1" s="222"/>
      <c r="OYG1" s="220" t="s">
        <v>13331</v>
      </c>
      <c r="OYH1" s="221"/>
      <c r="OYI1" s="221"/>
      <c r="OYJ1" s="222"/>
      <c r="OYK1" s="220" t="s">
        <v>13331</v>
      </c>
      <c r="OYL1" s="221"/>
      <c r="OYM1" s="221"/>
      <c r="OYN1" s="222"/>
      <c r="OYO1" s="220" t="s">
        <v>13331</v>
      </c>
      <c r="OYP1" s="221"/>
      <c r="OYQ1" s="221"/>
      <c r="OYR1" s="222"/>
      <c r="OYS1" s="220" t="s">
        <v>13331</v>
      </c>
      <c r="OYT1" s="221"/>
      <c r="OYU1" s="221"/>
      <c r="OYV1" s="222"/>
      <c r="OYW1" s="220" t="s">
        <v>13331</v>
      </c>
      <c r="OYX1" s="221"/>
      <c r="OYY1" s="221"/>
      <c r="OYZ1" s="222"/>
      <c r="OZA1" s="220" t="s">
        <v>13331</v>
      </c>
      <c r="OZB1" s="221"/>
      <c r="OZC1" s="221"/>
      <c r="OZD1" s="222"/>
      <c r="OZE1" s="220" t="s">
        <v>13331</v>
      </c>
      <c r="OZF1" s="221"/>
      <c r="OZG1" s="221"/>
      <c r="OZH1" s="222"/>
      <c r="OZI1" s="220" t="s">
        <v>13331</v>
      </c>
      <c r="OZJ1" s="221"/>
      <c r="OZK1" s="221"/>
      <c r="OZL1" s="222"/>
      <c r="OZM1" s="220" t="s">
        <v>13331</v>
      </c>
      <c r="OZN1" s="221"/>
      <c r="OZO1" s="221"/>
      <c r="OZP1" s="222"/>
      <c r="OZQ1" s="220" t="s">
        <v>13331</v>
      </c>
      <c r="OZR1" s="221"/>
      <c r="OZS1" s="221"/>
      <c r="OZT1" s="222"/>
      <c r="OZU1" s="220" t="s">
        <v>13331</v>
      </c>
      <c r="OZV1" s="221"/>
      <c r="OZW1" s="221"/>
      <c r="OZX1" s="222"/>
      <c r="OZY1" s="220" t="s">
        <v>13331</v>
      </c>
      <c r="OZZ1" s="221"/>
      <c r="PAA1" s="221"/>
      <c r="PAB1" s="222"/>
      <c r="PAC1" s="220" t="s">
        <v>13331</v>
      </c>
      <c r="PAD1" s="221"/>
      <c r="PAE1" s="221"/>
      <c r="PAF1" s="222"/>
      <c r="PAG1" s="220" t="s">
        <v>13331</v>
      </c>
      <c r="PAH1" s="221"/>
      <c r="PAI1" s="221"/>
      <c r="PAJ1" s="222"/>
      <c r="PAK1" s="220" t="s">
        <v>13331</v>
      </c>
      <c r="PAL1" s="221"/>
      <c r="PAM1" s="221"/>
      <c r="PAN1" s="222"/>
      <c r="PAO1" s="220" t="s">
        <v>13331</v>
      </c>
      <c r="PAP1" s="221"/>
      <c r="PAQ1" s="221"/>
      <c r="PAR1" s="222"/>
      <c r="PAS1" s="220" t="s">
        <v>13331</v>
      </c>
      <c r="PAT1" s="221"/>
      <c r="PAU1" s="221"/>
      <c r="PAV1" s="222"/>
      <c r="PAW1" s="220" t="s">
        <v>13331</v>
      </c>
      <c r="PAX1" s="221"/>
      <c r="PAY1" s="221"/>
      <c r="PAZ1" s="222"/>
      <c r="PBA1" s="220" t="s">
        <v>13331</v>
      </c>
      <c r="PBB1" s="221"/>
      <c r="PBC1" s="221"/>
      <c r="PBD1" s="222"/>
      <c r="PBE1" s="220" t="s">
        <v>13331</v>
      </c>
      <c r="PBF1" s="221"/>
      <c r="PBG1" s="221"/>
      <c r="PBH1" s="222"/>
      <c r="PBI1" s="220" t="s">
        <v>13331</v>
      </c>
      <c r="PBJ1" s="221"/>
      <c r="PBK1" s="221"/>
      <c r="PBL1" s="222"/>
      <c r="PBM1" s="220" t="s">
        <v>13331</v>
      </c>
      <c r="PBN1" s="221"/>
      <c r="PBO1" s="221"/>
      <c r="PBP1" s="222"/>
      <c r="PBQ1" s="220" t="s">
        <v>13331</v>
      </c>
      <c r="PBR1" s="221"/>
      <c r="PBS1" s="221"/>
      <c r="PBT1" s="222"/>
      <c r="PBU1" s="220" t="s">
        <v>13331</v>
      </c>
      <c r="PBV1" s="221"/>
      <c r="PBW1" s="221"/>
      <c r="PBX1" s="222"/>
      <c r="PBY1" s="220" t="s">
        <v>13331</v>
      </c>
      <c r="PBZ1" s="221"/>
      <c r="PCA1" s="221"/>
      <c r="PCB1" s="222"/>
      <c r="PCC1" s="220" t="s">
        <v>13331</v>
      </c>
      <c r="PCD1" s="221"/>
      <c r="PCE1" s="221"/>
      <c r="PCF1" s="222"/>
      <c r="PCG1" s="220" t="s">
        <v>13331</v>
      </c>
      <c r="PCH1" s="221"/>
      <c r="PCI1" s="221"/>
      <c r="PCJ1" s="222"/>
      <c r="PCK1" s="220" t="s">
        <v>13331</v>
      </c>
      <c r="PCL1" s="221"/>
      <c r="PCM1" s="221"/>
      <c r="PCN1" s="222"/>
      <c r="PCO1" s="220" t="s">
        <v>13331</v>
      </c>
      <c r="PCP1" s="221"/>
      <c r="PCQ1" s="221"/>
      <c r="PCR1" s="222"/>
      <c r="PCS1" s="220" t="s">
        <v>13331</v>
      </c>
      <c r="PCT1" s="221"/>
      <c r="PCU1" s="221"/>
      <c r="PCV1" s="222"/>
      <c r="PCW1" s="220" t="s">
        <v>13331</v>
      </c>
      <c r="PCX1" s="221"/>
      <c r="PCY1" s="221"/>
      <c r="PCZ1" s="222"/>
      <c r="PDA1" s="220" t="s">
        <v>13331</v>
      </c>
      <c r="PDB1" s="221"/>
      <c r="PDC1" s="221"/>
      <c r="PDD1" s="222"/>
      <c r="PDE1" s="220" t="s">
        <v>13331</v>
      </c>
      <c r="PDF1" s="221"/>
      <c r="PDG1" s="221"/>
      <c r="PDH1" s="222"/>
      <c r="PDI1" s="220" t="s">
        <v>13331</v>
      </c>
      <c r="PDJ1" s="221"/>
      <c r="PDK1" s="221"/>
      <c r="PDL1" s="222"/>
      <c r="PDM1" s="220" t="s">
        <v>13331</v>
      </c>
      <c r="PDN1" s="221"/>
      <c r="PDO1" s="221"/>
      <c r="PDP1" s="222"/>
      <c r="PDQ1" s="220" t="s">
        <v>13331</v>
      </c>
      <c r="PDR1" s="221"/>
      <c r="PDS1" s="221"/>
      <c r="PDT1" s="222"/>
      <c r="PDU1" s="220" t="s">
        <v>13331</v>
      </c>
      <c r="PDV1" s="221"/>
      <c r="PDW1" s="221"/>
      <c r="PDX1" s="222"/>
      <c r="PDY1" s="220" t="s">
        <v>13331</v>
      </c>
      <c r="PDZ1" s="221"/>
      <c r="PEA1" s="221"/>
      <c r="PEB1" s="222"/>
      <c r="PEC1" s="220" t="s">
        <v>13331</v>
      </c>
      <c r="PED1" s="221"/>
      <c r="PEE1" s="221"/>
      <c r="PEF1" s="222"/>
      <c r="PEG1" s="220" t="s">
        <v>13331</v>
      </c>
      <c r="PEH1" s="221"/>
      <c r="PEI1" s="221"/>
      <c r="PEJ1" s="222"/>
      <c r="PEK1" s="220" t="s">
        <v>13331</v>
      </c>
      <c r="PEL1" s="221"/>
      <c r="PEM1" s="221"/>
      <c r="PEN1" s="222"/>
      <c r="PEO1" s="220" t="s">
        <v>13331</v>
      </c>
      <c r="PEP1" s="221"/>
      <c r="PEQ1" s="221"/>
      <c r="PER1" s="222"/>
      <c r="PES1" s="220" t="s">
        <v>13331</v>
      </c>
      <c r="PET1" s="221"/>
      <c r="PEU1" s="221"/>
      <c r="PEV1" s="222"/>
      <c r="PEW1" s="220" t="s">
        <v>13331</v>
      </c>
      <c r="PEX1" s="221"/>
      <c r="PEY1" s="221"/>
      <c r="PEZ1" s="222"/>
      <c r="PFA1" s="220" t="s">
        <v>13331</v>
      </c>
      <c r="PFB1" s="221"/>
      <c r="PFC1" s="221"/>
      <c r="PFD1" s="222"/>
      <c r="PFE1" s="220" t="s">
        <v>13331</v>
      </c>
      <c r="PFF1" s="221"/>
      <c r="PFG1" s="221"/>
      <c r="PFH1" s="222"/>
      <c r="PFI1" s="220" t="s">
        <v>13331</v>
      </c>
      <c r="PFJ1" s="221"/>
      <c r="PFK1" s="221"/>
      <c r="PFL1" s="222"/>
      <c r="PFM1" s="220" t="s">
        <v>13331</v>
      </c>
      <c r="PFN1" s="221"/>
      <c r="PFO1" s="221"/>
      <c r="PFP1" s="222"/>
      <c r="PFQ1" s="220" t="s">
        <v>13331</v>
      </c>
      <c r="PFR1" s="221"/>
      <c r="PFS1" s="221"/>
      <c r="PFT1" s="222"/>
      <c r="PFU1" s="220" t="s">
        <v>13331</v>
      </c>
      <c r="PFV1" s="221"/>
      <c r="PFW1" s="221"/>
      <c r="PFX1" s="222"/>
      <c r="PFY1" s="220" t="s">
        <v>13331</v>
      </c>
      <c r="PFZ1" s="221"/>
      <c r="PGA1" s="221"/>
      <c r="PGB1" s="222"/>
      <c r="PGC1" s="220" t="s">
        <v>13331</v>
      </c>
      <c r="PGD1" s="221"/>
      <c r="PGE1" s="221"/>
      <c r="PGF1" s="222"/>
      <c r="PGG1" s="220" t="s">
        <v>13331</v>
      </c>
      <c r="PGH1" s="221"/>
      <c r="PGI1" s="221"/>
      <c r="PGJ1" s="222"/>
      <c r="PGK1" s="220" t="s">
        <v>13331</v>
      </c>
      <c r="PGL1" s="221"/>
      <c r="PGM1" s="221"/>
      <c r="PGN1" s="222"/>
      <c r="PGO1" s="220" t="s">
        <v>13331</v>
      </c>
      <c r="PGP1" s="221"/>
      <c r="PGQ1" s="221"/>
      <c r="PGR1" s="222"/>
      <c r="PGS1" s="220" t="s">
        <v>13331</v>
      </c>
      <c r="PGT1" s="221"/>
      <c r="PGU1" s="221"/>
      <c r="PGV1" s="222"/>
      <c r="PGW1" s="220" t="s">
        <v>13331</v>
      </c>
      <c r="PGX1" s="221"/>
      <c r="PGY1" s="221"/>
      <c r="PGZ1" s="222"/>
      <c r="PHA1" s="220" t="s">
        <v>13331</v>
      </c>
      <c r="PHB1" s="221"/>
      <c r="PHC1" s="221"/>
      <c r="PHD1" s="222"/>
      <c r="PHE1" s="220" t="s">
        <v>13331</v>
      </c>
      <c r="PHF1" s="221"/>
      <c r="PHG1" s="221"/>
      <c r="PHH1" s="222"/>
      <c r="PHI1" s="220" t="s">
        <v>13331</v>
      </c>
      <c r="PHJ1" s="221"/>
      <c r="PHK1" s="221"/>
      <c r="PHL1" s="222"/>
      <c r="PHM1" s="220" t="s">
        <v>13331</v>
      </c>
      <c r="PHN1" s="221"/>
      <c r="PHO1" s="221"/>
      <c r="PHP1" s="222"/>
      <c r="PHQ1" s="220" t="s">
        <v>13331</v>
      </c>
      <c r="PHR1" s="221"/>
      <c r="PHS1" s="221"/>
      <c r="PHT1" s="222"/>
      <c r="PHU1" s="220" t="s">
        <v>13331</v>
      </c>
      <c r="PHV1" s="221"/>
      <c r="PHW1" s="221"/>
      <c r="PHX1" s="222"/>
      <c r="PHY1" s="220" t="s">
        <v>13331</v>
      </c>
      <c r="PHZ1" s="221"/>
      <c r="PIA1" s="221"/>
      <c r="PIB1" s="222"/>
      <c r="PIC1" s="220" t="s">
        <v>13331</v>
      </c>
      <c r="PID1" s="221"/>
      <c r="PIE1" s="221"/>
      <c r="PIF1" s="222"/>
      <c r="PIG1" s="220" t="s">
        <v>13331</v>
      </c>
      <c r="PIH1" s="221"/>
      <c r="PII1" s="221"/>
      <c r="PIJ1" s="222"/>
      <c r="PIK1" s="220" t="s">
        <v>13331</v>
      </c>
      <c r="PIL1" s="221"/>
      <c r="PIM1" s="221"/>
      <c r="PIN1" s="222"/>
      <c r="PIO1" s="220" t="s">
        <v>13331</v>
      </c>
      <c r="PIP1" s="221"/>
      <c r="PIQ1" s="221"/>
      <c r="PIR1" s="222"/>
      <c r="PIS1" s="220" t="s">
        <v>13331</v>
      </c>
      <c r="PIT1" s="221"/>
      <c r="PIU1" s="221"/>
      <c r="PIV1" s="222"/>
      <c r="PIW1" s="220" t="s">
        <v>13331</v>
      </c>
      <c r="PIX1" s="221"/>
      <c r="PIY1" s="221"/>
      <c r="PIZ1" s="222"/>
      <c r="PJA1" s="220" t="s">
        <v>13331</v>
      </c>
      <c r="PJB1" s="221"/>
      <c r="PJC1" s="221"/>
      <c r="PJD1" s="222"/>
      <c r="PJE1" s="220" t="s">
        <v>13331</v>
      </c>
      <c r="PJF1" s="221"/>
      <c r="PJG1" s="221"/>
      <c r="PJH1" s="222"/>
      <c r="PJI1" s="220" t="s">
        <v>13331</v>
      </c>
      <c r="PJJ1" s="221"/>
      <c r="PJK1" s="221"/>
      <c r="PJL1" s="222"/>
      <c r="PJM1" s="220" t="s">
        <v>13331</v>
      </c>
      <c r="PJN1" s="221"/>
      <c r="PJO1" s="221"/>
      <c r="PJP1" s="222"/>
      <c r="PJQ1" s="220" t="s">
        <v>13331</v>
      </c>
      <c r="PJR1" s="221"/>
      <c r="PJS1" s="221"/>
      <c r="PJT1" s="222"/>
      <c r="PJU1" s="220" t="s">
        <v>13331</v>
      </c>
      <c r="PJV1" s="221"/>
      <c r="PJW1" s="221"/>
      <c r="PJX1" s="222"/>
      <c r="PJY1" s="220" t="s">
        <v>13331</v>
      </c>
      <c r="PJZ1" s="221"/>
      <c r="PKA1" s="221"/>
      <c r="PKB1" s="222"/>
      <c r="PKC1" s="220" t="s">
        <v>13331</v>
      </c>
      <c r="PKD1" s="221"/>
      <c r="PKE1" s="221"/>
      <c r="PKF1" s="222"/>
      <c r="PKG1" s="220" t="s">
        <v>13331</v>
      </c>
      <c r="PKH1" s="221"/>
      <c r="PKI1" s="221"/>
      <c r="PKJ1" s="222"/>
      <c r="PKK1" s="220" t="s">
        <v>13331</v>
      </c>
      <c r="PKL1" s="221"/>
      <c r="PKM1" s="221"/>
      <c r="PKN1" s="222"/>
      <c r="PKO1" s="220" t="s">
        <v>13331</v>
      </c>
      <c r="PKP1" s="221"/>
      <c r="PKQ1" s="221"/>
      <c r="PKR1" s="222"/>
      <c r="PKS1" s="220" t="s">
        <v>13331</v>
      </c>
      <c r="PKT1" s="221"/>
      <c r="PKU1" s="221"/>
      <c r="PKV1" s="222"/>
      <c r="PKW1" s="220" t="s">
        <v>13331</v>
      </c>
      <c r="PKX1" s="221"/>
      <c r="PKY1" s="221"/>
      <c r="PKZ1" s="222"/>
      <c r="PLA1" s="220" t="s">
        <v>13331</v>
      </c>
      <c r="PLB1" s="221"/>
      <c r="PLC1" s="221"/>
      <c r="PLD1" s="222"/>
      <c r="PLE1" s="220" t="s">
        <v>13331</v>
      </c>
      <c r="PLF1" s="221"/>
      <c r="PLG1" s="221"/>
      <c r="PLH1" s="222"/>
      <c r="PLI1" s="220" t="s">
        <v>13331</v>
      </c>
      <c r="PLJ1" s="221"/>
      <c r="PLK1" s="221"/>
      <c r="PLL1" s="222"/>
      <c r="PLM1" s="220" t="s">
        <v>13331</v>
      </c>
      <c r="PLN1" s="221"/>
      <c r="PLO1" s="221"/>
      <c r="PLP1" s="222"/>
      <c r="PLQ1" s="220" t="s">
        <v>13331</v>
      </c>
      <c r="PLR1" s="221"/>
      <c r="PLS1" s="221"/>
      <c r="PLT1" s="222"/>
      <c r="PLU1" s="220" t="s">
        <v>13331</v>
      </c>
      <c r="PLV1" s="221"/>
      <c r="PLW1" s="221"/>
      <c r="PLX1" s="222"/>
      <c r="PLY1" s="220" t="s">
        <v>13331</v>
      </c>
      <c r="PLZ1" s="221"/>
      <c r="PMA1" s="221"/>
      <c r="PMB1" s="222"/>
      <c r="PMC1" s="220" t="s">
        <v>13331</v>
      </c>
      <c r="PMD1" s="221"/>
      <c r="PME1" s="221"/>
      <c r="PMF1" s="222"/>
      <c r="PMG1" s="220" t="s">
        <v>13331</v>
      </c>
      <c r="PMH1" s="221"/>
      <c r="PMI1" s="221"/>
      <c r="PMJ1" s="222"/>
      <c r="PMK1" s="220" t="s">
        <v>13331</v>
      </c>
      <c r="PML1" s="221"/>
      <c r="PMM1" s="221"/>
      <c r="PMN1" s="222"/>
      <c r="PMO1" s="220" t="s">
        <v>13331</v>
      </c>
      <c r="PMP1" s="221"/>
      <c r="PMQ1" s="221"/>
      <c r="PMR1" s="222"/>
      <c r="PMS1" s="220" t="s">
        <v>13331</v>
      </c>
      <c r="PMT1" s="221"/>
      <c r="PMU1" s="221"/>
      <c r="PMV1" s="222"/>
      <c r="PMW1" s="220" t="s">
        <v>13331</v>
      </c>
      <c r="PMX1" s="221"/>
      <c r="PMY1" s="221"/>
      <c r="PMZ1" s="222"/>
      <c r="PNA1" s="220" t="s">
        <v>13331</v>
      </c>
      <c r="PNB1" s="221"/>
      <c r="PNC1" s="221"/>
      <c r="PND1" s="222"/>
      <c r="PNE1" s="220" t="s">
        <v>13331</v>
      </c>
      <c r="PNF1" s="221"/>
      <c r="PNG1" s="221"/>
      <c r="PNH1" s="222"/>
      <c r="PNI1" s="220" t="s">
        <v>13331</v>
      </c>
      <c r="PNJ1" s="221"/>
      <c r="PNK1" s="221"/>
      <c r="PNL1" s="222"/>
      <c r="PNM1" s="220" t="s">
        <v>13331</v>
      </c>
      <c r="PNN1" s="221"/>
      <c r="PNO1" s="221"/>
      <c r="PNP1" s="222"/>
      <c r="PNQ1" s="220" t="s">
        <v>13331</v>
      </c>
      <c r="PNR1" s="221"/>
      <c r="PNS1" s="221"/>
      <c r="PNT1" s="222"/>
      <c r="PNU1" s="220" t="s">
        <v>13331</v>
      </c>
      <c r="PNV1" s="221"/>
      <c r="PNW1" s="221"/>
      <c r="PNX1" s="222"/>
      <c r="PNY1" s="220" t="s">
        <v>13331</v>
      </c>
      <c r="PNZ1" s="221"/>
      <c r="POA1" s="221"/>
      <c r="POB1" s="222"/>
      <c r="POC1" s="220" t="s">
        <v>13331</v>
      </c>
      <c r="POD1" s="221"/>
      <c r="POE1" s="221"/>
      <c r="POF1" s="222"/>
      <c r="POG1" s="220" t="s">
        <v>13331</v>
      </c>
      <c r="POH1" s="221"/>
      <c r="POI1" s="221"/>
      <c r="POJ1" s="222"/>
      <c r="POK1" s="220" t="s">
        <v>13331</v>
      </c>
      <c r="POL1" s="221"/>
      <c r="POM1" s="221"/>
      <c r="PON1" s="222"/>
      <c r="POO1" s="220" t="s">
        <v>13331</v>
      </c>
      <c r="POP1" s="221"/>
      <c r="POQ1" s="221"/>
      <c r="POR1" s="222"/>
      <c r="POS1" s="220" t="s">
        <v>13331</v>
      </c>
      <c r="POT1" s="221"/>
      <c r="POU1" s="221"/>
      <c r="POV1" s="222"/>
      <c r="POW1" s="220" t="s">
        <v>13331</v>
      </c>
      <c r="POX1" s="221"/>
      <c r="POY1" s="221"/>
      <c r="POZ1" s="222"/>
      <c r="PPA1" s="220" t="s">
        <v>13331</v>
      </c>
      <c r="PPB1" s="221"/>
      <c r="PPC1" s="221"/>
      <c r="PPD1" s="222"/>
      <c r="PPE1" s="220" t="s">
        <v>13331</v>
      </c>
      <c r="PPF1" s="221"/>
      <c r="PPG1" s="221"/>
      <c r="PPH1" s="222"/>
      <c r="PPI1" s="220" t="s">
        <v>13331</v>
      </c>
      <c r="PPJ1" s="221"/>
      <c r="PPK1" s="221"/>
      <c r="PPL1" s="222"/>
      <c r="PPM1" s="220" t="s">
        <v>13331</v>
      </c>
      <c r="PPN1" s="221"/>
      <c r="PPO1" s="221"/>
      <c r="PPP1" s="222"/>
      <c r="PPQ1" s="220" t="s">
        <v>13331</v>
      </c>
      <c r="PPR1" s="221"/>
      <c r="PPS1" s="221"/>
      <c r="PPT1" s="222"/>
      <c r="PPU1" s="220" t="s">
        <v>13331</v>
      </c>
      <c r="PPV1" s="221"/>
      <c r="PPW1" s="221"/>
      <c r="PPX1" s="222"/>
      <c r="PPY1" s="220" t="s">
        <v>13331</v>
      </c>
      <c r="PPZ1" s="221"/>
      <c r="PQA1" s="221"/>
      <c r="PQB1" s="222"/>
      <c r="PQC1" s="220" t="s">
        <v>13331</v>
      </c>
      <c r="PQD1" s="221"/>
      <c r="PQE1" s="221"/>
      <c r="PQF1" s="222"/>
      <c r="PQG1" s="220" t="s">
        <v>13331</v>
      </c>
      <c r="PQH1" s="221"/>
      <c r="PQI1" s="221"/>
      <c r="PQJ1" s="222"/>
      <c r="PQK1" s="220" t="s">
        <v>13331</v>
      </c>
      <c r="PQL1" s="221"/>
      <c r="PQM1" s="221"/>
      <c r="PQN1" s="222"/>
      <c r="PQO1" s="220" t="s">
        <v>13331</v>
      </c>
      <c r="PQP1" s="221"/>
      <c r="PQQ1" s="221"/>
      <c r="PQR1" s="222"/>
      <c r="PQS1" s="220" t="s">
        <v>13331</v>
      </c>
      <c r="PQT1" s="221"/>
      <c r="PQU1" s="221"/>
      <c r="PQV1" s="222"/>
      <c r="PQW1" s="220" t="s">
        <v>13331</v>
      </c>
      <c r="PQX1" s="221"/>
      <c r="PQY1" s="221"/>
      <c r="PQZ1" s="222"/>
      <c r="PRA1" s="220" t="s">
        <v>13331</v>
      </c>
      <c r="PRB1" s="221"/>
      <c r="PRC1" s="221"/>
      <c r="PRD1" s="222"/>
      <c r="PRE1" s="220" t="s">
        <v>13331</v>
      </c>
      <c r="PRF1" s="221"/>
      <c r="PRG1" s="221"/>
      <c r="PRH1" s="222"/>
      <c r="PRI1" s="220" t="s">
        <v>13331</v>
      </c>
      <c r="PRJ1" s="221"/>
      <c r="PRK1" s="221"/>
      <c r="PRL1" s="222"/>
      <c r="PRM1" s="220" t="s">
        <v>13331</v>
      </c>
      <c r="PRN1" s="221"/>
      <c r="PRO1" s="221"/>
      <c r="PRP1" s="222"/>
      <c r="PRQ1" s="220" t="s">
        <v>13331</v>
      </c>
      <c r="PRR1" s="221"/>
      <c r="PRS1" s="221"/>
      <c r="PRT1" s="222"/>
      <c r="PRU1" s="220" t="s">
        <v>13331</v>
      </c>
      <c r="PRV1" s="221"/>
      <c r="PRW1" s="221"/>
      <c r="PRX1" s="222"/>
      <c r="PRY1" s="220" t="s">
        <v>13331</v>
      </c>
      <c r="PRZ1" s="221"/>
      <c r="PSA1" s="221"/>
      <c r="PSB1" s="222"/>
      <c r="PSC1" s="220" t="s">
        <v>13331</v>
      </c>
      <c r="PSD1" s="221"/>
      <c r="PSE1" s="221"/>
      <c r="PSF1" s="222"/>
      <c r="PSG1" s="220" t="s">
        <v>13331</v>
      </c>
      <c r="PSH1" s="221"/>
      <c r="PSI1" s="221"/>
      <c r="PSJ1" s="222"/>
      <c r="PSK1" s="220" t="s">
        <v>13331</v>
      </c>
      <c r="PSL1" s="221"/>
      <c r="PSM1" s="221"/>
      <c r="PSN1" s="222"/>
      <c r="PSO1" s="220" t="s">
        <v>13331</v>
      </c>
      <c r="PSP1" s="221"/>
      <c r="PSQ1" s="221"/>
      <c r="PSR1" s="222"/>
      <c r="PSS1" s="220" t="s">
        <v>13331</v>
      </c>
      <c r="PST1" s="221"/>
      <c r="PSU1" s="221"/>
      <c r="PSV1" s="222"/>
      <c r="PSW1" s="220" t="s">
        <v>13331</v>
      </c>
      <c r="PSX1" s="221"/>
      <c r="PSY1" s="221"/>
      <c r="PSZ1" s="222"/>
      <c r="PTA1" s="220" t="s">
        <v>13331</v>
      </c>
      <c r="PTB1" s="221"/>
      <c r="PTC1" s="221"/>
      <c r="PTD1" s="222"/>
      <c r="PTE1" s="220" t="s">
        <v>13331</v>
      </c>
      <c r="PTF1" s="221"/>
      <c r="PTG1" s="221"/>
      <c r="PTH1" s="222"/>
      <c r="PTI1" s="220" t="s">
        <v>13331</v>
      </c>
      <c r="PTJ1" s="221"/>
      <c r="PTK1" s="221"/>
      <c r="PTL1" s="222"/>
      <c r="PTM1" s="220" t="s">
        <v>13331</v>
      </c>
      <c r="PTN1" s="221"/>
      <c r="PTO1" s="221"/>
      <c r="PTP1" s="222"/>
      <c r="PTQ1" s="220" t="s">
        <v>13331</v>
      </c>
      <c r="PTR1" s="221"/>
      <c r="PTS1" s="221"/>
      <c r="PTT1" s="222"/>
      <c r="PTU1" s="220" t="s">
        <v>13331</v>
      </c>
      <c r="PTV1" s="221"/>
      <c r="PTW1" s="221"/>
      <c r="PTX1" s="222"/>
      <c r="PTY1" s="220" t="s">
        <v>13331</v>
      </c>
      <c r="PTZ1" s="221"/>
      <c r="PUA1" s="221"/>
      <c r="PUB1" s="222"/>
      <c r="PUC1" s="220" t="s">
        <v>13331</v>
      </c>
      <c r="PUD1" s="221"/>
      <c r="PUE1" s="221"/>
      <c r="PUF1" s="222"/>
      <c r="PUG1" s="220" t="s">
        <v>13331</v>
      </c>
      <c r="PUH1" s="221"/>
      <c r="PUI1" s="221"/>
      <c r="PUJ1" s="222"/>
      <c r="PUK1" s="220" t="s">
        <v>13331</v>
      </c>
      <c r="PUL1" s="221"/>
      <c r="PUM1" s="221"/>
      <c r="PUN1" s="222"/>
      <c r="PUO1" s="220" t="s">
        <v>13331</v>
      </c>
      <c r="PUP1" s="221"/>
      <c r="PUQ1" s="221"/>
      <c r="PUR1" s="222"/>
      <c r="PUS1" s="220" t="s">
        <v>13331</v>
      </c>
      <c r="PUT1" s="221"/>
      <c r="PUU1" s="221"/>
      <c r="PUV1" s="222"/>
      <c r="PUW1" s="220" t="s">
        <v>13331</v>
      </c>
      <c r="PUX1" s="221"/>
      <c r="PUY1" s="221"/>
      <c r="PUZ1" s="222"/>
      <c r="PVA1" s="220" t="s">
        <v>13331</v>
      </c>
      <c r="PVB1" s="221"/>
      <c r="PVC1" s="221"/>
      <c r="PVD1" s="222"/>
      <c r="PVE1" s="220" t="s">
        <v>13331</v>
      </c>
      <c r="PVF1" s="221"/>
      <c r="PVG1" s="221"/>
      <c r="PVH1" s="222"/>
      <c r="PVI1" s="220" t="s">
        <v>13331</v>
      </c>
      <c r="PVJ1" s="221"/>
      <c r="PVK1" s="221"/>
      <c r="PVL1" s="222"/>
      <c r="PVM1" s="220" t="s">
        <v>13331</v>
      </c>
      <c r="PVN1" s="221"/>
      <c r="PVO1" s="221"/>
      <c r="PVP1" s="222"/>
      <c r="PVQ1" s="220" t="s">
        <v>13331</v>
      </c>
      <c r="PVR1" s="221"/>
      <c r="PVS1" s="221"/>
      <c r="PVT1" s="222"/>
      <c r="PVU1" s="220" t="s">
        <v>13331</v>
      </c>
      <c r="PVV1" s="221"/>
      <c r="PVW1" s="221"/>
      <c r="PVX1" s="222"/>
      <c r="PVY1" s="220" t="s">
        <v>13331</v>
      </c>
      <c r="PVZ1" s="221"/>
      <c r="PWA1" s="221"/>
      <c r="PWB1" s="222"/>
      <c r="PWC1" s="220" t="s">
        <v>13331</v>
      </c>
      <c r="PWD1" s="221"/>
      <c r="PWE1" s="221"/>
      <c r="PWF1" s="222"/>
      <c r="PWG1" s="220" t="s">
        <v>13331</v>
      </c>
      <c r="PWH1" s="221"/>
      <c r="PWI1" s="221"/>
      <c r="PWJ1" s="222"/>
      <c r="PWK1" s="220" t="s">
        <v>13331</v>
      </c>
      <c r="PWL1" s="221"/>
      <c r="PWM1" s="221"/>
      <c r="PWN1" s="222"/>
      <c r="PWO1" s="220" t="s">
        <v>13331</v>
      </c>
      <c r="PWP1" s="221"/>
      <c r="PWQ1" s="221"/>
      <c r="PWR1" s="222"/>
      <c r="PWS1" s="220" t="s">
        <v>13331</v>
      </c>
      <c r="PWT1" s="221"/>
      <c r="PWU1" s="221"/>
      <c r="PWV1" s="222"/>
      <c r="PWW1" s="220" t="s">
        <v>13331</v>
      </c>
      <c r="PWX1" s="221"/>
      <c r="PWY1" s="221"/>
      <c r="PWZ1" s="222"/>
      <c r="PXA1" s="220" t="s">
        <v>13331</v>
      </c>
      <c r="PXB1" s="221"/>
      <c r="PXC1" s="221"/>
      <c r="PXD1" s="222"/>
      <c r="PXE1" s="220" t="s">
        <v>13331</v>
      </c>
      <c r="PXF1" s="221"/>
      <c r="PXG1" s="221"/>
      <c r="PXH1" s="222"/>
      <c r="PXI1" s="220" t="s">
        <v>13331</v>
      </c>
      <c r="PXJ1" s="221"/>
      <c r="PXK1" s="221"/>
      <c r="PXL1" s="222"/>
      <c r="PXM1" s="220" t="s">
        <v>13331</v>
      </c>
      <c r="PXN1" s="221"/>
      <c r="PXO1" s="221"/>
      <c r="PXP1" s="222"/>
      <c r="PXQ1" s="220" t="s">
        <v>13331</v>
      </c>
      <c r="PXR1" s="221"/>
      <c r="PXS1" s="221"/>
      <c r="PXT1" s="222"/>
      <c r="PXU1" s="220" t="s">
        <v>13331</v>
      </c>
      <c r="PXV1" s="221"/>
      <c r="PXW1" s="221"/>
      <c r="PXX1" s="222"/>
      <c r="PXY1" s="220" t="s">
        <v>13331</v>
      </c>
      <c r="PXZ1" s="221"/>
      <c r="PYA1" s="221"/>
      <c r="PYB1" s="222"/>
      <c r="PYC1" s="220" t="s">
        <v>13331</v>
      </c>
      <c r="PYD1" s="221"/>
      <c r="PYE1" s="221"/>
      <c r="PYF1" s="222"/>
      <c r="PYG1" s="220" t="s">
        <v>13331</v>
      </c>
      <c r="PYH1" s="221"/>
      <c r="PYI1" s="221"/>
      <c r="PYJ1" s="222"/>
      <c r="PYK1" s="220" t="s">
        <v>13331</v>
      </c>
      <c r="PYL1" s="221"/>
      <c r="PYM1" s="221"/>
      <c r="PYN1" s="222"/>
      <c r="PYO1" s="220" t="s">
        <v>13331</v>
      </c>
      <c r="PYP1" s="221"/>
      <c r="PYQ1" s="221"/>
      <c r="PYR1" s="222"/>
      <c r="PYS1" s="220" t="s">
        <v>13331</v>
      </c>
      <c r="PYT1" s="221"/>
      <c r="PYU1" s="221"/>
      <c r="PYV1" s="222"/>
      <c r="PYW1" s="220" t="s">
        <v>13331</v>
      </c>
      <c r="PYX1" s="221"/>
      <c r="PYY1" s="221"/>
      <c r="PYZ1" s="222"/>
      <c r="PZA1" s="220" t="s">
        <v>13331</v>
      </c>
      <c r="PZB1" s="221"/>
      <c r="PZC1" s="221"/>
      <c r="PZD1" s="222"/>
      <c r="PZE1" s="220" t="s">
        <v>13331</v>
      </c>
      <c r="PZF1" s="221"/>
      <c r="PZG1" s="221"/>
      <c r="PZH1" s="222"/>
      <c r="PZI1" s="220" t="s">
        <v>13331</v>
      </c>
      <c r="PZJ1" s="221"/>
      <c r="PZK1" s="221"/>
      <c r="PZL1" s="222"/>
      <c r="PZM1" s="220" t="s">
        <v>13331</v>
      </c>
      <c r="PZN1" s="221"/>
      <c r="PZO1" s="221"/>
      <c r="PZP1" s="222"/>
      <c r="PZQ1" s="220" t="s">
        <v>13331</v>
      </c>
      <c r="PZR1" s="221"/>
      <c r="PZS1" s="221"/>
      <c r="PZT1" s="222"/>
      <c r="PZU1" s="220" t="s">
        <v>13331</v>
      </c>
      <c r="PZV1" s="221"/>
      <c r="PZW1" s="221"/>
      <c r="PZX1" s="222"/>
      <c r="PZY1" s="220" t="s">
        <v>13331</v>
      </c>
      <c r="PZZ1" s="221"/>
      <c r="QAA1" s="221"/>
      <c r="QAB1" s="222"/>
      <c r="QAC1" s="220" t="s">
        <v>13331</v>
      </c>
      <c r="QAD1" s="221"/>
      <c r="QAE1" s="221"/>
      <c r="QAF1" s="222"/>
      <c r="QAG1" s="220" t="s">
        <v>13331</v>
      </c>
      <c r="QAH1" s="221"/>
      <c r="QAI1" s="221"/>
      <c r="QAJ1" s="222"/>
      <c r="QAK1" s="220" t="s">
        <v>13331</v>
      </c>
      <c r="QAL1" s="221"/>
      <c r="QAM1" s="221"/>
      <c r="QAN1" s="222"/>
      <c r="QAO1" s="220" t="s">
        <v>13331</v>
      </c>
      <c r="QAP1" s="221"/>
      <c r="QAQ1" s="221"/>
      <c r="QAR1" s="222"/>
      <c r="QAS1" s="220" t="s">
        <v>13331</v>
      </c>
      <c r="QAT1" s="221"/>
      <c r="QAU1" s="221"/>
      <c r="QAV1" s="222"/>
      <c r="QAW1" s="220" t="s">
        <v>13331</v>
      </c>
      <c r="QAX1" s="221"/>
      <c r="QAY1" s="221"/>
      <c r="QAZ1" s="222"/>
      <c r="QBA1" s="220" t="s">
        <v>13331</v>
      </c>
      <c r="QBB1" s="221"/>
      <c r="QBC1" s="221"/>
      <c r="QBD1" s="222"/>
      <c r="QBE1" s="220" t="s">
        <v>13331</v>
      </c>
      <c r="QBF1" s="221"/>
      <c r="QBG1" s="221"/>
      <c r="QBH1" s="222"/>
      <c r="QBI1" s="220" t="s">
        <v>13331</v>
      </c>
      <c r="QBJ1" s="221"/>
      <c r="QBK1" s="221"/>
      <c r="QBL1" s="222"/>
      <c r="QBM1" s="220" t="s">
        <v>13331</v>
      </c>
      <c r="QBN1" s="221"/>
      <c r="QBO1" s="221"/>
      <c r="QBP1" s="222"/>
      <c r="QBQ1" s="220" t="s">
        <v>13331</v>
      </c>
      <c r="QBR1" s="221"/>
      <c r="QBS1" s="221"/>
      <c r="QBT1" s="222"/>
      <c r="QBU1" s="220" t="s">
        <v>13331</v>
      </c>
      <c r="QBV1" s="221"/>
      <c r="QBW1" s="221"/>
      <c r="QBX1" s="222"/>
      <c r="QBY1" s="220" t="s">
        <v>13331</v>
      </c>
      <c r="QBZ1" s="221"/>
      <c r="QCA1" s="221"/>
      <c r="QCB1" s="222"/>
      <c r="QCC1" s="220" t="s">
        <v>13331</v>
      </c>
      <c r="QCD1" s="221"/>
      <c r="QCE1" s="221"/>
      <c r="QCF1" s="222"/>
      <c r="QCG1" s="220" t="s">
        <v>13331</v>
      </c>
      <c r="QCH1" s="221"/>
      <c r="QCI1" s="221"/>
      <c r="QCJ1" s="222"/>
      <c r="QCK1" s="220" t="s">
        <v>13331</v>
      </c>
      <c r="QCL1" s="221"/>
      <c r="QCM1" s="221"/>
      <c r="QCN1" s="222"/>
      <c r="QCO1" s="220" t="s">
        <v>13331</v>
      </c>
      <c r="QCP1" s="221"/>
      <c r="QCQ1" s="221"/>
      <c r="QCR1" s="222"/>
      <c r="QCS1" s="220" t="s">
        <v>13331</v>
      </c>
      <c r="QCT1" s="221"/>
      <c r="QCU1" s="221"/>
      <c r="QCV1" s="222"/>
      <c r="QCW1" s="220" t="s">
        <v>13331</v>
      </c>
      <c r="QCX1" s="221"/>
      <c r="QCY1" s="221"/>
      <c r="QCZ1" s="222"/>
      <c r="QDA1" s="220" t="s">
        <v>13331</v>
      </c>
      <c r="QDB1" s="221"/>
      <c r="QDC1" s="221"/>
      <c r="QDD1" s="222"/>
      <c r="QDE1" s="220" t="s">
        <v>13331</v>
      </c>
      <c r="QDF1" s="221"/>
      <c r="QDG1" s="221"/>
      <c r="QDH1" s="222"/>
      <c r="QDI1" s="220" t="s">
        <v>13331</v>
      </c>
      <c r="QDJ1" s="221"/>
      <c r="QDK1" s="221"/>
      <c r="QDL1" s="222"/>
      <c r="QDM1" s="220" t="s">
        <v>13331</v>
      </c>
      <c r="QDN1" s="221"/>
      <c r="QDO1" s="221"/>
      <c r="QDP1" s="222"/>
      <c r="QDQ1" s="220" t="s">
        <v>13331</v>
      </c>
      <c r="QDR1" s="221"/>
      <c r="QDS1" s="221"/>
      <c r="QDT1" s="222"/>
      <c r="QDU1" s="220" t="s">
        <v>13331</v>
      </c>
      <c r="QDV1" s="221"/>
      <c r="QDW1" s="221"/>
      <c r="QDX1" s="222"/>
      <c r="QDY1" s="220" t="s">
        <v>13331</v>
      </c>
      <c r="QDZ1" s="221"/>
      <c r="QEA1" s="221"/>
      <c r="QEB1" s="222"/>
      <c r="QEC1" s="220" t="s">
        <v>13331</v>
      </c>
      <c r="QED1" s="221"/>
      <c r="QEE1" s="221"/>
      <c r="QEF1" s="222"/>
      <c r="QEG1" s="220" t="s">
        <v>13331</v>
      </c>
      <c r="QEH1" s="221"/>
      <c r="QEI1" s="221"/>
      <c r="QEJ1" s="222"/>
      <c r="QEK1" s="220" t="s">
        <v>13331</v>
      </c>
      <c r="QEL1" s="221"/>
      <c r="QEM1" s="221"/>
      <c r="QEN1" s="222"/>
      <c r="QEO1" s="220" t="s">
        <v>13331</v>
      </c>
      <c r="QEP1" s="221"/>
      <c r="QEQ1" s="221"/>
      <c r="QER1" s="222"/>
      <c r="QES1" s="220" t="s">
        <v>13331</v>
      </c>
      <c r="QET1" s="221"/>
      <c r="QEU1" s="221"/>
      <c r="QEV1" s="222"/>
      <c r="QEW1" s="220" t="s">
        <v>13331</v>
      </c>
      <c r="QEX1" s="221"/>
      <c r="QEY1" s="221"/>
      <c r="QEZ1" s="222"/>
      <c r="QFA1" s="220" t="s">
        <v>13331</v>
      </c>
      <c r="QFB1" s="221"/>
      <c r="QFC1" s="221"/>
      <c r="QFD1" s="222"/>
      <c r="QFE1" s="220" t="s">
        <v>13331</v>
      </c>
      <c r="QFF1" s="221"/>
      <c r="QFG1" s="221"/>
      <c r="QFH1" s="222"/>
      <c r="QFI1" s="220" t="s">
        <v>13331</v>
      </c>
      <c r="QFJ1" s="221"/>
      <c r="QFK1" s="221"/>
      <c r="QFL1" s="222"/>
      <c r="QFM1" s="220" t="s">
        <v>13331</v>
      </c>
      <c r="QFN1" s="221"/>
      <c r="QFO1" s="221"/>
      <c r="QFP1" s="222"/>
      <c r="QFQ1" s="220" t="s">
        <v>13331</v>
      </c>
      <c r="QFR1" s="221"/>
      <c r="QFS1" s="221"/>
      <c r="QFT1" s="222"/>
      <c r="QFU1" s="220" t="s">
        <v>13331</v>
      </c>
      <c r="QFV1" s="221"/>
      <c r="QFW1" s="221"/>
      <c r="QFX1" s="222"/>
      <c r="QFY1" s="220" t="s">
        <v>13331</v>
      </c>
      <c r="QFZ1" s="221"/>
      <c r="QGA1" s="221"/>
      <c r="QGB1" s="222"/>
      <c r="QGC1" s="220" t="s">
        <v>13331</v>
      </c>
      <c r="QGD1" s="221"/>
      <c r="QGE1" s="221"/>
      <c r="QGF1" s="222"/>
      <c r="QGG1" s="220" t="s">
        <v>13331</v>
      </c>
      <c r="QGH1" s="221"/>
      <c r="QGI1" s="221"/>
      <c r="QGJ1" s="222"/>
      <c r="QGK1" s="220" t="s">
        <v>13331</v>
      </c>
      <c r="QGL1" s="221"/>
      <c r="QGM1" s="221"/>
      <c r="QGN1" s="222"/>
      <c r="QGO1" s="220" t="s">
        <v>13331</v>
      </c>
      <c r="QGP1" s="221"/>
      <c r="QGQ1" s="221"/>
      <c r="QGR1" s="222"/>
      <c r="QGS1" s="220" t="s">
        <v>13331</v>
      </c>
      <c r="QGT1" s="221"/>
      <c r="QGU1" s="221"/>
      <c r="QGV1" s="222"/>
      <c r="QGW1" s="220" t="s">
        <v>13331</v>
      </c>
      <c r="QGX1" s="221"/>
      <c r="QGY1" s="221"/>
      <c r="QGZ1" s="222"/>
      <c r="QHA1" s="220" t="s">
        <v>13331</v>
      </c>
      <c r="QHB1" s="221"/>
      <c r="QHC1" s="221"/>
      <c r="QHD1" s="222"/>
      <c r="QHE1" s="220" t="s">
        <v>13331</v>
      </c>
      <c r="QHF1" s="221"/>
      <c r="QHG1" s="221"/>
      <c r="QHH1" s="222"/>
      <c r="QHI1" s="220" t="s">
        <v>13331</v>
      </c>
      <c r="QHJ1" s="221"/>
      <c r="QHK1" s="221"/>
      <c r="QHL1" s="222"/>
      <c r="QHM1" s="220" t="s">
        <v>13331</v>
      </c>
      <c r="QHN1" s="221"/>
      <c r="QHO1" s="221"/>
      <c r="QHP1" s="222"/>
      <c r="QHQ1" s="220" t="s">
        <v>13331</v>
      </c>
      <c r="QHR1" s="221"/>
      <c r="QHS1" s="221"/>
      <c r="QHT1" s="222"/>
      <c r="QHU1" s="220" t="s">
        <v>13331</v>
      </c>
      <c r="QHV1" s="221"/>
      <c r="QHW1" s="221"/>
      <c r="QHX1" s="222"/>
      <c r="QHY1" s="220" t="s">
        <v>13331</v>
      </c>
      <c r="QHZ1" s="221"/>
      <c r="QIA1" s="221"/>
      <c r="QIB1" s="222"/>
      <c r="QIC1" s="220" t="s">
        <v>13331</v>
      </c>
      <c r="QID1" s="221"/>
      <c r="QIE1" s="221"/>
      <c r="QIF1" s="222"/>
      <c r="QIG1" s="220" t="s">
        <v>13331</v>
      </c>
      <c r="QIH1" s="221"/>
      <c r="QII1" s="221"/>
      <c r="QIJ1" s="222"/>
      <c r="QIK1" s="220" t="s">
        <v>13331</v>
      </c>
      <c r="QIL1" s="221"/>
      <c r="QIM1" s="221"/>
      <c r="QIN1" s="222"/>
      <c r="QIO1" s="220" t="s">
        <v>13331</v>
      </c>
      <c r="QIP1" s="221"/>
      <c r="QIQ1" s="221"/>
      <c r="QIR1" s="222"/>
      <c r="QIS1" s="220" t="s">
        <v>13331</v>
      </c>
      <c r="QIT1" s="221"/>
      <c r="QIU1" s="221"/>
      <c r="QIV1" s="222"/>
      <c r="QIW1" s="220" t="s">
        <v>13331</v>
      </c>
      <c r="QIX1" s="221"/>
      <c r="QIY1" s="221"/>
      <c r="QIZ1" s="222"/>
      <c r="QJA1" s="220" t="s">
        <v>13331</v>
      </c>
      <c r="QJB1" s="221"/>
      <c r="QJC1" s="221"/>
      <c r="QJD1" s="222"/>
      <c r="QJE1" s="220" t="s">
        <v>13331</v>
      </c>
      <c r="QJF1" s="221"/>
      <c r="QJG1" s="221"/>
      <c r="QJH1" s="222"/>
      <c r="QJI1" s="220" t="s">
        <v>13331</v>
      </c>
      <c r="QJJ1" s="221"/>
      <c r="QJK1" s="221"/>
      <c r="QJL1" s="222"/>
      <c r="QJM1" s="220" t="s">
        <v>13331</v>
      </c>
      <c r="QJN1" s="221"/>
      <c r="QJO1" s="221"/>
      <c r="QJP1" s="222"/>
      <c r="QJQ1" s="220" t="s">
        <v>13331</v>
      </c>
      <c r="QJR1" s="221"/>
      <c r="QJS1" s="221"/>
      <c r="QJT1" s="222"/>
      <c r="QJU1" s="220" t="s">
        <v>13331</v>
      </c>
      <c r="QJV1" s="221"/>
      <c r="QJW1" s="221"/>
      <c r="QJX1" s="222"/>
      <c r="QJY1" s="220" t="s">
        <v>13331</v>
      </c>
      <c r="QJZ1" s="221"/>
      <c r="QKA1" s="221"/>
      <c r="QKB1" s="222"/>
      <c r="QKC1" s="220" t="s">
        <v>13331</v>
      </c>
      <c r="QKD1" s="221"/>
      <c r="QKE1" s="221"/>
      <c r="QKF1" s="222"/>
      <c r="QKG1" s="220" t="s">
        <v>13331</v>
      </c>
      <c r="QKH1" s="221"/>
      <c r="QKI1" s="221"/>
      <c r="QKJ1" s="222"/>
      <c r="QKK1" s="220" t="s">
        <v>13331</v>
      </c>
      <c r="QKL1" s="221"/>
      <c r="QKM1" s="221"/>
      <c r="QKN1" s="222"/>
      <c r="QKO1" s="220" t="s">
        <v>13331</v>
      </c>
      <c r="QKP1" s="221"/>
      <c r="QKQ1" s="221"/>
      <c r="QKR1" s="222"/>
      <c r="QKS1" s="220" t="s">
        <v>13331</v>
      </c>
      <c r="QKT1" s="221"/>
      <c r="QKU1" s="221"/>
      <c r="QKV1" s="222"/>
      <c r="QKW1" s="220" t="s">
        <v>13331</v>
      </c>
      <c r="QKX1" s="221"/>
      <c r="QKY1" s="221"/>
      <c r="QKZ1" s="222"/>
      <c r="QLA1" s="220" t="s">
        <v>13331</v>
      </c>
      <c r="QLB1" s="221"/>
      <c r="QLC1" s="221"/>
      <c r="QLD1" s="222"/>
      <c r="QLE1" s="220" t="s">
        <v>13331</v>
      </c>
      <c r="QLF1" s="221"/>
      <c r="QLG1" s="221"/>
      <c r="QLH1" s="222"/>
      <c r="QLI1" s="220" t="s">
        <v>13331</v>
      </c>
      <c r="QLJ1" s="221"/>
      <c r="QLK1" s="221"/>
      <c r="QLL1" s="222"/>
      <c r="QLM1" s="220" t="s">
        <v>13331</v>
      </c>
      <c r="QLN1" s="221"/>
      <c r="QLO1" s="221"/>
      <c r="QLP1" s="222"/>
      <c r="QLQ1" s="220" t="s">
        <v>13331</v>
      </c>
      <c r="QLR1" s="221"/>
      <c r="QLS1" s="221"/>
      <c r="QLT1" s="222"/>
      <c r="QLU1" s="220" t="s">
        <v>13331</v>
      </c>
      <c r="QLV1" s="221"/>
      <c r="QLW1" s="221"/>
      <c r="QLX1" s="222"/>
      <c r="QLY1" s="220" t="s">
        <v>13331</v>
      </c>
      <c r="QLZ1" s="221"/>
      <c r="QMA1" s="221"/>
      <c r="QMB1" s="222"/>
      <c r="QMC1" s="220" t="s">
        <v>13331</v>
      </c>
      <c r="QMD1" s="221"/>
      <c r="QME1" s="221"/>
      <c r="QMF1" s="222"/>
      <c r="QMG1" s="220" t="s">
        <v>13331</v>
      </c>
      <c r="QMH1" s="221"/>
      <c r="QMI1" s="221"/>
      <c r="QMJ1" s="222"/>
      <c r="QMK1" s="220" t="s">
        <v>13331</v>
      </c>
      <c r="QML1" s="221"/>
      <c r="QMM1" s="221"/>
      <c r="QMN1" s="222"/>
      <c r="QMO1" s="220" t="s">
        <v>13331</v>
      </c>
      <c r="QMP1" s="221"/>
      <c r="QMQ1" s="221"/>
      <c r="QMR1" s="222"/>
      <c r="QMS1" s="220" t="s">
        <v>13331</v>
      </c>
      <c r="QMT1" s="221"/>
      <c r="QMU1" s="221"/>
      <c r="QMV1" s="222"/>
      <c r="QMW1" s="220" t="s">
        <v>13331</v>
      </c>
      <c r="QMX1" s="221"/>
      <c r="QMY1" s="221"/>
      <c r="QMZ1" s="222"/>
      <c r="QNA1" s="220" t="s">
        <v>13331</v>
      </c>
      <c r="QNB1" s="221"/>
      <c r="QNC1" s="221"/>
      <c r="QND1" s="222"/>
      <c r="QNE1" s="220" t="s">
        <v>13331</v>
      </c>
      <c r="QNF1" s="221"/>
      <c r="QNG1" s="221"/>
      <c r="QNH1" s="222"/>
      <c r="QNI1" s="220" t="s">
        <v>13331</v>
      </c>
      <c r="QNJ1" s="221"/>
      <c r="QNK1" s="221"/>
      <c r="QNL1" s="222"/>
      <c r="QNM1" s="220" t="s">
        <v>13331</v>
      </c>
      <c r="QNN1" s="221"/>
      <c r="QNO1" s="221"/>
      <c r="QNP1" s="222"/>
      <c r="QNQ1" s="220" t="s">
        <v>13331</v>
      </c>
      <c r="QNR1" s="221"/>
      <c r="QNS1" s="221"/>
      <c r="QNT1" s="222"/>
      <c r="QNU1" s="220" t="s">
        <v>13331</v>
      </c>
      <c r="QNV1" s="221"/>
      <c r="QNW1" s="221"/>
      <c r="QNX1" s="222"/>
      <c r="QNY1" s="220" t="s">
        <v>13331</v>
      </c>
      <c r="QNZ1" s="221"/>
      <c r="QOA1" s="221"/>
      <c r="QOB1" s="222"/>
      <c r="QOC1" s="220" t="s">
        <v>13331</v>
      </c>
      <c r="QOD1" s="221"/>
      <c r="QOE1" s="221"/>
      <c r="QOF1" s="222"/>
      <c r="QOG1" s="220" t="s">
        <v>13331</v>
      </c>
      <c r="QOH1" s="221"/>
      <c r="QOI1" s="221"/>
      <c r="QOJ1" s="222"/>
      <c r="QOK1" s="220" t="s">
        <v>13331</v>
      </c>
      <c r="QOL1" s="221"/>
      <c r="QOM1" s="221"/>
      <c r="QON1" s="222"/>
      <c r="QOO1" s="220" t="s">
        <v>13331</v>
      </c>
      <c r="QOP1" s="221"/>
      <c r="QOQ1" s="221"/>
      <c r="QOR1" s="222"/>
      <c r="QOS1" s="220" t="s">
        <v>13331</v>
      </c>
      <c r="QOT1" s="221"/>
      <c r="QOU1" s="221"/>
      <c r="QOV1" s="222"/>
      <c r="QOW1" s="220" t="s">
        <v>13331</v>
      </c>
      <c r="QOX1" s="221"/>
      <c r="QOY1" s="221"/>
      <c r="QOZ1" s="222"/>
      <c r="QPA1" s="220" t="s">
        <v>13331</v>
      </c>
      <c r="QPB1" s="221"/>
      <c r="QPC1" s="221"/>
      <c r="QPD1" s="222"/>
      <c r="QPE1" s="220" t="s">
        <v>13331</v>
      </c>
      <c r="QPF1" s="221"/>
      <c r="QPG1" s="221"/>
      <c r="QPH1" s="222"/>
      <c r="QPI1" s="220" t="s">
        <v>13331</v>
      </c>
      <c r="QPJ1" s="221"/>
      <c r="QPK1" s="221"/>
      <c r="QPL1" s="222"/>
      <c r="QPM1" s="220" t="s">
        <v>13331</v>
      </c>
      <c r="QPN1" s="221"/>
      <c r="QPO1" s="221"/>
      <c r="QPP1" s="222"/>
      <c r="QPQ1" s="220" t="s">
        <v>13331</v>
      </c>
      <c r="QPR1" s="221"/>
      <c r="QPS1" s="221"/>
      <c r="QPT1" s="222"/>
      <c r="QPU1" s="220" t="s">
        <v>13331</v>
      </c>
      <c r="QPV1" s="221"/>
      <c r="QPW1" s="221"/>
      <c r="QPX1" s="222"/>
      <c r="QPY1" s="220" t="s">
        <v>13331</v>
      </c>
      <c r="QPZ1" s="221"/>
      <c r="QQA1" s="221"/>
      <c r="QQB1" s="222"/>
      <c r="QQC1" s="220" t="s">
        <v>13331</v>
      </c>
      <c r="QQD1" s="221"/>
      <c r="QQE1" s="221"/>
      <c r="QQF1" s="222"/>
      <c r="QQG1" s="220" t="s">
        <v>13331</v>
      </c>
      <c r="QQH1" s="221"/>
      <c r="QQI1" s="221"/>
      <c r="QQJ1" s="222"/>
      <c r="QQK1" s="220" t="s">
        <v>13331</v>
      </c>
      <c r="QQL1" s="221"/>
      <c r="QQM1" s="221"/>
      <c r="QQN1" s="222"/>
      <c r="QQO1" s="220" t="s">
        <v>13331</v>
      </c>
      <c r="QQP1" s="221"/>
      <c r="QQQ1" s="221"/>
      <c r="QQR1" s="222"/>
      <c r="QQS1" s="220" t="s">
        <v>13331</v>
      </c>
      <c r="QQT1" s="221"/>
      <c r="QQU1" s="221"/>
      <c r="QQV1" s="222"/>
      <c r="QQW1" s="220" t="s">
        <v>13331</v>
      </c>
      <c r="QQX1" s="221"/>
      <c r="QQY1" s="221"/>
      <c r="QQZ1" s="222"/>
      <c r="QRA1" s="220" t="s">
        <v>13331</v>
      </c>
      <c r="QRB1" s="221"/>
      <c r="QRC1" s="221"/>
      <c r="QRD1" s="222"/>
      <c r="QRE1" s="220" t="s">
        <v>13331</v>
      </c>
      <c r="QRF1" s="221"/>
      <c r="QRG1" s="221"/>
      <c r="QRH1" s="222"/>
      <c r="QRI1" s="220" t="s">
        <v>13331</v>
      </c>
      <c r="QRJ1" s="221"/>
      <c r="QRK1" s="221"/>
      <c r="QRL1" s="222"/>
      <c r="QRM1" s="220" t="s">
        <v>13331</v>
      </c>
      <c r="QRN1" s="221"/>
      <c r="QRO1" s="221"/>
      <c r="QRP1" s="222"/>
      <c r="QRQ1" s="220" t="s">
        <v>13331</v>
      </c>
      <c r="QRR1" s="221"/>
      <c r="QRS1" s="221"/>
      <c r="QRT1" s="222"/>
      <c r="QRU1" s="220" t="s">
        <v>13331</v>
      </c>
      <c r="QRV1" s="221"/>
      <c r="QRW1" s="221"/>
      <c r="QRX1" s="222"/>
      <c r="QRY1" s="220" t="s">
        <v>13331</v>
      </c>
      <c r="QRZ1" s="221"/>
      <c r="QSA1" s="221"/>
      <c r="QSB1" s="222"/>
      <c r="QSC1" s="220" t="s">
        <v>13331</v>
      </c>
      <c r="QSD1" s="221"/>
      <c r="QSE1" s="221"/>
      <c r="QSF1" s="222"/>
      <c r="QSG1" s="220" t="s">
        <v>13331</v>
      </c>
      <c r="QSH1" s="221"/>
      <c r="QSI1" s="221"/>
      <c r="QSJ1" s="222"/>
      <c r="QSK1" s="220" t="s">
        <v>13331</v>
      </c>
      <c r="QSL1" s="221"/>
      <c r="QSM1" s="221"/>
      <c r="QSN1" s="222"/>
      <c r="QSO1" s="220" t="s">
        <v>13331</v>
      </c>
      <c r="QSP1" s="221"/>
      <c r="QSQ1" s="221"/>
      <c r="QSR1" s="222"/>
      <c r="QSS1" s="220" t="s">
        <v>13331</v>
      </c>
      <c r="QST1" s="221"/>
      <c r="QSU1" s="221"/>
      <c r="QSV1" s="222"/>
      <c r="QSW1" s="220" t="s">
        <v>13331</v>
      </c>
      <c r="QSX1" s="221"/>
      <c r="QSY1" s="221"/>
      <c r="QSZ1" s="222"/>
      <c r="QTA1" s="220" t="s">
        <v>13331</v>
      </c>
      <c r="QTB1" s="221"/>
      <c r="QTC1" s="221"/>
      <c r="QTD1" s="222"/>
      <c r="QTE1" s="220" t="s">
        <v>13331</v>
      </c>
      <c r="QTF1" s="221"/>
      <c r="QTG1" s="221"/>
      <c r="QTH1" s="222"/>
      <c r="QTI1" s="220" t="s">
        <v>13331</v>
      </c>
      <c r="QTJ1" s="221"/>
      <c r="QTK1" s="221"/>
      <c r="QTL1" s="222"/>
      <c r="QTM1" s="220" t="s">
        <v>13331</v>
      </c>
      <c r="QTN1" s="221"/>
      <c r="QTO1" s="221"/>
      <c r="QTP1" s="222"/>
      <c r="QTQ1" s="220" t="s">
        <v>13331</v>
      </c>
      <c r="QTR1" s="221"/>
      <c r="QTS1" s="221"/>
      <c r="QTT1" s="222"/>
      <c r="QTU1" s="220" t="s">
        <v>13331</v>
      </c>
      <c r="QTV1" s="221"/>
      <c r="QTW1" s="221"/>
      <c r="QTX1" s="222"/>
      <c r="QTY1" s="220" t="s">
        <v>13331</v>
      </c>
      <c r="QTZ1" s="221"/>
      <c r="QUA1" s="221"/>
      <c r="QUB1" s="222"/>
      <c r="QUC1" s="220" t="s">
        <v>13331</v>
      </c>
      <c r="QUD1" s="221"/>
      <c r="QUE1" s="221"/>
      <c r="QUF1" s="222"/>
      <c r="QUG1" s="220" t="s">
        <v>13331</v>
      </c>
      <c r="QUH1" s="221"/>
      <c r="QUI1" s="221"/>
      <c r="QUJ1" s="222"/>
      <c r="QUK1" s="220" t="s">
        <v>13331</v>
      </c>
      <c r="QUL1" s="221"/>
      <c r="QUM1" s="221"/>
      <c r="QUN1" s="222"/>
      <c r="QUO1" s="220" t="s">
        <v>13331</v>
      </c>
      <c r="QUP1" s="221"/>
      <c r="QUQ1" s="221"/>
      <c r="QUR1" s="222"/>
      <c r="QUS1" s="220" t="s">
        <v>13331</v>
      </c>
      <c r="QUT1" s="221"/>
      <c r="QUU1" s="221"/>
      <c r="QUV1" s="222"/>
      <c r="QUW1" s="220" t="s">
        <v>13331</v>
      </c>
      <c r="QUX1" s="221"/>
      <c r="QUY1" s="221"/>
      <c r="QUZ1" s="222"/>
      <c r="QVA1" s="220" t="s">
        <v>13331</v>
      </c>
      <c r="QVB1" s="221"/>
      <c r="QVC1" s="221"/>
      <c r="QVD1" s="222"/>
      <c r="QVE1" s="220" t="s">
        <v>13331</v>
      </c>
      <c r="QVF1" s="221"/>
      <c r="QVG1" s="221"/>
      <c r="QVH1" s="222"/>
      <c r="QVI1" s="220" t="s">
        <v>13331</v>
      </c>
      <c r="QVJ1" s="221"/>
      <c r="QVK1" s="221"/>
      <c r="QVL1" s="222"/>
      <c r="QVM1" s="220" t="s">
        <v>13331</v>
      </c>
      <c r="QVN1" s="221"/>
      <c r="QVO1" s="221"/>
      <c r="QVP1" s="222"/>
      <c r="QVQ1" s="220" t="s">
        <v>13331</v>
      </c>
      <c r="QVR1" s="221"/>
      <c r="QVS1" s="221"/>
      <c r="QVT1" s="222"/>
      <c r="QVU1" s="220" t="s">
        <v>13331</v>
      </c>
      <c r="QVV1" s="221"/>
      <c r="QVW1" s="221"/>
      <c r="QVX1" s="222"/>
      <c r="QVY1" s="220" t="s">
        <v>13331</v>
      </c>
      <c r="QVZ1" s="221"/>
      <c r="QWA1" s="221"/>
      <c r="QWB1" s="222"/>
      <c r="QWC1" s="220" t="s">
        <v>13331</v>
      </c>
      <c r="QWD1" s="221"/>
      <c r="QWE1" s="221"/>
      <c r="QWF1" s="222"/>
      <c r="QWG1" s="220" t="s">
        <v>13331</v>
      </c>
      <c r="QWH1" s="221"/>
      <c r="QWI1" s="221"/>
      <c r="QWJ1" s="222"/>
      <c r="QWK1" s="220" t="s">
        <v>13331</v>
      </c>
      <c r="QWL1" s="221"/>
      <c r="QWM1" s="221"/>
      <c r="QWN1" s="222"/>
      <c r="QWO1" s="220" t="s">
        <v>13331</v>
      </c>
      <c r="QWP1" s="221"/>
      <c r="QWQ1" s="221"/>
      <c r="QWR1" s="222"/>
      <c r="QWS1" s="220" t="s">
        <v>13331</v>
      </c>
      <c r="QWT1" s="221"/>
      <c r="QWU1" s="221"/>
      <c r="QWV1" s="222"/>
      <c r="QWW1" s="220" t="s">
        <v>13331</v>
      </c>
      <c r="QWX1" s="221"/>
      <c r="QWY1" s="221"/>
      <c r="QWZ1" s="222"/>
      <c r="QXA1" s="220" t="s">
        <v>13331</v>
      </c>
      <c r="QXB1" s="221"/>
      <c r="QXC1" s="221"/>
      <c r="QXD1" s="222"/>
      <c r="QXE1" s="220" t="s">
        <v>13331</v>
      </c>
      <c r="QXF1" s="221"/>
      <c r="QXG1" s="221"/>
      <c r="QXH1" s="222"/>
      <c r="QXI1" s="220" t="s">
        <v>13331</v>
      </c>
      <c r="QXJ1" s="221"/>
      <c r="QXK1" s="221"/>
      <c r="QXL1" s="222"/>
      <c r="QXM1" s="220" t="s">
        <v>13331</v>
      </c>
      <c r="QXN1" s="221"/>
      <c r="QXO1" s="221"/>
      <c r="QXP1" s="222"/>
      <c r="QXQ1" s="220" t="s">
        <v>13331</v>
      </c>
      <c r="QXR1" s="221"/>
      <c r="QXS1" s="221"/>
      <c r="QXT1" s="222"/>
      <c r="QXU1" s="220" t="s">
        <v>13331</v>
      </c>
      <c r="QXV1" s="221"/>
      <c r="QXW1" s="221"/>
      <c r="QXX1" s="222"/>
      <c r="QXY1" s="220" t="s">
        <v>13331</v>
      </c>
      <c r="QXZ1" s="221"/>
      <c r="QYA1" s="221"/>
      <c r="QYB1" s="222"/>
      <c r="QYC1" s="220" t="s">
        <v>13331</v>
      </c>
      <c r="QYD1" s="221"/>
      <c r="QYE1" s="221"/>
      <c r="QYF1" s="222"/>
      <c r="QYG1" s="220" t="s">
        <v>13331</v>
      </c>
      <c r="QYH1" s="221"/>
      <c r="QYI1" s="221"/>
      <c r="QYJ1" s="222"/>
      <c r="QYK1" s="220" t="s">
        <v>13331</v>
      </c>
      <c r="QYL1" s="221"/>
      <c r="QYM1" s="221"/>
      <c r="QYN1" s="222"/>
      <c r="QYO1" s="220" t="s">
        <v>13331</v>
      </c>
      <c r="QYP1" s="221"/>
      <c r="QYQ1" s="221"/>
      <c r="QYR1" s="222"/>
      <c r="QYS1" s="220" t="s">
        <v>13331</v>
      </c>
      <c r="QYT1" s="221"/>
      <c r="QYU1" s="221"/>
      <c r="QYV1" s="222"/>
      <c r="QYW1" s="220" t="s">
        <v>13331</v>
      </c>
      <c r="QYX1" s="221"/>
      <c r="QYY1" s="221"/>
      <c r="QYZ1" s="222"/>
      <c r="QZA1" s="220" t="s">
        <v>13331</v>
      </c>
      <c r="QZB1" s="221"/>
      <c r="QZC1" s="221"/>
      <c r="QZD1" s="222"/>
      <c r="QZE1" s="220" t="s">
        <v>13331</v>
      </c>
      <c r="QZF1" s="221"/>
      <c r="QZG1" s="221"/>
      <c r="QZH1" s="222"/>
      <c r="QZI1" s="220" t="s">
        <v>13331</v>
      </c>
      <c r="QZJ1" s="221"/>
      <c r="QZK1" s="221"/>
      <c r="QZL1" s="222"/>
      <c r="QZM1" s="220" t="s">
        <v>13331</v>
      </c>
      <c r="QZN1" s="221"/>
      <c r="QZO1" s="221"/>
      <c r="QZP1" s="222"/>
      <c r="QZQ1" s="220" t="s">
        <v>13331</v>
      </c>
      <c r="QZR1" s="221"/>
      <c r="QZS1" s="221"/>
      <c r="QZT1" s="222"/>
      <c r="QZU1" s="220" t="s">
        <v>13331</v>
      </c>
      <c r="QZV1" s="221"/>
      <c r="QZW1" s="221"/>
      <c r="QZX1" s="222"/>
      <c r="QZY1" s="220" t="s">
        <v>13331</v>
      </c>
      <c r="QZZ1" s="221"/>
      <c r="RAA1" s="221"/>
      <c r="RAB1" s="222"/>
      <c r="RAC1" s="220" t="s">
        <v>13331</v>
      </c>
      <c r="RAD1" s="221"/>
      <c r="RAE1" s="221"/>
      <c r="RAF1" s="222"/>
      <c r="RAG1" s="220" t="s">
        <v>13331</v>
      </c>
      <c r="RAH1" s="221"/>
      <c r="RAI1" s="221"/>
      <c r="RAJ1" s="222"/>
      <c r="RAK1" s="220" t="s">
        <v>13331</v>
      </c>
      <c r="RAL1" s="221"/>
      <c r="RAM1" s="221"/>
      <c r="RAN1" s="222"/>
      <c r="RAO1" s="220" t="s">
        <v>13331</v>
      </c>
      <c r="RAP1" s="221"/>
      <c r="RAQ1" s="221"/>
      <c r="RAR1" s="222"/>
      <c r="RAS1" s="220" t="s">
        <v>13331</v>
      </c>
      <c r="RAT1" s="221"/>
      <c r="RAU1" s="221"/>
      <c r="RAV1" s="222"/>
      <c r="RAW1" s="220" t="s">
        <v>13331</v>
      </c>
      <c r="RAX1" s="221"/>
      <c r="RAY1" s="221"/>
      <c r="RAZ1" s="222"/>
      <c r="RBA1" s="220" t="s">
        <v>13331</v>
      </c>
      <c r="RBB1" s="221"/>
      <c r="RBC1" s="221"/>
      <c r="RBD1" s="222"/>
      <c r="RBE1" s="220" t="s">
        <v>13331</v>
      </c>
      <c r="RBF1" s="221"/>
      <c r="RBG1" s="221"/>
      <c r="RBH1" s="222"/>
      <c r="RBI1" s="220" t="s">
        <v>13331</v>
      </c>
      <c r="RBJ1" s="221"/>
      <c r="RBK1" s="221"/>
      <c r="RBL1" s="222"/>
      <c r="RBM1" s="220" t="s">
        <v>13331</v>
      </c>
      <c r="RBN1" s="221"/>
      <c r="RBO1" s="221"/>
      <c r="RBP1" s="222"/>
      <c r="RBQ1" s="220" t="s">
        <v>13331</v>
      </c>
      <c r="RBR1" s="221"/>
      <c r="RBS1" s="221"/>
      <c r="RBT1" s="222"/>
      <c r="RBU1" s="220" t="s">
        <v>13331</v>
      </c>
      <c r="RBV1" s="221"/>
      <c r="RBW1" s="221"/>
      <c r="RBX1" s="222"/>
      <c r="RBY1" s="220" t="s">
        <v>13331</v>
      </c>
      <c r="RBZ1" s="221"/>
      <c r="RCA1" s="221"/>
      <c r="RCB1" s="222"/>
      <c r="RCC1" s="220" t="s">
        <v>13331</v>
      </c>
      <c r="RCD1" s="221"/>
      <c r="RCE1" s="221"/>
      <c r="RCF1" s="222"/>
      <c r="RCG1" s="220" t="s">
        <v>13331</v>
      </c>
      <c r="RCH1" s="221"/>
      <c r="RCI1" s="221"/>
      <c r="RCJ1" s="222"/>
      <c r="RCK1" s="220" t="s">
        <v>13331</v>
      </c>
      <c r="RCL1" s="221"/>
      <c r="RCM1" s="221"/>
      <c r="RCN1" s="222"/>
      <c r="RCO1" s="220" t="s">
        <v>13331</v>
      </c>
      <c r="RCP1" s="221"/>
      <c r="RCQ1" s="221"/>
      <c r="RCR1" s="222"/>
      <c r="RCS1" s="220" t="s">
        <v>13331</v>
      </c>
      <c r="RCT1" s="221"/>
      <c r="RCU1" s="221"/>
      <c r="RCV1" s="222"/>
      <c r="RCW1" s="220" t="s">
        <v>13331</v>
      </c>
      <c r="RCX1" s="221"/>
      <c r="RCY1" s="221"/>
      <c r="RCZ1" s="222"/>
      <c r="RDA1" s="220" t="s">
        <v>13331</v>
      </c>
      <c r="RDB1" s="221"/>
      <c r="RDC1" s="221"/>
      <c r="RDD1" s="222"/>
      <c r="RDE1" s="220" t="s">
        <v>13331</v>
      </c>
      <c r="RDF1" s="221"/>
      <c r="RDG1" s="221"/>
      <c r="RDH1" s="222"/>
      <c r="RDI1" s="220" t="s">
        <v>13331</v>
      </c>
      <c r="RDJ1" s="221"/>
      <c r="RDK1" s="221"/>
      <c r="RDL1" s="222"/>
      <c r="RDM1" s="220" t="s">
        <v>13331</v>
      </c>
      <c r="RDN1" s="221"/>
      <c r="RDO1" s="221"/>
      <c r="RDP1" s="222"/>
      <c r="RDQ1" s="220" t="s">
        <v>13331</v>
      </c>
      <c r="RDR1" s="221"/>
      <c r="RDS1" s="221"/>
      <c r="RDT1" s="222"/>
      <c r="RDU1" s="220" t="s">
        <v>13331</v>
      </c>
      <c r="RDV1" s="221"/>
      <c r="RDW1" s="221"/>
      <c r="RDX1" s="222"/>
      <c r="RDY1" s="220" t="s">
        <v>13331</v>
      </c>
      <c r="RDZ1" s="221"/>
      <c r="REA1" s="221"/>
      <c r="REB1" s="222"/>
      <c r="REC1" s="220" t="s">
        <v>13331</v>
      </c>
      <c r="RED1" s="221"/>
      <c r="REE1" s="221"/>
      <c r="REF1" s="222"/>
      <c r="REG1" s="220" t="s">
        <v>13331</v>
      </c>
      <c r="REH1" s="221"/>
      <c r="REI1" s="221"/>
      <c r="REJ1" s="222"/>
      <c r="REK1" s="220" t="s">
        <v>13331</v>
      </c>
      <c r="REL1" s="221"/>
      <c r="REM1" s="221"/>
      <c r="REN1" s="222"/>
      <c r="REO1" s="220" t="s">
        <v>13331</v>
      </c>
      <c r="REP1" s="221"/>
      <c r="REQ1" s="221"/>
      <c r="RER1" s="222"/>
      <c r="RES1" s="220" t="s">
        <v>13331</v>
      </c>
      <c r="RET1" s="221"/>
      <c r="REU1" s="221"/>
      <c r="REV1" s="222"/>
      <c r="REW1" s="220" t="s">
        <v>13331</v>
      </c>
      <c r="REX1" s="221"/>
      <c r="REY1" s="221"/>
      <c r="REZ1" s="222"/>
      <c r="RFA1" s="220" t="s">
        <v>13331</v>
      </c>
      <c r="RFB1" s="221"/>
      <c r="RFC1" s="221"/>
      <c r="RFD1" s="222"/>
      <c r="RFE1" s="220" t="s">
        <v>13331</v>
      </c>
      <c r="RFF1" s="221"/>
      <c r="RFG1" s="221"/>
      <c r="RFH1" s="222"/>
      <c r="RFI1" s="220" t="s">
        <v>13331</v>
      </c>
      <c r="RFJ1" s="221"/>
      <c r="RFK1" s="221"/>
      <c r="RFL1" s="222"/>
      <c r="RFM1" s="220" t="s">
        <v>13331</v>
      </c>
      <c r="RFN1" s="221"/>
      <c r="RFO1" s="221"/>
      <c r="RFP1" s="222"/>
      <c r="RFQ1" s="220" t="s">
        <v>13331</v>
      </c>
      <c r="RFR1" s="221"/>
      <c r="RFS1" s="221"/>
      <c r="RFT1" s="222"/>
      <c r="RFU1" s="220" t="s">
        <v>13331</v>
      </c>
      <c r="RFV1" s="221"/>
      <c r="RFW1" s="221"/>
      <c r="RFX1" s="222"/>
      <c r="RFY1" s="220" t="s">
        <v>13331</v>
      </c>
      <c r="RFZ1" s="221"/>
      <c r="RGA1" s="221"/>
      <c r="RGB1" s="222"/>
      <c r="RGC1" s="220" t="s">
        <v>13331</v>
      </c>
      <c r="RGD1" s="221"/>
      <c r="RGE1" s="221"/>
      <c r="RGF1" s="222"/>
      <c r="RGG1" s="220" t="s">
        <v>13331</v>
      </c>
      <c r="RGH1" s="221"/>
      <c r="RGI1" s="221"/>
      <c r="RGJ1" s="222"/>
      <c r="RGK1" s="220" t="s">
        <v>13331</v>
      </c>
      <c r="RGL1" s="221"/>
      <c r="RGM1" s="221"/>
      <c r="RGN1" s="222"/>
      <c r="RGO1" s="220" t="s">
        <v>13331</v>
      </c>
      <c r="RGP1" s="221"/>
      <c r="RGQ1" s="221"/>
      <c r="RGR1" s="222"/>
      <c r="RGS1" s="220" t="s">
        <v>13331</v>
      </c>
      <c r="RGT1" s="221"/>
      <c r="RGU1" s="221"/>
      <c r="RGV1" s="222"/>
      <c r="RGW1" s="220" t="s">
        <v>13331</v>
      </c>
      <c r="RGX1" s="221"/>
      <c r="RGY1" s="221"/>
      <c r="RGZ1" s="222"/>
      <c r="RHA1" s="220" t="s">
        <v>13331</v>
      </c>
      <c r="RHB1" s="221"/>
      <c r="RHC1" s="221"/>
      <c r="RHD1" s="222"/>
      <c r="RHE1" s="220" t="s">
        <v>13331</v>
      </c>
      <c r="RHF1" s="221"/>
      <c r="RHG1" s="221"/>
      <c r="RHH1" s="222"/>
      <c r="RHI1" s="220" t="s">
        <v>13331</v>
      </c>
      <c r="RHJ1" s="221"/>
      <c r="RHK1" s="221"/>
      <c r="RHL1" s="222"/>
      <c r="RHM1" s="220" t="s">
        <v>13331</v>
      </c>
      <c r="RHN1" s="221"/>
      <c r="RHO1" s="221"/>
      <c r="RHP1" s="222"/>
      <c r="RHQ1" s="220" t="s">
        <v>13331</v>
      </c>
      <c r="RHR1" s="221"/>
      <c r="RHS1" s="221"/>
      <c r="RHT1" s="222"/>
      <c r="RHU1" s="220" t="s">
        <v>13331</v>
      </c>
      <c r="RHV1" s="221"/>
      <c r="RHW1" s="221"/>
      <c r="RHX1" s="222"/>
      <c r="RHY1" s="220" t="s">
        <v>13331</v>
      </c>
      <c r="RHZ1" s="221"/>
      <c r="RIA1" s="221"/>
      <c r="RIB1" s="222"/>
      <c r="RIC1" s="220" t="s">
        <v>13331</v>
      </c>
      <c r="RID1" s="221"/>
      <c r="RIE1" s="221"/>
      <c r="RIF1" s="222"/>
      <c r="RIG1" s="220" t="s">
        <v>13331</v>
      </c>
      <c r="RIH1" s="221"/>
      <c r="RII1" s="221"/>
      <c r="RIJ1" s="222"/>
      <c r="RIK1" s="220" t="s">
        <v>13331</v>
      </c>
      <c r="RIL1" s="221"/>
      <c r="RIM1" s="221"/>
      <c r="RIN1" s="222"/>
      <c r="RIO1" s="220" t="s">
        <v>13331</v>
      </c>
      <c r="RIP1" s="221"/>
      <c r="RIQ1" s="221"/>
      <c r="RIR1" s="222"/>
      <c r="RIS1" s="220" t="s">
        <v>13331</v>
      </c>
      <c r="RIT1" s="221"/>
      <c r="RIU1" s="221"/>
      <c r="RIV1" s="222"/>
      <c r="RIW1" s="220" t="s">
        <v>13331</v>
      </c>
      <c r="RIX1" s="221"/>
      <c r="RIY1" s="221"/>
      <c r="RIZ1" s="222"/>
      <c r="RJA1" s="220" t="s">
        <v>13331</v>
      </c>
      <c r="RJB1" s="221"/>
      <c r="RJC1" s="221"/>
      <c r="RJD1" s="222"/>
      <c r="RJE1" s="220" t="s">
        <v>13331</v>
      </c>
      <c r="RJF1" s="221"/>
      <c r="RJG1" s="221"/>
      <c r="RJH1" s="222"/>
      <c r="RJI1" s="220" t="s">
        <v>13331</v>
      </c>
      <c r="RJJ1" s="221"/>
      <c r="RJK1" s="221"/>
      <c r="RJL1" s="222"/>
      <c r="RJM1" s="220" t="s">
        <v>13331</v>
      </c>
      <c r="RJN1" s="221"/>
      <c r="RJO1" s="221"/>
      <c r="RJP1" s="222"/>
      <c r="RJQ1" s="220" t="s">
        <v>13331</v>
      </c>
      <c r="RJR1" s="221"/>
      <c r="RJS1" s="221"/>
      <c r="RJT1" s="222"/>
      <c r="RJU1" s="220" t="s">
        <v>13331</v>
      </c>
      <c r="RJV1" s="221"/>
      <c r="RJW1" s="221"/>
      <c r="RJX1" s="222"/>
      <c r="RJY1" s="220" t="s">
        <v>13331</v>
      </c>
      <c r="RJZ1" s="221"/>
      <c r="RKA1" s="221"/>
      <c r="RKB1" s="222"/>
      <c r="RKC1" s="220" t="s">
        <v>13331</v>
      </c>
      <c r="RKD1" s="221"/>
      <c r="RKE1" s="221"/>
      <c r="RKF1" s="222"/>
      <c r="RKG1" s="220" t="s">
        <v>13331</v>
      </c>
      <c r="RKH1" s="221"/>
      <c r="RKI1" s="221"/>
      <c r="RKJ1" s="222"/>
      <c r="RKK1" s="220" t="s">
        <v>13331</v>
      </c>
      <c r="RKL1" s="221"/>
      <c r="RKM1" s="221"/>
      <c r="RKN1" s="222"/>
      <c r="RKO1" s="220" t="s">
        <v>13331</v>
      </c>
      <c r="RKP1" s="221"/>
      <c r="RKQ1" s="221"/>
      <c r="RKR1" s="222"/>
      <c r="RKS1" s="220" t="s">
        <v>13331</v>
      </c>
      <c r="RKT1" s="221"/>
      <c r="RKU1" s="221"/>
      <c r="RKV1" s="222"/>
      <c r="RKW1" s="220" t="s">
        <v>13331</v>
      </c>
      <c r="RKX1" s="221"/>
      <c r="RKY1" s="221"/>
      <c r="RKZ1" s="222"/>
      <c r="RLA1" s="220" t="s">
        <v>13331</v>
      </c>
      <c r="RLB1" s="221"/>
      <c r="RLC1" s="221"/>
      <c r="RLD1" s="222"/>
      <c r="RLE1" s="220" t="s">
        <v>13331</v>
      </c>
      <c r="RLF1" s="221"/>
      <c r="RLG1" s="221"/>
      <c r="RLH1" s="222"/>
      <c r="RLI1" s="220" t="s">
        <v>13331</v>
      </c>
      <c r="RLJ1" s="221"/>
      <c r="RLK1" s="221"/>
      <c r="RLL1" s="222"/>
      <c r="RLM1" s="220" t="s">
        <v>13331</v>
      </c>
      <c r="RLN1" s="221"/>
      <c r="RLO1" s="221"/>
      <c r="RLP1" s="222"/>
      <c r="RLQ1" s="220" t="s">
        <v>13331</v>
      </c>
      <c r="RLR1" s="221"/>
      <c r="RLS1" s="221"/>
      <c r="RLT1" s="222"/>
      <c r="RLU1" s="220" t="s">
        <v>13331</v>
      </c>
      <c r="RLV1" s="221"/>
      <c r="RLW1" s="221"/>
      <c r="RLX1" s="222"/>
      <c r="RLY1" s="220" t="s">
        <v>13331</v>
      </c>
      <c r="RLZ1" s="221"/>
      <c r="RMA1" s="221"/>
      <c r="RMB1" s="222"/>
      <c r="RMC1" s="220" t="s">
        <v>13331</v>
      </c>
      <c r="RMD1" s="221"/>
      <c r="RME1" s="221"/>
      <c r="RMF1" s="222"/>
      <c r="RMG1" s="220" t="s">
        <v>13331</v>
      </c>
      <c r="RMH1" s="221"/>
      <c r="RMI1" s="221"/>
      <c r="RMJ1" s="222"/>
      <c r="RMK1" s="220" t="s">
        <v>13331</v>
      </c>
      <c r="RML1" s="221"/>
      <c r="RMM1" s="221"/>
      <c r="RMN1" s="222"/>
      <c r="RMO1" s="220" t="s">
        <v>13331</v>
      </c>
      <c r="RMP1" s="221"/>
      <c r="RMQ1" s="221"/>
      <c r="RMR1" s="222"/>
      <c r="RMS1" s="220" t="s">
        <v>13331</v>
      </c>
      <c r="RMT1" s="221"/>
      <c r="RMU1" s="221"/>
      <c r="RMV1" s="222"/>
      <c r="RMW1" s="220" t="s">
        <v>13331</v>
      </c>
      <c r="RMX1" s="221"/>
      <c r="RMY1" s="221"/>
      <c r="RMZ1" s="222"/>
      <c r="RNA1" s="220" t="s">
        <v>13331</v>
      </c>
      <c r="RNB1" s="221"/>
      <c r="RNC1" s="221"/>
      <c r="RND1" s="222"/>
      <c r="RNE1" s="220" t="s">
        <v>13331</v>
      </c>
      <c r="RNF1" s="221"/>
      <c r="RNG1" s="221"/>
      <c r="RNH1" s="222"/>
      <c r="RNI1" s="220" t="s">
        <v>13331</v>
      </c>
      <c r="RNJ1" s="221"/>
      <c r="RNK1" s="221"/>
      <c r="RNL1" s="222"/>
      <c r="RNM1" s="220" t="s">
        <v>13331</v>
      </c>
      <c r="RNN1" s="221"/>
      <c r="RNO1" s="221"/>
      <c r="RNP1" s="222"/>
      <c r="RNQ1" s="220" t="s">
        <v>13331</v>
      </c>
      <c r="RNR1" s="221"/>
      <c r="RNS1" s="221"/>
      <c r="RNT1" s="222"/>
      <c r="RNU1" s="220" t="s">
        <v>13331</v>
      </c>
      <c r="RNV1" s="221"/>
      <c r="RNW1" s="221"/>
      <c r="RNX1" s="222"/>
      <c r="RNY1" s="220" t="s">
        <v>13331</v>
      </c>
      <c r="RNZ1" s="221"/>
      <c r="ROA1" s="221"/>
      <c r="ROB1" s="222"/>
      <c r="ROC1" s="220" t="s">
        <v>13331</v>
      </c>
      <c r="ROD1" s="221"/>
      <c r="ROE1" s="221"/>
      <c r="ROF1" s="222"/>
      <c r="ROG1" s="220" t="s">
        <v>13331</v>
      </c>
      <c r="ROH1" s="221"/>
      <c r="ROI1" s="221"/>
      <c r="ROJ1" s="222"/>
      <c r="ROK1" s="220" t="s">
        <v>13331</v>
      </c>
      <c r="ROL1" s="221"/>
      <c r="ROM1" s="221"/>
      <c r="RON1" s="222"/>
      <c r="ROO1" s="220" t="s">
        <v>13331</v>
      </c>
      <c r="ROP1" s="221"/>
      <c r="ROQ1" s="221"/>
      <c r="ROR1" s="222"/>
      <c r="ROS1" s="220" t="s">
        <v>13331</v>
      </c>
      <c r="ROT1" s="221"/>
      <c r="ROU1" s="221"/>
      <c r="ROV1" s="222"/>
      <c r="ROW1" s="220" t="s">
        <v>13331</v>
      </c>
      <c r="ROX1" s="221"/>
      <c r="ROY1" s="221"/>
      <c r="ROZ1" s="222"/>
      <c r="RPA1" s="220" t="s">
        <v>13331</v>
      </c>
      <c r="RPB1" s="221"/>
      <c r="RPC1" s="221"/>
      <c r="RPD1" s="222"/>
      <c r="RPE1" s="220" t="s">
        <v>13331</v>
      </c>
      <c r="RPF1" s="221"/>
      <c r="RPG1" s="221"/>
      <c r="RPH1" s="222"/>
      <c r="RPI1" s="220" t="s">
        <v>13331</v>
      </c>
      <c r="RPJ1" s="221"/>
      <c r="RPK1" s="221"/>
      <c r="RPL1" s="222"/>
      <c r="RPM1" s="220" t="s">
        <v>13331</v>
      </c>
      <c r="RPN1" s="221"/>
      <c r="RPO1" s="221"/>
      <c r="RPP1" s="222"/>
      <c r="RPQ1" s="220" t="s">
        <v>13331</v>
      </c>
      <c r="RPR1" s="221"/>
      <c r="RPS1" s="221"/>
      <c r="RPT1" s="222"/>
      <c r="RPU1" s="220" t="s">
        <v>13331</v>
      </c>
      <c r="RPV1" s="221"/>
      <c r="RPW1" s="221"/>
      <c r="RPX1" s="222"/>
      <c r="RPY1" s="220" t="s">
        <v>13331</v>
      </c>
      <c r="RPZ1" s="221"/>
      <c r="RQA1" s="221"/>
      <c r="RQB1" s="222"/>
      <c r="RQC1" s="220" t="s">
        <v>13331</v>
      </c>
      <c r="RQD1" s="221"/>
      <c r="RQE1" s="221"/>
      <c r="RQF1" s="222"/>
      <c r="RQG1" s="220" t="s">
        <v>13331</v>
      </c>
      <c r="RQH1" s="221"/>
      <c r="RQI1" s="221"/>
      <c r="RQJ1" s="222"/>
      <c r="RQK1" s="220" t="s">
        <v>13331</v>
      </c>
      <c r="RQL1" s="221"/>
      <c r="RQM1" s="221"/>
      <c r="RQN1" s="222"/>
      <c r="RQO1" s="220" t="s">
        <v>13331</v>
      </c>
      <c r="RQP1" s="221"/>
      <c r="RQQ1" s="221"/>
      <c r="RQR1" s="222"/>
      <c r="RQS1" s="220" t="s">
        <v>13331</v>
      </c>
      <c r="RQT1" s="221"/>
      <c r="RQU1" s="221"/>
      <c r="RQV1" s="222"/>
      <c r="RQW1" s="220" t="s">
        <v>13331</v>
      </c>
      <c r="RQX1" s="221"/>
      <c r="RQY1" s="221"/>
      <c r="RQZ1" s="222"/>
      <c r="RRA1" s="220" t="s">
        <v>13331</v>
      </c>
      <c r="RRB1" s="221"/>
      <c r="RRC1" s="221"/>
      <c r="RRD1" s="222"/>
      <c r="RRE1" s="220" t="s">
        <v>13331</v>
      </c>
      <c r="RRF1" s="221"/>
      <c r="RRG1" s="221"/>
      <c r="RRH1" s="222"/>
      <c r="RRI1" s="220" t="s">
        <v>13331</v>
      </c>
      <c r="RRJ1" s="221"/>
      <c r="RRK1" s="221"/>
      <c r="RRL1" s="222"/>
      <c r="RRM1" s="220" t="s">
        <v>13331</v>
      </c>
      <c r="RRN1" s="221"/>
      <c r="RRO1" s="221"/>
      <c r="RRP1" s="222"/>
      <c r="RRQ1" s="220" t="s">
        <v>13331</v>
      </c>
      <c r="RRR1" s="221"/>
      <c r="RRS1" s="221"/>
      <c r="RRT1" s="222"/>
      <c r="RRU1" s="220" t="s">
        <v>13331</v>
      </c>
      <c r="RRV1" s="221"/>
      <c r="RRW1" s="221"/>
      <c r="RRX1" s="222"/>
      <c r="RRY1" s="220" t="s">
        <v>13331</v>
      </c>
      <c r="RRZ1" s="221"/>
      <c r="RSA1" s="221"/>
      <c r="RSB1" s="222"/>
      <c r="RSC1" s="220" t="s">
        <v>13331</v>
      </c>
      <c r="RSD1" s="221"/>
      <c r="RSE1" s="221"/>
      <c r="RSF1" s="222"/>
      <c r="RSG1" s="220" t="s">
        <v>13331</v>
      </c>
      <c r="RSH1" s="221"/>
      <c r="RSI1" s="221"/>
      <c r="RSJ1" s="222"/>
      <c r="RSK1" s="220" t="s">
        <v>13331</v>
      </c>
      <c r="RSL1" s="221"/>
      <c r="RSM1" s="221"/>
      <c r="RSN1" s="222"/>
      <c r="RSO1" s="220" t="s">
        <v>13331</v>
      </c>
      <c r="RSP1" s="221"/>
      <c r="RSQ1" s="221"/>
      <c r="RSR1" s="222"/>
      <c r="RSS1" s="220" t="s">
        <v>13331</v>
      </c>
      <c r="RST1" s="221"/>
      <c r="RSU1" s="221"/>
      <c r="RSV1" s="222"/>
      <c r="RSW1" s="220" t="s">
        <v>13331</v>
      </c>
      <c r="RSX1" s="221"/>
      <c r="RSY1" s="221"/>
      <c r="RSZ1" s="222"/>
      <c r="RTA1" s="220" t="s">
        <v>13331</v>
      </c>
      <c r="RTB1" s="221"/>
      <c r="RTC1" s="221"/>
      <c r="RTD1" s="222"/>
      <c r="RTE1" s="220" t="s">
        <v>13331</v>
      </c>
      <c r="RTF1" s="221"/>
      <c r="RTG1" s="221"/>
      <c r="RTH1" s="222"/>
      <c r="RTI1" s="220" t="s">
        <v>13331</v>
      </c>
      <c r="RTJ1" s="221"/>
      <c r="RTK1" s="221"/>
      <c r="RTL1" s="222"/>
      <c r="RTM1" s="220" t="s">
        <v>13331</v>
      </c>
      <c r="RTN1" s="221"/>
      <c r="RTO1" s="221"/>
      <c r="RTP1" s="222"/>
      <c r="RTQ1" s="220" t="s">
        <v>13331</v>
      </c>
      <c r="RTR1" s="221"/>
      <c r="RTS1" s="221"/>
      <c r="RTT1" s="222"/>
      <c r="RTU1" s="220" t="s">
        <v>13331</v>
      </c>
      <c r="RTV1" s="221"/>
      <c r="RTW1" s="221"/>
      <c r="RTX1" s="222"/>
      <c r="RTY1" s="220" t="s">
        <v>13331</v>
      </c>
      <c r="RTZ1" s="221"/>
      <c r="RUA1" s="221"/>
      <c r="RUB1" s="222"/>
      <c r="RUC1" s="220" t="s">
        <v>13331</v>
      </c>
      <c r="RUD1" s="221"/>
      <c r="RUE1" s="221"/>
      <c r="RUF1" s="222"/>
      <c r="RUG1" s="220" t="s">
        <v>13331</v>
      </c>
      <c r="RUH1" s="221"/>
      <c r="RUI1" s="221"/>
      <c r="RUJ1" s="222"/>
      <c r="RUK1" s="220" t="s">
        <v>13331</v>
      </c>
      <c r="RUL1" s="221"/>
      <c r="RUM1" s="221"/>
      <c r="RUN1" s="222"/>
      <c r="RUO1" s="220" t="s">
        <v>13331</v>
      </c>
      <c r="RUP1" s="221"/>
      <c r="RUQ1" s="221"/>
      <c r="RUR1" s="222"/>
      <c r="RUS1" s="220" t="s">
        <v>13331</v>
      </c>
      <c r="RUT1" s="221"/>
      <c r="RUU1" s="221"/>
      <c r="RUV1" s="222"/>
      <c r="RUW1" s="220" t="s">
        <v>13331</v>
      </c>
      <c r="RUX1" s="221"/>
      <c r="RUY1" s="221"/>
      <c r="RUZ1" s="222"/>
      <c r="RVA1" s="220" t="s">
        <v>13331</v>
      </c>
      <c r="RVB1" s="221"/>
      <c r="RVC1" s="221"/>
      <c r="RVD1" s="222"/>
      <c r="RVE1" s="220" t="s">
        <v>13331</v>
      </c>
      <c r="RVF1" s="221"/>
      <c r="RVG1" s="221"/>
      <c r="RVH1" s="222"/>
      <c r="RVI1" s="220" t="s">
        <v>13331</v>
      </c>
      <c r="RVJ1" s="221"/>
      <c r="RVK1" s="221"/>
      <c r="RVL1" s="222"/>
      <c r="RVM1" s="220" t="s">
        <v>13331</v>
      </c>
      <c r="RVN1" s="221"/>
      <c r="RVO1" s="221"/>
      <c r="RVP1" s="222"/>
      <c r="RVQ1" s="220" t="s">
        <v>13331</v>
      </c>
      <c r="RVR1" s="221"/>
      <c r="RVS1" s="221"/>
      <c r="RVT1" s="222"/>
      <c r="RVU1" s="220" t="s">
        <v>13331</v>
      </c>
      <c r="RVV1" s="221"/>
      <c r="RVW1" s="221"/>
      <c r="RVX1" s="222"/>
      <c r="RVY1" s="220" t="s">
        <v>13331</v>
      </c>
      <c r="RVZ1" s="221"/>
      <c r="RWA1" s="221"/>
      <c r="RWB1" s="222"/>
      <c r="RWC1" s="220" t="s">
        <v>13331</v>
      </c>
      <c r="RWD1" s="221"/>
      <c r="RWE1" s="221"/>
      <c r="RWF1" s="222"/>
      <c r="RWG1" s="220" t="s">
        <v>13331</v>
      </c>
      <c r="RWH1" s="221"/>
      <c r="RWI1" s="221"/>
      <c r="RWJ1" s="222"/>
      <c r="RWK1" s="220" t="s">
        <v>13331</v>
      </c>
      <c r="RWL1" s="221"/>
      <c r="RWM1" s="221"/>
      <c r="RWN1" s="222"/>
      <c r="RWO1" s="220" t="s">
        <v>13331</v>
      </c>
      <c r="RWP1" s="221"/>
      <c r="RWQ1" s="221"/>
      <c r="RWR1" s="222"/>
      <c r="RWS1" s="220" t="s">
        <v>13331</v>
      </c>
      <c r="RWT1" s="221"/>
      <c r="RWU1" s="221"/>
      <c r="RWV1" s="222"/>
      <c r="RWW1" s="220" t="s">
        <v>13331</v>
      </c>
      <c r="RWX1" s="221"/>
      <c r="RWY1" s="221"/>
      <c r="RWZ1" s="222"/>
      <c r="RXA1" s="220" t="s">
        <v>13331</v>
      </c>
      <c r="RXB1" s="221"/>
      <c r="RXC1" s="221"/>
      <c r="RXD1" s="222"/>
      <c r="RXE1" s="220" t="s">
        <v>13331</v>
      </c>
      <c r="RXF1" s="221"/>
      <c r="RXG1" s="221"/>
      <c r="RXH1" s="222"/>
      <c r="RXI1" s="220" t="s">
        <v>13331</v>
      </c>
      <c r="RXJ1" s="221"/>
      <c r="RXK1" s="221"/>
      <c r="RXL1" s="222"/>
      <c r="RXM1" s="220" t="s">
        <v>13331</v>
      </c>
      <c r="RXN1" s="221"/>
      <c r="RXO1" s="221"/>
      <c r="RXP1" s="222"/>
      <c r="RXQ1" s="220" t="s">
        <v>13331</v>
      </c>
      <c r="RXR1" s="221"/>
      <c r="RXS1" s="221"/>
      <c r="RXT1" s="222"/>
      <c r="RXU1" s="220" t="s">
        <v>13331</v>
      </c>
      <c r="RXV1" s="221"/>
      <c r="RXW1" s="221"/>
      <c r="RXX1" s="222"/>
      <c r="RXY1" s="220" t="s">
        <v>13331</v>
      </c>
      <c r="RXZ1" s="221"/>
      <c r="RYA1" s="221"/>
      <c r="RYB1" s="222"/>
      <c r="RYC1" s="220" t="s">
        <v>13331</v>
      </c>
      <c r="RYD1" s="221"/>
      <c r="RYE1" s="221"/>
      <c r="RYF1" s="222"/>
      <c r="RYG1" s="220" t="s">
        <v>13331</v>
      </c>
      <c r="RYH1" s="221"/>
      <c r="RYI1" s="221"/>
      <c r="RYJ1" s="222"/>
      <c r="RYK1" s="220" t="s">
        <v>13331</v>
      </c>
      <c r="RYL1" s="221"/>
      <c r="RYM1" s="221"/>
      <c r="RYN1" s="222"/>
      <c r="RYO1" s="220" t="s">
        <v>13331</v>
      </c>
      <c r="RYP1" s="221"/>
      <c r="RYQ1" s="221"/>
      <c r="RYR1" s="222"/>
      <c r="RYS1" s="220" t="s">
        <v>13331</v>
      </c>
      <c r="RYT1" s="221"/>
      <c r="RYU1" s="221"/>
      <c r="RYV1" s="222"/>
      <c r="RYW1" s="220" t="s">
        <v>13331</v>
      </c>
      <c r="RYX1" s="221"/>
      <c r="RYY1" s="221"/>
      <c r="RYZ1" s="222"/>
      <c r="RZA1" s="220" t="s">
        <v>13331</v>
      </c>
      <c r="RZB1" s="221"/>
      <c r="RZC1" s="221"/>
      <c r="RZD1" s="222"/>
      <c r="RZE1" s="220" t="s">
        <v>13331</v>
      </c>
      <c r="RZF1" s="221"/>
      <c r="RZG1" s="221"/>
      <c r="RZH1" s="222"/>
      <c r="RZI1" s="220" t="s">
        <v>13331</v>
      </c>
      <c r="RZJ1" s="221"/>
      <c r="RZK1" s="221"/>
      <c r="RZL1" s="222"/>
      <c r="RZM1" s="220" t="s">
        <v>13331</v>
      </c>
      <c r="RZN1" s="221"/>
      <c r="RZO1" s="221"/>
      <c r="RZP1" s="222"/>
      <c r="RZQ1" s="220" t="s">
        <v>13331</v>
      </c>
      <c r="RZR1" s="221"/>
      <c r="RZS1" s="221"/>
      <c r="RZT1" s="222"/>
      <c r="RZU1" s="220" t="s">
        <v>13331</v>
      </c>
      <c r="RZV1" s="221"/>
      <c r="RZW1" s="221"/>
      <c r="RZX1" s="222"/>
      <c r="RZY1" s="220" t="s">
        <v>13331</v>
      </c>
      <c r="RZZ1" s="221"/>
      <c r="SAA1" s="221"/>
      <c r="SAB1" s="222"/>
      <c r="SAC1" s="220" t="s">
        <v>13331</v>
      </c>
      <c r="SAD1" s="221"/>
      <c r="SAE1" s="221"/>
      <c r="SAF1" s="222"/>
      <c r="SAG1" s="220" t="s">
        <v>13331</v>
      </c>
      <c r="SAH1" s="221"/>
      <c r="SAI1" s="221"/>
      <c r="SAJ1" s="222"/>
      <c r="SAK1" s="220" t="s">
        <v>13331</v>
      </c>
      <c r="SAL1" s="221"/>
      <c r="SAM1" s="221"/>
      <c r="SAN1" s="222"/>
      <c r="SAO1" s="220" t="s">
        <v>13331</v>
      </c>
      <c r="SAP1" s="221"/>
      <c r="SAQ1" s="221"/>
      <c r="SAR1" s="222"/>
      <c r="SAS1" s="220" t="s">
        <v>13331</v>
      </c>
      <c r="SAT1" s="221"/>
      <c r="SAU1" s="221"/>
      <c r="SAV1" s="222"/>
      <c r="SAW1" s="220" t="s">
        <v>13331</v>
      </c>
      <c r="SAX1" s="221"/>
      <c r="SAY1" s="221"/>
      <c r="SAZ1" s="222"/>
      <c r="SBA1" s="220" t="s">
        <v>13331</v>
      </c>
      <c r="SBB1" s="221"/>
      <c r="SBC1" s="221"/>
      <c r="SBD1" s="222"/>
      <c r="SBE1" s="220" t="s">
        <v>13331</v>
      </c>
      <c r="SBF1" s="221"/>
      <c r="SBG1" s="221"/>
      <c r="SBH1" s="222"/>
      <c r="SBI1" s="220" t="s">
        <v>13331</v>
      </c>
      <c r="SBJ1" s="221"/>
      <c r="SBK1" s="221"/>
      <c r="SBL1" s="222"/>
      <c r="SBM1" s="220" t="s">
        <v>13331</v>
      </c>
      <c r="SBN1" s="221"/>
      <c r="SBO1" s="221"/>
      <c r="SBP1" s="222"/>
      <c r="SBQ1" s="220" t="s">
        <v>13331</v>
      </c>
      <c r="SBR1" s="221"/>
      <c r="SBS1" s="221"/>
      <c r="SBT1" s="222"/>
      <c r="SBU1" s="220" t="s">
        <v>13331</v>
      </c>
      <c r="SBV1" s="221"/>
      <c r="SBW1" s="221"/>
      <c r="SBX1" s="222"/>
      <c r="SBY1" s="220" t="s">
        <v>13331</v>
      </c>
      <c r="SBZ1" s="221"/>
      <c r="SCA1" s="221"/>
      <c r="SCB1" s="222"/>
      <c r="SCC1" s="220" t="s">
        <v>13331</v>
      </c>
      <c r="SCD1" s="221"/>
      <c r="SCE1" s="221"/>
      <c r="SCF1" s="222"/>
      <c r="SCG1" s="220" t="s">
        <v>13331</v>
      </c>
      <c r="SCH1" s="221"/>
      <c r="SCI1" s="221"/>
      <c r="SCJ1" s="222"/>
      <c r="SCK1" s="220" t="s">
        <v>13331</v>
      </c>
      <c r="SCL1" s="221"/>
      <c r="SCM1" s="221"/>
      <c r="SCN1" s="222"/>
      <c r="SCO1" s="220" t="s">
        <v>13331</v>
      </c>
      <c r="SCP1" s="221"/>
      <c r="SCQ1" s="221"/>
      <c r="SCR1" s="222"/>
      <c r="SCS1" s="220" t="s">
        <v>13331</v>
      </c>
      <c r="SCT1" s="221"/>
      <c r="SCU1" s="221"/>
      <c r="SCV1" s="222"/>
      <c r="SCW1" s="220" t="s">
        <v>13331</v>
      </c>
      <c r="SCX1" s="221"/>
      <c r="SCY1" s="221"/>
      <c r="SCZ1" s="222"/>
      <c r="SDA1" s="220" t="s">
        <v>13331</v>
      </c>
      <c r="SDB1" s="221"/>
      <c r="SDC1" s="221"/>
      <c r="SDD1" s="222"/>
      <c r="SDE1" s="220" t="s">
        <v>13331</v>
      </c>
      <c r="SDF1" s="221"/>
      <c r="SDG1" s="221"/>
      <c r="SDH1" s="222"/>
      <c r="SDI1" s="220" t="s">
        <v>13331</v>
      </c>
      <c r="SDJ1" s="221"/>
      <c r="SDK1" s="221"/>
      <c r="SDL1" s="222"/>
      <c r="SDM1" s="220" t="s">
        <v>13331</v>
      </c>
      <c r="SDN1" s="221"/>
      <c r="SDO1" s="221"/>
      <c r="SDP1" s="222"/>
      <c r="SDQ1" s="220" t="s">
        <v>13331</v>
      </c>
      <c r="SDR1" s="221"/>
      <c r="SDS1" s="221"/>
      <c r="SDT1" s="222"/>
      <c r="SDU1" s="220" t="s">
        <v>13331</v>
      </c>
      <c r="SDV1" s="221"/>
      <c r="SDW1" s="221"/>
      <c r="SDX1" s="222"/>
      <c r="SDY1" s="220" t="s">
        <v>13331</v>
      </c>
      <c r="SDZ1" s="221"/>
      <c r="SEA1" s="221"/>
      <c r="SEB1" s="222"/>
      <c r="SEC1" s="220" t="s">
        <v>13331</v>
      </c>
      <c r="SED1" s="221"/>
      <c r="SEE1" s="221"/>
      <c r="SEF1" s="222"/>
      <c r="SEG1" s="220" t="s">
        <v>13331</v>
      </c>
      <c r="SEH1" s="221"/>
      <c r="SEI1" s="221"/>
      <c r="SEJ1" s="222"/>
      <c r="SEK1" s="220" t="s">
        <v>13331</v>
      </c>
      <c r="SEL1" s="221"/>
      <c r="SEM1" s="221"/>
      <c r="SEN1" s="222"/>
      <c r="SEO1" s="220" t="s">
        <v>13331</v>
      </c>
      <c r="SEP1" s="221"/>
      <c r="SEQ1" s="221"/>
      <c r="SER1" s="222"/>
      <c r="SES1" s="220" t="s">
        <v>13331</v>
      </c>
      <c r="SET1" s="221"/>
      <c r="SEU1" s="221"/>
      <c r="SEV1" s="222"/>
      <c r="SEW1" s="220" t="s">
        <v>13331</v>
      </c>
      <c r="SEX1" s="221"/>
      <c r="SEY1" s="221"/>
      <c r="SEZ1" s="222"/>
      <c r="SFA1" s="220" t="s">
        <v>13331</v>
      </c>
      <c r="SFB1" s="221"/>
      <c r="SFC1" s="221"/>
      <c r="SFD1" s="222"/>
      <c r="SFE1" s="220" t="s">
        <v>13331</v>
      </c>
      <c r="SFF1" s="221"/>
      <c r="SFG1" s="221"/>
      <c r="SFH1" s="222"/>
      <c r="SFI1" s="220" t="s">
        <v>13331</v>
      </c>
      <c r="SFJ1" s="221"/>
      <c r="SFK1" s="221"/>
      <c r="SFL1" s="222"/>
      <c r="SFM1" s="220" t="s">
        <v>13331</v>
      </c>
      <c r="SFN1" s="221"/>
      <c r="SFO1" s="221"/>
      <c r="SFP1" s="222"/>
      <c r="SFQ1" s="220" t="s">
        <v>13331</v>
      </c>
      <c r="SFR1" s="221"/>
      <c r="SFS1" s="221"/>
      <c r="SFT1" s="222"/>
      <c r="SFU1" s="220" t="s">
        <v>13331</v>
      </c>
      <c r="SFV1" s="221"/>
      <c r="SFW1" s="221"/>
      <c r="SFX1" s="222"/>
      <c r="SFY1" s="220" t="s">
        <v>13331</v>
      </c>
      <c r="SFZ1" s="221"/>
      <c r="SGA1" s="221"/>
      <c r="SGB1" s="222"/>
      <c r="SGC1" s="220" t="s">
        <v>13331</v>
      </c>
      <c r="SGD1" s="221"/>
      <c r="SGE1" s="221"/>
      <c r="SGF1" s="222"/>
      <c r="SGG1" s="220" t="s">
        <v>13331</v>
      </c>
      <c r="SGH1" s="221"/>
      <c r="SGI1" s="221"/>
      <c r="SGJ1" s="222"/>
      <c r="SGK1" s="220" t="s">
        <v>13331</v>
      </c>
      <c r="SGL1" s="221"/>
      <c r="SGM1" s="221"/>
      <c r="SGN1" s="222"/>
      <c r="SGO1" s="220" t="s">
        <v>13331</v>
      </c>
      <c r="SGP1" s="221"/>
      <c r="SGQ1" s="221"/>
      <c r="SGR1" s="222"/>
      <c r="SGS1" s="220" t="s">
        <v>13331</v>
      </c>
      <c r="SGT1" s="221"/>
      <c r="SGU1" s="221"/>
      <c r="SGV1" s="222"/>
      <c r="SGW1" s="220" t="s">
        <v>13331</v>
      </c>
      <c r="SGX1" s="221"/>
      <c r="SGY1" s="221"/>
      <c r="SGZ1" s="222"/>
      <c r="SHA1" s="220" t="s">
        <v>13331</v>
      </c>
      <c r="SHB1" s="221"/>
      <c r="SHC1" s="221"/>
      <c r="SHD1" s="222"/>
      <c r="SHE1" s="220" t="s">
        <v>13331</v>
      </c>
      <c r="SHF1" s="221"/>
      <c r="SHG1" s="221"/>
      <c r="SHH1" s="222"/>
      <c r="SHI1" s="220" t="s">
        <v>13331</v>
      </c>
      <c r="SHJ1" s="221"/>
      <c r="SHK1" s="221"/>
      <c r="SHL1" s="222"/>
      <c r="SHM1" s="220" t="s">
        <v>13331</v>
      </c>
      <c r="SHN1" s="221"/>
      <c r="SHO1" s="221"/>
      <c r="SHP1" s="222"/>
      <c r="SHQ1" s="220" t="s">
        <v>13331</v>
      </c>
      <c r="SHR1" s="221"/>
      <c r="SHS1" s="221"/>
      <c r="SHT1" s="222"/>
      <c r="SHU1" s="220" t="s">
        <v>13331</v>
      </c>
      <c r="SHV1" s="221"/>
      <c r="SHW1" s="221"/>
      <c r="SHX1" s="222"/>
      <c r="SHY1" s="220" t="s">
        <v>13331</v>
      </c>
      <c r="SHZ1" s="221"/>
      <c r="SIA1" s="221"/>
      <c r="SIB1" s="222"/>
      <c r="SIC1" s="220" t="s">
        <v>13331</v>
      </c>
      <c r="SID1" s="221"/>
      <c r="SIE1" s="221"/>
      <c r="SIF1" s="222"/>
      <c r="SIG1" s="220" t="s">
        <v>13331</v>
      </c>
      <c r="SIH1" s="221"/>
      <c r="SII1" s="221"/>
      <c r="SIJ1" s="222"/>
      <c r="SIK1" s="220" t="s">
        <v>13331</v>
      </c>
      <c r="SIL1" s="221"/>
      <c r="SIM1" s="221"/>
      <c r="SIN1" s="222"/>
      <c r="SIO1" s="220" t="s">
        <v>13331</v>
      </c>
      <c r="SIP1" s="221"/>
      <c r="SIQ1" s="221"/>
      <c r="SIR1" s="222"/>
      <c r="SIS1" s="220" t="s">
        <v>13331</v>
      </c>
      <c r="SIT1" s="221"/>
      <c r="SIU1" s="221"/>
      <c r="SIV1" s="222"/>
      <c r="SIW1" s="220" t="s">
        <v>13331</v>
      </c>
      <c r="SIX1" s="221"/>
      <c r="SIY1" s="221"/>
      <c r="SIZ1" s="222"/>
      <c r="SJA1" s="220" t="s">
        <v>13331</v>
      </c>
      <c r="SJB1" s="221"/>
      <c r="SJC1" s="221"/>
      <c r="SJD1" s="222"/>
      <c r="SJE1" s="220" t="s">
        <v>13331</v>
      </c>
      <c r="SJF1" s="221"/>
      <c r="SJG1" s="221"/>
      <c r="SJH1" s="222"/>
      <c r="SJI1" s="220" t="s">
        <v>13331</v>
      </c>
      <c r="SJJ1" s="221"/>
      <c r="SJK1" s="221"/>
      <c r="SJL1" s="222"/>
      <c r="SJM1" s="220" t="s">
        <v>13331</v>
      </c>
      <c r="SJN1" s="221"/>
      <c r="SJO1" s="221"/>
      <c r="SJP1" s="222"/>
      <c r="SJQ1" s="220" t="s">
        <v>13331</v>
      </c>
      <c r="SJR1" s="221"/>
      <c r="SJS1" s="221"/>
      <c r="SJT1" s="222"/>
      <c r="SJU1" s="220" t="s">
        <v>13331</v>
      </c>
      <c r="SJV1" s="221"/>
      <c r="SJW1" s="221"/>
      <c r="SJX1" s="222"/>
      <c r="SJY1" s="220" t="s">
        <v>13331</v>
      </c>
      <c r="SJZ1" s="221"/>
      <c r="SKA1" s="221"/>
      <c r="SKB1" s="222"/>
      <c r="SKC1" s="220" t="s">
        <v>13331</v>
      </c>
      <c r="SKD1" s="221"/>
      <c r="SKE1" s="221"/>
      <c r="SKF1" s="222"/>
      <c r="SKG1" s="220" t="s">
        <v>13331</v>
      </c>
      <c r="SKH1" s="221"/>
      <c r="SKI1" s="221"/>
      <c r="SKJ1" s="222"/>
      <c r="SKK1" s="220" t="s">
        <v>13331</v>
      </c>
      <c r="SKL1" s="221"/>
      <c r="SKM1" s="221"/>
      <c r="SKN1" s="222"/>
      <c r="SKO1" s="220" t="s">
        <v>13331</v>
      </c>
      <c r="SKP1" s="221"/>
      <c r="SKQ1" s="221"/>
      <c r="SKR1" s="222"/>
      <c r="SKS1" s="220" t="s">
        <v>13331</v>
      </c>
      <c r="SKT1" s="221"/>
      <c r="SKU1" s="221"/>
      <c r="SKV1" s="222"/>
      <c r="SKW1" s="220" t="s">
        <v>13331</v>
      </c>
      <c r="SKX1" s="221"/>
      <c r="SKY1" s="221"/>
      <c r="SKZ1" s="222"/>
      <c r="SLA1" s="220" t="s">
        <v>13331</v>
      </c>
      <c r="SLB1" s="221"/>
      <c r="SLC1" s="221"/>
      <c r="SLD1" s="222"/>
      <c r="SLE1" s="220" t="s">
        <v>13331</v>
      </c>
      <c r="SLF1" s="221"/>
      <c r="SLG1" s="221"/>
      <c r="SLH1" s="222"/>
      <c r="SLI1" s="220" t="s">
        <v>13331</v>
      </c>
      <c r="SLJ1" s="221"/>
      <c r="SLK1" s="221"/>
      <c r="SLL1" s="222"/>
      <c r="SLM1" s="220" t="s">
        <v>13331</v>
      </c>
      <c r="SLN1" s="221"/>
      <c r="SLO1" s="221"/>
      <c r="SLP1" s="222"/>
      <c r="SLQ1" s="220" t="s">
        <v>13331</v>
      </c>
      <c r="SLR1" s="221"/>
      <c r="SLS1" s="221"/>
      <c r="SLT1" s="222"/>
      <c r="SLU1" s="220" t="s">
        <v>13331</v>
      </c>
      <c r="SLV1" s="221"/>
      <c r="SLW1" s="221"/>
      <c r="SLX1" s="222"/>
      <c r="SLY1" s="220" t="s">
        <v>13331</v>
      </c>
      <c r="SLZ1" s="221"/>
      <c r="SMA1" s="221"/>
      <c r="SMB1" s="222"/>
      <c r="SMC1" s="220" t="s">
        <v>13331</v>
      </c>
      <c r="SMD1" s="221"/>
      <c r="SME1" s="221"/>
      <c r="SMF1" s="222"/>
      <c r="SMG1" s="220" t="s">
        <v>13331</v>
      </c>
      <c r="SMH1" s="221"/>
      <c r="SMI1" s="221"/>
      <c r="SMJ1" s="222"/>
      <c r="SMK1" s="220" t="s">
        <v>13331</v>
      </c>
      <c r="SML1" s="221"/>
      <c r="SMM1" s="221"/>
      <c r="SMN1" s="222"/>
      <c r="SMO1" s="220" t="s">
        <v>13331</v>
      </c>
      <c r="SMP1" s="221"/>
      <c r="SMQ1" s="221"/>
      <c r="SMR1" s="222"/>
      <c r="SMS1" s="220" t="s">
        <v>13331</v>
      </c>
      <c r="SMT1" s="221"/>
      <c r="SMU1" s="221"/>
      <c r="SMV1" s="222"/>
      <c r="SMW1" s="220" t="s">
        <v>13331</v>
      </c>
      <c r="SMX1" s="221"/>
      <c r="SMY1" s="221"/>
      <c r="SMZ1" s="222"/>
      <c r="SNA1" s="220" t="s">
        <v>13331</v>
      </c>
      <c r="SNB1" s="221"/>
      <c r="SNC1" s="221"/>
      <c r="SND1" s="222"/>
      <c r="SNE1" s="220" t="s">
        <v>13331</v>
      </c>
      <c r="SNF1" s="221"/>
      <c r="SNG1" s="221"/>
      <c r="SNH1" s="222"/>
      <c r="SNI1" s="220" t="s">
        <v>13331</v>
      </c>
      <c r="SNJ1" s="221"/>
      <c r="SNK1" s="221"/>
      <c r="SNL1" s="222"/>
      <c r="SNM1" s="220" t="s">
        <v>13331</v>
      </c>
      <c r="SNN1" s="221"/>
      <c r="SNO1" s="221"/>
      <c r="SNP1" s="222"/>
      <c r="SNQ1" s="220" t="s">
        <v>13331</v>
      </c>
      <c r="SNR1" s="221"/>
      <c r="SNS1" s="221"/>
      <c r="SNT1" s="222"/>
      <c r="SNU1" s="220" t="s">
        <v>13331</v>
      </c>
      <c r="SNV1" s="221"/>
      <c r="SNW1" s="221"/>
      <c r="SNX1" s="222"/>
      <c r="SNY1" s="220" t="s">
        <v>13331</v>
      </c>
      <c r="SNZ1" s="221"/>
      <c r="SOA1" s="221"/>
      <c r="SOB1" s="222"/>
      <c r="SOC1" s="220" t="s">
        <v>13331</v>
      </c>
      <c r="SOD1" s="221"/>
      <c r="SOE1" s="221"/>
      <c r="SOF1" s="222"/>
      <c r="SOG1" s="220" t="s">
        <v>13331</v>
      </c>
      <c r="SOH1" s="221"/>
      <c r="SOI1" s="221"/>
      <c r="SOJ1" s="222"/>
      <c r="SOK1" s="220" t="s">
        <v>13331</v>
      </c>
      <c r="SOL1" s="221"/>
      <c r="SOM1" s="221"/>
      <c r="SON1" s="222"/>
      <c r="SOO1" s="220" t="s">
        <v>13331</v>
      </c>
      <c r="SOP1" s="221"/>
      <c r="SOQ1" s="221"/>
      <c r="SOR1" s="222"/>
      <c r="SOS1" s="220" t="s">
        <v>13331</v>
      </c>
      <c r="SOT1" s="221"/>
      <c r="SOU1" s="221"/>
      <c r="SOV1" s="222"/>
      <c r="SOW1" s="220" t="s">
        <v>13331</v>
      </c>
      <c r="SOX1" s="221"/>
      <c r="SOY1" s="221"/>
      <c r="SOZ1" s="222"/>
      <c r="SPA1" s="220" t="s">
        <v>13331</v>
      </c>
      <c r="SPB1" s="221"/>
      <c r="SPC1" s="221"/>
      <c r="SPD1" s="222"/>
      <c r="SPE1" s="220" t="s">
        <v>13331</v>
      </c>
      <c r="SPF1" s="221"/>
      <c r="SPG1" s="221"/>
      <c r="SPH1" s="222"/>
      <c r="SPI1" s="220" t="s">
        <v>13331</v>
      </c>
      <c r="SPJ1" s="221"/>
      <c r="SPK1" s="221"/>
      <c r="SPL1" s="222"/>
      <c r="SPM1" s="220" t="s">
        <v>13331</v>
      </c>
      <c r="SPN1" s="221"/>
      <c r="SPO1" s="221"/>
      <c r="SPP1" s="222"/>
      <c r="SPQ1" s="220" t="s">
        <v>13331</v>
      </c>
      <c r="SPR1" s="221"/>
      <c r="SPS1" s="221"/>
      <c r="SPT1" s="222"/>
      <c r="SPU1" s="220" t="s">
        <v>13331</v>
      </c>
      <c r="SPV1" s="221"/>
      <c r="SPW1" s="221"/>
      <c r="SPX1" s="222"/>
      <c r="SPY1" s="220" t="s">
        <v>13331</v>
      </c>
      <c r="SPZ1" s="221"/>
      <c r="SQA1" s="221"/>
      <c r="SQB1" s="222"/>
      <c r="SQC1" s="220" t="s">
        <v>13331</v>
      </c>
      <c r="SQD1" s="221"/>
      <c r="SQE1" s="221"/>
      <c r="SQF1" s="222"/>
      <c r="SQG1" s="220" t="s">
        <v>13331</v>
      </c>
      <c r="SQH1" s="221"/>
      <c r="SQI1" s="221"/>
      <c r="SQJ1" s="222"/>
      <c r="SQK1" s="220" t="s">
        <v>13331</v>
      </c>
      <c r="SQL1" s="221"/>
      <c r="SQM1" s="221"/>
      <c r="SQN1" s="222"/>
      <c r="SQO1" s="220" t="s">
        <v>13331</v>
      </c>
      <c r="SQP1" s="221"/>
      <c r="SQQ1" s="221"/>
      <c r="SQR1" s="222"/>
      <c r="SQS1" s="220" t="s">
        <v>13331</v>
      </c>
      <c r="SQT1" s="221"/>
      <c r="SQU1" s="221"/>
      <c r="SQV1" s="222"/>
      <c r="SQW1" s="220" t="s">
        <v>13331</v>
      </c>
      <c r="SQX1" s="221"/>
      <c r="SQY1" s="221"/>
      <c r="SQZ1" s="222"/>
      <c r="SRA1" s="220" t="s">
        <v>13331</v>
      </c>
      <c r="SRB1" s="221"/>
      <c r="SRC1" s="221"/>
      <c r="SRD1" s="222"/>
      <c r="SRE1" s="220" t="s">
        <v>13331</v>
      </c>
      <c r="SRF1" s="221"/>
      <c r="SRG1" s="221"/>
      <c r="SRH1" s="222"/>
      <c r="SRI1" s="220" t="s">
        <v>13331</v>
      </c>
      <c r="SRJ1" s="221"/>
      <c r="SRK1" s="221"/>
      <c r="SRL1" s="222"/>
      <c r="SRM1" s="220" t="s">
        <v>13331</v>
      </c>
      <c r="SRN1" s="221"/>
      <c r="SRO1" s="221"/>
      <c r="SRP1" s="222"/>
      <c r="SRQ1" s="220" t="s">
        <v>13331</v>
      </c>
      <c r="SRR1" s="221"/>
      <c r="SRS1" s="221"/>
      <c r="SRT1" s="222"/>
      <c r="SRU1" s="220" t="s">
        <v>13331</v>
      </c>
      <c r="SRV1" s="221"/>
      <c r="SRW1" s="221"/>
      <c r="SRX1" s="222"/>
      <c r="SRY1" s="220" t="s">
        <v>13331</v>
      </c>
      <c r="SRZ1" s="221"/>
      <c r="SSA1" s="221"/>
      <c r="SSB1" s="222"/>
      <c r="SSC1" s="220" t="s">
        <v>13331</v>
      </c>
      <c r="SSD1" s="221"/>
      <c r="SSE1" s="221"/>
      <c r="SSF1" s="222"/>
      <c r="SSG1" s="220" t="s">
        <v>13331</v>
      </c>
      <c r="SSH1" s="221"/>
      <c r="SSI1" s="221"/>
      <c r="SSJ1" s="222"/>
      <c r="SSK1" s="220" t="s">
        <v>13331</v>
      </c>
      <c r="SSL1" s="221"/>
      <c r="SSM1" s="221"/>
      <c r="SSN1" s="222"/>
      <c r="SSO1" s="220" t="s">
        <v>13331</v>
      </c>
      <c r="SSP1" s="221"/>
      <c r="SSQ1" s="221"/>
      <c r="SSR1" s="222"/>
      <c r="SSS1" s="220" t="s">
        <v>13331</v>
      </c>
      <c r="SST1" s="221"/>
      <c r="SSU1" s="221"/>
      <c r="SSV1" s="222"/>
      <c r="SSW1" s="220" t="s">
        <v>13331</v>
      </c>
      <c r="SSX1" s="221"/>
      <c r="SSY1" s="221"/>
      <c r="SSZ1" s="222"/>
      <c r="STA1" s="220" t="s">
        <v>13331</v>
      </c>
      <c r="STB1" s="221"/>
      <c r="STC1" s="221"/>
      <c r="STD1" s="222"/>
      <c r="STE1" s="220" t="s">
        <v>13331</v>
      </c>
      <c r="STF1" s="221"/>
      <c r="STG1" s="221"/>
      <c r="STH1" s="222"/>
      <c r="STI1" s="220" t="s">
        <v>13331</v>
      </c>
      <c r="STJ1" s="221"/>
      <c r="STK1" s="221"/>
      <c r="STL1" s="222"/>
      <c r="STM1" s="220" t="s">
        <v>13331</v>
      </c>
      <c r="STN1" s="221"/>
      <c r="STO1" s="221"/>
      <c r="STP1" s="222"/>
      <c r="STQ1" s="220" t="s">
        <v>13331</v>
      </c>
      <c r="STR1" s="221"/>
      <c r="STS1" s="221"/>
      <c r="STT1" s="222"/>
      <c r="STU1" s="220" t="s">
        <v>13331</v>
      </c>
      <c r="STV1" s="221"/>
      <c r="STW1" s="221"/>
      <c r="STX1" s="222"/>
      <c r="STY1" s="220" t="s">
        <v>13331</v>
      </c>
      <c r="STZ1" s="221"/>
      <c r="SUA1" s="221"/>
      <c r="SUB1" s="222"/>
      <c r="SUC1" s="220" t="s">
        <v>13331</v>
      </c>
      <c r="SUD1" s="221"/>
      <c r="SUE1" s="221"/>
      <c r="SUF1" s="222"/>
      <c r="SUG1" s="220" t="s">
        <v>13331</v>
      </c>
      <c r="SUH1" s="221"/>
      <c r="SUI1" s="221"/>
      <c r="SUJ1" s="222"/>
      <c r="SUK1" s="220" t="s">
        <v>13331</v>
      </c>
      <c r="SUL1" s="221"/>
      <c r="SUM1" s="221"/>
      <c r="SUN1" s="222"/>
      <c r="SUO1" s="220" t="s">
        <v>13331</v>
      </c>
      <c r="SUP1" s="221"/>
      <c r="SUQ1" s="221"/>
      <c r="SUR1" s="222"/>
      <c r="SUS1" s="220" t="s">
        <v>13331</v>
      </c>
      <c r="SUT1" s="221"/>
      <c r="SUU1" s="221"/>
      <c r="SUV1" s="222"/>
      <c r="SUW1" s="220" t="s">
        <v>13331</v>
      </c>
      <c r="SUX1" s="221"/>
      <c r="SUY1" s="221"/>
      <c r="SUZ1" s="222"/>
      <c r="SVA1" s="220" t="s">
        <v>13331</v>
      </c>
      <c r="SVB1" s="221"/>
      <c r="SVC1" s="221"/>
      <c r="SVD1" s="222"/>
      <c r="SVE1" s="220" t="s">
        <v>13331</v>
      </c>
      <c r="SVF1" s="221"/>
      <c r="SVG1" s="221"/>
      <c r="SVH1" s="222"/>
      <c r="SVI1" s="220" t="s">
        <v>13331</v>
      </c>
      <c r="SVJ1" s="221"/>
      <c r="SVK1" s="221"/>
      <c r="SVL1" s="222"/>
      <c r="SVM1" s="220" t="s">
        <v>13331</v>
      </c>
      <c r="SVN1" s="221"/>
      <c r="SVO1" s="221"/>
      <c r="SVP1" s="222"/>
      <c r="SVQ1" s="220" t="s">
        <v>13331</v>
      </c>
      <c r="SVR1" s="221"/>
      <c r="SVS1" s="221"/>
      <c r="SVT1" s="222"/>
      <c r="SVU1" s="220" t="s">
        <v>13331</v>
      </c>
      <c r="SVV1" s="221"/>
      <c r="SVW1" s="221"/>
      <c r="SVX1" s="222"/>
      <c r="SVY1" s="220" t="s">
        <v>13331</v>
      </c>
      <c r="SVZ1" s="221"/>
      <c r="SWA1" s="221"/>
      <c r="SWB1" s="222"/>
      <c r="SWC1" s="220" t="s">
        <v>13331</v>
      </c>
      <c r="SWD1" s="221"/>
      <c r="SWE1" s="221"/>
      <c r="SWF1" s="222"/>
      <c r="SWG1" s="220" t="s">
        <v>13331</v>
      </c>
      <c r="SWH1" s="221"/>
      <c r="SWI1" s="221"/>
      <c r="SWJ1" s="222"/>
      <c r="SWK1" s="220" t="s">
        <v>13331</v>
      </c>
      <c r="SWL1" s="221"/>
      <c r="SWM1" s="221"/>
      <c r="SWN1" s="222"/>
      <c r="SWO1" s="220" t="s">
        <v>13331</v>
      </c>
      <c r="SWP1" s="221"/>
      <c r="SWQ1" s="221"/>
      <c r="SWR1" s="222"/>
      <c r="SWS1" s="220" t="s">
        <v>13331</v>
      </c>
      <c r="SWT1" s="221"/>
      <c r="SWU1" s="221"/>
      <c r="SWV1" s="222"/>
      <c r="SWW1" s="220" t="s">
        <v>13331</v>
      </c>
      <c r="SWX1" s="221"/>
      <c r="SWY1" s="221"/>
      <c r="SWZ1" s="222"/>
      <c r="SXA1" s="220" t="s">
        <v>13331</v>
      </c>
      <c r="SXB1" s="221"/>
      <c r="SXC1" s="221"/>
      <c r="SXD1" s="222"/>
      <c r="SXE1" s="220" t="s">
        <v>13331</v>
      </c>
      <c r="SXF1" s="221"/>
      <c r="SXG1" s="221"/>
      <c r="SXH1" s="222"/>
      <c r="SXI1" s="220" t="s">
        <v>13331</v>
      </c>
      <c r="SXJ1" s="221"/>
      <c r="SXK1" s="221"/>
      <c r="SXL1" s="222"/>
      <c r="SXM1" s="220" t="s">
        <v>13331</v>
      </c>
      <c r="SXN1" s="221"/>
      <c r="SXO1" s="221"/>
      <c r="SXP1" s="222"/>
      <c r="SXQ1" s="220" t="s">
        <v>13331</v>
      </c>
      <c r="SXR1" s="221"/>
      <c r="SXS1" s="221"/>
      <c r="SXT1" s="222"/>
      <c r="SXU1" s="220" t="s">
        <v>13331</v>
      </c>
      <c r="SXV1" s="221"/>
      <c r="SXW1" s="221"/>
      <c r="SXX1" s="222"/>
      <c r="SXY1" s="220" t="s">
        <v>13331</v>
      </c>
      <c r="SXZ1" s="221"/>
      <c r="SYA1" s="221"/>
      <c r="SYB1" s="222"/>
      <c r="SYC1" s="220" t="s">
        <v>13331</v>
      </c>
      <c r="SYD1" s="221"/>
      <c r="SYE1" s="221"/>
      <c r="SYF1" s="222"/>
      <c r="SYG1" s="220" t="s">
        <v>13331</v>
      </c>
      <c r="SYH1" s="221"/>
      <c r="SYI1" s="221"/>
      <c r="SYJ1" s="222"/>
      <c r="SYK1" s="220" t="s">
        <v>13331</v>
      </c>
      <c r="SYL1" s="221"/>
      <c r="SYM1" s="221"/>
      <c r="SYN1" s="222"/>
      <c r="SYO1" s="220" t="s">
        <v>13331</v>
      </c>
      <c r="SYP1" s="221"/>
      <c r="SYQ1" s="221"/>
      <c r="SYR1" s="222"/>
      <c r="SYS1" s="220" t="s">
        <v>13331</v>
      </c>
      <c r="SYT1" s="221"/>
      <c r="SYU1" s="221"/>
      <c r="SYV1" s="222"/>
      <c r="SYW1" s="220" t="s">
        <v>13331</v>
      </c>
      <c r="SYX1" s="221"/>
      <c r="SYY1" s="221"/>
      <c r="SYZ1" s="222"/>
      <c r="SZA1" s="220" t="s">
        <v>13331</v>
      </c>
      <c r="SZB1" s="221"/>
      <c r="SZC1" s="221"/>
      <c r="SZD1" s="222"/>
      <c r="SZE1" s="220" t="s">
        <v>13331</v>
      </c>
      <c r="SZF1" s="221"/>
      <c r="SZG1" s="221"/>
      <c r="SZH1" s="222"/>
      <c r="SZI1" s="220" t="s">
        <v>13331</v>
      </c>
      <c r="SZJ1" s="221"/>
      <c r="SZK1" s="221"/>
      <c r="SZL1" s="222"/>
      <c r="SZM1" s="220" t="s">
        <v>13331</v>
      </c>
      <c r="SZN1" s="221"/>
      <c r="SZO1" s="221"/>
      <c r="SZP1" s="222"/>
      <c r="SZQ1" s="220" t="s">
        <v>13331</v>
      </c>
      <c r="SZR1" s="221"/>
      <c r="SZS1" s="221"/>
      <c r="SZT1" s="222"/>
      <c r="SZU1" s="220" t="s">
        <v>13331</v>
      </c>
      <c r="SZV1" s="221"/>
      <c r="SZW1" s="221"/>
      <c r="SZX1" s="222"/>
      <c r="SZY1" s="220" t="s">
        <v>13331</v>
      </c>
      <c r="SZZ1" s="221"/>
      <c r="TAA1" s="221"/>
      <c r="TAB1" s="222"/>
      <c r="TAC1" s="220" t="s">
        <v>13331</v>
      </c>
      <c r="TAD1" s="221"/>
      <c r="TAE1" s="221"/>
      <c r="TAF1" s="222"/>
      <c r="TAG1" s="220" t="s">
        <v>13331</v>
      </c>
      <c r="TAH1" s="221"/>
      <c r="TAI1" s="221"/>
      <c r="TAJ1" s="222"/>
      <c r="TAK1" s="220" t="s">
        <v>13331</v>
      </c>
      <c r="TAL1" s="221"/>
      <c r="TAM1" s="221"/>
      <c r="TAN1" s="222"/>
      <c r="TAO1" s="220" t="s">
        <v>13331</v>
      </c>
      <c r="TAP1" s="221"/>
      <c r="TAQ1" s="221"/>
      <c r="TAR1" s="222"/>
      <c r="TAS1" s="220" t="s">
        <v>13331</v>
      </c>
      <c r="TAT1" s="221"/>
      <c r="TAU1" s="221"/>
      <c r="TAV1" s="222"/>
      <c r="TAW1" s="220" t="s">
        <v>13331</v>
      </c>
      <c r="TAX1" s="221"/>
      <c r="TAY1" s="221"/>
      <c r="TAZ1" s="222"/>
      <c r="TBA1" s="220" t="s">
        <v>13331</v>
      </c>
      <c r="TBB1" s="221"/>
      <c r="TBC1" s="221"/>
      <c r="TBD1" s="222"/>
      <c r="TBE1" s="220" t="s">
        <v>13331</v>
      </c>
      <c r="TBF1" s="221"/>
      <c r="TBG1" s="221"/>
      <c r="TBH1" s="222"/>
      <c r="TBI1" s="220" t="s">
        <v>13331</v>
      </c>
      <c r="TBJ1" s="221"/>
      <c r="TBK1" s="221"/>
      <c r="TBL1" s="222"/>
      <c r="TBM1" s="220" t="s">
        <v>13331</v>
      </c>
      <c r="TBN1" s="221"/>
      <c r="TBO1" s="221"/>
      <c r="TBP1" s="222"/>
      <c r="TBQ1" s="220" t="s">
        <v>13331</v>
      </c>
      <c r="TBR1" s="221"/>
      <c r="TBS1" s="221"/>
      <c r="TBT1" s="222"/>
      <c r="TBU1" s="220" t="s">
        <v>13331</v>
      </c>
      <c r="TBV1" s="221"/>
      <c r="TBW1" s="221"/>
      <c r="TBX1" s="222"/>
      <c r="TBY1" s="220" t="s">
        <v>13331</v>
      </c>
      <c r="TBZ1" s="221"/>
      <c r="TCA1" s="221"/>
      <c r="TCB1" s="222"/>
      <c r="TCC1" s="220" t="s">
        <v>13331</v>
      </c>
      <c r="TCD1" s="221"/>
      <c r="TCE1" s="221"/>
      <c r="TCF1" s="222"/>
      <c r="TCG1" s="220" t="s">
        <v>13331</v>
      </c>
      <c r="TCH1" s="221"/>
      <c r="TCI1" s="221"/>
      <c r="TCJ1" s="222"/>
      <c r="TCK1" s="220" t="s">
        <v>13331</v>
      </c>
      <c r="TCL1" s="221"/>
      <c r="TCM1" s="221"/>
      <c r="TCN1" s="222"/>
      <c r="TCO1" s="220" t="s">
        <v>13331</v>
      </c>
      <c r="TCP1" s="221"/>
      <c r="TCQ1" s="221"/>
      <c r="TCR1" s="222"/>
      <c r="TCS1" s="220" t="s">
        <v>13331</v>
      </c>
      <c r="TCT1" s="221"/>
      <c r="TCU1" s="221"/>
      <c r="TCV1" s="222"/>
      <c r="TCW1" s="220" t="s">
        <v>13331</v>
      </c>
      <c r="TCX1" s="221"/>
      <c r="TCY1" s="221"/>
      <c r="TCZ1" s="222"/>
      <c r="TDA1" s="220" t="s">
        <v>13331</v>
      </c>
      <c r="TDB1" s="221"/>
      <c r="TDC1" s="221"/>
      <c r="TDD1" s="222"/>
      <c r="TDE1" s="220" t="s">
        <v>13331</v>
      </c>
      <c r="TDF1" s="221"/>
      <c r="TDG1" s="221"/>
      <c r="TDH1" s="222"/>
      <c r="TDI1" s="220" t="s">
        <v>13331</v>
      </c>
      <c r="TDJ1" s="221"/>
      <c r="TDK1" s="221"/>
      <c r="TDL1" s="222"/>
      <c r="TDM1" s="220" t="s">
        <v>13331</v>
      </c>
      <c r="TDN1" s="221"/>
      <c r="TDO1" s="221"/>
      <c r="TDP1" s="222"/>
      <c r="TDQ1" s="220" t="s">
        <v>13331</v>
      </c>
      <c r="TDR1" s="221"/>
      <c r="TDS1" s="221"/>
      <c r="TDT1" s="222"/>
      <c r="TDU1" s="220" t="s">
        <v>13331</v>
      </c>
      <c r="TDV1" s="221"/>
      <c r="TDW1" s="221"/>
      <c r="TDX1" s="222"/>
      <c r="TDY1" s="220" t="s">
        <v>13331</v>
      </c>
      <c r="TDZ1" s="221"/>
      <c r="TEA1" s="221"/>
      <c r="TEB1" s="222"/>
      <c r="TEC1" s="220" t="s">
        <v>13331</v>
      </c>
      <c r="TED1" s="221"/>
      <c r="TEE1" s="221"/>
      <c r="TEF1" s="222"/>
      <c r="TEG1" s="220" t="s">
        <v>13331</v>
      </c>
      <c r="TEH1" s="221"/>
      <c r="TEI1" s="221"/>
      <c r="TEJ1" s="222"/>
      <c r="TEK1" s="220" t="s">
        <v>13331</v>
      </c>
      <c r="TEL1" s="221"/>
      <c r="TEM1" s="221"/>
      <c r="TEN1" s="222"/>
      <c r="TEO1" s="220" t="s">
        <v>13331</v>
      </c>
      <c r="TEP1" s="221"/>
      <c r="TEQ1" s="221"/>
      <c r="TER1" s="222"/>
      <c r="TES1" s="220" t="s">
        <v>13331</v>
      </c>
      <c r="TET1" s="221"/>
      <c r="TEU1" s="221"/>
      <c r="TEV1" s="222"/>
      <c r="TEW1" s="220" t="s">
        <v>13331</v>
      </c>
      <c r="TEX1" s="221"/>
      <c r="TEY1" s="221"/>
      <c r="TEZ1" s="222"/>
      <c r="TFA1" s="220" t="s">
        <v>13331</v>
      </c>
      <c r="TFB1" s="221"/>
      <c r="TFC1" s="221"/>
      <c r="TFD1" s="222"/>
      <c r="TFE1" s="220" t="s">
        <v>13331</v>
      </c>
      <c r="TFF1" s="221"/>
      <c r="TFG1" s="221"/>
      <c r="TFH1" s="222"/>
      <c r="TFI1" s="220" t="s">
        <v>13331</v>
      </c>
      <c r="TFJ1" s="221"/>
      <c r="TFK1" s="221"/>
      <c r="TFL1" s="222"/>
      <c r="TFM1" s="220" t="s">
        <v>13331</v>
      </c>
      <c r="TFN1" s="221"/>
      <c r="TFO1" s="221"/>
      <c r="TFP1" s="222"/>
      <c r="TFQ1" s="220" t="s">
        <v>13331</v>
      </c>
      <c r="TFR1" s="221"/>
      <c r="TFS1" s="221"/>
      <c r="TFT1" s="222"/>
      <c r="TFU1" s="220" t="s">
        <v>13331</v>
      </c>
      <c r="TFV1" s="221"/>
      <c r="TFW1" s="221"/>
      <c r="TFX1" s="222"/>
      <c r="TFY1" s="220" t="s">
        <v>13331</v>
      </c>
      <c r="TFZ1" s="221"/>
      <c r="TGA1" s="221"/>
      <c r="TGB1" s="222"/>
      <c r="TGC1" s="220" t="s">
        <v>13331</v>
      </c>
      <c r="TGD1" s="221"/>
      <c r="TGE1" s="221"/>
      <c r="TGF1" s="222"/>
      <c r="TGG1" s="220" t="s">
        <v>13331</v>
      </c>
      <c r="TGH1" s="221"/>
      <c r="TGI1" s="221"/>
      <c r="TGJ1" s="222"/>
      <c r="TGK1" s="220" t="s">
        <v>13331</v>
      </c>
      <c r="TGL1" s="221"/>
      <c r="TGM1" s="221"/>
      <c r="TGN1" s="222"/>
      <c r="TGO1" s="220" t="s">
        <v>13331</v>
      </c>
      <c r="TGP1" s="221"/>
      <c r="TGQ1" s="221"/>
      <c r="TGR1" s="222"/>
      <c r="TGS1" s="220" t="s">
        <v>13331</v>
      </c>
      <c r="TGT1" s="221"/>
      <c r="TGU1" s="221"/>
      <c r="TGV1" s="222"/>
      <c r="TGW1" s="220" t="s">
        <v>13331</v>
      </c>
      <c r="TGX1" s="221"/>
      <c r="TGY1" s="221"/>
      <c r="TGZ1" s="222"/>
      <c r="THA1" s="220" t="s">
        <v>13331</v>
      </c>
      <c r="THB1" s="221"/>
      <c r="THC1" s="221"/>
      <c r="THD1" s="222"/>
      <c r="THE1" s="220" t="s">
        <v>13331</v>
      </c>
      <c r="THF1" s="221"/>
      <c r="THG1" s="221"/>
      <c r="THH1" s="222"/>
      <c r="THI1" s="220" t="s">
        <v>13331</v>
      </c>
      <c r="THJ1" s="221"/>
      <c r="THK1" s="221"/>
      <c r="THL1" s="222"/>
      <c r="THM1" s="220" t="s">
        <v>13331</v>
      </c>
      <c r="THN1" s="221"/>
      <c r="THO1" s="221"/>
      <c r="THP1" s="222"/>
      <c r="THQ1" s="220" t="s">
        <v>13331</v>
      </c>
      <c r="THR1" s="221"/>
      <c r="THS1" s="221"/>
      <c r="THT1" s="222"/>
      <c r="THU1" s="220" t="s">
        <v>13331</v>
      </c>
      <c r="THV1" s="221"/>
      <c r="THW1" s="221"/>
      <c r="THX1" s="222"/>
      <c r="THY1" s="220" t="s">
        <v>13331</v>
      </c>
      <c r="THZ1" s="221"/>
      <c r="TIA1" s="221"/>
      <c r="TIB1" s="222"/>
      <c r="TIC1" s="220" t="s">
        <v>13331</v>
      </c>
      <c r="TID1" s="221"/>
      <c r="TIE1" s="221"/>
      <c r="TIF1" s="222"/>
      <c r="TIG1" s="220" t="s">
        <v>13331</v>
      </c>
      <c r="TIH1" s="221"/>
      <c r="TII1" s="221"/>
      <c r="TIJ1" s="222"/>
      <c r="TIK1" s="220" t="s">
        <v>13331</v>
      </c>
      <c r="TIL1" s="221"/>
      <c r="TIM1" s="221"/>
      <c r="TIN1" s="222"/>
      <c r="TIO1" s="220" t="s">
        <v>13331</v>
      </c>
      <c r="TIP1" s="221"/>
      <c r="TIQ1" s="221"/>
      <c r="TIR1" s="222"/>
      <c r="TIS1" s="220" t="s">
        <v>13331</v>
      </c>
      <c r="TIT1" s="221"/>
      <c r="TIU1" s="221"/>
      <c r="TIV1" s="222"/>
      <c r="TIW1" s="220" t="s">
        <v>13331</v>
      </c>
      <c r="TIX1" s="221"/>
      <c r="TIY1" s="221"/>
      <c r="TIZ1" s="222"/>
      <c r="TJA1" s="220" t="s">
        <v>13331</v>
      </c>
      <c r="TJB1" s="221"/>
      <c r="TJC1" s="221"/>
      <c r="TJD1" s="222"/>
      <c r="TJE1" s="220" t="s">
        <v>13331</v>
      </c>
      <c r="TJF1" s="221"/>
      <c r="TJG1" s="221"/>
      <c r="TJH1" s="222"/>
      <c r="TJI1" s="220" t="s">
        <v>13331</v>
      </c>
      <c r="TJJ1" s="221"/>
      <c r="TJK1" s="221"/>
      <c r="TJL1" s="222"/>
      <c r="TJM1" s="220" t="s">
        <v>13331</v>
      </c>
      <c r="TJN1" s="221"/>
      <c r="TJO1" s="221"/>
      <c r="TJP1" s="222"/>
      <c r="TJQ1" s="220" t="s">
        <v>13331</v>
      </c>
      <c r="TJR1" s="221"/>
      <c r="TJS1" s="221"/>
      <c r="TJT1" s="222"/>
      <c r="TJU1" s="220" t="s">
        <v>13331</v>
      </c>
      <c r="TJV1" s="221"/>
      <c r="TJW1" s="221"/>
      <c r="TJX1" s="222"/>
      <c r="TJY1" s="220" t="s">
        <v>13331</v>
      </c>
      <c r="TJZ1" s="221"/>
      <c r="TKA1" s="221"/>
      <c r="TKB1" s="222"/>
      <c r="TKC1" s="220" t="s">
        <v>13331</v>
      </c>
      <c r="TKD1" s="221"/>
      <c r="TKE1" s="221"/>
      <c r="TKF1" s="222"/>
      <c r="TKG1" s="220" t="s">
        <v>13331</v>
      </c>
      <c r="TKH1" s="221"/>
      <c r="TKI1" s="221"/>
      <c r="TKJ1" s="222"/>
      <c r="TKK1" s="220" t="s">
        <v>13331</v>
      </c>
      <c r="TKL1" s="221"/>
      <c r="TKM1" s="221"/>
      <c r="TKN1" s="222"/>
      <c r="TKO1" s="220" t="s">
        <v>13331</v>
      </c>
      <c r="TKP1" s="221"/>
      <c r="TKQ1" s="221"/>
      <c r="TKR1" s="222"/>
      <c r="TKS1" s="220" t="s">
        <v>13331</v>
      </c>
      <c r="TKT1" s="221"/>
      <c r="TKU1" s="221"/>
      <c r="TKV1" s="222"/>
      <c r="TKW1" s="220" t="s">
        <v>13331</v>
      </c>
      <c r="TKX1" s="221"/>
      <c r="TKY1" s="221"/>
      <c r="TKZ1" s="222"/>
      <c r="TLA1" s="220" t="s">
        <v>13331</v>
      </c>
      <c r="TLB1" s="221"/>
      <c r="TLC1" s="221"/>
      <c r="TLD1" s="222"/>
      <c r="TLE1" s="220" t="s">
        <v>13331</v>
      </c>
      <c r="TLF1" s="221"/>
      <c r="TLG1" s="221"/>
      <c r="TLH1" s="222"/>
      <c r="TLI1" s="220" t="s">
        <v>13331</v>
      </c>
      <c r="TLJ1" s="221"/>
      <c r="TLK1" s="221"/>
      <c r="TLL1" s="222"/>
      <c r="TLM1" s="220" t="s">
        <v>13331</v>
      </c>
      <c r="TLN1" s="221"/>
      <c r="TLO1" s="221"/>
      <c r="TLP1" s="222"/>
      <c r="TLQ1" s="220" t="s">
        <v>13331</v>
      </c>
      <c r="TLR1" s="221"/>
      <c r="TLS1" s="221"/>
      <c r="TLT1" s="222"/>
      <c r="TLU1" s="220" t="s">
        <v>13331</v>
      </c>
      <c r="TLV1" s="221"/>
      <c r="TLW1" s="221"/>
      <c r="TLX1" s="222"/>
      <c r="TLY1" s="220" t="s">
        <v>13331</v>
      </c>
      <c r="TLZ1" s="221"/>
      <c r="TMA1" s="221"/>
      <c r="TMB1" s="222"/>
      <c r="TMC1" s="220" t="s">
        <v>13331</v>
      </c>
      <c r="TMD1" s="221"/>
      <c r="TME1" s="221"/>
      <c r="TMF1" s="222"/>
      <c r="TMG1" s="220" t="s">
        <v>13331</v>
      </c>
      <c r="TMH1" s="221"/>
      <c r="TMI1" s="221"/>
      <c r="TMJ1" s="222"/>
      <c r="TMK1" s="220" t="s">
        <v>13331</v>
      </c>
      <c r="TML1" s="221"/>
      <c r="TMM1" s="221"/>
      <c r="TMN1" s="222"/>
      <c r="TMO1" s="220" t="s">
        <v>13331</v>
      </c>
      <c r="TMP1" s="221"/>
      <c r="TMQ1" s="221"/>
      <c r="TMR1" s="222"/>
      <c r="TMS1" s="220" t="s">
        <v>13331</v>
      </c>
      <c r="TMT1" s="221"/>
      <c r="TMU1" s="221"/>
      <c r="TMV1" s="222"/>
      <c r="TMW1" s="220" t="s">
        <v>13331</v>
      </c>
      <c r="TMX1" s="221"/>
      <c r="TMY1" s="221"/>
      <c r="TMZ1" s="222"/>
      <c r="TNA1" s="220" t="s">
        <v>13331</v>
      </c>
      <c r="TNB1" s="221"/>
      <c r="TNC1" s="221"/>
      <c r="TND1" s="222"/>
      <c r="TNE1" s="220" t="s">
        <v>13331</v>
      </c>
      <c r="TNF1" s="221"/>
      <c r="TNG1" s="221"/>
      <c r="TNH1" s="222"/>
      <c r="TNI1" s="220" t="s">
        <v>13331</v>
      </c>
      <c r="TNJ1" s="221"/>
      <c r="TNK1" s="221"/>
      <c r="TNL1" s="222"/>
      <c r="TNM1" s="220" t="s">
        <v>13331</v>
      </c>
      <c r="TNN1" s="221"/>
      <c r="TNO1" s="221"/>
      <c r="TNP1" s="222"/>
      <c r="TNQ1" s="220" t="s">
        <v>13331</v>
      </c>
      <c r="TNR1" s="221"/>
      <c r="TNS1" s="221"/>
      <c r="TNT1" s="222"/>
      <c r="TNU1" s="220" t="s">
        <v>13331</v>
      </c>
      <c r="TNV1" s="221"/>
      <c r="TNW1" s="221"/>
      <c r="TNX1" s="222"/>
      <c r="TNY1" s="220" t="s">
        <v>13331</v>
      </c>
      <c r="TNZ1" s="221"/>
      <c r="TOA1" s="221"/>
      <c r="TOB1" s="222"/>
      <c r="TOC1" s="220" t="s">
        <v>13331</v>
      </c>
      <c r="TOD1" s="221"/>
      <c r="TOE1" s="221"/>
      <c r="TOF1" s="222"/>
      <c r="TOG1" s="220" t="s">
        <v>13331</v>
      </c>
      <c r="TOH1" s="221"/>
      <c r="TOI1" s="221"/>
      <c r="TOJ1" s="222"/>
      <c r="TOK1" s="220" t="s">
        <v>13331</v>
      </c>
      <c r="TOL1" s="221"/>
      <c r="TOM1" s="221"/>
      <c r="TON1" s="222"/>
      <c r="TOO1" s="220" t="s">
        <v>13331</v>
      </c>
      <c r="TOP1" s="221"/>
      <c r="TOQ1" s="221"/>
      <c r="TOR1" s="222"/>
      <c r="TOS1" s="220" t="s">
        <v>13331</v>
      </c>
      <c r="TOT1" s="221"/>
      <c r="TOU1" s="221"/>
      <c r="TOV1" s="222"/>
      <c r="TOW1" s="220" t="s">
        <v>13331</v>
      </c>
      <c r="TOX1" s="221"/>
      <c r="TOY1" s="221"/>
      <c r="TOZ1" s="222"/>
      <c r="TPA1" s="220" t="s">
        <v>13331</v>
      </c>
      <c r="TPB1" s="221"/>
      <c r="TPC1" s="221"/>
      <c r="TPD1" s="222"/>
      <c r="TPE1" s="220" t="s">
        <v>13331</v>
      </c>
      <c r="TPF1" s="221"/>
      <c r="TPG1" s="221"/>
      <c r="TPH1" s="222"/>
      <c r="TPI1" s="220" t="s">
        <v>13331</v>
      </c>
      <c r="TPJ1" s="221"/>
      <c r="TPK1" s="221"/>
      <c r="TPL1" s="222"/>
      <c r="TPM1" s="220" t="s">
        <v>13331</v>
      </c>
      <c r="TPN1" s="221"/>
      <c r="TPO1" s="221"/>
      <c r="TPP1" s="222"/>
      <c r="TPQ1" s="220" t="s">
        <v>13331</v>
      </c>
      <c r="TPR1" s="221"/>
      <c r="TPS1" s="221"/>
      <c r="TPT1" s="222"/>
      <c r="TPU1" s="220" t="s">
        <v>13331</v>
      </c>
      <c r="TPV1" s="221"/>
      <c r="TPW1" s="221"/>
      <c r="TPX1" s="222"/>
      <c r="TPY1" s="220" t="s">
        <v>13331</v>
      </c>
      <c r="TPZ1" s="221"/>
      <c r="TQA1" s="221"/>
      <c r="TQB1" s="222"/>
      <c r="TQC1" s="220" t="s">
        <v>13331</v>
      </c>
      <c r="TQD1" s="221"/>
      <c r="TQE1" s="221"/>
      <c r="TQF1" s="222"/>
      <c r="TQG1" s="220" t="s">
        <v>13331</v>
      </c>
      <c r="TQH1" s="221"/>
      <c r="TQI1" s="221"/>
      <c r="TQJ1" s="222"/>
      <c r="TQK1" s="220" t="s">
        <v>13331</v>
      </c>
      <c r="TQL1" s="221"/>
      <c r="TQM1" s="221"/>
      <c r="TQN1" s="222"/>
      <c r="TQO1" s="220" t="s">
        <v>13331</v>
      </c>
      <c r="TQP1" s="221"/>
      <c r="TQQ1" s="221"/>
      <c r="TQR1" s="222"/>
      <c r="TQS1" s="220" t="s">
        <v>13331</v>
      </c>
      <c r="TQT1" s="221"/>
      <c r="TQU1" s="221"/>
      <c r="TQV1" s="222"/>
      <c r="TQW1" s="220" t="s">
        <v>13331</v>
      </c>
      <c r="TQX1" s="221"/>
      <c r="TQY1" s="221"/>
      <c r="TQZ1" s="222"/>
      <c r="TRA1" s="220" t="s">
        <v>13331</v>
      </c>
      <c r="TRB1" s="221"/>
      <c r="TRC1" s="221"/>
      <c r="TRD1" s="222"/>
      <c r="TRE1" s="220" t="s">
        <v>13331</v>
      </c>
      <c r="TRF1" s="221"/>
      <c r="TRG1" s="221"/>
      <c r="TRH1" s="222"/>
      <c r="TRI1" s="220" t="s">
        <v>13331</v>
      </c>
      <c r="TRJ1" s="221"/>
      <c r="TRK1" s="221"/>
      <c r="TRL1" s="222"/>
      <c r="TRM1" s="220" t="s">
        <v>13331</v>
      </c>
      <c r="TRN1" s="221"/>
      <c r="TRO1" s="221"/>
      <c r="TRP1" s="222"/>
      <c r="TRQ1" s="220" t="s">
        <v>13331</v>
      </c>
      <c r="TRR1" s="221"/>
      <c r="TRS1" s="221"/>
      <c r="TRT1" s="222"/>
      <c r="TRU1" s="220" t="s">
        <v>13331</v>
      </c>
      <c r="TRV1" s="221"/>
      <c r="TRW1" s="221"/>
      <c r="TRX1" s="222"/>
      <c r="TRY1" s="220" t="s">
        <v>13331</v>
      </c>
      <c r="TRZ1" s="221"/>
      <c r="TSA1" s="221"/>
      <c r="TSB1" s="222"/>
      <c r="TSC1" s="220" t="s">
        <v>13331</v>
      </c>
      <c r="TSD1" s="221"/>
      <c r="TSE1" s="221"/>
      <c r="TSF1" s="222"/>
      <c r="TSG1" s="220" t="s">
        <v>13331</v>
      </c>
      <c r="TSH1" s="221"/>
      <c r="TSI1" s="221"/>
      <c r="TSJ1" s="222"/>
      <c r="TSK1" s="220" t="s">
        <v>13331</v>
      </c>
      <c r="TSL1" s="221"/>
      <c r="TSM1" s="221"/>
      <c r="TSN1" s="222"/>
      <c r="TSO1" s="220" t="s">
        <v>13331</v>
      </c>
      <c r="TSP1" s="221"/>
      <c r="TSQ1" s="221"/>
      <c r="TSR1" s="222"/>
      <c r="TSS1" s="220" t="s">
        <v>13331</v>
      </c>
      <c r="TST1" s="221"/>
      <c r="TSU1" s="221"/>
      <c r="TSV1" s="222"/>
      <c r="TSW1" s="220" t="s">
        <v>13331</v>
      </c>
      <c r="TSX1" s="221"/>
      <c r="TSY1" s="221"/>
      <c r="TSZ1" s="222"/>
      <c r="TTA1" s="220" t="s">
        <v>13331</v>
      </c>
      <c r="TTB1" s="221"/>
      <c r="TTC1" s="221"/>
      <c r="TTD1" s="222"/>
      <c r="TTE1" s="220" t="s">
        <v>13331</v>
      </c>
      <c r="TTF1" s="221"/>
      <c r="TTG1" s="221"/>
      <c r="TTH1" s="222"/>
      <c r="TTI1" s="220" t="s">
        <v>13331</v>
      </c>
      <c r="TTJ1" s="221"/>
      <c r="TTK1" s="221"/>
      <c r="TTL1" s="222"/>
      <c r="TTM1" s="220" t="s">
        <v>13331</v>
      </c>
      <c r="TTN1" s="221"/>
      <c r="TTO1" s="221"/>
      <c r="TTP1" s="222"/>
      <c r="TTQ1" s="220" t="s">
        <v>13331</v>
      </c>
      <c r="TTR1" s="221"/>
      <c r="TTS1" s="221"/>
      <c r="TTT1" s="222"/>
      <c r="TTU1" s="220" t="s">
        <v>13331</v>
      </c>
      <c r="TTV1" s="221"/>
      <c r="TTW1" s="221"/>
      <c r="TTX1" s="222"/>
      <c r="TTY1" s="220" t="s">
        <v>13331</v>
      </c>
      <c r="TTZ1" s="221"/>
      <c r="TUA1" s="221"/>
      <c r="TUB1" s="222"/>
      <c r="TUC1" s="220" t="s">
        <v>13331</v>
      </c>
      <c r="TUD1" s="221"/>
      <c r="TUE1" s="221"/>
      <c r="TUF1" s="222"/>
      <c r="TUG1" s="220" t="s">
        <v>13331</v>
      </c>
      <c r="TUH1" s="221"/>
      <c r="TUI1" s="221"/>
      <c r="TUJ1" s="222"/>
      <c r="TUK1" s="220" t="s">
        <v>13331</v>
      </c>
      <c r="TUL1" s="221"/>
      <c r="TUM1" s="221"/>
      <c r="TUN1" s="222"/>
      <c r="TUO1" s="220" t="s">
        <v>13331</v>
      </c>
      <c r="TUP1" s="221"/>
      <c r="TUQ1" s="221"/>
      <c r="TUR1" s="222"/>
      <c r="TUS1" s="220" t="s">
        <v>13331</v>
      </c>
      <c r="TUT1" s="221"/>
      <c r="TUU1" s="221"/>
      <c r="TUV1" s="222"/>
      <c r="TUW1" s="220" t="s">
        <v>13331</v>
      </c>
      <c r="TUX1" s="221"/>
      <c r="TUY1" s="221"/>
      <c r="TUZ1" s="222"/>
      <c r="TVA1" s="220" t="s">
        <v>13331</v>
      </c>
      <c r="TVB1" s="221"/>
      <c r="TVC1" s="221"/>
      <c r="TVD1" s="222"/>
      <c r="TVE1" s="220" t="s">
        <v>13331</v>
      </c>
      <c r="TVF1" s="221"/>
      <c r="TVG1" s="221"/>
      <c r="TVH1" s="222"/>
      <c r="TVI1" s="220" t="s">
        <v>13331</v>
      </c>
      <c r="TVJ1" s="221"/>
      <c r="TVK1" s="221"/>
      <c r="TVL1" s="222"/>
      <c r="TVM1" s="220" t="s">
        <v>13331</v>
      </c>
      <c r="TVN1" s="221"/>
      <c r="TVO1" s="221"/>
      <c r="TVP1" s="222"/>
      <c r="TVQ1" s="220" t="s">
        <v>13331</v>
      </c>
      <c r="TVR1" s="221"/>
      <c r="TVS1" s="221"/>
      <c r="TVT1" s="222"/>
      <c r="TVU1" s="220" t="s">
        <v>13331</v>
      </c>
      <c r="TVV1" s="221"/>
      <c r="TVW1" s="221"/>
      <c r="TVX1" s="222"/>
      <c r="TVY1" s="220" t="s">
        <v>13331</v>
      </c>
      <c r="TVZ1" s="221"/>
      <c r="TWA1" s="221"/>
      <c r="TWB1" s="222"/>
      <c r="TWC1" s="220" t="s">
        <v>13331</v>
      </c>
      <c r="TWD1" s="221"/>
      <c r="TWE1" s="221"/>
      <c r="TWF1" s="222"/>
      <c r="TWG1" s="220" t="s">
        <v>13331</v>
      </c>
      <c r="TWH1" s="221"/>
      <c r="TWI1" s="221"/>
      <c r="TWJ1" s="222"/>
      <c r="TWK1" s="220" t="s">
        <v>13331</v>
      </c>
      <c r="TWL1" s="221"/>
      <c r="TWM1" s="221"/>
      <c r="TWN1" s="222"/>
      <c r="TWO1" s="220" t="s">
        <v>13331</v>
      </c>
      <c r="TWP1" s="221"/>
      <c r="TWQ1" s="221"/>
      <c r="TWR1" s="222"/>
      <c r="TWS1" s="220" t="s">
        <v>13331</v>
      </c>
      <c r="TWT1" s="221"/>
      <c r="TWU1" s="221"/>
      <c r="TWV1" s="222"/>
      <c r="TWW1" s="220" t="s">
        <v>13331</v>
      </c>
      <c r="TWX1" s="221"/>
      <c r="TWY1" s="221"/>
      <c r="TWZ1" s="222"/>
      <c r="TXA1" s="220" t="s">
        <v>13331</v>
      </c>
      <c r="TXB1" s="221"/>
      <c r="TXC1" s="221"/>
      <c r="TXD1" s="222"/>
      <c r="TXE1" s="220" t="s">
        <v>13331</v>
      </c>
      <c r="TXF1" s="221"/>
      <c r="TXG1" s="221"/>
      <c r="TXH1" s="222"/>
      <c r="TXI1" s="220" t="s">
        <v>13331</v>
      </c>
      <c r="TXJ1" s="221"/>
      <c r="TXK1" s="221"/>
      <c r="TXL1" s="222"/>
      <c r="TXM1" s="220" t="s">
        <v>13331</v>
      </c>
      <c r="TXN1" s="221"/>
      <c r="TXO1" s="221"/>
      <c r="TXP1" s="222"/>
      <c r="TXQ1" s="220" t="s">
        <v>13331</v>
      </c>
      <c r="TXR1" s="221"/>
      <c r="TXS1" s="221"/>
      <c r="TXT1" s="222"/>
      <c r="TXU1" s="220" t="s">
        <v>13331</v>
      </c>
      <c r="TXV1" s="221"/>
      <c r="TXW1" s="221"/>
      <c r="TXX1" s="222"/>
      <c r="TXY1" s="220" t="s">
        <v>13331</v>
      </c>
      <c r="TXZ1" s="221"/>
      <c r="TYA1" s="221"/>
      <c r="TYB1" s="222"/>
      <c r="TYC1" s="220" t="s">
        <v>13331</v>
      </c>
      <c r="TYD1" s="221"/>
      <c r="TYE1" s="221"/>
      <c r="TYF1" s="222"/>
      <c r="TYG1" s="220" t="s">
        <v>13331</v>
      </c>
      <c r="TYH1" s="221"/>
      <c r="TYI1" s="221"/>
      <c r="TYJ1" s="222"/>
      <c r="TYK1" s="220" t="s">
        <v>13331</v>
      </c>
      <c r="TYL1" s="221"/>
      <c r="TYM1" s="221"/>
      <c r="TYN1" s="222"/>
      <c r="TYO1" s="220" t="s">
        <v>13331</v>
      </c>
      <c r="TYP1" s="221"/>
      <c r="TYQ1" s="221"/>
      <c r="TYR1" s="222"/>
      <c r="TYS1" s="220" t="s">
        <v>13331</v>
      </c>
      <c r="TYT1" s="221"/>
      <c r="TYU1" s="221"/>
      <c r="TYV1" s="222"/>
      <c r="TYW1" s="220" t="s">
        <v>13331</v>
      </c>
      <c r="TYX1" s="221"/>
      <c r="TYY1" s="221"/>
      <c r="TYZ1" s="222"/>
      <c r="TZA1" s="220" t="s">
        <v>13331</v>
      </c>
      <c r="TZB1" s="221"/>
      <c r="TZC1" s="221"/>
      <c r="TZD1" s="222"/>
      <c r="TZE1" s="220" t="s">
        <v>13331</v>
      </c>
      <c r="TZF1" s="221"/>
      <c r="TZG1" s="221"/>
      <c r="TZH1" s="222"/>
      <c r="TZI1" s="220" t="s">
        <v>13331</v>
      </c>
      <c r="TZJ1" s="221"/>
      <c r="TZK1" s="221"/>
      <c r="TZL1" s="222"/>
      <c r="TZM1" s="220" t="s">
        <v>13331</v>
      </c>
      <c r="TZN1" s="221"/>
      <c r="TZO1" s="221"/>
      <c r="TZP1" s="222"/>
      <c r="TZQ1" s="220" t="s">
        <v>13331</v>
      </c>
      <c r="TZR1" s="221"/>
      <c r="TZS1" s="221"/>
      <c r="TZT1" s="222"/>
      <c r="TZU1" s="220" t="s">
        <v>13331</v>
      </c>
      <c r="TZV1" s="221"/>
      <c r="TZW1" s="221"/>
      <c r="TZX1" s="222"/>
      <c r="TZY1" s="220" t="s">
        <v>13331</v>
      </c>
      <c r="TZZ1" s="221"/>
      <c r="UAA1" s="221"/>
      <c r="UAB1" s="222"/>
      <c r="UAC1" s="220" t="s">
        <v>13331</v>
      </c>
      <c r="UAD1" s="221"/>
      <c r="UAE1" s="221"/>
      <c r="UAF1" s="222"/>
      <c r="UAG1" s="220" t="s">
        <v>13331</v>
      </c>
      <c r="UAH1" s="221"/>
      <c r="UAI1" s="221"/>
      <c r="UAJ1" s="222"/>
      <c r="UAK1" s="220" t="s">
        <v>13331</v>
      </c>
      <c r="UAL1" s="221"/>
      <c r="UAM1" s="221"/>
      <c r="UAN1" s="222"/>
      <c r="UAO1" s="220" t="s">
        <v>13331</v>
      </c>
      <c r="UAP1" s="221"/>
      <c r="UAQ1" s="221"/>
      <c r="UAR1" s="222"/>
      <c r="UAS1" s="220" t="s">
        <v>13331</v>
      </c>
      <c r="UAT1" s="221"/>
      <c r="UAU1" s="221"/>
      <c r="UAV1" s="222"/>
      <c r="UAW1" s="220" t="s">
        <v>13331</v>
      </c>
      <c r="UAX1" s="221"/>
      <c r="UAY1" s="221"/>
      <c r="UAZ1" s="222"/>
      <c r="UBA1" s="220" t="s">
        <v>13331</v>
      </c>
      <c r="UBB1" s="221"/>
      <c r="UBC1" s="221"/>
      <c r="UBD1" s="222"/>
      <c r="UBE1" s="220" t="s">
        <v>13331</v>
      </c>
      <c r="UBF1" s="221"/>
      <c r="UBG1" s="221"/>
      <c r="UBH1" s="222"/>
      <c r="UBI1" s="220" t="s">
        <v>13331</v>
      </c>
      <c r="UBJ1" s="221"/>
      <c r="UBK1" s="221"/>
      <c r="UBL1" s="222"/>
      <c r="UBM1" s="220" t="s">
        <v>13331</v>
      </c>
      <c r="UBN1" s="221"/>
      <c r="UBO1" s="221"/>
      <c r="UBP1" s="222"/>
      <c r="UBQ1" s="220" t="s">
        <v>13331</v>
      </c>
      <c r="UBR1" s="221"/>
      <c r="UBS1" s="221"/>
      <c r="UBT1" s="222"/>
      <c r="UBU1" s="220" t="s">
        <v>13331</v>
      </c>
      <c r="UBV1" s="221"/>
      <c r="UBW1" s="221"/>
      <c r="UBX1" s="222"/>
      <c r="UBY1" s="220" t="s">
        <v>13331</v>
      </c>
      <c r="UBZ1" s="221"/>
      <c r="UCA1" s="221"/>
      <c r="UCB1" s="222"/>
      <c r="UCC1" s="220" t="s">
        <v>13331</v>
      </c>
      <c r="UCD1" s="221"/>
      <c r="UCE1" s="221"/>
      <c r="UCF1" s="222"/>
      <c r="UCG1" s="220" t="s">
        <v>13331</v>
      </c>
      <c r="UCH1" s="221"/>
      <c r="UCI1" s="221"/>
      <c r="UCJ1" s="222"/>
      <c r="UCK1" s="220" t="s">
        <v>13331</v>
      </c>
      <c r="UCL1" s="221"/>
      <c r="UCM1" s="221"/>
      <c r="UCN1" s="222"/>
      <c r="UCO1" s="220" t="s">
        <v>13331</v>
      </c>
      <c r="UCP1" s="221"/>
      <c r="UCQ1" s="221"/>
      <c r="UCR1" s="222"/>
      <c r="UCS1" s="220" t="s">
        <v>13331</v>
      </c>
      <c r="UCT1" s="221"/>
      <c r="UCU1" s="221"/>
      <c r="UCV1" s="222"/>
      <c r="UCW1" s="220" t="s">
        <v>13331</v>
      </c>
      <c r="UCX1" s="221"/>
      <c r="UCY1" s="221"/>
      <c r="UCZ1" s="222"/>
      <c r="UDA1" s="220" t="s">
        <v>13331</v>
      </c>
      <c r="UDB1" s="221"/>
      <c r="UDC1" s="221"/>
      <c r="UDD1" s="222"/>
      <c r="UDE1" s="220" t="s">
        <v>13331</v>
      </c>
      <c r="UDF1" s="221"/>
      <c r="UDG1" s="221"/>
      <c r="UDH1" s="222"/>
      <c r="UDI1" s="220" t="s">
        <v>13331</v>
      </c>
      <c r="UDJ1" s="221"/>
      <c r="UDK1" s="221"/>
      <c r="UDL1" s="222"/>
      <c r="UDM1" s="220" t="s">
        <v>13331</v>
      </c>
      <c r="UDN1" s="221"/>
      <c r="UDO1" s="221"/>
      <c r="UDP1" s="222"/>
      <c r="UDQ1" s="220" t="s">
        <v>13331</v>
      </c>
      <c r="UDR1" s="221"/>
      <c r="UDS1" s="221"/>
      <c r="UDT1" s="222"/>
      <c r="UDU1" s="220" t="s">
        <v>13331</v>
      </c>
      <c r="UDV1" s="221"/>
      <c r="UDW1" s="221"/>
      <c r="UDX1" s="222"/>
      <c r="UDY1" s="220" t="s">
        <v>13331</v>
      </c>
      <c r="UDZ1" s="221"/>
      <c r="UEA1" s="221"/>
      <c r="UEB1" s="222"/>
      <c r="UEC1" s="220" t="s">
        <v>13331</v>
      </c>
      <c r="UED1" s="221"/>
      <c r="UEE1" s="221"/>
      <c r="UEF1" s="222"/>
      <c r="UEG1" s="220" t="s">
        <v>13331</v>
      </c>
      <c r="UEH1" s="221"/>
      <c r="UEI1" s="221"/>
      <c r="UEJ1" s="222"/>
      <c r="UEK1" s="220" t="s">
        <v>13331</v>
      </c>
      <c r="UEL1" s="221"/>
      <c r="UEM1" s="221"/>
      <c r="UEN1" s="222"/>
      <c r="UEO1" s="220" t="s">
        <v>13331</v>
      </c>
      <c r="UEP1" s="221"/>
      <c r="UEQ1" s="221"/>
      <c r="UER1" s="222"/>
      <c r="UES1" s="220" t="s">
        <v>13331</v>
      </c>
      <c r="UET1" s="221"/>
      <c r="UEU1" s="221"/>
      <c r="UEV1" s="222"/>
      <c r="UEW1" s="220" t="s">
        <v>13331</v>
      </c>
      <c r="UEX1" s="221"/>
      <c r="UEY1" s="221"/>
      <c r="UEZ1" s="222"/>
      <c r="UFA1" s="220" t="s">
        <v>13331</v>
      </c>
      <c r="UFB1" s="221"/>
      <c r="UFC1" s="221"/>
      <c r="UFD1" s="222"/>
      <c r="UFE1" s="220" t="s">
        <v>13331</v>
      </c>
      <c r="UFF1" s="221"/>
      <c r="UFG1" s="221"/>
      <c r="UFH1" s="222"/>
      <c r="UFI1" s="220" t="s">
        <v>13331</v>
      </c>
      <c r="UFJ1" s="221"/>
      <c r="UFK1" s="221"/>
      <c r="UFL1" s="222"/>
      <c r="UFM1" s="220" t="s">
        <v>13331</v>
      </c>
      <c r="UFN1" s="221"/>
      <c r="UFO1" s="221"/>
      <c r="UFP1" s="222"/>
      <c r="UFQ1" s="220" t="s">
        <v>13331</v>
      </c>
      <c r="UFR1" s="221"/>
      <c r="UFS1" s="221"/>
      <c r="UFT1" s="222"/>
      <c r="UFU1" s="220" t="s">
        <v>13331</v>
      </c>
      <c r="UFV1" s="221"/>
      <c r="UFW1" s="221"/>
      <c r="UFX1" s="222"/>
      <c r="UFY1" s="220" t="s">
        <v>13331</v>
      </c>
      <c r="UFZ1" s="221"/>
      <c r="UGA1" s="221"/>
      <c r="UGB1" s="222"/>
      <c r="UGC1" s="220" t="s">
        <v>13331</v>
      </c>
      <c r="UGD1" s="221"/>
      <c r="UGE1" s="221"/>
      <c r="UGF1" s="222"/>
      <c r="UGG1" s="220" t="s">
        <v>13331</v>
      </c>
      <c r="UGH1" s="221"/>
      <c r="UGI1" s="221"/>
      <c r="UGJ1" s="222"/>
      <c r="UGK1" s="220" t="s">
        <v>13331</v>
      </c>
      <c r="UGL1" s="221"/>
      <c r="UGM1" s="221"/>
      <c r="UGN1" s="222"/>
      <c r="UGO1" s="220" t="s">
        <v>13331</v>
      </c>
      <c r="UGP1" s="221"/>
      <c r="UGQ1" s="221"/>
      <c r="UGR1" s="222"/>
      <c r="UGS1" s="220" t="s">
        <v>13331</v>
      </c>
      <c r="UGT1" s="221"/>
      <c r="UGU1" s="221"/>
      <c r="UGV1" s="222"/>
      <c r="UGW1" s="220" t="s">
        <v>13331</v>
      </c>
      <c r="UGX1" s="221"/>
      <c r="UGY1" s="221"/>
      <c r="UGZ1" s="222"/>
      <c r="UHA1" s="220" t="s">
        <v>13331</v>
      </c>
      <c r="UHB1" s="221"/>
      <c r="UHC1" s="221"/>
      <c r="UHD1" s="222"/>
      <c r="UHE1" s="220" t="s">
        <v>13331</v>
      </c>
      <c r="UHF1" s="221"/>
      <c r="UHG1" s="221"/>
      <c r="UHH1" s="222"/>
      <c r="UHI1" s="220" t="s">
        <v>13331</v>
      </c>
      <c r="UHJ1" s="221"/>
      <c r="UHK1" s="221"/>
      <c r="UHL1" s="222"/>
      <c r="UHM1" s="220" t="s">
        <v>13331</v>
      </c>
      <c r="UHN1" s="221"/>
      <c r="UHO1" s="221"/>
      <c r="UHP1" s="222"/>
      <c r="UHQ1" s="220" t="s">
        <v>13331</v>
      </c>
      <c r="UHR1" s="221"/>
      <c r="UHS1" s="221"/>
      <c r="UHT1" s="222"/>
      <c r="UHU1" s="220" t="s">
        <v>13331</v>
      </c>
      <c r="UHV1" s="221"/>
      <c r="UHW1" s="221"/>
      <c r="UHX1" s="222"/>
      <c r="UHY1" s="220" t="s">
        <v>13331</v>
      </c>
      <c r="UHZ1" s="221"/>
      <c r="UIA1" s="221"/>
      <c r="UIB1" s="222"/>
      <c r="UIC1" s="220" t="s">
        <v>13331</v>
      </c>
      <c r="UID1" s="221"/>
      <c r="UIE1" s="221"/>
      <c r="UIF1" s="222"/>
      <c r="UIG1" s="220" t="s">
        <v>13331</v>
      </c>
      <c r="UIH1" s="221"/>
      <c r="UII1" s="221"/>
      <c r="UIJ1" s="222"/>
      <c r="UIK1" s="220" t="s">
        <v>13331</v>
      </c>
      <c r="UIL1" s="221"/>
      <c r="UIM1" s="221"/>
      <c r="UIN1" s="222"/>
      <c r="UIO1" s="220" t="s">
        <v>13331</v>
      </c>
      <c r="UIP1" s="221"/>
      <c r="UIQ1" s="221"/>
      <c r="UIR1" s="222"/>
      <c r="UIS1" s="220" t="s">
        <v>13331</v>
      </c>
      <c r="UIT1" s="221"/>
      <c r="UIU1" s="221"/>
      <c r="UIV1" s="222"/>
      <c r="UIW1" s="220" t="s">
        <v>13331</v>
      </c>
      <c r="UIX1" s="221"/>
      <c r="UIY1" s="221"/>
      <c r="UIZ1" s="222"/>
      <c r="UJA1" s="220" t="s">
        <v>13331</v>
      </c>
      <c r="UJB1" s="221"/>
      <c r="UJC1" s="221"/>
      <c r="UJD1" s="222"/>
      <c r="UJE1" s="220" t="s">
        <v>13331</v>
      </c>
      <c r="UJF1" s="221"/>
      <c r="UJG1" s="221"/>
      <c r="UJH1" s="222"/>
      <c r="UJI1" s="220" t="s">
        <v>13331</v>
      </c>
      <c r="UJJ1" s="221"/>
      <c r="UJK1" s="221"/>
      <c r="UJL1" s="222"/>
      <c r="UJM1" s="220" t="s">
        <v>13331</v>
      </c>
      <c r="UJN1" s="221"/>
      <c r="UJO1" s="221"/>
      <c r="UJP1" s="222"/>
      <c r="UJQ1" s="220" t="s">
        <v>13331</v>
      </c>
      <c r="UJR1" s="221"/>
      <c r="UJS1" s="221"/>
      <c r="UJT1" s="222"/>
      <c r="UJU1" s="220" t="s">
        <v>13331</v>
      </c>
      <c r="UJV1" s="221"/>
      <c r="UJW1" s="221"/>
      <c r="UJX1" s="222"/>
      <c r="UJY1" s="220" t="s">
        <v>13331</v>
      </c>
      <c r="UJZ1" s="221"/>
      <c r="UKA1" s="221"/>
      <c r="UKB1" s="222"/>
      <c r="UKC1" s="220" t="s">
        <v>13331</v>
      </c>
      <c r="UKD1" s="221"/>
      <c r="UKE1" s="221"/>
      <c r="UKF1" s="222"/>
      <c r="UKG1" s="220" t="s">
        <v>13331</v>
      </c>
      <c r="UKH1" s="221"/>
      <c r="UKI1" s="221"/>
      <c r="UKJ1" s="222"/>
      <c r="UKK1" s="220" t="s">
        <v>13331</v>
      </c>
      <c r="UKL1" s="221"/>
      <c r="UKM1" s="221"/>
      <c r="UKN1" s="222"/>
      <c r="UKO1" s="220" t="s">
        <v>13331</v>
      </c>
      <c r="UKP1" s="221"/>
      <c r="UKQ1" s="221"/>
      <c r="UKR1" s="222"/>
      <c r="UKS1" s="220" t="s">
        <v>13331</v>
      </c>
      <c r="UKT1" s="221"/>
      <c r="UKU1" s="221"/>
      <c r="UKV1" s="222"/>
      <c r="UKW1" s="220" t="s">
        <v>13331</v>
      </c>
      <c r="UKX1" s="221"/>
      <c r="UKY1" s="221"/>
      <c r="UKZ1" s="222"/>
      <c r="ULA1" s="220" t="s">
        <v>13331</v>
      </c>
      <c r="ULB1" s="221"/>
      <c r="ULC1" s="221"/>
      <c r="ULD1" s="222"/>
      <c r="ULE1" s="220" t="s">
        <v>13331</v>
      </c>
      <c r="ULF1" s="221"/>
      <c r="ULG1" s="221"/>
      <c r="ULH1" s="222"/>
      <c r="ULI1" s="220" t="s">
        <v>13331</v>
      </c>
      <c r="ULJ1" s="221"/>
      <c r="ULK1" s="221"/>
      <c r="ULL1" s="222"/>
      <c r="ULM1" s="220" t="s">
        <v>13331</v>
      </c>
      <c r="ULN1" s="221"/>
      <c r="ULO1" s="221"/>
      <c r="ULP1" s="222"/>
      <c r="ULQ1" s="220" t="s">
        <v>13331</v>
      </c>
      <c r="ULR1" s="221"/>
      <c r="ULS1" s="221"/>
      <c r="ULT1" s="222"/>
      <c r="ULU1" s="220" t="s">
        <v>13331</v>
      </c>
      <c r="ULV1" s="221"/>
      <c r="ULW1" s="221"/>
      <c r="ULX1" s="222"/>
      <c r="ULY1" s="220" t="s">
        <v>13331</v>
      </c>
      <c r="ULZ1" s="221"/>
      <c r="UMA1" s="221"/>
      <c r="UMB1" s="222"/>
      <c r="UMC1" s="220" t="s">
        <v>13331</v>
      </c>
      <c r="UMD1" s="221"/>
      <c r="UME1" s="221"/>
      <c r="UMF1" s="222"/>
      <c r="UMG1" s="220" t="s">
        <v>13331</v>
      </c>
      <c r="UMH1" s="221"/>
      <c r="UMI1" s="221"/>
      <c r="UMJ1" s="222"/>
      <c r="UMK1" s="220" t="s">
        <v>13331</v>
      </c>
      <c r="UML1" s="221"/>
      <c r="UMM1" s="221"/>
      <c r="UMN1" s="222"/>
      <c r="UMO1" s="220" t="s">
        <v>13331</v>
      </c>
      <c r="UMP1" s="221"/>
      <c r="UMQ1" s="221"/>
      <c r="UMR1" s="222"/>
      <c r="UMS1" s="220" t="s">
        <v>13331</v>
      </c>
      <c r="UMT1" s="221"/>
      <c r="UMU1" s="221"/>
      <c r="UMV1" s="222"/>
      <c r="UMW1" s="220" t="s">
        <v>13331</v>
      </c>
      <c r="UMX1" s="221"/>
      <c r="UMY1" s="221"/>
      <c r="UMZ1" s="222"/>
      <c r="UNA1" s="220" t="s">
        <v>13331</v>
      </c>
      <c r="UNB1" s="221"/>
      <c r="UNC1" s="221"/>
      <c r="UND1" s="222"/>
      <c r="UNE1" s="220" t="s">
        <v>13331</v>
      </c>
      <c r="UNF1" s="221"/>
      <c r="UNG1" s="221"/>
      <c r="UNH1" s="222"/>
      <c r="UNI1" s="220" t="s">
        <v>13331</v>
      </c>
      <c r="UNJ1" s="221"/>
      <c r="UNK1" s="221"/>
      <c r="UNL1" s="222"/>
      <c r="UNM1" s="220" t="s">
        <v>13331</v>
      </c>
      <c r="UNN1" s="221"/>
      <c r="UNO1" s="221"/>
      <c r="UNP1" s="222"/>
      <c r="UNQ1" s="220" t="s">
        <v>13331</v>
      </c>
      <c r="UNR1" s="221"/>
      <c r="UNS1" s="221"/>
      <c r="UNT1" s="222"/>
      <c r="UNU1" s="220" t="s">
        <v>13331</v>
      </c>
      <c r="UNV1" s="221"/>
      <c r="UNW1" s="221"/>
      <c r="UNX1" s="222"/>
      <c r="UNY1" s="220" t="s">
        <v>13331</v>
      </c>
      <c r="UNZ1" s="221"/>
      <c r="UOA1" s="221"/>
      <c r="UOB1" s="222"/>
      <c r="UOC1" s="220" t="s">
        <v>13331</v>
      </c>
      <c r="UOD1" s="221"/>
      <c r="UOE1" s="221"/>
      <c r="UOF1" s="222"/>
      <c r="UOG1" s="220" t="s">
        <v>13331</v>
      </c>
      <c r="UOH1" s="221"/>
      <c r="UOI1" s="221"/>
      <c r="UOJ1" s="222"/>
      <c r="UOK1" s="220" t="s">
        <v>13331</v>
      </c>
      <c r="UOL1" s="221"/>
      <c r="UOM1" s="221"/>
      <c r="UON1" s="222"/>
      <c r="UOO1" s="220" t="s">
        <v>13331</v>
      </c>
      <c r="UOP1" s="221"/>
      <c r="UOQ1" s="221"/>
      <c r="UOR1" s="222"/>
      <c r="UOS1" s="220" t="s">
        <v>13331</v>
      </c>
      <c r="UOT1" s="221"/>
      <c r="UOU1" s="221"/>
      <c r="UOV1" s="222"/>
      <c r="UOW1" s="220" t="s">
        <v>13331</v>
      </c>
      <c r="UOX1" s="221"/>
      <c r="UOY1" s="221"/>
      <c r="UOZ1" s="222"/>
      <c r="UPA1" s="220" t="s">
        <v>13331</v>
      </c>
      <c r="UPB1" s="221"/>
      <c r="UPC1" s="221"/>
      <c r="UPD1" s="222"/>
      <c r="UPE1" s="220" t="s">
        <v>13331</v>
      </c>
      <c r="UPF1" s="221"/>
      <c r="UPG1" s="221"/>
      <c r="UPH1" s="222"/>
      <c r="UPI1" s="220" t="s">
        <v>13331</v>
      </c>
      <c r="UPJ1" s="221"/>
      <c r="UPK1" s="221"/>
      <c r="UPL1" s="222"/>
      <c r="UPM1" s="220" t="s">
        <v>13331</v>
      </c>
      <c r="UPN1" s="221"/>
      <c r="UPO1" s="221"/>
      <c r="UPP1" s="222"/>
      <c r="UPQ1" s="220" t="s">
        <v>13331</v>
      </c>
      <c r="UPR1" s="221"/>
      <c r="UPS1" s="221"/>
      <c r="UPT1" s="222"/>
      <c r="UPU1" s="220" t="s">
        <v>13331</v>
      </c>
      <c r="UPV1" s="221"/>
      <c r="UPW1" s="221"/>
      <c r="UPX1" s="222"/>
      <c r="UPY1" s="220" t="s">
        <v>13331</v>
      </c>
      <c r="UPZ1" s="221"/>
      <c r="UQA1" s="221"/>
      <c r="UQB1" s="222"/>
      <c r="UQC1" s="220" t="s">
        <v>13331</v>
      </c>
      <c r="UQD1" s="221"/>
      <c r="UQE1" s="221"/>
      <c r="UQF1" s="222"/>
      <c r="UQG1" s="220" t="s">
        <v>13331</v>
      </c>
      <c r="UQH1" s="221"/>
      <c r="UQI1" s="221"/>
      <c r="UQJ1" s="222"/>
      <c r="UQK1" s="220" t="s">
        <v>13331</v>
      </c>
      <c r="UQL1" s="221"/>
      <c r="UQM1" s="221"/>
      <c r="UQN1" s="222"/>
      <c r="UQO1" s="220" t="s">
        <v>13331</v>
      </c>
      <c r="UQP1" s="221"/>
      <c r="UQQ1" s="221"/>
      <c r="UQR1" s="222"/>
      <c r="UQS1" s="220" t="s">
        <v>13331</v>
      </c>
      <c r="UQT1" s="221"/>
      <c r="UQU1" s="221"/>
      <c r="UQV1" s="222"/>
      <c r="UQW1" s="220" t="s">
        <v>13331</v>
      </c>
      <c r="UQX1" s="221"/>
      <c r="UQY1" s="221"/>
      <c r="UQZ1" s="222"/>
      <c r="URA1" s="220" t="s">
        <v>13331</v>
      </c>
      <c r="URB1" s="221"/>
      <c r="URC1" s="221"/>
      <c r="URD1" s="222"/>
      <c r="URE1" s="220" t="s">
        <v>13331</v>
      </c>
      <c r="URF1" s="221"/>
      <c r="URG1" s="221"/>
      <c r="URH1" s="222"/>
      <c r="URI1" s="220" t="s">
        <v>13331</v>
      </c>
      <c r="URJ1" s="221"/>
      <c r="URK1" s="221"/>
      <c r="URL1" s="222"/>
      <c r="URM1" s="220" t="s">
        <v>13331</v>
      </c>
      <c r="URN1" s="221"/>
      <c r="URO1" s="221"/>
      <c r="URP1" s="222"/>
      <c r="URQ1" s="220" t="s">
        <v>13331</v>
      </c>
      <c r="URR1" s="221"/>
      <c r="URS1" s="221"/>
      <c r="URT1" s="222"/>
      <c r="URU1" s="220" t="s">
        <v>13331</v>
      </c>
      <c r="URV1" s="221"/>
      <c r="URW1" s="221"/>
      <c r="URX1" s="222"/>
      <c r="URY1" s="220" t="s">
        <v>13331</v>
      </c>
      <c r="URZ1" s="221"/>
      <c r="USA1" s="221"/>
      <c r="USB1" s="222"/>
      <c r="USC1" s="220" t="s">
        <v>13331</v>
      </c>
      <c r="USD1" s="221"/>
      <c r="USE1" s="221"/>
      <c r="USF1" s="222"/>
      <c r="USG1" s="220" t="s">
        <v>13331</v>
      </c>
      <c r="USH1" s="221"/>
      <c r="USI1" s="221"/>
      <c r="USJ1" s="222"/>
      <c r="USK1" s="220" t="s">
        <v>13331</v>
      </c>
      <c r="USL1" s="221"/>
      <c r="USM1" s="221"/>
      <c r="USN1" s="222"/>
      <c r="USO1" s="220" t="s">
        <v>13331</v>
      </c>
      <c r="USP1" s="221"/>
      <c r="USQ1" s="221"/>
      <c r="USR1" s="222"/>
      <c r="USS1" s="220" t="s">
        <v>13331</v>
      </c>
      <c r="UST1" s="221"/>
      <c r="USU1" s="221"/>
      <c r="USV1" s="222"/>
      <c r="USW1" s="220" t="s">
        <v>13331</v>
      </c>
      <c r="USX1" s="221"/>
      <c r="USY1" s="221"/>
      <c r="USZ1" s="222"/>
      <c r="UTA1" s="220" t="s">
        <v>13331</v>
      </c>
      <c r="UTB1" s="221"/>
      <c r="UTC1" s="221"/>
      <c r="UTD1" s="222"/>
      <c r="UTE1" s="220" t="s">
        <v>13331</v>
      </c>
      <c r="UTF1" s="221"/>
      <c r="UTG1" s="221"/>
      <c r="UTH1" s="222"/>
      <c r="UTI1" s="220" t="s">
        <v>13331</v>
      </c>
      <c r="UTJ1" s="221"/>
      <c r="UTK1" s="221"/>
      <c r="UTL1" s="222"/>
      <c r="UTM1" s="220" t="s">
        <v>13331</v>
      </c>
      <c r="UTN1" s="221"/>
      <c r="UTO1" s="221"/>
      <c r="UTP1" s="222"/>
      <c r="UTQ1" s="220" t="s">
        <v>13331</v>
      </c>
      <c r="UTR1" s="221"/>
      <c r="UTS1" s="221"/>
      <c r="UTT1" s="222"/>
      <c r="UTU1" s="220" t="s">
        <v>13331</v>
      </c>
      <c r="UTV1" s="221"/>
      <c r="UTW1" s="221"/>
      <c r="UTX1" s="222"/>
      <c r="UTY1" s="220" t="s">
        <v>13331</v>
      </c>
      <c r="UTZ1" s="221"/>
      <c r="UUA1" s="221"/>
      <c r="UUB1" s="222"/>
      <c r="UUC1" s="220" t="s">
        <v>13331</v>
      </c>
      <c r="UUD1" s="221"/>
      <c r="UUE1" s="221"/>
      <c r="UUF1" s="222"/>
      <c r="UUG1" s="220" t="s">
        <v>13331</v>
      </c>
      <c r="UUH1" s="221"/>
      <c r="UUI1" s="221"/>
      <c r="UUJ1" s="222"/>
      <c r="UUK1" s="220" t="s">
        <v>13331</v>
      </c>
      <c r="UUL1" s="221"/>
      <c r="UUM1" s="221"/>
      <c r="UUN1" s="222"/>
      <c r="UUO1" s="220" t="s">
        <v>13331</v>
      </c>
      <c r="UUP1" s="221"/>
      <c r="UUQ1" s="221"/>
      <c r="UUR1" s="222"/>
      <c r="UUS1" s="220" t="s">
        <v>13331</v>
      </c>
      <c r="UUT1" s="221"/>
      <c r="UUU1" s="221"/>
      <c r="UUV1" s="222"/>
      <c r="UUW1" s="220" t="s">
        <v>13331</v>
      </c>
      <c r="UUX1" s="221"/>
      <c r="UUY1" s="221"/>
      <c r="UUZ1" s="222"/>
      <c r="UVA1" s="220" t="s">
        <v>13331</v>
      </c>
      <c r="UVB1" s="221"/>
      <c r="UVC1" s="221"/>
      <c r="UVD1" s="222"/>
      <c r="UVE1" s="220" t="s">
        <v>13331</v>
      </c>
      <c r="UVF1" s="221"/>
      <c r="UVG1" s="221"/>
      <c r="UVH1" s="222"/>
      <c r="UVI1" s="220" t="s">
        <v>13331</v>
      </c>
      <c r="UVJ1" s="221"/>
      <c r="UVK1" s="221"/>
      <c r="UVL1" s="222"/>
      <c r="UVM1" s="220" t="s">
        <v>13331</v>
      </c>
      <c r="UVN1" s="221"/>
      <c r="UVO1" s="221"/>
      <c r="UVP1" s="222"/>
      <c r="UVQ1" s="220" t="s">
        <v>13331</v>
      </c>
      <c r="UVR1" s="221"/>
      <c r="UVS1" s="221"/>
      <c r="UVT1" s="222"/>
      <c r="UVU1" s="220" t="s">
        <v>13331</v>
      </c>
      <c r="UVV1" s="221"/>
      <c r="UVW1" s="221"/>
      <c r="UVX1" s="222"/>
      <c r="UVY1" s="220" t="s">
        <v>13331</v>
      </c>
      <c r="UVZ1" s="221"/>
      <c r="UWA1" s="221"/>
      <c r="UWB1" s="222"/>
      <c r="UWC1" s="220" t="s">
        <v>13331</v>
      </c>
      <c r="UWD1" s="221"/>
      <c r="UWE1" s="221"/>
      <c r="UWF1" s="222"/>
      <c r="UWG1" s="220" t="s">
        <v>13331</v>
      </c>
      <c r="UWH1" s="221"/>
      <c r="UWI1" s="221"/>
      <c r="UWJ1" s="222"/>
      <c r="UWK1" s="220" t="s">
        <v>13331</v>
      </c>
      <c r="UWL1" s="221"/>
      <c r="UWM1" s="221"/>
      <c r="UWN1" s="222"/>
      <c r="UWO1" s="220" t="s">
        <v>13331</v>
      </c>
      <c r="UWP1" s="221"/>
      <c r="UWQ1" s="221"/>
      <c r="UWR1" s="222"/>
      <c r="UWS1" s="220" t="s">
        <v>13331</v>
      </c>
      <c r="UWT1" s="221"/>
      <c r="UWU1" s="221"/>
      <c r="UWV1" s="222"/>
      <c r="UWW1" s="220" t="s">
        <v>13331</v>
      </c>
      <c r="UWX1" s="221"/>
      <c r="UWY1" s="221"/>
      <c r="UWZ1" s="222"/>
      <c r="UXA1" s="220" t="s">
        <v>13331</v>
      </c>
      <c r="UXB1" s="221"/>
      <c r="UXC1" s="221"/>
      <c r="UXD1" s="222"/>
      <c r="UXE1" s="220" t="s">
        <v>13331</v>
      </c>
      <c r="UXF1" s="221"/>
      <c r="UXG1" s="221"/>
      <c r="UXH1" s="222"/>
      <c r="UXI1" s="220" t="s">
        <v>13331</v>
      </c>
      <c r="UXJ1" s="221"/>
      <c r="UXK1" s="221"/>
      <c r="UXL1" s="222"/>
      <c r="UXM1" s="220" t="s">
        <v>13331</v>
      </c>
      <c r="UXN1" s="221"/>
      <c r="UXO1" s="221"/>
      <c r="UXP1" s="222"/>
      <c r="UXQ1" s="220" t="s">
        <v>13331</v>
      </c>
      <c r="UXR1" s="221"/>
      <c r="UXS1" s="221"/>
      <c r="UXT1" s="222"/>
      <c r="UXU1" s="220" t="s">
        <v>13331</v>
      </c>
      <c r="UXV1" s="221"/>
      <c r="UXW1" s="221"/>
      <c r="UXX1" s="222"/>
      <c r="UXY1" s="220" t="s">
        <v>13331</v>
      </c>
      <c r="UXZ1" s="221"/>
      <c r="UYA1" s="221"/>
      <c r="UYB1" s="222"/>
      <c r="UYC1" s="220" t="s">
        <v>13331</v>
      </c>
      <c r="UYD1" s="221"/>
      <c r="UYE1" s="221"/>
      <c r="UYF1" s="222"/>
      <c r="UYG1" s="220" t="s">
        <v>13331</v>
      </c>
      <c r="UYH1" s="221"/>
      <c r="UYI1" s="221"/>
      <c r="UYJ1" s="222"/>
      <c r="UYK1" s="220" t="s">
        <v>13331</v>
      </c>
      <c r="UYL1" s="221"/>
      <c r="UYM1" s="221"/>
      <c r="UYN1" s="222"/>
      <c r="UYO1" s="220" t="s">
        <v>13331</v>
      </c>
      <c r="UYP1" s="221"/>
      <c r="UYQ1" s="221"/>
      <c r="UYR1" s="222"/>
      <c r="UYS1" s="220" t="s">
        <v>13331</v>
      </c>
      <c r="UYT1" s="221"/>
      <c r="UYU1" s="221"/>
      <c r="UYV1" s="222"/>
      <c r="UYW1" s="220" t="s">
        <v>13331</v>
      </c>
      <c r="UYX1" s="221"/>
      <c r="UYY1" s="221"/>
      <c r="UYZ1" s="222"/>
      <c r="UZA1" s="220" t="s">
        <v>13331</v>
      </c>
      <c r="UZB1" s="221"/>
      <c r="UZC1" s="221"/>
      <c r="UZD1" s="222"/>
      <c r="UZE1" s="220" t="s">
        <v>13331</v>
      </c>
      <c r="UZF1" s="221"/>
      <c r="UZG1" s="221"/>
      <c r="UZH1" s="222"/>
      <c r="UZI1" s="220" t="s">
        <v>13331</v>
      </c>
      <c r="UZJ1" s="221"/>
      <c r="UZK1" s="221"/>
      <c r="UZL1" s="222"/>
      <c r="UZM1" s="220" t="s">
        <v>13331</v>
      </c>
      <c r="UZN1" s="221"/>
      <c r="UZO1" s="221"/>
      <c r="UZP1" s="222"/>
      <c r="UZQ1" s="220" t="s">
        <v>13331</v>
      </c>
      <c r="UZR1" s="221"/>
      <c r="UZS1" s="221"/>
      <c r="UZT1" s="222"/>
      <c r="UZU1" s="220" t="s">
        <v>13331</v>
      </c>
      <c r="UZV1" s="221"/>
      <c r="UZW1" s="221"/>
      <c r="UZX1" s="222"/>
      <c r="UZY1" s="220" t="s">
        <v>13331</v>
      </c>
      <c r="UZZ1" s="221"/>
      <c r="VAA1" s="221"/>
      <c r="VAB1" s="222"/>
      <c r="VAC1" s="220" t="s">
        <v>13331</v>
      </c>
      <c r="VAD1" s="221"/>
      <c r="VAE1" s="221"/>
      <c r="VAF1" s="222"/>
      <c r="VAG1" s="220" t="s">
        <v>13331</v>
      </c>
      <c r="VAH1" s="221"/>
      <c r="VAI1" s="221"/>
      <c r="VAJ1" s="222"/>
      <c r="VAK1" s="220" t="s">
        <v>13331</v>
      </c>
      <c r="VAL1" s="221"/>
      <c r="VAM1" s="221"/>
      <c r="VAN1" s="222"/>
      <c r="VAO1" s="220" t="s">
        <v>13331</v>
      </c>
      <c r="VAP1" s="221"/>
      <c r="VAQ1" s="221"/>
      <c r="VAR1" s="222"/>
      <c r="VAS1" s="220" t="s">
        <v>13331</v>
      </c>
      <c r="VAT1" s="221"/>
      <c r="VAU1" s="221"/>
      <c r="VAV1" s="222"/>
      <c r="VAW1" s="220" t="s">
        <v>13331</v>
      </c>
      <c r="VAX1" s="221"/>
      <c r="VAY1" s="221"/>
      <c r="VAZ1" s="222"/>
      <c r="VBA1" s="220" t="s">
        <v>13331</v>
      </c>
      <c r="VBB1" s="221"/>
      <c r="VBC1" s="221"/>
      <c r="VBD1" s="222"/>
      <c r="VBE1" s="220" t="s">
        <v>13331</v>
      </c>
      <c r="VBF1" s="221"/>
      <c r="VBG1" s="221"/>
      <c r="VBH1" s="222"/>
      <c r="VBI1" s="220" t="s">
        <v>13331</v>
      </c>
      <c r="VBJ1" s="221"/>
      <c r="VBK1" s="221"/>
      <c r="VBL1" s="222"/>
      <c r="VBM1" s="220" t="s">
        <v>13331</v>
      </c>
      <c r="VBN1" s="221"/>
      <c r="VBO1" s="221"/>
      <c r="VBP1" s="222"/>
      <c r="VBQ1" s="220" t="s">
        <v>13331</v>
      </c>
      <c r="VBR1" s="221"/>
      <c r="VBS1" s="221"/>
      <c r="VBT1" s="222"/>
      <c r="VBU1" s="220" t="s">
        <v>13331</v>
      </c>
      <c r="VBV1" s="221"/>
      <c r="VBW1" s="221"/>
      <c r="VBX1" s="222"/>
      <c r="VBY1" s="220" t="s">
        <v>13331</v>
      </c>
      <c r="VBZ1" s="221"/>
      <c r="VCA1" s="221"/>
      <c r="VCB1" s="222"/>
      <c r="VCC1" s="220" t="s">
        <v>13331</v>
      </c>
      <c r="VCD1" s="221"/>
      <c r="VCE1" s="221"/>
      <c r="VCF1" s="222"/>
      <c r="VCG1" s="220" t="s">
        <v>13331</v>
      </c>
      <c r="VCH1" s="221"/>
      <c r="VCI1" s="221"/>
      <c r="VCJ1" s="222"/>
      <c r="VCK1" s="220" t="s">
        <v>13331</v>
      </c>
      <c r="VCL1" s="221"/>
      <c r="VCM1" s="221"/>
      <c r="VCN1" s="222"/>
      <c r="VCO1" s="220" t="s">
        <v>13331</v>
      </c>
      <c r="VCP1" s="221"/>
      <c r="VCQ1" s="221"/>
      <c r="VCR1" s="222"/>
      <c r="VCS1" s="220" t="s">
        <v>13331</v>
      </c>
      <c r="VCT1" s="221"/>
      <c r="VCU1" s="221"/>
      <c r="VCV1" s="222"/>
      <c r="VCW1" s="220" t="s">
        <v>13331</v>
      </c>
      <c r="VCX1" s="221"/>
      <c r="VCY1" s="221"/>
      <c r="VCZ1" s="222"/>
      <c r="VDA1" s="220" t="s">
        <v>13331</v>
      </c>
      <c r="VDB1" s="221"/>
      <c r="VDC1" s="221"/>
      <c r="VDD1" s="222"/>
      <c r="VDE1" s="220" t="s">
        <v>13331</v>
      </c>
      <c r="VDF1" s="221"/>
      <c r="VDG1" s="221"/>
      <c r="VDH1" s="222"/>
      <c r="VDI1" s="220" t="s">
        <v>13331</v>
      </c>
      <c r="VDJ1" s="221"/>
      <c r="VDK1" s="221"/>
      <c r="VDL1" s="222"/>
      <c r="VDM1" s="220" t="s">
        <v>13331</v>
      </c>
      <c r="VDN1" s="221"/>
      <c r="VDO1" s="221"/>
      <c r="VDP1" s="222"/>
      <c r="VDQ1" s="220" t="s">
        <v>13331</v>
      </c>
      <c r="VDR1" s="221"/>
      <c r="VDS1" s="221"/>
      <c r="VDT1" s="222"/>
      <c r="VDU1" s="220" t="s">
        <v>13331</v>
      </c>
      <c r="VDV1" s="221"/>
      <c r="VDW1" s="221"/>
      <c r="VDX1" s="222"/>
      <c r="VDY1" s="220" t="s">
        <v>13331</v>
      </c>
      <c r="VDZ1" s="221"/>
      <c r="VEA1" s="221"/>
      <c r="VEB1" s="222"/>
      <c r="VEC1" s="220" t="s">
        <v>13331</v>
      </c>
      <c r="VED1" s="221"/>
      <c r="VEE1" s="221"/>
      <c r="VEF1" s="222"/>
      <c r="VEG1" s="220" t="s">
        <v>13331</v>
      </c>
      <c r="VEH1" s="221"/>
      <c r="VEI1" s="221"/>
      <c r="VEJ1" s="222"/>
      <c r="VEK1" s="220" t="s">
        <v>13331</v>
      </c>
      <c r="VEL1" s="221"/>
      <c r="VEM1" s="221"/>
      <c r="VEN1" s="222"/>
      <c r="VEO1" s="220" t="s">
        <v>13331</v>
      </c>
      <c r="VEP1" s="221"/>
      <c r="VEQ1" s="221"/>
      <c r="VER1" s="222"/>
      <c r="VES1" s="220" t="s">
        <v>13331</v>
      </c>
      <c r="VET1" s="221"/>
      <c r="VEU1" s="221"/>
      <c r="VEV1" s="222"/>
      <c r="VEW1" s="220" t="s">
        <v>13331</v>
      </c>
      <c r="VEX1" s="221"/>
      <c r="VEY1" s="221"/>
      <c r="VEZ1" s="222"/>
      <c r="VFA1" s="220" t="s">
        <v>13331</v>
      </c>
      <c r="VFB1" s="221"/>
      <c r="VFC1" s="221"/>
      <c r="VFD1" s="222"/>
      <c r="VFE1" s="220" t="s">
        <v>13331</v>
      </c>
      <c r="VFF1" s="221"/>
      <c r="VFG1" s="221"/>
      <c r="VFH1" s="222"/>
      <c r="VFI1" s="220" t="s">
        <v>13331</v>
      </c>
      <c r="VFJ1" s="221"/>
      <c r="VFK1" s="221"/>
      <c r="VFL1" s="222"/>
      <c r="VFM1" s="220" t="s">
        <v>13331</v>
      </c>
      <c r="VFN1" s="221"/>
      <c r="VFO1" s="221"/>
      <c r="VFP1" s="222"/>
      <c r="VFQ1" s="220" t="s">
        <v>13331</v>
      </c>
      <c r="VFR1" s="221"/>
      <c r="VFS1" s="221"/>
      <c r="VFT1" s="222"/>
      <c r="VFU1" s="220" t="s">
        <v>13331</v>
      </c>
      <c r="VFV1" s="221"/>
      <c r="VFW1" s="221"/>
      <c r="VFX1" s="222"/>
      <c r="VFY1" s="220" t="s">
        <v>13331</v>
      </c>
      <c r="VFZ1" s="221"/>
      <c r="VGA1" s="221"/>
      <c r="VGB1" s="222"/>
      <c r="VGC1" s="220" t="s">
        <v>13331</v>
      </c>
      <c r="VGD1" s="221"/>
      <c r="VGE1" s="221"/>
      <c r="VGF1" s="222"/>
      <c r="VGG1" s="220" t="s">
        <v>13331</v>
      </c>
      <c r="VGH1" s="221"/>
      <c r="VGI1" s="221"/>
      <c r="VGJ1" s="222"/>
      <c r="VGK1" s="220" t="s">
        <v>13331</v>
      </c>
      <c r="VGL1" s="221"/>
      <c r="VGM1" s="221"/>
      <c r="VGN1" s="222"/>
      <c r="VGO1" s="220" t="s">
        <v>13331</v>
      </c>
      <c r="VGP1" s="221"/>
      <c r="VGQ1" s="221"/>
      <c r="VGR1" s="222"/>
      <c r="VGS1" s="220" t="s">
        <v>13331</v>
      </c>
      <c r="VGT1" s="221"/>
      <c r="VGU1" s="221"/>
      <c r="VGV1" s="222"/>
      <c r="VGW1" s="220" t="s">
        <v>13331</v>
      </c>
      <c r="VGX1" s="221"/>
      <c r="VGY1" s="221"/>
      <c r="VGZ1" s="222"/>
      <c r="VHA1" s="220" t="s">
        <v>13331</v>
      </c>
      <c r="VHB1" s="221"/>
      <c r="VHC1" s="221"/>
      <c r="VHD1" s="222"/>
      <c r="VHE1" s="220" t="s">
        <v>13331</v>
      </c>
      <c r="VHF1" s="221"/>
      <c r="VHG1" s="221"/>
      <c r="VHH1" s="222"/>
      <c r="VHI1" s="220" t="s">
        <v>13331</v>
      </c>
      <c r="VHJ1" s="221"/>
      <c r="VHK1" s="221"/>
      <c r="VHL1" s="222"/>
      <c r="VHM1" s="220" t="s">
        <v>13331</v>
      </c>
      <c r="VHN1" s="221"/>
      <c r="VHO1" s="221"/>
      <c r="VHP1" s="222"/>
      <c r="VHQ1" s="220" t="s">
        <v>13331</v>
      </c>
      <c r="VHR1" s="221"/>
      <c r="VHS1" s="221"/>
      <c r="VHT1" s="222"/>
      <c r="VHU1" s="220" t="s">
        <v>13331</v>
      </c>
      <c r="VHV1" s="221"/>
      <c r="VHW1" s="221"/>
      <c r="VHX1" s="222"/>
      <c r="VHY1" s="220" t="s">
        <v>13331</v>
      </c>
      <c r="VHZ1" s="221"/>
      <c r="VIA1" s="221"/>
      <c r="VIB1" s="222"/>
      <c r="VIC1" s="220" t="s">
        <v>13331</v>
      </c>
      <c r="VID1" s="221"/>
      <c r="VIE1" s="221"/>
      <c r="VIF1" s="222"/>
      <c r="VIG1" s="220" t="s">
        <v>13331</v>
      </c>
      <c r="VIH1" s="221"/>
      <c r="VII1" s="221"/>
      <c r="VIJ1" s="222"/>
      <c r="VIK1" s="220" t="s">
        <v>13331</v>
      </c>
      <c r="VIL1" s="221"/>
      <c r="VIM1" s="221"/>
      <c r="VIN1" s="222"/>
      <c r="VIO1" s="220" t="s">
        <v>13331</v>
      </c>
      <c r="VIP1" s="221"/>
      <c r="VIQ1" s="221"/>
      <c r="VIR1" s="222"/>
      <c r="VIS1" s="220" t="s">
        <v>13331</v>
      </c>
      <c r="VIT1" s="221"/>
      <c r="VIU1" s="221"/>
      <c r="VIV1" s="222"/>
      <c r="VIW1" s="220" t="s">
        <v>13331</v>
      </c>
      <c r="VIX1" s="221"/>
      <c r="VIY1" s="221"/>
      <c r="VIZ1" s="222"/>
      <c r="VJA1" s="220" t="s">
        <v>13331</v>
      </c>
      <c r="VJB1" s="221"/>
      <c r="VJC1" s="221"/>
      <c r="VJD1" s="222"/>
      <c r="VJE1" s="220" t="s">
        <v>13331</v>
      </c>
      <c r="VJF1" s="221"/>
      <c r="VJG1" s="221"/>
      <c r="VJH1" s="222"/>
      <c r="VJI1" s="220" t="s">
        <v>13331</v>
      </c>
      <c r="VJJ1" s="221"/>
      <c r="VJK1" s="221"/>
      <c r="VJL1" s="222"/>
      <c r="VJM1" s="220" t="s">
        <v>13331</v>
      </c>
      <c r="VJN1" s="221"/>
      <c r="VJO1" s="221"/>
      <c r="VJP1" s="222"/>
      <c r="VJQ1" s="220" t="s">
        <v>13331</v>
      </c>
      <c r="VJR1" s="221"/>
      <c r="VJS1" s="221"/>
      <c r="VJT1" s="222"/>
      <c r="VJU1" s="220" t="s">
        <v>13331</v>
      </c>
      <c r="VJV1" s="221"/>
      <c r="VJW1" s="221"/>
      <c r="VJX1" s="222"/>
      <c r="VJY1" s="220" t="s">
        <v>13331</v>
      </c>
      <c r="VJZ1" s="221"/>
      <c r="VKA1" s="221"/>
      <c r="VKB1" s="222"/>
      <c r="VKC1" s="220" t="s">
        <v>13331</v>
      </c>
      <c r="VKD1" s="221"/>
      <c r="VKE1" s="221"/>
      <c r="VKF1" s="222"/>
      <c r="VKG1" s="220" t="s">
        <v>13331</v>
      </c>
      <c r="VKH1" s="221"/>
      <c r="VKI1" s="221"/>
      <c r="VKJ1" s="222"/>
      <c r="VKK1" s="220" t="s">
        <v>13331</v>
      </c>
      <c r="VKL1" s="221"/>
      <c r="VKM1" s="221"/>
      <c r="VKN1" s="222"/>
      <c r="VKO1" s="220" t="s">
        <v>13331</v>
      </c>
      <c r="VKP1" s="221"/>
      <c r="VKQ1" s="221"/>
      <c r="VKR1" s="222"/>
      <c r="VKS1" s="220" t="s">
        <v>13331</v>
      </c>
      <c r="VKT1" s="221"/>
      <c r="VKU1" s="221"/>
      <c r="VKV1" s="222"/>
      <c r="VKW1" s="220" t="s">
        <v>13331</v>
      </c>
      <c r="VKX1" s="221"/>
      <c r="VKY1" s="221"/>
      <c r="VKZ1" s="222"/>
      <c r="VLA1" s="220" t="s">
        <v>13331</v>
      </c>
      <c r="VLB1" s="221"/>
      <c r="VLC1" s="221"/>
      <c r="VLD1" s="222"/>
      <c r="VLE1" s="220" t="s">
        <v>13331</v>
      </c>
      <c r="VLF1" s="221"/>
      <c r="VLG1" s="221"/>
      <c r="VLH1" s="222"/>
      <c r="VLI1" s="220" t="s">
        <v>13331</v>
      </c>
      <c r="VLJ1" s="221"/>
      <c r="VLK1" s="221"/>
      <c r="VLL1" s="222"/>
      <c r="VLM1" s="220" t="s">
        <v>13331</v>
      </c>
      <c r="VLN1" s="221"/>
      <c r="VLO1" s="221"/>
      <c r="VLP1" s="222"/>
      <c r="VLQ1" s="220" t="s">
        <v>13331</v>
      </c>
      <c r="VLR1" s="221"/>
      <c r="VLS1" s="221"/>
      <c r="VLT1" s="222"/>
      <c r="VLU1" s="220" t="s">
        <v>13331</v>
      </c>
      <c r="VLV1" s="221"/>
      <c r="VLW1" s="221"/>
      <c r="VLX1" s="222"/>
      <c r="VLY1" s="220" t="s">
        <v>13331</v>
      </c>
      <c r="VLZ1" s="221"/>
      <c r="VMA1" s="221"/>
      <c r="VMB1" s="222"/>
      <c r="VMC1" s="220" t="s">
        <v>13331</v>
      </c>
      <c r="VMD1" s="221"/>
      <c r="VME1" s="221"/>
      <c r="VMF1" s="222"/>
      <c r="VMG1" s="220" t="s">
        <v>13331</v>
      </c>
      <c r="VMH1" s="221"/>
      <c r="VMI1" s="221"/>
      <c r="VMJ1" s="222"/>
      <c r="VMK1" s="220" t="s">
        <v>13331</v>
      </c>
      <c r="VML1" s="221"/>
      <c r="VMM1" s="221"/>
      <c r="VMN1" s="222"/>
      <c r="VMO1" s="220" t="s">
        <v>13331</v>
      </c>
      <c r="VMP1" s="221"/>
      <c r="VMQ1" s="221"/>
      <c r="VMR1" s="222"/>
      <c r="VMS1" s="220" t="s">
        <v>13331</v>
      </c>
      <c r="VMT1" s="221"/>
      <c r="VMU1" s="221"/>
      <c r="VMV1" s="222"/>
      <c r="VMW1" s="220" t="s">
        <v>13331</v>
      </c>
      <c r="VMX1" s="221"/>
      <c r="VMY1" s="221"/>
      <c r="VMZ1" s="222"/>
      <c r="VNA1" s="220" t="s">
        <v>13331</v>
      </c>
      <c r="VNB1" s="221"/>
      <c r="VNC1" s="221"/>
      <c r="VND1" s="222"/>
      <c r="VNE1" s="220" t="s">
        <v>13331</v>
      </c>
      <c r="VNF1" s="221"/>
      <c r="VNG1" s="221"/>
      <c r="VNH1" s="222"/>
      <c r="VNI1" s="220" t="s">
        <v>13331</v>
      </c>
      <c r="VNJ1" s="221"/>
      <c r="VNK1" s="221"/>
      <c r="VNL1" s="222"/>
      <c r="VNM1" s="220" t="s">
        <v>13331</v>
      </c>
      <c r="VNN1" s="221"/>
      <c r="VNO1" s="221"/>
      <c r="VNP1" s="222"/>
      <c r="VNQ1" s="220" t="s">
        <v>13331</v>
      </c>
      <c r="VNR1" s="221"/>
      <c r="VNS1" s="221"/>
      <c r="VNT1" s="222"/>
      <c r="VNU1" s="220" t="s">
        <v>13331</v>
      </c>
      <c r="VNV1" s="221"/>
      <c r="VNW1" s="221"/>
      <c r="VNX1" s="222"/>
      <c r="VNY1" s="220" t="s">
        <v>13331</v>
      </c>
      <c r="VNZ1" s="221"/>
      <c r="VOA1" s="221"/>
      <c r="VOB1" s="222"/>
      <c r="VOC1" s="220" t="s">
        <v>13331</v>
      </c>
      <c r="VOD1" s="221"/>
      <c r="VOE1" s="221"/>
      <c r="VOF1" s="222"/>
      <c r="VOG1" s="220" t="s">
        <v>13331</v>
      </c>
      <c r="VOH1" s="221"/>
      <c r="VOI1" s="221"/>
      <c r="VOJ1" s="222"/>
      <c r="VOK1" s="220" t="s">
        <v>13331</v>
      </c>
      <c r="VOL1" s="221"/>
      <c r="VOM1" s="221"/>
      <c r="VON1" s="222"/>
      <c r="VOO1" s="220" t="s">
        <v>13331</v>
      </c>
      <c r="VOP1" s="221"/>
      <c r="VOQ1" s="221"/>
      <c r="VOR1" s="222"/>
      <c r="VOS1" s="220" t="s">
        <v>13331</v>
      </c>
      <c r="VOT1" s="221"/>
      <c r="VOU1" s="221"/>
      <c r="VOV1" s="222"/>
      <c r="VOW1" s="220" t="s">
        <v>13331</v>
      </c>
      <c r="VOX1" s="221"/>
      <c r="VOY1" s="221"/>
      <c r="VOZ1" s="222"/>
      <c r="VPA1" s="220" t="s">
        <v>13331</v>
      </c>
      <c r="VPB1" s="221"/>
      <c r="VPC1" s="221"/>
      <c r="VPD1" s="222"/>
      <c r="VPE1" s="220" t="s">
        <v>13331</v>
      </c>
      <c r="VPF1" s="221"/>
      <c r="VPG1" s="221"/>
      <c r="VPH1" s="222"/>
      <c r="VPI1" s="220" t="s">
        <v>13331</v>
      </c>
      <c r="VPJ1" s="221"/>
      <c r="VPK1" s="221"/>
      <c r="VPL1" s="222"/>
      <c r="VPM1" s="220" t="s">
        <v>13331</v>
      </c>
      <c r="VPN1" s="221"/>
      <c r="VPO1" s="221"/>
      <c r="VPP1" s="222"/>
      <c r="VPQ1" s="220" t="s">
        <v>13331</v>
      </c>
      <c r="VPR1" s="221"/>
      <c r="VPS1" s="221"/>
      <c r="VPT1" s="222"/>
      <c r="VPU1" s="220" t="s">
        <v>13331</v>
      </c>
      <c r="VPV1" s="221"/>
      <c r="VPW1" s="221"/>
      <c r="VPX1" s="222"/>
      <c r="VPY1" s="220" t="s">
        <v>13331</v>
      </c>
      <c r="VPZ1" s="221"/>
      <c r="VQA1" s="221"/>
      <c r="VQB1" s="222"/>
      <c r="VQC1" s="220" t="s">
        <v>13331</v>
      </c>
      <c r="VQD1" s="221"/>
      <c r="VQE1" s="221"/>
      <c r="VQF1" s="222"/>
      <c r="VQG1" s="220" t="s">
        <v>13331</v>
      </c>
      <c r="VQH1" s="221"/>
      <c r="VQI1" s="221"/>
      <c r="VQJ1" s="222"/>
      <c r="VQK1" s="220" t="s">
        <v>13331</v>
      </c>
      <c r="VQL1" s="221"/>
      <c r="VQM1" s="221"/>
      <c r="VQN1" s="222"/>
      <c r="VQO1" s="220" t="s">
        <v>13331</v>
      </c>
      <c r="VQP1" s="221"/>
      <c r="VQQ1" s="221"/>
      <c r="VQR1" s="222"/>
      <c r="VQS1" s="220" t="s">
        <v>13331</v>
      </c>
      <c r="VQT1" s="221"/>
      <c r="VQU1" s="221"/>
      <c r="VQV1" s="222"/>
      <c r="VQW1" s="220" t="s">
        <v>13331</v>
      </c>
      <c r="VQX1" s="221"/>
      <c r="VQY1" s="221"/>
      <c r="VQZ1" s="222"/>
      <c r="VRA1" s="220" t="s">
        <v>13331</v>
      </c>
      <c r="VRB1" s="221"/>
      <c r="VRC1" s="221"/>
      <c r="VRD1" s="222"/>
      <c r="VRE1" s="220" t="s">
        <v>13331</v>
      </c>
      <c r="VRF1" s="221"/>
      <c r="VRG1" s="221"/>
      <c r="VRH1" s="222"/>
      <c r="VRI1" s="220" t="s">
        <v>13331</v>
      </c>
      <c r="VRJ1" s="221"/>
      <c r="VRK1" s="221"/>
      <c r="VRL1" s="222"/>
      <c r="VRM1" s="220" t="s">
        <v>13331</v>
      </c>
      <c r="VRN1" s="221"/>
      <c r="VRO1" s="221"/>
      <c r="VRP1" s="222"/>
      <c r="VRQ1" s="220" t="s">
        <v>13331</v>
      </c>
      <c r="VRR1" s="221"/>
      <c r="VRS1" s="221"/>
      <c r="VRT1" s="222"/>
      <c r="VRU1" s="220" t="s">
        <v>13331</v>
      </c>
      <c r="VRV1" s="221"/>
      <c r="VRW1" s="221"/>
      <c r="VRX1" s="222"/>
      <c r="VRY1" s="220" t="s">
        <v>13331</v>
      </c>
      <c r="VRZ1" s="221"/>
      <c r="VSA1" s="221"/>
      <c r="VSB1" s="222"/>
      <c r="VSC1" s="220" t="s">
        <v>13331</v>
      </c>
      <c r="VSD1" s="221"/>
      <c r="VSE1" s="221"/>
      <c r="VSF1" s="222"/>
      <c r="VSG1" s="220" t="s">
        <v>13331</v>
      </c>
      <c r="VSH1" s="221"/>
      <c r="VSI1" s="221"/>
      <c r="VSJ1" s="222"/>
      <c r="VSK1" s="220" t="s">
        <v>13331</v>
      </c>
      <c r="VSL1" s="221"/>
      <c r="VSM1" s="221"/>
      <c r="VSN1" s="222"/>
      <c r="VSO1" s="220" t="s">
        <v>13331</v>
      </c>
      <c r="VSP1" s="221"/>
      <c r="VSQ1" s="221"/>
      <c r="VSR1" s="222"/>
      <c r="VSS1" s="220" t="s">
        <v>13331</v>
      </c>
      <c r="VST1" s="221"/>
      <c r="VSU1" s="221"/>
      <c r="VSV1" s="222"/>
      <c r="VSW1" s="220" t="s">
        <v>13331</v>
      </c>
      <c r="VSX1" s="221"/>
      <c r="VSY1" s="221"/>
      <c r="VSZ1" s="222"/>
      <c r="VTA1" s="220" t="s">
        <v>13331</v>
      </c>
      <c r="VTB1" s="221"/>
      <c r="VTC1" s="221"/>
      <c r="VTD1" s="222"/>
      <c r="VTE1" s="220" t="s">
        <v>13331</v>
      </c>
      <c r="VTF1" s="221"/>
      <c r="VTG1" s="221"/>
      <c r="VTH1" s="222"/>
      <c r="VTI1" s="220" t="s">
        <v>13331</v>
      </c>
      <c r="VTJ1" s="221"/>
      <c r="VTK1" s="221"/>
      <c r="VTL1" s="222"/>
      <c r="VTM1" s="220" t="s">
        <v>13331</v>
      </c>
      <c r="VTN1" s="221"/>
      <c r="VTO1" s="221"/>
      <c r="VTP1" s="222"/>
      <c r="VTQ1" s="220" t="s">
        <v>13331</v>
      </c>
      <c r="VTR1" s="221"/>
      <c r="VTS1" s="221"/>
      <c r="VTT1" s="222"/>
      <c r="VTU1" s="220" t="s">
        <v>13331</v>
      </c>
      <c r="VTV1" s="221"/>
      <c r="VTW1" s="221"/>
      <c r="VTX1" s="222"/>
      <c r="VTY1" s="220" t="s">
        <v>13331</v>
      </c>
      <c r="VTZ1" s="221"/>
      <c r="VUA1" s="221"/>
      <c r="VUB1" s="222"/>
      <c r="VUC1" s="220" t="s">
        <v>13331</v>
      </c>
      <c r="VUD1" s="221"/>
      <c r="VUE1" s="221"/>
      <c r="VUF1" s="222"/>
      <c r="VUG1" s="220" t="s">
        <v>13331</v>
      </c>
      <c r="VUH1" s="221"/>
      <c r="VUI1" s="221"/>
      <c r="VUJ1" s="222"/>
      <c r="VUK1" s="220" t="s">
        <v>13331</v>
      </c>
      <c r="VUL1" s="221"/>
      <c r="VUM1" s="221"/>
      <c r="VUN1" s="222"/>
      <c r="VUO1" s="220" t="s">
        <v>13331</v>
      </c>
      <c r="VUP1" s="221"/>
      <c r="VUQ1" s="221"/>
      <c r="VUR1" s="222"/>
      <c r="VUS1" s="220" t="s">
        <v>13331</v>
      </c>
      <c r="VUT1" s="221"/>
      <c r="VUU1" s="221"/>
      <c r="VUV1" s="222"/>
      <c r="VUW1" s="220" t="s">
        <v>13331</v>
      </c>
      <c r="VUX1" s="221"/>
      <c r="VUY1" s="221"/>
      <c r="VUZ1" s="222"/>
      <c r="VVA1" s="220" t="s">
        <v>13331</v>
      </c>
      <c r="VVB1" s="221"/>
      <c r="VVC1" s="221"/>
      <c r="VVD1" s="222"/>
      <c r="VVE1" s="220" t="s">
        <v>13331</v>
      </c>
      <c r="VVF1" s="221"/>
      <c r="VVG1" s="221"/>
      <c r="VVH1" s="222"/>
      <c r="VVI1" s="220" t="s">
        <v>13331</v>
      </c>
      <c r="VVJ1" s="221"/>
      <c r="VVK1" s="221"/>
      <c r="VVL1" s="222"/>
      <c r="VVM1" s="220" t="s">
        <v>13331</v>
      </c>
      <c r="VVN1" s="221"/>
      <c r="VVO1" s="221"/>
      <c r="VVP1" s="222"/>
      <c r="VVQ1" s="220" t="s">
        <v>13331</v>
      </c>
      <c r="VVR1" s="221"/>
      <c r="VVS1" s="221"/>
      <c r="VVT1" s="222"/>
      <c r="VVU1" s="220" t="s">
        <v>13331</v>
      </c>
      <c r="VVV1" s="221"/>
      <c r="VVW1" s="221"/>
      <c r="VVX1" s="222"/>
      <c r="VVY1" s="220" t="s">
        <v>13331</v>
      </c>
      <c r="VVZ1" s="221"/>
      <c r="VWA1" s="221"/>
      <c r="VWB1" s="222"/>
      <c r="VWC1" s="220" t="s">
        <v>13331</v>
      </c>
      <c r="VWD1" s="221"/>
      <c r="VWE1" s="221"/>
      <c r="VWF1" s="222"/>
      <c r="VWG1" s="220" t="s">
        <v>13331</v>
      </c>
      <c r="VWH1" s="221"/>
      <c r="VWI1" s="221"/>
      <c r="VWJ1" s="222"/>
      <c r="VWK1" s="220" t="s">
        <v>13331</v>
      </c>
      <c r="VWL1" s="221"/>
      <c r="VWM1" s="221"/>
      <c r="VWN1" s="222"/>
      <c r="VWO1" s="220" t="s">
        <v>13331</v>
      </c>
      <c r="VWP1" s="221"/>
      <c r="VWQ1" s="221"/>
      <c r="VWR1" s="222"/>
      <c r="VWS1" s="220" t="s">
        <v>13331</v>
      </c>
      <c r="VWT1" s="221"/>
      <c r="VWU1" s="221"/>
      <c r="VWV1" s="222"/>
      <c r="VWW1" s="220" t="s">
        <v>13331</v>
      </c>
      <c r="VWX1" s="221"/>
      <c r="VWY1" s="221"/>
      <c r="VWZ1" s="222"/>
      <c r="VXA1" s="220" t="s">
        <v>13331</v>
      </c>
      <c r="VXB1" s="221"/>
      <c r="VXC1" s="221"/>
      <c r="VXD1" s="222"/>
      <c r="VXE1" s="220" t="s">
        <v>13331</v>
      </c>
      <c r="VXF1" s="221"/>
      <c r="VXG1" s="221"/>
      <c r="VXH1" s="222"/>
      <c r="VXI1" s="220" t="s">
        <v>13331</v>
      </c>
      <c r="VXJ1" s="221"/>
      <c r="VXK1" s="221"/>
      <c r="VXL1" s="222"/>
      <c r="VXM1" s="220" t="s">
        <v>13331</v>
      </c>
      <c r="VXN1" s="221"/>
      <c r="VXO1" s="221"/>
      <c r="VXP1" s="222"/>
      <c r="VXQ1" s="220" t="s">
        <v>13331</v>
      </c>
      <c r="VXR1" s="221"/>
      <c r="VXS1" s="221"/>
      <c r="VXT1" s="222"/>
      <c r="VXU1" s="220" t="s">
        <v>13331</v>
      </c>
      <c r="VXV1" s="221"/>
      <c r="VXW1" s="221"/>
      <c r="VXX1" s="222"/>
      <c r="VXY1" s="220" t="s">
        <v>13331</v>
      </c>
      <c r="VXZ1" s="221"/>
      <c r="VYA1" s="221"/>
      <c r="VYB1" s="222"/>
      <c r="VYC1" s="220" t="s">
        <v>13331</v>
      </c>
      <c r="VYD1" s="221"/>
      <c r="VYE1" s="221"/>
      <c r="VYF1" s="222"/>
      <c r="VYG1" s="220" t="s">
        <v>13331</v>
      </c>
      <c r="VYH1" s="221"/>
      <c r="VYI1" s="221"/>
      <c r="VYJ1" s="222"/>
      <c r="VYK1" s="220" t="s">
        <v>13331</v>
      </c>
      <c r="VYL1" s="221"/>
      <c r="VYM1" s="221"/>
      <c r="VYN1" s="222"/>
      <c r="VYO1" s="220" t="s">
        <v>13331</v>
      </c>
      <c r="VYP1" s="221"/>
      <c r="VYQ1" s="221"/>
      <c r="VYR1" s="222"/>
      <c r="VYS1" s="220" t="s">
        <v>13331</v>
      </c>
      <c r="VYT1" s="221"/>
      <c r="VYU1" s="221"/>
      <c r="VYV1" s="222"/>
      <c r="VYW1" s="220" t="s">
        <v>13331</v>
      </c>
      <c r="VYX1" s="221"/>
      <c r="VYY1" s="221"/>
      <c r="VYZ1" s="222"/>
      <c r="VZA1" s="220" t="s">
        <v>13331</v>
      </c>
      <c r="VZB1" s="221"/>
      <c r="VZC1" s="221"/>
      <c r="VZD1" s="222"/>
      <c r="VZE1" s="220" t="s">
        <v>13331</v>
      </c>
      <c r="VZF1" s="221"/>
      <c r="VZG1" s="221"/>
      <c r="VZH1" s="222"/>
      <c r="VZI1" s="220" t="s">
        <v>13331</v>
      </c>
      <c r="VZJ1" s="221"/>
      <c r="VZK1" s="221"/>
      <c r="VZL1" s="222"/>
      <c r="VZM1" s="220" t="s">
        <v>13331</v>
      </c>
      <c r="VZN1" s="221"/>
      <c r="VZO1" s="221"/>
      <c r="VZP1" s="222"/>
      <c r="VZQ1" s="220" t="s">
        <v>13331</v>
      </c>
      <c r="VZR1" s="221"/>
      <c r="VZS1" s="221"/>
      <c r="VZT1" s="222"/>
      <c r="VZU1" s="220" t="s">
        <v>13331</v>
      </c>
      <c r="VZV1" s="221"/>
      <c r="VZW1" s="221"/>
      <c r="VZX1" s="222"/>
      <c r="VZY1" s="220" t="s">
        <v>13331</v>
      </c>
      <c r="VZZ1" s="221"/>
      <c r="WAA1" s="221"/>
      <c r="WAB1" s="222"/>
      <c r="WAC1" s="220" t="s">
        <v>13331</v>
      </c>
      <c r="WAD1" s="221"/>
      <c r="WAE1" s="221"/>
      <c r="WAF1" s="222"/>
      <c r="WAG1" s="220" t="s">
        <v>13331</v>
      </c>
      <c r="WAH1" s="221"/>
      <c r="WAI1" s="221"/>
      <c r="WAJ1" s="222"/>
      <c r="WAK1" s="220" t="s">
        <v>13331</v>
      </c>
      <c r="WAL1" s="221"/>
      <c r="WAM1" s="221"/>
      <c r="WAN1" s="222"/>
      <c r="WAO1" s="220" t="s">
        <v>13331</v>
      </c>
      <c r="WAP1" s="221"/>
      <c r="WAQ1" s="221"/>
      <c r="WAR1" s="222"/>
      <c r="WAS1" s="220" t="s">
        <v>13331</v>
      </c>
      <c r="WAT1" s="221"/>
      <c r="WAU1" s="221"/>
      <c r="WAV1" s="222"/>
      <c r="WAW1" s="220" t="s">
        <v>13331</v>
      </c>
      <c r="WAX1" s="221"/>
      <c r="WAY1" s="221"/>
      <c r="WAZ1" s="222"/>
      <c r="WBA1" s="220" t="s">
        <v>13331</v>
      </c>
      <c r="WBB1" s="221"/>
      <c r="WBC1" s="221"/>
      <c r="WBD1" s="222"/>
      <c r="WBE1" s="220" t="s">
        <v>13331</v>
      </c>
      <c r="WBF1" s="221"/>
      <c r="WBG1" s="221"/>
      <c r="WBH1" s="222"/>
      <c r="WBI1" s="220" t="s">
        <v>13331</v>
      </c>
      <c r="WBJ1" s="221"/>
      <c r="WBK1" s="221"/>
      <c r="WBL1" s="222"/>
      <c r="WBM1" s="220" t="s">
        <v>13331</v>
      </c>
      <c r="WBN1" s="221"/>
      <c r="WBO1" s="221"/>
      <c r="WBP1" s="222"/>
      <c r="WBQ1" s="220" t="s">
        <v>13331</v>
      </c>
      <c r="WBR1" s="221"/>
      <c r="WBS1" s="221"/>
      <c r="WBT1" s="222"/>
      <c r="WBU1" s="220" t="s">
        <v>13331</v>
      </c>
      <c r="WBV1" s="221"/>
      <c r="WBW1" s="221"/>
      <c r="WBX1" s="222"/>
      <c r="WBY1" s="220" t="s">
        <v>13331</v>
      </c>
      <c r="WBZ1" s="221"/>
      <c r="WCA1" s="221"/>
      <c r="WCB1" s="222"/>
      <c r="WCC1" s="220" t="s">
        <v>13331</v>
      </c>
      <c r="WCD1" s="221"/>
      <c r="WCE1" s="221"/>
      <c r="WCF1" s="222"/>
      <c r="WCG1" s="220" t="s">
        <v>13331</v>
      </c>
      <c r="WCH1" s="221"/>
      <c r="WCI1" s="221"/>
      <c r="WCJ1" s="222"/>
      <c r="WCK1" s="220" t="s">
        <v>13331</v>
      </c>
      <c r="WCL1" s="221"/>
      <c r="WCM1" s="221"/>
      <c r="WCN1" s="222"/>
      <c r="WCO1" s="220" t="s">
        <v>13331</v>
      </c>
      <c r="WCP1" s="221"/>
      <c r="WCQ1" s="221"/>
      <c r="WCR1" s="222"/>
      <c r="WCS1" s="220" t="s">
        <v>13331</v>
      </c>
      <c r="WCT1" s="221"/>
      <c r="WCU1" s="221"/>
      <c r="WCV1" s="222"/>
      <c r="WCW1" s="220" t="s">
        <v>13331</v>
      </c>
      <c r="WCX1" s="221"/>
      <c r="WCY1" s="221"/>
      <c r="WCZ1" s="222"/>
      <c r="WDA1" s="220" t="s">
        <v>13331</v>
      </c>
      <c r="WDB1" s="221"/>
      <c r="WDC1" s="221"/>
      <c r="WDD1" s="222"/>
      <c r="WDE1" s="220" t="s">
        <v>13331</v>
      </c>
      <c r="WDF1" s="221"/>
      <c r="WDG1" s="221"/>
      <c r="WDH1" s="222"/>
      <c r="WDI1" s="220" t="s">
        <v>13331</v>
      </c>
      <c r="WDJ1" s="221"/>
      <c r="WDK1" s="221"/>
      <c r="WDL1" s="222"/>
      <c r="WDM1" s="220" t="s">
        <v>13331</v>
      </c>
      <c r="WDN1" s="221"/>
      <c r="WDO1" s="221"/>
      <c r="WDP1" s="222"/>
      <c r="WDQ1" s="220" t="s">
        <v>13331</v>
      </c>
      <c r="WDR1" s="221"/>
      <c r="WDS1" s="221"/>
      <c r="WDT1" s="222"/>
      <c r="WDU1" s="220" t="s">
        <v>13331</v>
      </c>
      <c r="WDV1" s="221"/>
      <c r="WDW1" s="221"/>
      <c r="WDX1" s="222"/>
      <c r="WDY1" s="220" t="s">
        <v>13331</v>
      </c>
      <c r="WDZ1" s="221"/>
      <c r="WEA1" s="221"/>
      <c r="WEB1" s="222"/>
      <c r="WEC1" s="220" t="s">
        <v>13331</v>
      </c>
      <c r="WED1" s="221"/>
      <c r="WEE1" s="221"/>
      <c r="WEF1" s="222"/>
      <c r="WEG1" s="220" t="s">
        <v>13331</v>
      </c>
      <c r="WEH1" s="221"/>
      <c r="WEI1" s="221"/>
      <c r="WEJ1" s="222"/>
      <c r="WEK1" s="220" t="s">
        <v>13331</v>
      </c>
      <c r="WEL1" s="221"/>
      <c r="WEM1" s="221"/>
      <c r="WEN1" s="222"/>
      <c r="WEO1" s="220" t="s">
        <v>13331</v>
      </c>
      <c r="WEP1" s="221"/>
      <c r="WEQ1" s="221"/>
      <c r="WER1" s="222"/>
      <c r="WES1" s="220" t="s">
        <v>13331</v>
      </c>
      <c r="WET1" s="221"/>
      <c r="WEU1" s="221"/>
      <c r="WEV1" s="222"/>
      <c r="WEW1" s="220" t="s">
        <v>13331</v>
      </c>
      <c r="WEX1" s="221"/>
      <c r="WEY1" s="221"/>
      <c r="WEZ1" s="222"/>
      <c r="WFA1" s="220" t="s">
        <v>13331</v>
      </c>
      <c r="WFB1" s="221"/>
      <c r="WFC1" s="221"/>
      <c r="WFD1" s="222"/>
      <c r="WFE1" s="220" t="s">
        <v>13331</v>
      </c>
      <c r="WFF1" s="221"/>
      <c r="WFG1" s="221"/>
      <c r="WFH1" s="222"/>
      <c r="WFI1" s="220" t="s">
        <v>13331</v>
      </c>
      <c r="WFJ1" s="221"/>
      <c r="WFK1" s="221"/>
      <c r="WFL1" s="222"/>
      <c r="WFM1" s="220" t="s">
        <v>13331</v>
      </c>
      <c r="WFN1" s="221"/>
      <c r="WFO1" s="221"/>
      <c r="WFP1" s="222"/>
      <c r="WFQ1" s="220" t="s">
        <v>13331</v>
      </c>
      <c r="WFR1" s="221"/>
      <c r="WFS1" s="221"/>
      <c r="WFT1" s="222"/>
      <c r="WFU1" s="220" t="s">
        <v>13331</v>
      </c>
      <c r="WFV1" s="221"/>
      <c r="WFW1" s="221"/>
      <c r="WFX1" s="222"/>
      <c r="WFY1" s="220" t="s">
        <v>13331</v>
      </c>
      <c r="WFZ1" s="221"/>
      <c r="WGA1" s="221"/>
      <c r="WGB1" s="222"/>
      <c r="WGC1" s="220" t="s">
        <v>13331</v>
      </c>
      <c r="WGD1" s="221"/>
      <c r="WGE1" s="221"/>
      <c r="WGF1" s="222"/>
      <c r="WGG1" s="220" t="s">
        <v>13331</v>
      </c>
      <c r="WGH1" s="221"/>
      <c r="WGI1" s="221"/>
      <c r="WGJ1" s="222"/>
      <c r="WGK1" s="220" t="s">
        <v>13331</v>
      </c>
      <c r="WGL1" s="221"/>
      <c r="WGM1" s="221"/>
      <c r="WGN1" s="222"/>
      <c r="WGO1" s="220" t="s">
        <v>13331</v>
      </c>
      <c r="WGP1" s="221"/>
      <c r="WGQ1" s="221"/>
      <c r="WGR1" s="222"/>
      <c r="WGS1" s="220" t="s">
        <v>13331</v>
      </c>
      <c r="WGT1" s="221"/>
      <c r="WGU1" s="221"/>
      <c r="WGV1" s="222"/>
      <c r="WGW1" s="220" t="s">
        <v>13331</v>
      </c>
      <c r="WGX1" s="221"/>
      <c r="WGY1" s="221"/>
      <c r="WGZ1" s="222"/>
      <c r="WHA1" s="220" t="s">
        <v>13331</v>
      </c>
      <c r="WHB1" s="221"/>
      <c r="WHC1" s="221"/>
      <c r="WHD1" s="222"/>
      <c r="WHE1" s="220" t="s">
        <v>13331</v>
      </c>
      <c r="WHF1" s="221"/>
      <c r="WHG1" s="221"/>
      <c r="WHH1" s="222"/>
      <c r="WHI1" s="220" t="s">
        <v>13331</v>
      </c>
      <c r="WHJ1" s="221"/>
      <c r="WHK1" s="221"/>
      <c r="WHL1" s="222"/>
      <c r="WHM1" s="220" t="s">
        <v>13331</v>
      </c>
      <c r="WHN1" s="221"/>
      <c r="WHO1" s="221"/>
      <c r="WHP1" s="222"/>
      <c r="WHQ1" s="220" t="s">
        <v>13331</v>
      </c>
      <c r="WHR1" s="221"/>
      <c r="WHS1" s="221"/>
      <c r="WHT1" s="222"/>
      <c r="WHU1" s="220" t="s">
        <v>13331</v>
      </c>
      <c r="WHV1" s="221"/>
      <c r="WHW1" s="221"/>
      <c r="WHX1" s="222"/>
      <c r="WHY1" s="220" t="s">
        <v>13331</v>
      </c>
      <c r="WHZ1" s="221"/>
      <c r="WIA1" s="221"/>
      <c r="WIB1" s="222"/>
      <c r="WIC1" s="220" t="s">
        <v>13331</v>
      </c>
      <c r="WID1" s="221"/>
      <c r="WIE1" s="221"/>
      <c r="WIF1" s="222"/>
      <c r="WIG1" s="220" t="s">
        <v>13331</v>
      </c>
      <c r="WIH1" s="221"/>
      <c r="WII1" s="221"/>
      <c r="WIJ1" s="222"/>
      <c r="WIK1" s="220" t="s">
        <v>13331</v>
      </c>
      <c r="WIL1" s="221"/>
      <c r="WIM1" s="221"/>
      <c r="WIN1" s="222"/>
      <c r="WIO1" s="220" t="s">
        <v>13331</v>
      </c>
      <c r="WIP1" s="221"/>
      <c r="WIQ1" s="221"/>
      <c r="WIR1" s="222"/>
      <c r="WIS1" s="220" t="s">
        <v>13331</v>
      </c>
      <c r="WIT1" s="221"/>
      <c r="WIU1" s="221"/>
      <c r="WIV1" s="222"/>
      <c r="WIW1" s="220" t="s">
        <v>13331</v>
      </c>
      <c r="WIX1" s="221"/>
      <c r="WIY1" s="221"/>
      <c r="WIZ1" s="222"/>
      <c r="WJA1" s="220" t="s">
        <v>13331</v>
      </c>
      <c r="WJB1" s="221"/>
      <c r="WJC1" s="221"/>
      <c r="WJD1" s="222"/>
      <c r="WJE1" s="220" t="s">
        <v>13331</v>
      </c>
      <c r="WJF1" s="221"/>
      <c r="WJG1" s="221"/>
      <c r="WJH1" s="222"/>
      <c r="WJI1" s="220" t="s">
        <v>13331</v>
      </c>
      <c r="WJJ1" s="221"/>
      <c r="WJK1" s="221"/>
      <c r="WJL1" s="222"/>
      <c r="WJM1" s="220" t="s">
        <v>13331</v>
      </c>
      <c r="WJN1" s="221"/>
      <c r="WJO1" s="221"/>
      <c r="WJP1" s="222"/>
      <c r="WJQ1" s="220" t="s">
        <v>13331</v>
      </c>
      <c r="WJR1" s="221"/>
      <c r="WJS1" s="221"/>
      <c r="WJT1" s="222"/>
      <c r="WJU1" s="220" t="s">
        <v>13331</v>
      </c>
      <c r="WJV1" s="221"/>
      <c r="WJW1" s="221"/>
      <c r="WJX1" s="222"/>
      <c r="WJY1" s="220" t="s">
        <v>13331</v>
      </c>
      <c r="WJZ1" s="221"/>
      <c r="WKA1" s="221"/>
      <c r="WKB1" s="222"/>
      <c r="WKC1" s="220" t="s">
        <v>13331</v>
      </c>
      <c r="WKD1" s="221"/>
      <c r="WKE1" s="221"/>
      <c r="WKF1" s="222"/>
      <c r="WKG1" s="220" t="s">
        <v>13331</v>
      </c>
      <c r="WKH1" s="221"/>
      <c r="WKI1" s="221"/>
      <c r="WKJ1" s="222"/>
      <c r="WKK1" s="220" t="s">
        <v>13331</v>
      </c>
      <c r="WKL1" s="221"/>
      <c r="WKM1" s="221"/>
      <c r="WKN1" s="222"/>
      <c r="WKO1" s="220" t="s">
        <v>13331</v>
      </c>
      <c r="WKP1" s="221"/>
      <c r="WKQ1" s="221"/>
      <c r="WKR1" s="222"/>
      <c r="WKS1" s="220" t="s">
        <v>13331</v>
      </c>
      <c r="WKT1" s="221"/>
      <c r="WKU1" s="221"/>
      <c r="WKV1" s="222"/>
      <c r="WKW1" s="220" t="s">
        <v>13331</v>
      </c>
      <c r="WKX1" s="221"/>
      <c r="WKY1" s="221"/>
      <c r="WKZ1" s="222"/>
      <c r="WLA1" s="220" t="s">
        <v>13331</v>
      </c>
      <c r="WLB1" s="221"/>
      <c r="WLC1" s="221"/>
      <c r="WLD1" s="222"/>
      <c r="WLE1" s="220" t="s">
        <v>13331</v>
      </c>
      <c r="WLF1" s="221"/>
      <c r="WLG1" s="221"/>
      <c r="WLH1" s="222"/>
      <c r="WLI1" s="220" t="s">
        <v>13331</v>
      </c>
      <c r="WLJ1" s="221"/>
      <c r="WLK1" s="221"/>
      <c r="WLL1" s="222"/>
      <c r="WLM1" s="220" t="s">
        <v>13331</v>
      </c>
      <c r="WLN1" s="221"/>
      <c r="WLO1" s="221"/>
      <c r="WLP1" s="222"/>
      <c r="WLQ1" s="220" t="s">
        <v>13331</v>
      </c>
      <c r="WLR1" s="221"/>
      <c r="WLS1" s="221"/>
      <c r="WLT1" s="222"/>
      <c r="WLU1" s="220" t="s">
        <v>13331</v>
      </c>
      <c r="WLV1" s="221"/>
      <c r="WLW1" s="221"/>
      <c r="WLX1" s="222"/>
      <c r="WLY1" s="220" t="s">
        <v>13331</v>
      </c>
      <c r="WLZ1" s="221"/>
      <c r="WMA1" s="221"/>
      <c r="WMB1" s="222"/>
      <c r="WMC1" s="220" t="s">
        <v>13331</v>
      </c>
      <c r="WMD1" s="221"/>
      <c r="WME1" s="221"/>
      <c r="WMF1" s="222"/>
      <c r="WMG1" s="220" t="s">
        <v>13331</v>
      </c>
      <c r="WMH1" s="221"/>
      <c r="WMI1" s="221"/>
      <c r="WMJ1" s="222"/>
      <c r="WMK1" s="220" t="s">
        <v>13331</v>
      </c>
      <c r="WML1" s="221"/>
      <c r="WMM1" s="221"/>
      <c r="WMN1" s="222"/>
      <c r="WMO1" s="220" t="s">
        <v>13331</v>
      </c>
      <c r="WMP1" s="221"/>
      <c r="WMQ1" s="221"/>
      <c r="WMR1" s="222"/>
      <c r="WMS1" s="220" t="s">
        <v>13331</v>
      </c>
      <c r="WMT1" s="221"/>
      <c r="WMU1" s="221"/>
      <c r="WMV1" s="222"/>
      <c r="WMW1" s="220" t="s">
        <v>13331</v>
      </c>
      <c r="WMX1" s="221"/>
      <c r="WMY1" s="221"/>
      <c r="WMZ1" s="222"/>
      <c r="WNA1" s="220" t="s">
        <v>13331</v>
      </c>
      <c r="WNB1" s="221"/>
      <c r="WNC1" s="221"/>
      <c r="WND1" s="222"/>
      <c r="WNE1" s="220" t="s">
        <v>13331</v>
      </c>
      <c r="WNF1" s="221"/>
      <c r="WNG1" s="221"/>
      <c r="WNH1" s="222"/>
      <c r="WNI1" s="220" t="s">
        <v>13331</v>
      </c>
      <c r="WNJ1" s="221"/>
      <c r="WNK1" s="221"/>
      <c r="WNL1" s="222"/>
      <c r="WNM1" s="220" t="s">
        <v>13331</v>
      </c>
      <c r="WNN1" s="221"/>
      <c r="WNO1" s="221"/>
      <c r="WNP1" s="222"/>
      <c r="WNQ1" s="220" t="s">
        <v>13331</v>
      </c>
      <c r="WNR1" s="221"/>
      <c r="WNS1" s="221"/>
      <c r="WNT1" s="222"/>
      <c r="WNU1" s="220" t="s">
        <v>13331</v>
      </c>
      <c r="WNV1" s="221"/>
      <c r="WNW1" s="221"/>
      <c r="WNX1" s="222"/>
      <c r="WNY1" s="220" t="s">
        <v>13331</v>
      </c>
      <c r="WNZ1" s="221"/>
      <c r="WOA1" s="221"/>
      <c r="WOB1" s="222"/>
      <c r="WOC1" s="220" t="s">
        <v>13331</v>
      </c>
      <c r="WOD1" s="221"/>
      <c r="WOE1" s="221"/>
      <c r="WOF1" s="222"/>
      <c r="WOG1" s="220" t="s">
        <v>13331</v>
      </c>
      <c r="WOH1" s="221"/>
      <c r="WOI1" s="221"/>
      <c r="WOJ1" s="222"/>
      <c r="WOK1" s="220" t="s">
        <v>13331</v>
      </c>
      <c r="WOL1" s="221"/>
      <c r="WOM1" s="221"/>
      <c r="WON1" s="222"/>
      <c r="WOO1" s="220" t="s">
        <v>13331</v>
      </c>
      <c r="WOP1" s="221"/>
      <c r="WOQ1" s="221"/>
      <c r="WOR1" s="222"/>
      <c r="WOS1" s="220" t="s">
        <v>13331</v>
      </c>
      <c r="WOT1" s="221"/>
      <c r="WOU1" s="221"/>
      <c r="WOV1" s="222"/>
      <c r="WOW1" s="220" t="s">
        <v>13331</v>
      </c>
      <c r="WOX1" s="221"/>
      <c r="WOY1" s="221"/>
      <c r="WOZ1" s="222"/>
      <c r="WPA1" s="220" t="s">
        <v>13331</v>
      </c>
      <c r="WPB1" s="221"/>
      <c r="WPC1" s="221"/>
      <c r="WPD1" s="222"/>
      <c r="WPE1" s="220" t="s">
        <v>13331</v>
      </c>
      <c r="WPF1" s="221"/>
      <c r="WPG1" s="221"/>
      <c r="WPH1" s="222"/>
      <c r="WPI1" s="220" t="s">
        <v>13331</v>
      </c>
      <c r="WPJ1" s="221"/>
      <c r="WPK1" s="221"/>
      <c r="WPL1" s="222"/>
      <c r="WPM1" s="220" t="s">
        <v>13331</v>
      </c>
      <c r="WPN1" s="221"/>
      <c r="WPO1" s="221"/>
      <c r="WPP1" s="222"/>
      <c r="WPQ1" s="220" t="s">
        <v>13331</v>
      </c>
      <c r="WPR1" s="221"/>
      <c r="WPS1" s="221"/>
      <c r="WPT1" s="222"/>
      <c r="WPU1" s="220" t="s">
        <v>13331</v>
      </c>
      <c r="WPV1" s="221"/>
      <c r="WPW1" s="221"/>
      <c r="WPX1" s="222"/>
      <c r="WPY1" s="220" t="s">
        <v>13331</v>
      </c>
      <c r="WPZ1" s="221"/>
      <c r="WQA1" s="221"/>
      <c r="WQB1" s="222"/>
      <c r="WQC1" s="220" t="s">
        <v>13331</v>
      </c>
      <c r="WQD1" s="221"/>
      <c r="WQE1" s="221"/>
      <c r="WQF1" s="222"/>
      <c r="WQG1" s="220" t="s">
        <v>13331</v>
      </c>
      <c r="WQH1" s="221"/>
      <c r="WQI1" s="221"/>
      <c r="WQJ1" s="222"/>
      <c r="WQK1" s="220" t="s">
        <v>13331</v>
      </c>
      <c r="WQL1" s="221"/>
      <c r="WQM1" s="221"/>
      <c r="WQN1" s="222"/>
      <c r="WQO1" s="220" t="s">
        <v>13331</v>
      </c>
      <c r="WQP1" s="221"/>
      <c r="WQQ1" s="221"/>
      <c r="WQR1" s="222"/>
      <c r="WQS1" s="220" t="s">
        <v>13331</v>
      </c>
      <c r="WQT1" s="221"/>
      <c r="WQU1" s="221"/>
      <c r="WQV1" s="222"/>
      <c r="WQW1" s="220" t="s">
        <v>13331</v>
      </c>
      <c r="WQX1" s="221"/>
      <c r="WQY1" s="221"/>
      <c r="WQZ1" s="222"/>
      <c r="WRA1" s="220" t="s">
        <v>13331</v>
      </c>
      <c r="WRB1" s="221"/>
      <c r="WRC1" s="221"/>
      <c r="WRD1" s="222"/>
      <c r="WRE1" s="220" t="s">
        <v>13331</v>
      </c>
      <c r="WRF1" s="221"/>
      <c r="WRG1" s="221"/>
      <c r="WRH1" s="222"/>
      <c r="WRI1" s="220" t="s">
        <v>13331</v>
      </c>
      <c r="WRJ1" s="221"/>
      <c r="WRK1" s="221"/>
      <c r="WRL1" s="222"/>
      <c r="WRM1" s="220" t="s">
        <v>13331</v>
      </c>
      <c r="WRN1" s="221"/>
      <c r="WRO1" s="221"/>
      <c r="WRP1" s="222"/>
      <c r="WRQ1" s="220" t="s">
        <v>13331</v>
      </c>
      <c r="WRR1" s="221"/>
      <c r="WRS1" s="221"/>
      <c r="WRT1" s="222"/>
      <c r="WRU1" s="220" t="s">
        <v>13331</v>
      </c>
      <c r="WRV1" s="221"/>
      <c r="WRW1" s="221"/>
      <c r="WRX1" s="222"/>
      <c r="WRY1" s="220" t="s">
        <v>13331</v>
      </c>
      <c r="WRZ1" s="221"/>
      <c r="WSA1" s="221"/>
      <c r="WSB1" s="222"/>
      <c r="WSC1" s="220" t="s">
        <v>13331</v>
      </c>
      <c r="WSD1" s="221"/>
      <c r="WSE1" s="221"/>
      <c r="WSF1" s="222"/>
      <c r="WSG1" s="220" t="s">
        <v>13331</v>
      </c>
      <c r="WSH1" s="221"/>
      <c r="WSI1" s="221"/>
      <c r="WSJ1" s="222"/>
      <c r="WSK1" s="220" t="s">
        <v>13331</v>
      </c>
      <c r="WSL1" s="221"/>
      <c r="WSM1" s="221"/>
      <c r="WSN1" s="222"/>
      <c r="WSO1" s="220" t="s">
        <v>13331</v>
      </c>
      <c r="WSP1" s="221"/>
      <c r="WSQ1" s="221"/>
      <c r="WSR1" s="222"/>
      <c r="WSS1" s="220" t="s">
        <v>13331</v>
      </c>
      <c r="WST1" s="221"/>
      <c r="WSU1" s="221"/>
      <c r="WSV1" s="222"/>
      <c r="WSW1" s="220" t="s">
        <v>13331</v>
      </c>
      <c r="WSX1" s="221"/>
      <c r="WSY1" s="221"/>
      <c r="WSZ1" s="222"/>
      <c r="WTA1" s="220" t="s">
        <v>13331</v>
      </c>
      <c r="WTB1" s="221"/>
      <c r="WTC1" s="221"/>
      <c r="WTD1" s="222"/>
      <c r="WTE1" s="220" t="s">
        <v>13331</v>
      </c>
      <c r="WTF1" s="221"/>
      <c r="WTG1" s="221"/>
      <c r="WTH1" s="222"/>
      <c r="WTI1" s="220" t="s">
        <v>13331</v>
      </c>
      <c r="WTJ1" s="221"/>
      <c r="WTK1" s="221"/>
      <c r="WTL1" s="222"/>
      <c r="WTM1" s="220" t="s">
        <v>13331</v>
      </c>
      <c r="WTN1" s="221"/>
      <c r="WTO1" s="221"/>
      <c r="WTP1" s="222"/>
      <c r="WTQ1" s="220" t="s">
        <v>13331</v>
      </c>
      <c r="WTR1" s="221"/>
      <c r="WTS1" s="221"/>
      <c r="WTT1" s="222"/>
      <c r="WTU1" s="220" t="s">
        <v>13331</v>
      </c>
      <c r="WTV1" s="221"/>
      <c r="WTW1" s="221"/>
      <c r="WTX1" s="222"/>
      <c r="WTY1" s="220" t="s">
        <v>13331</v>
      </c>
      <c r="WTZ1" s="221"/>
      <c r="WUA1" s="221"/>
      <c r="WUB1" s="222"/>
      <c r="WUC1" s="220" t="s">
        <v>13331</v>
      </c>
      <c r="WUD1" s="221"/>
      <c r="WUE1" s="221"/>
      <c r="WUF1" s="222"/>
      <c r="WUG1" s="220" t="s">
        <v>13331</v>
      </c>
      <c r="WUH1" s="221"/>
      <c r="WUI1" s="221"/>
      <c r="WUJ1" s="222"/>
      <c r="WUK1" s="220" t="s">
        <v>13331</v>
      </c>
      <c r="WUL1" s="221"/>
      <c r="WUM1" s="221"/>
      <c r="WUN1" s="222"/>
      <c r="WUO1" s="220" t="s">
        <v>13331</v>
      </c>
      <c r="WUP1" s="221"/>
      <c r="WUQ1" s="221"/>
      <c r="WUR1" s="222"/>
      <c r="WUS1" s="220" t="s">
        <v>13331</v>
      </c>
      <c r="WUT1" s="221"/>
      <c r="WUU1" s="221"/>
      <c r="WUV1" s="222"/>
      <c r="WUW1" s="220" t="s">
        <v>13331</v>
      </c>
      <c r="WUX1" s="221"/>
      <c r="WUY1" s="221"/>
      <c r="WUZ1" s="222"/>
      <c r="WVA1" s="220" t="s">
        <v>13331</v>
      </c>
      <c r="WVB1" s="221"/>
      <c r="WVC1" s="221"/>
      <c r="WVD1" s="222"/>
      <c r="WVE1" s="220" t="s">
        <v>13331</v>
      </c>
      <c r="WVF1" s="221"/>
      <c r="WVG1" s="221"/>
      <c r="WVH1" s="222"/>
      <c r="WVI1" s="220" t="s">
        <v>13331</v>
      </c>
      <c r="WVJ1" s="221"/>
      <c r="WVK1" s="221"/>
      <c r="WVL1" s="222"/>
      <c r="WVM1" s="220" t="s">
        <v>13331</v>
      </c>
      <c r="WVN1" s="221"/>
      <c r="WVO1" s="221"/>
      <c r="WVP1" s="222"/>
      <c r="WVQ1" s="220" t="s">
        <v>13331</v>
      </c>
      <c r="WVR1" s="221"/>
      <c r="WVS1" s="221"/>
      <c r="WVT1" s="222"/>
      <c r="WVU1" s="220" t="s">
        <v>13331</v>
      </c>
      <c r="WVV1" s="221"/>
      <c r="WVW1" s="221"/>
      <c r="WVX1" s="222"/>
      <c r="WVY1" s="220" t="s">
        <v>13331</v>
      </c>
      <c r="WVZ1" s="221"/>
      <c r="WWA1" s="221"/>
      <c r="WWB1" s="222"/>
      <c r="WWC1" s="220" t="s">
        <v>13331</v>
      </c>
      <c r="WWD1" s="221"/>
      <c r="WWE1" s="221"/>
      <c r="WWF1" s="222"/>
      <c r="WWG1" s="220" t="s">
        <v>13331</v>
      </c>
      <c r="WWH1" s="221"/>
      <c r="WWI1" s="221"/>
      <c r="WWJ1" s="222"/>
      <c r="WWK1" s="220" t="s">
        <v>13331</v>
      </c>
      <c r="WWL1" s="221"/>
      <c r="WWM1" s="221"/>
      <c r="WWN1" s="222"/>
      <c r="WWO1" s="220" t="s">
        <v>13331</v>
      </c>
      <c r="WWP1" s="221"/>
      <c r="WWQ1" s="221"/>
      <c r="WWR1" s="222"/>
      <c r="WWS1" s="220" t="s">
        <v>13331</v>
      </c>
      <c r="WWT1" s="221"/>
      <c r="WWU1" s="221"/>
      <c r="WWV1" s="222"/>
      <c r="WWW1" s="220" t="s">
        <v>13331</v>
      </c>
      <c r="WWX1" s="221"/>
      <c r="WWY1" s="221"/>
      <c r="WWZ1" s="222"/>
      <c r="WXA1" s="220" t="s">
        <v>13331</v>
      </c>
      <c r="WXB1" s="221"/>
      <c r="WXC1" s="221"/>
      <c r="WXD1" s="222"/>
      <c r="WXE1" s="220" t="s">
        <v>13331</v>
      </c>
      <c r="WXF1" s="221"/>
      <c r="WXG1" s="221"/>
      <c r="WXH1" s="222"/>
      <c r="WXI1" s="220" t="s">
        <v>13331</v>
      </c>
      <c r="WXJ1" s="221"/>
      <c r="WXK1" s="221"/>
      <c r="WXL1" s="222"/>
      <c r="WXM1" s="220" t="s">
        <v>13331</v>
      </c>
      <c r="WXN1" s="221"/>
      <c r="WXO1" s="221"/>
      <c r="WXP1" s="222"/>
      <c r="WXQ1" s="220" t="s">
        <v>13331</v>
      </c>
      <c r="WXR1" s="221"/>
      <c r="WXS1" s="221"/>
      <c r="WXT1" s="222"/>
      <c r="WXU1" s="220" t="s">
        <v>13331</v>
      </c>
      <c r="WXV1" s="221"/>
      <c r="WXW1" s="221"/>
      <c r="WXX1" s="222"/>
      <c r="WXY1" s="220" t="s">
        <v>13331</v>
      </c>
      <c r="WXZ1" s="221"/>
      <c r="WYA1" s="221"/>
      <c r="WYB1" s="222"/>
      <c r="WYC1" s="220" t="s">
        <v>13331</v>
      </c>
      <c r="WYD1" s="221"/>
      <c r="WYE1" s="221"/>
      <c r="WYF1" s="222"/>
      <c r="WYG1" s="220" t="s">
        <v>13331</v>
      </c>
      <c r="WYH1" s="221"/>
      <c r="WYI1" s="221"/>
      <c r="WYJ1" s="222"/>
      <c r="WYK1" s="220" t="s">
        <v>13331</v>
      </c>
      <c r="WYL1" s="221"/>
      <c r="WYM1" s="221"/>
      <c r="WYN1" s="222"/>
      <c r="WYO1" s="220" t="s">
        <v>13331</v>
      </c>
      <c r="WYP1" s="221"/>
      <c r="WYQ1" s="221"/>
      <c r="WYR1" s="222"/>
      <c r="WYS1" s="220" t="s">
        <v>13331</v>
      </c>
      <c r="WYT1" s="221"/>
      <c r="WYU1" s="221"/>
      <c r="WYV1" s="222"/>
      <c r="WYW1" s="220" t="s">
        <v>13331</v>
      </c>
      <c r="WYX1" s="221"/>
      <c r="WYY1" s="221"/>
      <c r="WYZ1" s="222"/>
      <c r="WZA1" s="220" t="s">
        <v>13331</v>
      </c>
      <c r="WZB1" s="221"/>
      <c r="WZC1" s="221"/>
      <c r="WZD1" s="222"/>
      <c r="WZE1" s="220" t="s">
        <v>13331</v>
      </c>
      <c r="WZF1" s="221"/>
      <c r="WZG1" s="221"/>
      <c r="WZH1" s="222"/>
      <c r="WZI1" s="220" t="s">
        <v>13331</v>
      </c>
      <c r="WZJ1" s="221"/>
      <c r="WZK1" s="221"/>
      <c r="WZL1" s="222"/>
      <c r="WZM1" s="220" t="s">
        <v>13331</v>
      </c>
      <c r="WZN1" s="221"/>
      <c r="WZO1" s="221"/>
      <c r="WZP1" s="222"/>
      <c r="WZQ1" s="220" t="s">
        <v>13331</v>
      </c>
      <c r="WZR1" s="221"/>
      <c r="WZS1" s="221"/>
      <c r="WZT1" s="222"/>
      <c r="WZU1" s="220" t="s">
        <v>13331</v>
      </c>
      <c r="WZV1" s="221"/>
      <c r="WZW1" s="221"/>
      <c r="WZX1" s="222"/>
      <c r="WZY1" s="220" t="s">
        <v>13331</v>
      </c>
      <c r="WZZ1" s="221"/>
      <c r="XAA1" s="221"/>
      <c r="XAB1" s="222"/>
      <c r="XAC1" s="220" t="s">
        <v>13331</v>
      </c>
      <c r="XAD1" s="221"/>
      <c r="XAE1" s="221"/>
      <c r="XAF1" s="222"/>
      <c r="XAG1" s="220" t="s">
        <v>13331</v>
      </c>
      <c r="XAH1" s="221"/>
      <c r="XAI1" s="221"/>
      <c r="XAJ1" s="222"/>
      <c r="XAK1" s="220" t="s">
        <v>13331</v>
      </c>
      <c r="XAL1" s="221"/>
      <c r="XAM1" s="221"/>
      <c r="XAN1" s="222"/>
      <c r="XAO1" s="220" t="s">
        <v>13331</v>
      </c>
      <c r="XAP1" s="221"/>
      <c r="XAQ1" s="221"/>
      <c r="XAR1" s="222"/>
      <c r="XAS1" s="220" t="s">
        <v>13331</v>
      </c>
      <c r="XAT1" s="221"/>
      <c r="XAU1" s="221"/>
      <c r="XAV1" s="222"/>
      <c r="XAW1" s="220" t="s">
        <v>13331</v>
      </c>
      <c r="XAX1" s="221"/>
      <c r="XAY1" s="221"/>
      <c r="XAZ1" s="222"/>
      <c r="XBA1" s="220" t="s">
        <v>13331</v>
      </c>
      <c r="XBB1" s="221"/>
      <c r="XBC1" s="221"/>
      <c r="XBD1" s="222"/>
      <c r="XBE1" s="220" t="s">
        <v>13331</v>
      </c>
      <c r="XBF1" s="221"/>
      <c r="XBG1" s="221"/>
      <c r="XBH1" s="222"/>
      <c r="XBI1" s="220" t="s">
        <v>13331</v>
      </c>
      <c r="XBJ1" s="221"/>
      <c r="XBK1" s="221"/>
      <c r="XBL1" s="222"/>
      <c r="XBM1" s="220" t="s">
        <v>13331</v>
      </c>
      <c r="XBN1" s="221"/>
      <c r="XBO1" s="221"/>
      <c r="XBP1" s="222"/>
      <c r="XBQ1" s="220" t="s">
        <v>13331</v>
      </c>
      <c r="XBR1" s="221"/>
      <c r="XBS1" s="221"/>
      <c r="XBT1" s="222"/>
      <c r="XBU1" s="220" t="s">
        <v>13331</v>
      </c>
      <c r="XBV1" s="221"/>
      <c r="XBW1" s="221"/>
      <c r="XBX1" s="222"/>
      <c r="XBY1" s="220" t="s">
        <v>13331</v>
      </c>
      <c r="XBZ1" s="221"/>
      <c r="XCA1" s="221"/>
      <c r="XCB1" s="222"/>
      <c r="XCC1" s="220" t="s">
        <v>13331</v>
      </c>
      <c r="XCD1" s="221"/>
      <c r="XCE1" s="221"/>
      <c r="XCF1" s="222"/>
      <c r="XCG1" s="220" t="s">
        <v>13331</v>
      </c>
      <c r="XCH1" s="221"/>
      <c r="XCI1" s="221"/>
      <c r="XCJ1" s="222"/>
      <c r="XCK1" s="220" t="s">
        <v>13331</v>
      </c>
      <c r="XCL1" s="221"/>
      <c r="XCM1" s="221"/>
      <c r="XCN1" s="222"/>
      <c r="XCO1" s="220" t="s">
        <v>13331</v>
      </c>
      <c r="XCP1" s="221"/>
      <c r="XCQ1" s="221"/>
      <c r="XCR1" s="222"/>
      <c r="XCS1" s="220" t="s">
        <v>13331</v>
      </c>
      <c r="XCT1" s="221"/>
      <c r="XCU1" s="221"/>
      <c r="XCV1" s="222"/>
      <c r="XCW1" s="220" t="s">
        <v>13331</v>
      </c>
      <c r="XCX1" s="221"/>
      <c r="XCY1" s="221"/>
      <c r="XCZ1" s="222"/>
      <c r="XDA1" s="220" t="s">
        <v>13331</v>
      </c>
      <c r="XDB1" s="221"/>
      <c r="XDC1" s="221"/>
      <c r="XDD1" s="222"/>
      <c r="XDE1" s="220" t="s">
        <v>13331</v>
      </c>
      <c r="XDF1" s="221"/>
      <c r="XDG1" s="221"/>
      <c r="XDH1" s="222"/>
      <c r="XDI1" s="220" t="s">
        <v>13331</v>
      </c>
      <c r="XDJ1" s="221"/>
      <c r="XDK1" s="221"/>
      <c r="XDL1" s="222"/>
      <c r="XDM1" s="220" t="s">
        <v>13331</v>
      </c>
      <c r="XDN1" s="221"/>
      <c r="XDO1" s="221"/>
      <c r="XDP1" s="222"/>
      <c r="XDQ1" s="220" t="s">
        <v>13331</v>
      </c>
      <c r="XDR1" s="221"/>
      <c r="XDS1" s="221"/>
      <c r="XDT1" s="222"/>
      <c r="XDU1" s="220" t="s">
        <v>13331</v>
      </c>
      <c r="XDV1" s="221"/>
      <c r="XDW1" s="221"/>
      <c r="XDX1" s="222"/>
      <c r="XDY1" s="220" t="s">
        <v>13331</v>
      </c>
      <c r="XDZ1" s="221"/>
      <c r="XEA1" s="221"/>
      <c r="XEB1" s="222"/>
      <c r="XEC1" s="220" t="s">
        <v>13331</v>
      </c>
      <c r="XED1" s="221"/>
      <c r="XEE1" s="221"/>
      <c r="XEF1" s="222"/>
      <c r="XEG1" s="220" t="s">
        <v>13331</v>
      </c>
      <c r="XEH1" s="221"/>
      <c r="XEI1" s="221"/>
      <c r="XEJ1" s="222"/>
      <c r="XEK1" s="220" t="s">
        <v>13331</v>
      </c>
      <c r="XEL1" s="221"/>
      <c r="XEM1" s="221"/>
      <c r="XEN1" s="222"/>
      <c r="XEO1" s="220" t="s">
        <v>13331</v>
      </c>
      <c r="XEP1" s="221"/>
      <c r="XEQ1" s="221"/>
      <c r="XER1" s="222"/>
      <c r="XES1" s="220" t="s">
        <v>13331</v>
      </c>
      <c r="XET1" s="221"/>
      <c r="XEU1" s="221"/>
      <c r="XEV1" s="222"/>
      <c r="XEW1" s="220" t="s">
        <v>13331</v>
      </c>
      <c r="XEX1" s="221"/>
      <c r="XEY1" s="221"/>
      <c r="XEZ1" s="222"/>
      <c r="XFA1" s="220" t="s">
        <v>13331</v>
      </c>
      <c r="XFB1" s="220"/>
      <c r="XFC1" s="220"/>
      <c r="XFD1" s="220"/>
    </row>
    <row r="2" spans="1:16384" s="7" customFormat="1" x14ac:dyDescent="0.2">
      <c r="A2" s="229" t="s">
        <v>13328</v>
      </c>
      <c r="B2" s="230"/>
      <c r="C2" s="230"/>
      <c r="D2" s="231"/>
      <c r="E2" s="229" t="s">
        <v>13328</v>
      </c>
      <c r="F2" s="230"/>
      <c r="G2" s="230"/>
      <c r="H2" s="231"/>
      <c r="I2" s="229" t="s">
        <v>13328</v>
      </c>
      <c r="J2" s="230"/>
      <c r="K2" s="230"/>
      <c r="L2" s="231"/>
      <c r="M2" s="229" t="s">
        <v>13328</v>
      </c>
      <c r="N2" s="230"/>
      <c r="O2" s="230"/>
      <c r="P2" s="231"/>
      <c r="Q2" s="229" t="s">
        <v>13328</v>
      </c>
      <c r="R2" s="230"/>
      <c r="S2" s="230"/>
      <c r="T2" s="231"/>
      <c r="U2" s="229" t="s">
        <v>13328</v>
      </c>
      <c r="V2" s="230"/>
      <c r="W2" s="230"/>
      <c r="X2" s="231"/>
      <c r="Y2" s="229" t="s">
        <v>13328</v>
      </c>
      <c r="Z2" s="230"/>
      <c r="AA2" s="230"/>
      <c r="AB2" s="231"/>
      <c r="AC2" s="229" t="s">
        <v>13328</v>
      </c>
      <c r="AD2" s="230"/>
      <c r="AE2" s="230"/>
      <c r="AF2" s="231"/>
      <c r="AG2" s="229" t="s">
        <v>13328</v>
      </c>
      <c r="AH2" s="230"/>
      <c r="AI2" s="230"/>
      <c r="AJ2" s="231"/>
      <c r="AK2" s="229" t="s">
        <v>13328</v>
      </c>
      <c r="AL2" s="230"/>
      <c r="AM2" s="230"/>
      <c r="AN2" s="231"/>
      <c r="AO2" s="229" t="s">
        <v>13328</v>
      </c>
      <c r="AP2" s="230"/>
      <c r="AQ2" s="230"/>
      <c r="AR2" s="231"/>
      <c r="AS2" s="229" t="s">
        <v>13328</v>
      </c>
      <c r="AT2" s="230"/>
      <c r="AU2" s="230"/>
      <c r="AV2" s="231"/>
      <c r="AW2" s="229" t="s">
        <v>13328</v>
      </c>
      <c r="AX2" s="230"/>
      <c r="AY2" s="230"/>
      <c r="AZ2" s="231"/>
      <c r="BA2" s="229" t="s">
        <v>13328</v>
      </c>
      <c r="BB2" s="230"/>
      <c r="BC2" s="230"/>
      <c r="BD2" s="231"/>
      <c r="BE2" s="229" t="s">
        <v>13328</v>
      </c>
      <c r="BF2" s="230"/>
      <c r="BG2" s="230"/>
      <c r="BH2" s="231"/>
      <c r="BI2" s="229" t="s">
        <v>13328</v>
      </c>
      <c r="BJ2" s="230"/>
      <c r="BK2" s="230"/>
      <c r="BL2" s="231"/>
      <c r="BM2" s="229" t="s">
        <v>13328</v>
      </c>
      <c r="BN2" s="230"/>
      <c r="BO2" s="230"/>
      <c r="BP2" s="231"/>
      <c r="BQ2" s="229" t="s">
        <v>13328</v>
      </c>
      <c r="BR2" s="230"/>
      <c r="BS2" s="230"/>
      <c r="BT2" s="231"/>
      <c r="BU2" s="229" t="s">
        <v>13328</v>
      </c>
      <c r="BV2" s="230"/>
      <c r="BW2" s="230"/>
      <c r="BX2" s="231"/>
      <c r="BY2" s="229" t="s">
        <v>13328</v>
      </c>
      <c r="BZ2" s="230"/>
      <c r="CA2" s="230"/>
      <c r="CB2" s="231"/>
      <c r="CC2" s="229" t="s">
        <v>13328</v>
      </c>
      <c r="CD2" s="230"/>
      <c r="CE2" s="230"/>
      <c r="CF2" s="231"/>
      <c r="CG2" s="229" t="s">
        <v>13328</v>
      </c>
      <c r="CH2" s="230"/>
      <c r="CI2" s="230"/>
      <c r="CJ2" s="231"/>
      <c r="CK2" s="229" t="s">
        <v>13328</v>
      </c>
      <c r="CL2" s="230"/>
      <c r="CM2" s="230"/>
      <c r="CN2" s="231"/>
      <c r="CO2" s="229" t="s">
        <v>13328</v>
      </c>
      <c r="CP2" s="230"/>
      <c r="CQ2" s="230"/>
      <c r="CR2" s="231"/>
      <c r="CS2" s="229" t="s">
        <v>13328</v>
      </c>
      <c r="CT2" s="230"/>
      <c r="CU2" s="230"/>
      <c r="CV2" s="231"/>
      <c r="CW2" s="229" t="s">
        <v>13328</v>
      </c>
      <c r="CX2" s="230"/>
      <c r="CY2" s="230"/>
      <c r="CZ2" s="231"/>
      <c r="DA2" s="229" t="s">
        <v>13328</v>
      </c>
      <c r="DB2" s="230"/>
      <c r="DC2" s="230"/>
      <c r="DD2" s="231"/>
      <c r="DE2" s="229" t="s">
        <v>13328</v>
      </c>
      <c r="DF2" s="230"/>
      <c r="DG2" s="230"/>
      <c r="DH2" s="231"/>
      <c r="DI2" s="229" t="s">
        <v>13328</v>
      </c>
      <c r="DJ2" s="230"/>
      <c r="DK2" s="230"/>
      <c r="DL2" s="231"/>
      <c r="DM2" s="229" t="s">
        <v>13328</v>
      </c>
      <c r="DN2" s="230"/>
      <c r="DO2" s="230"/>
      <c r="DP2" s="231"/>
      <c r="DQ2" s="229" t="s">
        <v>13328</v>
      </c>
      <c r="DR2" s="230"/>
      <c r="DS2" s="230"/>
      <c r="DT2" s="231"/>
      <c r="DU2" s="229" t="s">
        <v>13328</v>
      </c>
      <c r="DV2" s="230"/>
      <c r="DW2" s="230"/>
      <c r="DX2" s="231"/>
      <c r="DY2" s="229" t="s">
        <v>13328</v>
      </c>
      <c r="DZ2" s="230"/>
      <c r="EA2" s="230"/>
      <c r="EB2" s="231"/>
      <c r="EC2" s="229" t="s">
        <v>13328</v>
      </c>
      <c r="ED2" s="230"/>
      <c r="EE2" s="230"/>
      <c r="EF2" s="231"/>
      <c r="EG2" s="229" t="s">
        <v>13328</v>
      </c>
      <c r="EH2" s="230"/>
      <c r="EI2" s="230"/>
      <c r="EJ2" s="231"/>
      <c r="EK2" s="229" t="s">
        <v>13328</v>
      </c>
      <c r="EL2" s="230"/>
      <c r="EM2" s="230"/>
      <c r="EN2" s="231"/>
      <c r="EO2" s="229" t="s">
        <v>13328</v>
      </c>
      <c r="EP2" s="230"/>
      <c r="EQ2" s="230"/>
      <c r="ER2" s="231"/>
      <c r="ES2" s="229" t="s">
        <v>13328</v>
      </c>
      <c r="ET2" s="230"/>
      <c r="EU2" s="230"/>
      <c r="EV2" s="231"/>
      <c r="EW2" s="229" t="s">
        <v>13328</v>
      </c>
      <c r="EX2" s="230"/>
      <c r="EY2" s="230"/>
      <c r="EZ2" s="231"/>
      <c r="FA2" s="229" t="s">
        <v>13328</v>
      </c>
      <c r="FB2" s="230"/>
      <c r="FC2" s="230"/>
      <c r="FD2" s="231"/>
      <c r="FE2" s="229" t="s">
        <v>13328</v>
      </c>
      <c r="FF2" s="230"/>
      <c r="FG2" s="230"/>
      <c r="FH2" s="231"/>
      <c r="FI2" s="229" t="s">
        <v>13328</v>
      </c>
      <c r="FJ2" s="230"/>
      <c r="FK2" s="230"/>
      <c r="FL2" s="231"/>
      <c r="FM2" s="229" t="s">
        <v>13328</v>
      </c>
      <c r="FN2" s="230"/>
      <c r="FO2" s="230"/>
      <c r="FP2" s="231"/>
      <c r="FQ2" s="229" t="s">
        <v>13328</v>
      </c>
      <c r="FR2" s="230"/>
      <c r="FS2" s="230"/>
      <c r="FT2" s="231"/>
      <c r="FU2" s="229" t="s">
        <v>13328</v>
      </c>
      <c r="FV2" s="230"/>
      <c r="FW2" s="230"/>
      <c r="FX2" s="231"/>
      <c r="FY2" s="229" t="s">
        <v>13328</v>
      </c>
      <c r="FZ2" s="230"/>
      <c r="GA2" s="230"/>
      <c r="GB2" s="231"/>
      <c r="GC2" s="229" t="s">
        <v>13328</v>
      </c>
      <c r="GD2" s="230"/>
      <c r="GE2" s="230"/>
      <c r="GF2" s="231"/>
      <c r="GG2" s="229" t="s">
        <v>13328</v>
      </c>
      <c r="GH2" s="230"/>
      <c r="GI2" s="230"/>
      <c r="GJ2" s="231"/>
      <c r="GK2" s="229" t="s">
        <v>13328</v>
      </c>
      <c r="GL2" s="230"/>
      <c r="GM2" s="230"/>
      <c r="GN2" s="231"/>
      <c r="GO2" s="229" t="s">
        <v>13328</v>
      </c>
      <c r="GP2" s="230"/>
      <c r="GQ2" s="230"/>
      <c r="GR2" s="231"/>
      <c r="GS2" s="229" t="s">
        <v>13328</v>
      </c>
      <c r="GT2" s="230"/>
      <c r="GU2" s="230"/>
      <c r="GV2" s="231"/>
      <c r="GW2" s="229" t="s">
        <v>13328</v>
      </c>
      <c r="GX2" s="230"/>
      <c r="GY2" s="230"/>
      <c r="GZ2" s="231"/>
      <c r="HA2" s="229" t="s">
        <v>13328</v>
      </c>
      <c r="HB2" s="230"/>
      <c r="HC2" s="230"/>
      <c r="HD2" s="231"/>
      <c r="HE2" s="229" t="s">
        <v>13328</v>
      </c>
      <c r="HF2" s="230"/>
      <c r="HG2" s="230"/>
      <c r="HH2" s="231"/>
      <c r="HI2" s="229" t="s">
        <v>13328</v>
      </c>
      <c r="HJ2" s="230"/>
      <c r="HK2" s="230"/>
      <c r="HL2" s="231"/>
      <c r="HM2" s="229" t="s">
        <v>13328</v>
      </c>
      <c r="HN2" s="230"/>
      <c r="HO2" s="230"/>
      <c r="HP2" s="231"/>
      <c r="HQ2" s="229" t="s">
        <v>13328</v>
      </c>
      <c r="HR2" s="230"/>
      <c r="HS2" s="230"/>
      <c r="HT2" s="231"/>
      <c r="HU2" s="229" t="s">
        <v>13328</v>
      </c>
      <c r="HV2" s="230"/>
      <c r="HW2" s="230"/>
      <c r="HX2" s="231"/>
      <c r="HY2" s="229" t="s">
        <v>13328</v>
      </c>
      <c r="HZ2" s="230"/>
      <c r="IA2" s="230"/>
      <c r="IB2" s="231"/>
      <c r="IC2" s="229" t="s">
        <v>13328</v>
      </c>
      <c r="ID2" s="230"/>
      <c r="IE2" s="230"/>
      <c r="IF2" s="231"/>
      <c r="IG2" s="229" t="s">
        <v>13328</v>
      </c>
      <c r="IH2" s="230"/>
      <c r="II2" s="230"/>
      <c r="IJ2" s="231"/>
      <c r="IK2" s="229" t="s">
        <v>13328</v>
      </c>
      <c r="IL2" s="230"/>
      <c r="IM2" s="230"/>
      <c r="IN2" s="231"/>
      <c r="IO2" s="229" t="s">
        <v>13328</v>
      </c>
      <c r="IP2" s="230"/>
      <c r="IQ2" s="230"/>
      <c r="IR2" s="231"/>
      <c r="IS2" s="229" t="s">
        <v>13328</v>
      </c>
      <c r="IT2" s="230"/>
      <c r="IU2" s="230"/>
      <c r="IV2" s="231"/>
      <c r="IW2" s="229" t="s">
        <v>13328</v>
      </c>
      <c r="IX2" s="230"/>
      <c r="IY2" s="230"/>
      <c r="IZ2" s="231"/>
      <c r="JA2" s="229" t="s">
        <v>13328</v>
      </c>
      <c r="JB2" s="230"/>
      <c r="JC2" s="230"/>
      <c r="JD2" s="231"/>
      <c r="JE2" s="229" t="s">
        <v>13328</v>
      </c>
      <c r="JF2" s="230"/>
      <c r="JG2" s="230"/>
      <c r="JH2" s="231"/>
      <c r="JI2" s="229" t="s">
        <v>13328</v>
      </c>
      <c r="JJ2" s="230"/>
      <c r="JK2" s="230"/>
      <c r="JL2" s="231"/>
      <c r="JM2" s="229" t="s">
        <v>13328</v>
      </c>
      <c r="JN2" s="230"/>
      <c r="JO2" s="230"/>
      <c r="JP2" s="231"/>
      <c r="JQ2" s="229" t="s">
        <v>13328</v>
      </c>
      <c r="JR2" s="230"/>
      <c r="JS2" s="230"/>
      <c r="JT2" s="231"/>
      <c r="JU2" s="229" t="s">
        <v>13328</v>
      </c>
      <c r="JV2" s="230"/>
      <c r="JW2" s="230"/>
      <c r="JX2" s="231"/>
      <c r="JY2" s="229" t="s">
        <v>13328</v>
      </c>
      <c r="JZ2" s="230"/>
      <c r="KA2" s="230"/>
      <c r="KB2" s="231"/>
      <c r="KC2" s="229" t="s">
        <v>13328</v>
      </c>
      <c r="KD2" s="230"/>
      <c r="KE2" s="230"/>
      <c r="KF2" s="231"/>
      <c r="KG2" s="229" t="s">
        <v>13328</v>
      </c>
      <c r="KH2" s="230"/>
      <c r="KI2" s="230"/>
      <c r="KJ2" s="231"/>
      <c r="KK2" s="229" t="s">
        <v>13328</v>
      </c>
      <c r="KL2" s="230"/>
      <c r="KM2" s="230"/>
      <c r="KN2" s="231"/>
      <c r="KO2" s="229" t="s">
        <v>13328</v>
      </c>
      <c r="KP2" s="230"/>
      <c r="KQ2" s="230"/>
      <c r="KR2" s="231"/>
      <c r="KS2" s="229" t="s">
        <v>13328</v>
      </c>
      <c r="KT2" s="230"/>
      <c r="KU2" s="230"/>
      <c r="KV2" s="231"/>
      <c r="KW2" s="229" t="s">
        <v>13328</v>
      </c>
      <c r="KX2" s="230"/>
      <c r="KY2" s="230"/>
      <c r="KZ2" s="231"/>
      <c r="LA2" s="229" t="s">
        <v>13328</v>
      </c>
      <c r="LB2" s="230"/>
      <c r="LC2" s="230"/>
      <c r="LD2" s="231"/>
      <c r="LE2" s="229" t="s">
        <v>13328</v>
      </c>
      <c r="LF2" s="230"/>
      <c r="LG2" s="230"/>
      <c r="LH2" s="231"/>
      <c r="LI2" s="229" t="s">
        <v>13328</v>
      </c>
      <c r="LJ2" s="230"/>
      <c r="LK2" s="230"/>
      <c r="LL2" s="231"/>
      <c r="LM2" s="229" t="s">
        <v>13328</v>
      </c>
      <c r="LN2" s="230"/>
      <c r="LO2" s="230"/>
      <c r="LP2" s="231"/>
      <c r="LQ2" s="229" t="s">
        <v>13328</v>
      </c>
      <c r="LR2" s="230"/>
      <c r="LS2" s="230"/>
      <c r="LT2" s="231"/>
      <c r="LU2" s="229" t="s">
        <v>13328</v>
      </c>
      <c r="LV2" s="230"/>
      <c r="LW2" s="230"/>
      <c r="LX2" s="231"/>
      <c r="LY2" s="229" t="s">
        <v>13328</v>
      </c>
      <c r="LZ2" s="230"/>
      <c r="MA2" s="230"/>
      <c r="MB2" s="231"/>
      <c r="MC2" s="229" t="s">
        <v>13328</v>
      </c>
      <c r="MD2" s="230"/>
      <c r="ME2" s="230"/>
      <c r="MF2" s="231"/>
      <c r="MG2" s="229" t="s">
        <v>13328</v>
      </c>
      <c r="MH2" s="230"/>
      <c r="MI2" s="230"/>
      <c r="MJ2" s="231"/>
      <c r="MK2" s="229" t="s">
        <v>13328</v>
      </c>
      <c r="ML2" s="230"/>
      <c r="MM2" s="230"/>
      <c r="MN2" s="231"/>
      <c r="MO2" s="229" t="s">
        <v>13328</v>
      </c>
      <c r="MP2" s="230"/>
      <c r="MQ2" s="230"/>
      <c r="MR2" s="231"/>
      <c r="MS2" s="229" t="s">
        <v>13328</v>
      </c>
      <c r="MT2" s="230"/>
      <c r="MU2" s="230"/>
      <c r="MV2" s="231"/>
      <c r="MW2" s="229" t="s">
        <v>13328</v>
      </c>
      <c r="MX2" s="230"/>
      <c r="MY2" s="230"/>
      <c r="MZ2" s="231"/>
      <c r="NA2" s="229" t="s">
        <v>13328</v>
      </c>
      <c r="NB2" s="230"/>
      <c r="NC2" s="230"/>
      <c r="ND2" s="231"/>
      <c r="NE2" s="229" t="s">
        <v>13328</v>
      </c>
      <c r="NF2" s="230"/>
      <c r="NG2" s="230"/>
      <c r="NH2" s="231"/>
      <c r="NI2" s="229" t="s">
        <v>13328</v>
      </c>
      <c r="NJ2" s="230"/>
      <c r="NK2" s="230"/>
      <c r="NL2" s="231"/>
      <c r="NM2" s="229" t="s">
        <v>13328</v>
      </c>
      <c r="NN2" s="230"/>
      <c r="NO2" s="230"/>
      <c r="NP2" s="231"/>
      <c r="NQ2" s="229" t="s">
        <v>13328</v>
      </c>
      <c r="NR2" s="230"/>
      <c r="NS2" s="230"/>
      <c r="NT2" s="231"/>
      <c r="NU2" s="229" t="s">
        <v>13328</v>
      </c>
      <c r="NV2" s="230"/>
      <c r="NW2" s="230"/>
      <c r="NX2" s="231"/>
      <c r="NY2" s="229" t="s">
        <v>13328</v>
      </c>
      <c r="NZ2" s="230"/>
      <c r="OA2" s="230"/>
      <c r="OB2" s="231"/>
      <c r="OC2" s="229" t="s">
        <v>13328</v>
      </c>
      <c r="OD2" s="230"/>
      <c r="OE2" s="230"/>
      <c r="OF2" s="231"/>
      <c r="OG2" s="229" t="s">
        <v>13328</v>
      </c>
      <c r="OH2" s="230"/>
      <c r="OI2" s="230"/>
      <c r="OJ2" s="231"/>
      <c r="OK2" s="229" t="s">
        <v>13328</v>
      </c>
      <c r="OL2" s="230"/>
      <c r="OM2" s="230"/>
      <c r="ON2" s="231"/>
      <c r="OO2" s="229" t="s">
        <v>13328</v>
      </c>
      <c r="OP2" s="230"/>
      <c r="OQ2" s="230"/>
      <c r="OR2" s="231"/>
      <c r="OS2" s="229" t="s">
        <v>13328</v>
      </c>
      <c r="OT2" s="230"/>
      <c r="OU2" s="230"/>
      <c r="OV2" s="231"/>
      <c r="OW2" s="229" t="s">
        <v>13328</v>
      </c>
      <c r="OX2" s="230"/>
      <c r="OY2" s="230"/>
      <c r="OZ2" s="231"/>
      <c r="PA2" s="229" t="s">
        <v>13328</v>
      </c>
      <c r="PB2" s="230"/>
      <c r="PC2" s="230"/>
      <c r="PD2" s="231"/>
      <c r="PE2" s="229" t="s">
        <v>13328</v>
      </c>
      <c r="PF2" s="230"/>
      <c r="PG2" s="230"/>
      <c r="PH2" s="231"/>
      <c r="PI2" s="229" t="s">
        <v>13328</v>
      </c>
      <c r="PJ2" s="230"/>
      <c r="PK2" s="230"/>
      <c r="PL2" s="231"/>
      <c r="PM2" s="229" t="s">
        <v>13328</v>
      </c>
      <c r="PN2" s="230"/>
      <c r="PO2" s="230"/>
      <c r="PP2" s="231"/>
      <c r="PQ2" s="229" t="s">
        <v>13328</v>
      </c>
      <c r="PR2" s="230"/>
      <c r="PS2" s="230"/>
      <c r="PT2" s="231"/>
      <c r="PU2" s="229" t="s">
        <v>13328</v>
      </c>
      <c r="PV2" s="230"/>
      <c r="PW2" s="230"/>
      <c r="PX2" s="231"/>
      <c r="PY2" s="229" t="s">
        <v>13328</v>
      </c>
      <c r="PZ2" s="230"/>
      <c r="QA2" s="230"/>
      <c r="QB2" s="231"/>
      <c r="QC2" s="229" t="s">
        <v>13328</v>
      </c>
      <c r="QD2" s="230"/>
      <c r="QE2" s="230"/>
      <c r="QF2" s="231"/>
      <c r="QG2" s="229" t="s">
        <v>13328</v>
      </c>
      <c r="QH2" s="230"/>
      <c r="QI2" s="230"/>
      <c r="QJ2" s="231"/>
      <c r="QK2" s="229" t="s">
        <v>13328</v>
      </c>
      <c r="QL2" s="230"/>
      <c r="QM2" s="230"/>
      <c r="QN2" s="231"/>
      <c r="QO2" s="229" t="s">
        <v>13328</v>
      </c>
      <c r="QP2" s="230"/>
      <c r="QQ2" s="230"/>
      <c r="QR2" s="231"/>
      <c r="QS2" s="229" t="s">
        <v>13328</v>
      </c>
      <c r="QT2" s="230"/>
      <c r="QU2" s="230"/>
      <c r="QV2" s="231"/>
      <c r="QW2" s="229" t="s">
        <v>13328</v>
      </c>
      <c r="QX2" s="230"/>
      <c r="QY2" s="230"/>
      <c r="QZ2" s="231"/>
      <c r="RA2" s="229" t="s">
        <v>13328</v>
      </c>
      <c r="RB2" s="230"/>
      <c r="RC2" s="230"/>
      <c r="RD2" s="231"/>
      <c r="RE2" s="229" t="s">
        <v>13328</v>
      </c>
      <c r="RF2" s="230"/>
      <c r="RG2" s="230"/>
      <c r="RH2" s="231"/>
      <c r="RI2" s="229" t="s">
        <v>13328</v>
      </c>
      <c r="RJ2" s="230"/>
      <c r="RK2" s="230"/>
      <c r="RL2" s="231"/>
      <c r="RM2" s="229" t="s">
        <v>13328</v>
      </c>
      <c r="RN2" s="230"/>
      <c r="RO2" s="230"/>
      <c r="RP2" s="231"/>
      <c r="RQ2" s="229" t="s">
        <v>13328</v>
      </c>
      <c r="RR2" s="230"/>
      <c r="RS2" s="230"/>
      <c r="RT2" s="231"/>
      <c r="RU2" s="229" t="s">
        <v>13328</v>
      </c>
      <c r="RV2" s="230"/>
      <c r="RW2" s="230"/>
      <c r="RX2" s="231"/>
      <c r="RY2" s="229" t="s">
        <v>13328</v>
      </c>
      <c r="RZ2" s="230"/>
      <c r="SA2" s="230"/>
      <c r="SB2" s="231"/>
      <c r="SC2" s="229" t="s">
        <v>13328</v>
      </c>
      <c r="SD2" s="230"/>
      <c r="SE2" s="230"/>
      <c r="SF2" s="231"/>
      <c r="SG2" s="229" t="s">
        <v>13328</v>
      </c>
      <c r="SH2" s="230"/>
      <c r="SI2" s="230"/>
      <c r="SJ2" s="231"/>
      <c r="SK2" s="229" t="s">
        <v>13328</v>
      </c>
      <c r="SL2" s="230"/>
      <c r="SM2" s="230"/>
      <c r="SN2" s="231"/>
      <c r="SO2" s="229" t="s">
        <v>13328</v>
      </c>
      <c r="SP2" s="230"/>
      <c r="SQ2" s="230"/>
      <c r="SR2" s="231"/>
      <c r="SS2" s="229" t="s">
        <v>13328</v>
      </c>
      <c r="ST2" s="230"/>
      <c r="SU2" s="230"/>
      <c r="SV2" s="231"/>
      <c r="SW2" s="229" t="s">
        <v>13328</v>
      </c>
      <c r="SX2" s="230"/>
      <c r="SY2" s="230"/>
      <c r="SZ2" s="231"/>
      <c r="TA2" s="229" t="s">
        <v>13328</v>
      </c>
      <c r="TB2" s="230"/>
      <c r="TC2" s="230"/>
      <c r="TD2" s="231"/>
      <c r="TE2" s="229" t="s">
        <v>13328</v>
      </c>
      <c r="TF2" s="230"/>
      <c r="TG2" s="230"/>
      <c r="TH2" s="231"/>
      <c r="TI2" s="229" t="s">
        <v>13328</v>
      </c>
      <c r="TJ2" s="230"/>
      <c r="TK2" s="230"/>
      <c r="TL2" s="231"/>
      <c r="TM2" s="229" t="s">
        <v>13328</v>
      </c>
      <c r="TN2" s="230"/>
      <c r="TO2" s="230"/>
      <c r="TP2" s="231"/>
      <c r="TQ2" s="229" t="s">
        <v>13328</v>
      </c>
      <c r="TR2" s="230"/>
      <c r="TS2" s="230"/>
      <c r="TT2" s="231"/>
      <c r="TU2" s="229" t="s">
        <v>13328</v>
      </c>
      <c r="TV2" s="230"/>
      <c r="TW2" s="230"/>
      <c r="TX2" s="231"/>
      <c r="TY2" s="229" t="s">
        <v>13328</v>
      </c>
      <c r="TZ2" s="230"/>
      <c r="UA2" s="230"/>
      <c r="UB2" s="231"/>
      <c r="UC2" s="229" t="s">
        <v>13328</v>
      </c>
      <c r="UD2" s="230"/>
      <c r="UE2" s="230"/>
      <c r="UF2" s="231"/>
      <c r="UG2" s="229" t="s">
        <v>13328</v>
      </c>
      <c r="UH2" s="230"/>
      <c r="UI2" s="230"/>
      <c r="UJ2" s="231"/>
      <c r="UK2" s="229" t="s">
        <v>13328</v>
      </c>
      <c r="UL2" s="230"/>
      <c r="UM2" s="230"/>
      <c r="UN2" s="231"/>
      <c r="UO2" s="229" t="s">
        <v>13328</v>
      </c>
      <c r="UP2" s="230"/>
      <c r="UQ2" s="230"/>
      <c r="UR2" s="231"/>
      <c r="US2" s="229" t="s">
        <v>13328</v>
      </c>
      <c r="UT2" s="230"/>
      <c r="UU2" s="230"/>
      <c r="UV2" s="231"/>
      <c r="UW2" s="229" t="s">
        <v>13328</v>
      </c>
      <c r="UX2" s="230"/>
      <c r="UY2" s="230"/>
      <c r="UZ2" s="231"/>
      <c r="VA2" s="229" t="s">
        <v>13328</v>
      </c>
      <c r="VB2" s="230"/>
      <c r="VC2" s="230"/>
      <c r="VD2" s="231"/>
      <c r="VE2" s="229" t="s">
        <v>13328</v>
      </c>
      <c r="VF2" s="230"/>
      <c r="VG2" s="230"/>
      <c r="VH2" s="231"/>
      <c r="VI2" s="229" t="s">
        <v>13328</v>
      </c>
      <c r="VJ2" s="230"/>
      <c r="VK2" s="230"/>
      <c r="VL2" s="231"/>
      <c r="VM2" s="229" t="s">
        <v>13328</v>
      </c>
      <c r="VN2" s="230"/>
      <c r="VO2" s="230"/>
      <c r="VP2" s="231"/>
      <c r="VQ2" s="229" t="s">
        <v>13328</v>
      </c>
      <c r="VR2" s="230"/>
      <c r="VS2" s="230"/>
      <c r="VT2" s="231"/>
      <c r="VU2" s="229" t="s">
        <v>13328</v>
      </c>
      <c r="VV2" s="230"/>
      <c r="VW2" s="230"/>
      <c r="VX2" s="231"/>
      <c r="VY2" s="229" t="s">
        <v>13328</v>
      </c>
      <c r="VZ2" s="230"/>
      <c r="WA2" s="230"/>
      <c r="WB2" s="231"/>
      <c r="WC2" s="229" t="s">
        <v>13328</v>
      </c>
      <c r="WD2" s="230"/>
      <c r="WE2" s="230"/>
      <c r="WF2" s="231"/>
      <c r="WG2" s="229" t="s">
        <v>13328</v>
      </c>
      <c r="WH2" s="230"/>
      <c r="WI2" s="230"/>
      <c r="WJ2" s="231"/>
      <c r="WK2" s="229" t="s">
        <v>13328</v>
      </c>
      <c r="WL2" s="230"/>
      <c r="WM2" s="230"/>
      <c r="WN2" s="231"/>
      <c r="WO2" s="229" t="s">
        <v>13328</v>
      </c>
      <c r="WP2" s="230"/>
      <c r="WQ2" s="230"/>
      <c r="WR2" s="231"/>
      <c r="WS2" s="229" t="s">
        <v>13328</v>
      </c>
      <c r="WT2" s="230"/>
      <c r="WU2" s="230"/>
      <c r="WV2" s="231"/>
      <c r="WW2" s="229" t="s">
        <v>13328</v>
      </c>
      <c r="WX2" s="230"/>
      <c r="WY2" s="230"/>
      <c r="WZ2" s="231"/>
      <c r="XA2" s="229" t="s">
        <v>13328</v>
      </c>
      <c r="XB2" s="230"/>
      <c r="XC2" s="230"/>
      <c r="XD2" s="231"/>
      <c r="XE2" s="229" t="s">
        <v>13328</v>
      </c>
      <c r="XF2" s="230"/>
      <c r="XG2" s="230"/>
      <c r="XH2" s="231"/>
      <c r="XI2" s="229" t="s">
        <v>13328</v>
      </c>
      <c r="XJ2" s="230"/>
      <c r="XK2" s="230"/>
      <c r="XL2" s="231"/>
      <c r="XM2" s="229" t="s">
        <v>13328</v>
      </c>
      <c r="XN2" s="230"/>
      <c r="XO2" s="230"/>
      <c r="XP2" s="231"/>
      <c r="XQ2" s="229" t="s">
        <v>13328</v>
      </c>
      <c r="XR2" s="230"/>
      <c r="XS2" s="230"/>
      <c r="XT2" s="231"/>
      <c r="XU2" s="229" t="s">
        <v>13328</v>
      </c>
      <c r="XV2" s="230"/>
      <c r="XW2" s="230"/>
      <c r="XX2" s="231"/>
      <c r="XY2" s="229" t="s">
        <v>13328</v>
      </c>
      <c r="XZ2" s="230"/>
      <c r="YA2" s="230"/>
      <c r="YB2" s="231"/>
      <c r="YC2" s="229" t="s">
        <v>13328</v>
      </c>
      <c r="YD2" s="230"/>
      <c r="YE2" s="230"/>
      <c r="YF2" s="231"/>
      <c r="YG2" s="229" t="s">
        <v>13328</v>
      </c>
      <c r="YH2" s="230"/>
      <c r="YI2" s="230"/>
      <c r="YJ2" s="231"/>
      <c r="YK2" s="229" t="s">
        <v>13328</v>
      </c>
      <c r="YL2" s="230"/>
      <c r="YM2" s="230"/>
      <c r="YN2" s="231"/>
      <c r="YO2" s="229" t="s">
        <v>13328</v>
      </c>
      <c r="YP2" s="230"/>
      <c r="YQ2" s="230"/>
      <c r="YR2" s="231"/>
      <c r="YS2" s="229" t="s">
        <v>13328</v>
      </c>
      <c r="YT2" s="230"/>
      <c r="YU2" s="230"/>
      <c r="YV2" s="231"/>
      <c r="YW2" s="229" t="s">
        <v>13328</v>
      </c>
      <c r="YX2" s="230"/>
      <c r="YY2" s="230"/>
      <c r="YZ2" s="231"/>
      <c r="ZA2" s="229" t="s">
        <v>13328</v>
      </c>
      <c r="ZB2" s="230"/>
      <c r="ZC2" s="230"/>
      <c r="ZD2" s="231"/>
      <c r="ZE2" s="229" t="s">
        <v>13328</v>
      </c>
      <c r="ZF2" s="230"/>
      <c r="ZG2" s="230"/>
      <c r="ZH2" s="231"/>
      <c r="ZI2" s="229" t="s">
        <v>13328</v>
      </c>
      <c r="ZJ2" s="230"/>
      <c r="ZK2" s="230"/>
      <c r="ZL2" s="231"/>
      <c r="ZM2" s="229" t="s">
        <v>13328</v>
      </c>
      <c r="ZN2" s="230"/>
      <c r="ZO2" s="230"/>
      <c r="ZP2" s="231"/>
      <c r="ZQ2" s="229" t="s">
        <v>13328</v>
      </c>
      <c r="ZR2" s="230"/>
      <c r="ZS2" s="230"/>
      <c r="ZT2" s="231"/>
      <c r="ZU2" s="229" t="s">
        <v>13328</v>
      </c>
      <c r="ZV2" s="230"/>
      <c r="ZW2" s="230"/>
      <c r="ZX2" s="231"/>
      <c r="ZY2" s="229" t="s">
        <v>13328</v>
      </c>
      <c r="ZZ2" s="230"/>
      <c r="AAA2" s="230"/>
      <c r="AAB2" s="231"/>
      <c r="AAC2" s="229" t="s">
        <v>13328</v>
      </c>
      <c r="AAD2" s="230"/>
      <c r="AAE2" s="230"/>
      <c r="AAF2" s="231"/>
      <c r="AAG2" s="229" t="s">
        <v>13328</v>
      </c>
      <c r="AAH2" s="230"/>
      <c r="AAI2" s="230"/>
      <c r="AAJ2" s="231"/>
      <c r="AAK2" s="229" t="s">
        <v>13328</v>
      </c>
      <c r="AAL2" s="230"/>
      <c r="AAM2" s="230"/>
      <c r="AAN2" s="231"/>
      <c r="AAO2" s="229" t="s">
        <v>13328</v>
      </c>
      <c r="AAP2" s="230"/>
      <c r="AAQ2" s="230"/>
      <c r="AAR2" s="231"/>
      <c r="AAS2" s="229" t="s">
        <v>13328</v>
      </c>
      <c r="AAT2" s="230"/>
      <c r="AAU2" s="230"/>
      <c r="AAV2" s="231"/>
      <c r="AAW2" s="229" t="s">
        <v>13328</v>
      </c>
      <c r="AAX2" s="230"/>
      <c r="AAY2" s="230"/>
      <c r="AAZ2" s="231"/>
      <c r="ABA2" s="229" t="s">
        <v>13328</v>
      </c>
      <c r="ABB2" s="230"/>
      <c r="ABC2" s="230"/>
      <c r="ABD2" s="231"/>
      <c r="ABE2" s="229" t="s">
        <v>13328</v>
      </c>
      <c r="ABF2" s="230"/>
      <c r="ABG2" s="230"/>
      <c r="ABH2" s="231"/>
      <c r="ABI2" s="229" t="s">
        <v>13328</v>
      </c>
      <c r="ABJ2" s="230"/>
      <c r="ABK2" s="230"/>
      <c r="ABL2" s="231"/>
      <c r="ABM2" s="229" t="s">
        <v>13328</v>
      </c>
      <c r="ABN2" s="230"/>
      <c r="ABO2" s="230"/>
      <c r="ABP2" s="231"/>
      <c r="ABQ2" s="229" t="s">
        <v>13328</v>
      </c>
      <c r="ABR2" s="230"/>
      <c r="ABS2" s="230"/>
      <c r="ABT2" s="231"/>
      <c r="ABU2" s="229" t="s">
        <v>13328</v>
      </c>
      <c r="ABV2" s="230"/>
      <c r="ABW2" s="230"/>
      <c r="ABX2" s="231"/>
      <c r="ABY2" s="229" t="s">
        <v>13328</v>
      </c>
      <c r="ABZ2" s="230"/>
      <c r="ACA2" s="230"/>
      <c r="ACB2" s="231"/>
      <c r="ACC2" s="229" t="s">
        <v>13328</v>
      </c>
      <c r="ACD2" s="230"/>
      <c r="ACE2" s="230"/>
      <c r="ACF2" s="231"/>
      <c r="ACG2" s="229" t="s">
        <v>13328</v>
      </c>
      <c r="ACH2" s="230"/>
      <c r="ACI2" s="230"/>
      <c r="ACJ2" s="231"/>
      <c r="ACK2" s="229" t="s">
        <v>13328</v>
      </c>
      <c r="ACL2" s="230"/>
      <c r="ACM2" s="230"/>
      <c r="ACN2" s="231"/>
      <c r="ACO2" s="229" t="s">
        <v>13328</v>
      </c>
      <c r="ACP2" s="230"/>
      <c r="ACQ2" s="230"/>
      <c r="ACR2" s="231"/>
      <c r="ACS2" s="229" t="s">
        <v>13328</v>
      </c>
      <c r="ACT2" s="230"/>
      <c r="ACU2" s="230"/>
      <c r="ACV2" s="231"/>
      <c r="ACW2" s="229" t="s">
        <v>13328</v>
      </c>
      <c r="ACX2" s="230"/>
      <c r="ACY2" s="230"/>
      <c r="ACZ2" s="231"/>
      <c r="ADA2" s="229" t="s">
        <v>13328</v>
      </c>
      <c r="ADB2" s="230"/>
      <c r="ADC2" s="230"/>
      <c r="ADD2" s="231"/>
      <c r="ADE2" s="229" t="s">
        <v>13328</v>
      </c>
      <c r="ADF2" s="230"/>
      <c r="ADG2" s="230"/>
      <c r="ADH2" s="231"/>
      <c r="ADI2" s="229" t="s">
        <v>13328</v>
      </c>
      <c r="ADJ2" s="230"/>
      <c r="ADK2" s="230"/>
      <c r="ADL2" s="231"/>
      <c r="ADM2" s="229" t="s">
        <v>13328</v>
      </c>
      <c r="ADN2" s="230"/>
      <c r="ADO2" s="230"/>
      <c r="ADP2" s="231"/>
      <c r="ADQ2" s="229" t="s">
        <v>13328</v>
      </c>
      <c r="ADR2" s="230"/>
      <c r="ADS2" s="230"/>
      <c r="ADT2" s="231"/>
      <c r="ADU2" s="229" t="s">
        <v>13328</v>
      </c>
      <c r="ADV2" s="230"/>
      <c r="ADW2" s="230"/>
      <c r="ADX2" s="231"/>
      <c r="ADY2" s="229" t="s">
        <v>13328</v>
      </c>
      <c r="ADZ2" s="230"/>
      <c r="AEA2" s="230"/>
      <c r="AEB2" s="231"/>
      <c r="AEC2" s="229" t="s">
        <v>13328</v>
      </c>
      <c r="AED2" s="230"/>
      <c r="AEE2" s="230"/>
      <c r="AEF2" s="231"/>
      <c r="AEG2" s="229" t="s">
        <v>13328</v>
      </c>
      <c r="AEH2" s="230"/>
      <c r="AEI2" s="230"/>
      <c r="AEJ2" s="231"/>
      <c r="AEK2" s="229" t="s">
        <v>13328</v>
      </c>
      <c r="AEL2" s="230"/>
      <c r="AEM2" s="230"/>
      <c r="AEN2" s="231"/>
      <c r="AEO2" s="229" t="s">
        <v>13328</v>
      </c>
      <c r="AEP2" s="230"/>
      <c r="AEQ2" s="230"/>
      <c r="AER2" s="231"/>
      <c r="AES2" s="229" t="s">
        <v>13328</v>
      </c>
      <c r="AET2" s="230"/>
      <c r="AEU2" s="230"/>
      <c r="AEV2" s="231"/>
      <c r="AEW2" s="229" t="s">
        <v>13328</v>
      </c>
      <c r="AEX2" s="230"/>
      <c r="AEY2" s="230"/>
      <c r="AEZ2" s="231"/>
      <c r="AFA2" s="229" t="s">
        <v>13328</v>
      </c>
      <c r="AFB2" s="230"/>
      <c r="AFC2" s="230"/>
      <c r="AFD2" s="231"/>
      <c r="AFE2" s="229" t="s">
        <v>13328</v>
      </c>
      <c r="AFF2" s="230"/>
      <c r="AFG2" s="230"/>
      <c r="AFH2" s="231"/>
      <c r="AFI2" s="229" t="s">
        <v>13328</v>
      </c>
      <c r="AFJ2" s="230"/>
      <c r="AFK2" s="230"/>
      <c r="AFL2" s="231"/>
      <c r="AFM2" s="229" t="s">
        <v>13328</v>
      </c>
      <c r="AFN2" s="230"/>
      <c r="AFO2" s="230"/>
      <c r="AFP2" s="231"/>
      <c r="AFQ2" s="229" t="s">
        <v>13328</v>
      </c>
      <c r="AFR2" s="230"/>
      <c r="AFS2" s="230"/>
      <c r="AFT2" s="231"/>
      <c r="AFU2" s="229" t="s">
        <v>13328</v>
      </c>
      <c r="AFV2" s="230"/>
      <c r="AFW2" s="230"/>
      <c r="AFX2" s="231"/>
      <c r="AFY2" s="229" t="s">
        <v>13328</v>
      </c>
      <c r="AFZ2" s="230"/>
      <c r="AGA2" s="230"/>
      <c r="AGB2" s="231"/>
      <c r="AGC2" s="229" t="s">
        <v>13328</v>
      </c>
      <c r="AGD2" s="230"/>
      <c r="AGE2" s="230"/>
      <c r="AGF2" s="231"/>
      <c r="AGG2" s="229" t="s">
        <v>13328</v>
      </c>
      <c r="AGH2" s="230"/>
      <c r="AGI2" s="230"/>
      <c r="AGJ2" s="231"/>
      <c r="AGK2" s="229" t="s">
        <v>13328</v>
      </c>
      <c r="AGL2" s="230"/>
      <c r="AGM2" s="230"/>
      <c r="AGN2" s="231"/>
      <c r="AGO2" s="229" t="s">
        <v>13328</v>
      </c>
      <c r="AGP2" s="230"/>
      <c r="AGQ2" s="230"/>
      <c r="AGR2" s="231"/>
      <c r="AGS2" s="229" t="s">
        <v>13328</v>
      </c>
      <c r="AGT2" s="230"/>
      <c r="AGU2" s="230"/>
      <c r="AGV2" s="231"/>
      <c r="AGW2" s="229" t="s">
        <v>13328</v>
      </c>
      <c r="AGX2" s="230"/>
      <c r="AGY2" s="230"/>
      <c r="AGZ2" s="231"/>
      <c r="AHA2" s="229" t="s">
        <v>13328</v>
      </c>
      <c r="AHB2" s="230"/>
      <c r="AHC2" s="230"/>
      <c r="AHD2" s="231"/>
      <c r="AHE2" s="229" t="s">
        <v>13328</v>
      </c>
      <c r="AHF2" s="230"/>
      <c r="AHG2" s="230"/>
      <c r="AHH2" s="231"/>
      <c r="AHI2" s="229" t="s">
        <v>13328</v>
      </c>
      <c r="AHJ2" s="230"/>
      <c r="AHK2" s="230"/>
      <c r="AHL2" s="231"/>
      <c r="AHM2" s="229" t="s">
        <v>13328</v>
      </c>
      <c r="AHN2" s="230"/>
      <c r="AHO2" s="230"/>
      <c r="AHP2" s="231"/>
      <c r="AHQ2" s="229" t="s">
        <v>13328</v>
      </c>
      <c r="AHR2" s="230"/>
      <c r="AHS2" s="230"/>
      <c r="AHT2" s="231"/>
      <c r="AHU2" s="229" t="s">
        <v>13328</v>
      </c>
      <c r="AHV2" s="230"/>
      <c r="AHW2" s="230"/>
      <c r="AHX2" s="231"/>
      <c r="AHY2" s="229" t="s">
        <v>13328</v>
      </c>
      <c r="AHZ2" s="230"/>
      <c r="AIA2" s="230"/>
      <c r="AIB2" s="231"/>
      <c r="AIC2" s="229" t="s">
        <v>13328</v>
      </c>
      <c r="AID2" s="230"/>
      <c r="AIE2" s="230"/>
      <c r="AIF2" s="231"/>
      <c r="AIG2" s="229" t="s">
        <v>13328</v>
      </c>
      <c r="AIH2" s="230"/>
      <c r="AII2" s="230"/>
      <c r="AIJ2" s="231"/>
      <c r="AIK2" s="229" t="s">
        <v>13328</v>
      </c>
      <c r="AIL2" s="230"/>
      <c r="AIM2" s="230"/>
      <c r="AIN2" s="231"/>
      <c r="AIO2" s="229" t="s">
        <v>13328</v>
      </c>
      <c r="AIP2" s="230"/>
      <c r="AIQ2" s="230"/>
      <c r="AIR2" s="231"/>
      <c r="AIS2" s="229" t="s">
        <v>13328</v>
      </c>
      <c r="AIT2" s="230"/>
      <c r="AIU2" s="230"/>
      <c r="AIV2" s="231"/>
      <c r="AIW2" s="229" t="s">
        <v>13328</v>
      </c>
      <c r="AIX2" s="230"/>
      <c r="AIY2" s="230"/>
      <c r="AIZ2" s="231"/>
      <c r="AJA2" s="229" t="s">
        <v>13328</v>
      </c>
      <c r="AJB2" s="230"/>
      <c r="AJC2" s="230"/>
      <c r="AJD2" s="231"/>
      <c r="AJE2" s="229" t="s">
        <v>13328</v>
      </c>
      <c r="AJF2" s="230"/>
      <c r="AJG2" s="230"/>
      <c r="AJH2" s="231"/>
      <c r="AJI2" s="229" t="s">
        <v>13328</v>
      </c>
      <c r="AJJ2" s="230"/>
      <c r="AJK2" s="230"/>
      <c r="AJL2" s="231"/>
      <c r="AJM2" s="229" t="s">
        <v>13328</v>
      </c>
      <c r="AJN2" s="230"/>
      <c r="AJO2" s="230"/>
      <c r="AJP2" s="231"/>
      <c r="AJQ2" s="229" t="s">
        <v>13328</v>
      </c>
      <c r="AJR2" s="230"/>
      <c r="AJS2" s="230"/>
      <c r="AJT2" s="231"/>
      <c r="AJU2" s="229" t="s">
        <v>13328</v>
      </c>
      <c r="AJV2" s="230"/>
      <c r="AJW2" s="230"/>
      <c r="AJX2" s="231"/>
      <c r="AJY2" s="229" t="s">
        <v>13328</v>
      </c>
      <c r="AJZ2" s="230"/>
      <c r="AKA2" s="230"/>
      <c r="AKB2" s="231"/>
      <c r="AKC2" s="229" t="s">
        <v>13328</v>
      </c>
      <c r="AKD2" s="230"/>
      <c r="AKE2" s="230"/>
      <c r="AKF2" s="231"/>
      <c r="AKG2" s="229" t="s">
        <v>13328</v>
      </c>
      <c r="AKH2" s="230"/>
      <c r="AKI2" s="230"/>
      <c r="AKJ2" s="231"/>
      <c r="AKK2" s="229" t="s">
        <v>13328</v>
      </c>
      <c r="AKL2" s="230"/>
      <c r="AKM2" s="230"/>
      <c r="AKN2" s="231"/>
      <c r="AKO2" s="229" t="s">
        <v>13328</v>
      </c>
      <c r="AKP2" s="230"/>
      <c r="AKQ2" s="230"/>
      <c r="AKR2" s="231"/>
      <c r="AKS2" s="229" t="s">
        <v>13328</v>
      </c>
      <c r="AKT2" s="230"/>
      <c r="AKU2" s="230"/>
      <c r="AKV2" s="231"/>
      <c r="AKW2" s="229" t="s">
        <v>13328</v>
      </c>
      <c r="AKX2" s="230"/>
      <c r="AKY2" s="230"/>
      <c r="AKZ2" s="231"/>
      <c r="ALA2" s="229" t="s">
        <v>13328</v>
      </c>
      <c r="ALB2" s="230"/>
      <c r="ALC2" s="230"/>
      <c r="ALD2" s="231"/>
      <c r="ALE2" s="229" t="s">
        <v>13328</v>
      </c>
      <c r="ALF2" s="230"/>
      <c r="ALG2" s="230"/>
      <c r="ALH2" s="231"/>
      <c r="ALI2" s="229" t="s">
        <v>13328</v>
      </c>
      <c r="ALJ2" s="230"/>
      <c r="ALK2" s="230"/>
      <c r="ALL2" s="231"/>
      <c r="ALM2" s="229" t="s">
        <v>13328</v>
      </c>
      <c r="ALN2" s="230"/>
      <c r="ALO2" s="230"/>
      <c r="ALP2" s="231"/>
      <c r="ALQ2" s="229" t="s">
        <v>13328</v>
      </c>
      <c r="ALR2" s="230"/>
      <c r="ALS2" s="230"/>
      <c r="ALT2" s="231"/>
      <c r="ALU2" s="229" t="s">
        <v>13328</v>
      </c>
      <c r="ALV2" s="230"/>
      <c r="ALW2" s="230"/>
      <c r="ALX2" s="231"/>
      <c r="ALY2" s="229" t="s">
        <v>13328</v>
      </c>
      <c r="ALZ2" s="230"/>
      <c r="AMA2" s="230"/>
      <c r="AMB2" s="231"/>
      <c r="AMC2" s="229" t="s">
        <v>13328</v>
      </c>
      <c r="AMD2" s="230"/>
      <c r="AME2" s="230"/>
      <c r="AMF2" s="231"/>
      <c r="AMG2" s="229" t="s">
        <v>13328</v>
      </c>
      <c r="AMH2" s="230"/>
      <c r="AMI2" s="230"/>
      <c r="AMJ2" s="231"/>
      <c r="AMK2" s="229" t="s">
        <v>13328</v>
      </c>
      <c r="AML2" s="230"/>
      <c r="AMM2" s="230"/>
      <c r="AMN2" s="231"/>
      <c r="AMO2" s="229" t="s">
        <v>13328</v>
      </c>
      <c r="AMP2" s="230"/>
      <c r="AMQ2" s="230"/>
      <c r="AMR2" s="231"/>
      <c r="AMS2" s="229" t="s">
        <v>13328</v>
      </c>
      <c r="AMT2" s="230"/>
      <c r="AMU2" s="230"/>
      <c r="AMV2" s="231"/>
      <c r="AMW2" s="229" t="s">
        <v>13328</v>
      </c>
      <c r="AMX2" s="230"/>
      <c r="AMY2" s="230"/>
      <c r="AMZ2" s="231"/>
      <c r="ANA2" s="229" t="s">
        <v>13328</v>
      </c>
      <c r="ANB2" s="230"/>
      <c r="ANC2" s="230"/>
      <c r="AND2" s="231"/>
      <c r="ANE2" s="229" t="s">
        <v>13328</v>
      </c>
      <c r="ANF2" s="230"/>
      <c r="ANG2" s="230"/>
      <c r="ANH2" s="231"/>
      <c r="ANI2" s="229" t="s">
        <v>13328</v>
      </c>
      <c r="ANJ2" s="230"/>
      <c r="ANK2" s="230"/>
      <c r="ANL2" s="231"/>
      <c r="ANM2" s="229" t="s">
        <v>13328</v>
      </c>
      <c r="ANN2" s="230"/>
      <c r="ANO2" s="230"/>
      <c r="ANP2" s="231"/>
      <c r="ANQ2" s="229" t="s">
        <v>13328</v>
      </c>
      <c r="ANR2" s="230"/>
      <c r="ANS2" s="230"/>
      <c r="ANT2" s="231"/>
      <c r="ANU2" s="229" t="s">
        <v>13328</v>
      </c>
      <c r="ANV2" s="230"/>
      <c r="ANW2" s="230"/>
      <c r="ANX2" s="231"/>
      <c r="ANY2" s="229" t="s">
        <v>13328</v>
      </c>
      <c r="ANZ2" s="230"/>
      <c r="AOA2" s="230"/>
      <c r="AOB2" s="231"/>
      <c r="AOC2" s="229" t="s">
        <v>13328</v>
      </c>
      <c r="AOD2" s="230"/>
      <c r="AOE2" s="230"/>
      <c r="AOF2" s="231"/>
      <c r="AOG2" s="229" t="s">
        <v>13328</v>
      </c>
      <c r="AOH2" s="230"/>
      <c r="AOI2" s="230"/>
      <c r="AOJ2" s="231"/>
      <c r="AOK2" s="229" t="s">
        <v>13328</v>
      </c>
      <c r="AOL2" s="230"/>
      <c r="AOM2" s="230"/>
      <c r="AON2" s="231"/>
      <c r="AOO2" s="229" t="s">
        <v>13328</v>
      </c>
      <c r="AOP2" s="230"/>
      <c r="AOQ2" s="230"/>
      <c r="AOR2" s="231"/>
      <c r="AOS2" s="229" t="s">
        <v>13328</v>
      </c>
      <c r="AOT2" s="230"/>
      <c r="AOU2" s="230"/>
      <c r="AOV2" s="231"/>
      <c r="AOW2" s="229" t="s">
        <v>13328</v>
      </c>
      <c r="AOX2" s="230"/>
      <c r="AOY2" s="230"/>
      <c r="AOZ2" s="231"/>
      <c r="APA2" s="229" t="s">
        <v>13328</v>
      </c>
      <c r="APB2" s="230"/>
      <c r="APC2" s="230"/>
      <c r="APD2" s="231"/>
      <c r="APE2" s="229" t="s">
        <v>13328</v>
      </c>
      <c r="APF2" s="230"/>
      <c r="APG2" s="230"/>
      <c r="APH2" s="231"/>
      <c r="API2" s="229" t="s">
        <v>13328</v>
      </c>
      <c r="APJ2" s="230"/>
      <c r="APK2" s="230"/>
      <c r="APL2" s="231"/>
      <c r="APM2" s="229" t="s">
        <v>13328</v>
      </c>
      <c r="APN2" s="230"/>
      <c r="APO2" s="230"/>
      <c r="APP2" s="231"/>
      <c r="APQ2" s="229" t="s">
        <v>13328</v>
      </c>
      <c r="APR2" s="230"/>
      <c r="APS2" s="230"/>
      <c r="APT2" s="231"/>
      <c r="APU2" s="229" t="s">
        <v>13328</v>
      </c>
      <c r="APV2" s="230"/>
      <c r="APW2" s="230"/>
      <c r="APX2" s="231"/>
      <c r="APY2" s="229" t="s">
        <v>13328</v>
      </c>
      <c r="APZ2" s="230"/>
      <c r="AQA2" s="230"/>
      <c r="AQB2" s="231"/>
      <c r="AQC2" s="229" t="s">
        <v>13328</v>
      </c>
      <c r="AQD2" s="230"/>
      <c r="AQE2" s="230"/>
      <c r="AQF2" s="231"/>
      <c r="AQG2" s="229" t="s">
        <v>13328</v>
      </c>
      <c r="AQH2" s="230"/>
      <c r="AQI2" s="230"/>
      <c r="AQJ2" s="231"/>
      <c r="AQK2" s="229" t="s">
        <v>13328</v>
      </c>
      <c r="AQL2" s="230"/>
      <c r="AQM2" s="230"/>
      <c r="AQN2" s="231"/>
      <c r="AQO2" s="229" t="s">
        <v>13328</v>
      </c>
      <c r="AQP2" s="230"/>
      <c r="AQQ2" s="230"/>
      <c r="AQR2" s="231"/>
      <c r="AQS2" s="229" t="s">
        <v>13328</v>
      </c>
      <c r="AQT2" s="230"/>
      <c r="AQU2" s="230"/>
      <c r="AQV2" s="231"/>
      <c r="AQW2" s="229" t="s">
        <v>13328</v>
      </c>
      <c r="AQX2" s="230"/>
      <c r="AQY2" s="230"/>
      <c r="AQZ2" s="231"/>
      <c r="ARA2" s="229" t="s">
        <v>13328</v>
      </c>
      <c r="ARB2" s="230"/>
      <c r="ARC2" s="230"/>
      <c r="ARD2" s="231"/>
      <c r="ARE2" s="229" t="s">
        <v>13328</v>
      </c>
      <c r="ARF2" s="230"/>
      <c r="ARG2" s="230"/>
      <c r="ARH2" s="231"/>
      <c r="ARI2" s="229" t="s">
        <v>13328</v>
      </c>
      <c r="ARJ2" s="230"/>
      <c r="ARK2" s="230"/>
      <c r="ARL2" s="231"/>
      <c r="ARM2" s="229" t="s">
        <v>13328</v>
      </c>
      <c r="ARN2" s="230"/>
      <c r="ARO2" s="230"/>
      <c r="ARP2" s="231"/>
      <c r="ARQ2" s="229" t="s">
        <v>13328</v>
      </c>
      <c r="ARR2" s="230"/>
      <c r="ARS2" s="230"/>
      <c r="ART2" s="231"/>
      <c r="ARU2" s="229" t="s">
        <v>13328</v>
      </c>
      <c r="ARV2" s="230"/>
      <c r="ARW2" s="230"/>
      <c r="ARX2" s="231"/>
      <c r="ARY2" s="229" t="s">
        <v>13328</v>
      </c>
      <c r="ARZ2" s="230"/>
      <c r="ASA2" s="230"/>
      <c r="ASB2" s="231"/>
      <c r="ASC2" s="229" t="s">
        <v>13328</v>
      </c>
      <c r="ASD2" s="230"/>
      <c r="ASE2" s="230"/>
      <c r="ASF2" s="231"/>
      <c r="ASG2" s="229" t="s">
        <v>13328</v>
      </c>
      <c r="ASH2" s="230"/>
      <c r="ASI2" s="230"/>
      <c r="ASJ2" s="231"/>
      <c r="ASK2" s="229" t="s">
        <v>13328</v>
      </c>
      <c r="ASL2" s="230"/>
      <c r="ASM2" s="230"/>
      <c r="ASN2" s="231"/>
      <c r="ASO2" s="229" t="s">
        <v>13328</v>
      </c>
      <c r="ASP2" s="230"/>
      <c r="ASQ2" s="230"/>
      <c r="ASR2" s="231"/>
      <c r="ASS2" s="229" t="s">
        <v>13328</v>
      </c>
      <c r="AST2" s="230"/>
      <c r="ASU2" s="230"/>
      <c r="ASV2" s="231"/>
      <c r="ASW2" s="229" t="s">
        <v>13328</v>
      </c>
      <c r="ASX2" s="230"/>
      <c r="ASY2" s="230"/>
      <c r="ASZ2" s="231"/>
      <c r="ATA2" s="229" t="s">
        <v>13328</v>
      </c>
      <c r="ATB2" s="230"/>
      <c r="ATC2" s="230"/>
      <c r="ATD2" s="231"/>
      <c r="ATE2" s="229" t="s">
        <v>13328</v>
      </c>
      <c r="ATF2" s="230"/>
      <c r="ATG2" s="230"/>
      <c r="ATH2" s="231"/>
      <c r="ATI2" s="229" t="s">
        <v>13328</v>
      </c>
      <c r="ATJ2" s="230"/>
      <c r="ATK2" s="230"/>
      <c r="ATL2" s="231"/>
      <c r="ATM2" s="229" t="s">
        <v>13328</v>
      </c>
      <c r="ATN2" s="230"/>
      <c r="ATO2" s="230"/>
      <c r="ATP2" s="231"/>
      <c r="ATQ2" s="229" t="s">
        <v>13328</v>
      </c>
      <c r="ATR2" s="230"/>
      <c r="ATS2" s="230"/>
      <c r="ATT2" s="231"/>
      <c r="ATU2" s="229" t="s">
        <v>13328</v>
      </c>
      <c r="ATV2" s="230"/>
      <c r="ATW2" s="230"/>
      <c r="ATX2" s="231"/>
      <c r="ATY2" s="229" t="s">
        <v>13328</v>
      </c>
      <c r="ATZ2" s="230"/>
      <c r="AUA2" s="230"/>
      <c r="AUB2" s="231"/>
      <c r="AUC2" s="229" t="s">
        <v>13328</v>
      </c>
      <c r="AUD2" s="230"/>
      <c r="AUE2" s="230"/>
      <c r="AUF2" s="231"/>
      <c r="AUG2" s="229" t="s">
        <v>13328</v>
      </c>
      <c r="AUH2" s="230"/>
      <c r="AUI2" s="230"/>
      <c r="AUJ2" s="231"/>
      <c r="AUK2" s="229" t="s">
        <v>13328</v>
      </c>
      <c r="AUL2" s="230"/>
      <c r="AUM2" s="230"/>
      <c r="AUN2" s="231"/>
      <c r="AUO2" s="229" t="s">
        <v>13328</v>
      </c>
      <c r="AUP2" s="230"/>
      <c r="AUQ2" s="230"/>
      <c r="AUR2" s="231"/>
      <c r="AUS2" s="229" t="s">
        <v>13328</v>
      </c>
      <c r="AUT2" s="230"/>
      <c r="AUU2" s="230"/>
      <c r="AUV2" s="231"/>
      <c r="AUW2" s="229" t="s">
        <v>13328</v>
      </c>
      <c r="AUX2" s="230"/>
      <c r="AUY2" s="230"/>
      <c r="AUZ2" s="231"/>
      <c r="AVA2" s="229" t="s">
        <v>13328</v>
      </c>
      <c r="AVB2" s="230"/>
      <c r="AVC2" s="230"/>
      <c r="AVD2" s="231"/>
      <c r="AVE2" s="229" t="s">
        <v>13328</v>
      </c>
      <c r="AVF2" s="230"/>
      <c r="AVG2" s="230"/>
      <c r="AVH2" s="231"/>
      <c r="AVI2" s="229" t="s">
        <v>13328</v>
      </c>
      <c r="AVJ2" s="230"/>
      <c r="AVK2" s="230"/>
      <c r="AVL2" s="231"/>
      <c r="AVM2" s="229" t="s">
        <v>13328</v>
      </c>
      <c r="AVN2" s="230"/>
      <c r="AVO2" s="230"/>
      <c r="AVP2" s="231"/>
      <c r="AVQ2" s="229" t="s">
        <v>13328</v>
      </c>
      <c r="AVR2" s="230"/>
      <c r="AVS2" s="230"/>
      <c r="AVT2" s="231"/>
      <c r="AVU2" s="229" t="s">
        <v>13328</v>
      </c>
      <c r="AVV2" s="230"/>
      <c r="AVW2" s="230"/>
      <c r="AVX2" s="231"/>
      <c r="AVY2" s="229" t="s">
        <v>13328</v>
      </c>
      <c r="AVZ2" s="230"/>
      <c r="AWA2" s="230"/>
      <c r="AWB2" s="231"/>
      <c r="AWC2" s="229" t="s">
        <v>13328</v>
      </c>
      <c r="AWD2" s="230"/>
      <c r="AWE2" s="230"/>
      <c r="AWF2" s="231"/>
      <c r="AWG2" s="229" t="s">
        <v>13328</v>
      </c>
      <c r="AWH2" s="230"/>
      <c r="AWI2" s="230"/>
      <c r="AWJ2" s="231"/>
      <c r="AWK2" s="229" t="s">
        <v>13328</v>
      </c>
      <c r="AWL2" s="230"/>
      <c r="AWM2" s="230"/>
      <c r="AWN2" s="231"/>
      <c r="AWO2" s="229" t="s">
        <v>13328</v>
      </c>
      <c r="AWP2" s="230"/>
      <c r="AWQ2" s="230"/>
      <c r="AWR2" s="231"/>
      <c r="AWS2" s="229" t="s">
        <v>13328</v>
      </c>
      <c r="AWT2" s="230"/>
      <c r="AWU2" s="230"/>
      <c r="AWV2" s="231"/>
      <c r="AWW2" s="229" t="s">
        <v>13328</v>
      </c>
      <c r="AWX2" s="230"/>
      <c r="AWY2" s="230"/>
      <c r="AWZ2" s="231"/>
      <c r="AXA2" s="229" t="s">
        <v>13328</v>
      </c>
      <c r="AXB2" s="230"/>
      <c r="AXC2" s="230"/>
      <c r="AXD2" s="231"/>
      <c r="AXE2" s="229" t="s">
        <v>13328</v>
      </c>
      <c r="AXF2" s="230"/>
      <c r="AXG2" s="230"/>
      <c r="AXH2" s="231"/>
      <c r="AXI2" s="229" t="s">
        <v>13328</v>
      </c>
      <c r="AXJ2" s="230"/>
      <c r="AXK2" s="230"/>
      <c r="AXL2" s="231"/>
      <c r="AXM2" s="229" t="s">
        <v>13328</v>
      </c>
      <c r="AXN2" s="230"/>
      <c r="AXO2" s="230"/>
      <c r="AXP2" s="231"/>
      <c r="AXQ2" s="229" t="s">
        <v>13328</v>
      </c>
      <c r="AXR2" s="230"/>
      <c r="AXS2" s="230"/>
      <c r="AXT2" s="231"/>
      <c r="AXU2" s="229" t="s">
        <v>13328</v>
      </c>
      <c r="AXV2" s="230"/>
      <c r="AXW2" s="230"/>
      <c r="AXX2" s="231"/>
      <c r="AXY2" s="229" t="s">
        <v>13328</v>
      </c>
      <c r="AXZ2" s="230"/>
      <c r="AYA2" s="230"/>
      <c r="AYB2" s="231"/>
      <c r="AYC2" s="229" t="s">
        <v>13328</v>
      </c>
      <c r="AYD2" s="230"/>
      <c r="AYE2" s="230"/>
      <c r="AYF2" s="231"/>
      <c r="AYG2" s="229" t="s">
        <v>13328</v>
      </c>
      <c r="AYH2" s="230"/>
      <c r="AYI2" s="230"/>
      <c r="AYJ2" s="231"/>
      <c r="AYK2" s="229" t="s">
        <v>13328</v>
      </c>
      <c r="AYL2" s="230"/>
      <c r="AYM2" s="230"/>
      <c r="AYN2" s="231"/>
      <c r="AYO2" s="229" t="s">
        <v>13328</v>
      </c>
      <c r="AYP2" s="230"/>
      <c r="AYQ2" s="230"/>
      <c r="AYR2" s="231"/>
      <c r="AYS2" s="229" t="s">
        <v>13328</v>
      </c>
      <c r="AYT2" s="230"/>
      <c r="AYU2" s="230"/>
      <c r="AYV2" s="231"/>
      <c r="AYW2" s="229" t="s">
        <v>13328</v>
      </c>
      <c r="AYX2" s="230"/>
      <c r="AYY2" s="230"/>
      <c r="AYZ2" s="231"/>
      <c r="AZA2" s="229" t="s">
        <v>13328</v>
      </c>
      <c r="AZB2" s="230"/>
      <c r="AZC2" s="230"/>
      <c r="AZD2" s="231"/>
      <c r="AZE2" s="229" t="s">
        <v>13328</v>
      </c>
      <c r="AZF2" s="230"/>
      <c r="AZG2" s="230"/>
      <c r="AZH2" s="231"/>
      <c r="AZI2" s="229" t="s">
        <v>13328</v>
      </c>
      <c r="AZJ2" s="230"/>
      <c r="AZK2" s="230"/>
      <c r="AZL2" s="231"/>
      <c r="AZM2" s="229" t="s">
        <v>13328</v>
      </c>
      <c r="AZN2" s="230"/>
      <c r="AZO2" s="230"/>
      <c r="AZP2" s="231"/>
      <c r="AZQ2" s="229" t="s">
        <v>13328</v>
      </c>
      <c r="AZR2" s="230"/>
      <c r="AZS2" s="230"/>
      <c r="AZT2" s="231"/>
      <c r="AZU2" s="229" t="s">
        <v>13328</v>
      </c>
      <c r="AZV2" s="230"/>
      <c r="AZW2" s="230"/>
      <c r="AZX2" s="231"/>
      <c r="AZY2" s="229" t="s">
        <v>13328</v>
      </c>
      <c r="AZZ2" s="230"/>
      <c r="BAA2" s="230"/>
      <c r="BAB2" s="231"/>
      <c r="BAC2" s="229" t="s">
        <v>13328</v>
      </c>
      <c r="BAD2" s="230"/>
      <c r="BAE2" s="230"/>
      <c r="BAF2" s="231"/>
      <c r="BAG2" s="229" t="s">
        <v>13328</v>
      </c>
      <c r="BAH2" s="230"/>
      <c r="BAI2" s="230"/>
      <c r="BAJ2" s="231"/>
      <c r="BAK2" s="229" t="s">
        <v>13328</v>
      </c>
      <c r="BAL2" s="230"/>
      <c r="BAM2" s="230"/>
      <c r="BAN2" s="231"/>
      <c r="BAO2" s="229" t="s">
        <v>13328</v>
      </c>
      <c r="BAP2" s="230"/>
      <c r="BAQ2" s="230"/>
      <c r="BAR2" s="231"/>
      <c r="BAS2" s="229" t="s">
        <v>13328</v>
      </c>
      <c r="BAT2" s="230"/>
      <c r="BAU2" s="230"/>
      <c r="BAV2" s="231"/>
      <c r="BAW2" s="229" t="s">
        <v>13328</v>
      </c>
      <c r="BAX2" s="230"/>
      <c r="BAY2" s="230"/>
      <c r="BAZ2" s="231"/>
      <c r="BBA2" s="229" t="s">
        <v>13328</v>
      </c>
      <c r="BBB2" s="230"/>
      <c r="BBC2" s="230"/>
      <c r="BBD2" s="231"/>
      <c r="BBE2" s="229" t="s">
        <v>13328</v>
      </c>
      <c r="BBF2" s="230"/>
      <c r="BBG2" s="230"/>
      <c r="BBH2" s="231"/>
      <c r="BBI2" s="229" t="s">
        <v>13328</v>
      </c>
      <c r="BBJ2" s="230"/>
      <c r="BBK2" s="230"/>
      <c r="BBL2" s="231"/>
      <c r="BBM2" s="229" t="s">
        <v>13328</v>
      </c>
      <c r="BBN2" s="230"/>
      <c r="BBO2" s="230"/>
      <c r="BBP2" s="231"/>
      <c r="BBQ2" s="229" t="s">
        <v>13328</v>
      </c>
      <c r="BBR2" s="230"/>
      <c r="BBS2" s="230"/>
      <c r="BBT2" s="231"/>
      <c r="BBU2" s="229" t="s">
        <v>13328</v>
      </c>
      <c r="BBV2" s="230"/>
      <c r="BBW2" s="230"/>
      <c r="BBX2" s="231"/>
      <c r="BBY2" s="229" t="s">
        <v>13328</v>
      </c>
      <c r="BBZ2" s="230"/>
      <c r="BCA2" s="230"/>
      <c r="BCB2" s="231"/>
      <c r="BCC2" s="229" t="s">
        <v>13328</v>
      </c>
      <c r="BCD2" s="230"/>
      <c r="BCE2" s="230"/>
      <c r="BCF2" s="231"/>
      <c r="BCG2" s="229" t="s">
        <v>13328</v>
      </c>
      <c r="BCH2" s="230"/>
      <c r="BCI2" s="230"/>
      <c r="BCJ2" s="231"/>
      <c r="BCK2" s="229" t="s">
        <v>13328</v>
      </c>
      <c r="BCL2" s="230"/>
      <c r="BCM2" s="230"/>
      <c r="BCN2" s="231"/>
      <c r="BCO2" s="229" t="s">
        <v>13328</v>
      </c>
      <c r="BCP2" s="230"/>
      <c r="BCQ2" s="230"/>
      <c r="BCR2" s="231"/>
      <c r="BCS2" s="229" t="s">
        <v>13328</v>
      </c>
      <c r="BCT2" s="230"/>
      <c r="BCU2" s="230"/>
      <c r="BCV2" s="231"/>
      <c r="BCW2" s="229" t="s">
        <v>13328</v>
      </c>
      <c r="BCX2" s="230"/>
      <c r="BCY2" s="230"/>
      <c r="BCZ2" s="231"/>
      <c r="BDA2" s="229" t="s">
        <v>13328</v>
      </c>
      <c r="BDB2" s="230"/>
      <c r="BDC2" s="230"/>
      <c r="BDD2" s="231"/>
      <c r="BDE2" s="229" t="s">
        <v>13328</v>
      </c>
      <c r="BDF2" s="230"/>
      <c r="BDG2" s="230"/>
      <c r="BDH2" s="231"/>
      <c r="BDI2" s="229" t="s">
        <v>13328</v>
      </c>
      <c r="BDJ2" s="230"/>
      <c r="BDK2" s="230"/>
      <c r="BDL2" s="231"/>
      <c r="BDM2" s="229" t="s">
        <v>13328</v>
      </c>
      <c r="BDN2" s="230"/>
      <c r="BDO2" s="230"/>
      <c r="BDP2" s="231"/>
      <c r="BDQ2" s="229" t="s">
        <v>13328</v>
      </c>
      <c r="BDR2" s="230"/>
      <c r="BDS2" s="230"/>
      <c r="BDT2" s="231"/>
      <c r="BDU2" s="229" t="s">
        <v>13328</v>
      </c>
      <c r="BDV2" s="230"/>
      <c r="BDW2" s="230"/>
      <c r="BDX2" s="231"/>
      <c r="BDY2" s="229" t="s">
        <v>13328</v>
      </c>
      <c r="BDZ2" s="230"/>
      <c r="BEA2" s="230"/>
      <c r="BEB2" s="231"/>
      <c r="BEC2" s="229" t="s">
        <v>13328</v>
      </c>
      <c r="BED2" s="230"/>
      <c r="BEE2" s="230"/>
      <c r="BEF2" s="231"/>
      <c r="BEG2" s="229" t="s">
        <v>13328</v>
      </c>
      <c r="BEH2" s="230"/>
      <c r="BEI2" s="230"/>
      <c r="BEJ2" s="231"/>
      <c r="BEK2" s="229" t="s">
        <v>13328</v>
      </c>
      <c r="BEL2" s="230"/>
      <c r="BEM2" s="230"/>
      <c r="BEN2" s="231"/>
      <c r="BEO2" s="229" t="s">
        <v>13328</v>
      </c>
      <c r="BEP2" s="230"/>
      <c r="BEQ2" s="230"/>
      <c r="BER2" s="231"/>
      <c r="BES2" s="229" t="s">
        <v>13328</v>
      </c>
      <c r="BET2" s="230"/>
      <c r="BEU2" s="230"/>
      <c r="BEV2" s="231"/>
      <c r="BEW2" s="229" t="s">
        <v>13328</v>
      </c>
      <c r="BEX2" s="230"/>
      <c r="BEY2" s="230"/>
      <c r="BEZ2" s="231"/>
      <c r="BFA2" s="229" t="s">
        <v>13328</v>
      </c>
      <c r="BFB2" s="230"/>
      <c r="BFC2" s="230"/>
      <c r="BFD2" s="231"/>
      <c r="BFE2" s="229" t="s">
        <v>13328</v>
      </c>
      <c r="BFF2" s="230"/>
      <c r="BFG2" s="230"/>
      <c r="BFH2" s="231"/>
      <c r="BFI2" s="229" t="s">
        <v>13328</v>
      </c>
      <c r="BFJ2" s="230"/>
      <c r="BFK2" s="230"/>
      <c r="BFL2" s="231"/>
      <c r="BFM2" s="229" t="s">
        <v>13328</v>
      </c>
      <c r="BFN2" s="230"/>
      <c r="BFO2" s="230"/>
      <c r="BFP2" s="231"/>
      <c r="BFQ2" s="229" t="s">
        <v>13328</v>
      </c>
      <c r="BFR2" s="230"/>
      <c r="BFS2" s="230"/>
      <c r="BFT2" s="231"/>
      <c r="BFU2" s="229" t="s">
        <v>13328</v>
      </c>
      <c r="BFV2" s="230"/>
      <c r="BFW2" s="230"/>
      <c r="BFX2" s="231"/>
      <c r="BFY2" s="229" t="s">
        <v>13328</v>
      </c>
      <c r="BFZ2" s="230"/>
      <c r="BGA2" s="230"/>
      <c r="BGB2" s="231"/>
      <c r="BGC2" s="229" t="s">
        <v>13328</v>
      </c>
      <c r="BGD2" s="230"/>
      <c r="BGE2" s="230"/>
      <c r="BGF2" s="231"/>
      <c r="BGG2" s="229" t="s">
        <v>13328</v>
      </c>
      <c r="BGH2" s="230"/>
      <c r="BGI2" s="230"/>
      <c r="BGJ2" s="231"/>
      <c r="BGK2" s="229" t="s">
        <v>13328</v>
      </c>
      <c r="BGL2" s="230"/>
      <c r="BGM2" s="230"/>
      <c r="BGN2" s="231"/>
      <c r="BGO2" s="229" t="s">
        <v>13328</v>
      </c>
      <c r="BGP2" s="230"/>
      <c r="BGQ2" s="230"/>
      <c r="BGR2" s="231"/>
      <c r="BGS2" s="229" t="s">
        <v>13328</v>
      </c>
      <c r="BGT2" s="230"/>
      <c r="BGU2" s="230"/>
      <c r="BGV2" s="231"/>
      <c r="BGW2" s="229" t="s">
        <v>13328</v>
      </c>
      <c r="BGX2" s="230"/>
      <c r="BGY2" s="230"/>
      <c r="BGZ2" s="231"/>
      <c r="BHA2" s="229" t="s">
        <v>13328</v>
      </c>
      <c r="BHB2" s="230"/>
      <c r="BHC2" s="230"/>
      <c r="BHD2" s="231"/>
      <c r="BHE2" s="229" t="s">
        <v>13328</v>
      </c>
      <c r="BHF2" s="230"/>
      <c r="BHG2" s="230"/>
      <c r="BHH2" s="231"/>
      <c r="BHI2" s="229" t="s">
        <v>13328</v>
      </c>
      <c r="BHJ2" s="230"/>
      <c r="BHK2" s="230"/>
      <c r="BHL2" s="231"/>
      <c r="BHM2" s="229" t="s">
        <v>13328</v>
      </c>
      <c r="BHN2" s="230"/>
      <c r="BHO2" s="230"/>
      <c r="BHP2" s="231"/>
      <c r="BHQ2" s="229" t="s">
        <v>13328</v>
      </c>
      <c r="BHR2" s="230"/>
      <c r="BHS2" s="230"/>
      <c r="BHT2" s="231"/>
      <c r="BHU2" s="229" t="s">
        <v>13328</v>
      </c>
      <c r="BHV2" s="230"/>
      <c r="BHW2" s="230"/>
      <c r="BHX2" s="231"/>
      <c r="BHY2" s="229" t="s">
        <v>13328</v>
      </c>
      <c r="BHZ2" s="230"/>
      <c r="BIA2" s="230"/>
      <c r="BIB2" s="231"/>
      <c r="BIC2" s="229" t="s">
        <v>13328</v>
      </c>
      <c r="BID2" s="230"/>
      <c r="BIE2" s="230"/>
      <c r="BIF2" s="231"/>
      <c r="BIG2" s="229" t="s">
        <v>13328</v>
      </c>
      <c r="BIH2" s="230"/>
      <c r="BII2" s="230"/>
      <c r="BIJ2" s="231"/>
      <c r="BIK2" s="229" t="s">
        <v>13328</v>
      </c>
      <c r="BIL2" s="230"/>
      <c r="BIM2" s="230"/>
      <c r="BIN2" s="231"/>
      <c r="BIO2" s="229" t="s">
        <v>13328</v>
      </c>
      <c r="BIP2" s="230"/>
      <c r="BIQ2" s="230"/>
      <c r="BIR2" s="231"/>
      <c r="BIS2" s="229" t="s">
        <v>13328</v>
      </c>
      <c r="BIT2" s="230"/>
      <c r="BIU2" s="230"/>
      <c r="BIV2" s="231"/>
      <c r="BIW2" s="229" t="s">
        <v>13328</v>
      </c>
      <c r="BIX2" s="230"/>
      <c r="BIY2" s="230"/>
      <c r="BIZ2" s="231"/>
      <c r="BJA2" s="229" t="s">
        <v>13328</v>
      </c>
      <c r="BJB2" s="230"/>
      <c r="BJC2" s="230"/>
      <c r="BJD2" s="231"/>
      <c r="BJE2" s="229" t="s">
        <v>13328</v>
      </c>
      <c r="BJF2" s="230"/>
      <c r="BJG2" s="230"/>
      <c r="BJH2" s="231"/>
      <c r="BJI2" s="229" t="s">
        <v>13328</v>
      </c>
      <c r="BJJ2" s="230"/>
      <c r="BJK2" s="230"/>
      <c r="BJL2" s="231"/>
      <c r="BJM2" s="229" t="s">
        <v>13328</v>
      </c>
      <c r="BJN2" s="230"/>
      <c r="BJO2" s="230"/>
      <c r="BJP2" s="231"/>
      <c r="BJQ2" s="229" t="s">
        <v>13328</v>
      </c>
      <c r="BJR2" s="230"/>
      <c r="BJS2" s="230"/>
      <c r="BJT2" s="231"/>
      <c r="BJU2" s="229" t="s">
        <v>13328</v>
      </c>
      <c r="BJV2" s="230"/>
      <c r="BJW2" s="230"/>
      <c r="BJX2" s="231"/>
      <c r="BJY2" s="229" t="s">
        <v>13328</v>
      </c>
      <c r="BJZ2" s="230"/>
      <c r="BKA2" s="230"/>
      <c r="BKB2" s="231"/>
      <c r="BKC2" s="229" t="s">
        <v>13328</v>
      </c>
      <c r="BKD2" s="230"/>
      <c r="BKE2" s="230"/>
      <c r="BKF2" s="231"/>
      <c r="BKG2" s="229" t="s">
        <v>13328</v>
      </c>
      <c r="BKH2" s="230"/>
      <c r="BKI2" s="230"/>
      <c r="BKJ2" s="231"/>
      <c r="BKK2" s="229" t="s">
        <v>13328</v>
      </c>
      <c r="BKL2" s="230"/>
      <c r="BKM2" s="230"/>
      <c r="BKN2" s="231"/>
      <c r="BKO2" s="229" t="s">
        <v>13328</v>
      </c>
      <c r="BKP2" s="230"/>
      <c r="BKQ2" s="230"/>
      <c r="BKR2" s="231"/>
      <c r="BKS2" s="229" t="s">
        <v>13328</v>
      </c>
      <c r="BKT2" s="230"/>
      <c r="BKU2" s="230"/>
      <c r="BKV2" s="231"/>
      <c r="BKW2" s="229" t="s">
        <v>13328</v>
      </c>
      <c r="BKX2" s="230"/>
      <c r="BKY2" s="230"/>
      <c r="BKZ2" s="231"/>
      <c r="BLA2" s="229" t="s">
        <v>13328</v>
      </c>
      <c r="BLB2" s="230"/>
      <c r="BLC2" s="230"/>
      <c r="BLD2" s="231"/>
      <c r="BLE2" s="229" t="s">
        <v>13328</v>
      </c>
      <c r="BLF2" s="230"/>
      <c r="BLG2" s="230"/>
      <c r="BLH2" s="231"/>
      <c r="BLI2" s="229" t="s">
        <v>13328</v>
      </c>
      <c r="BLJ2" s="230"/>
      <c r="BLK2" s="230"/>
      <c r="BLL2" s="231"/>
      <c r="BLM2" s="229" t="s">
        <v>13328</v>
      </c>
      <c r="BLN2" s="230"/>
      <c r="BLO2" s="230"/>
      <c r="BLP2" s="231"/>
      <c r="BLQ2" s="229" t="s">
        <v>13328</v>
      </c>
      <c r="BLR2" s="230"/>
      <c r="BLS2" s="230"/>
      <c r="BLT2" s="231"/>
      <c r="BLU2" s="229" t="s">
        <v>13328</v>
      </c>
      <c r="BLV2" s="230"/>
      <c r="BLW2" s="230"/>
      <c r="BLX2" s="231"/>
      <c r="BLY2" s="229" t="s">
        <v>13328</v>
      </c>
      <c r="BLZ2" s="230"/>
      <c r="BMA2" s="230"/>
      <c r="BMB2" s="231"/>
      <c r="BMC2" s="229" t="s">
        <v>13328</v>
      </c>
      <c r="BMD2" s="230"/>
      <c r="BME2" s="230"/>
      <c r="BMF2" s="231"/>
      <c r="BMG2" s="229" t="s">
        <v>13328</v>
      </c>
      <c r="BMH2" s="230"/>
      <c r="BMI2" s="230"/>
      <c r="BMJ2" s="231"/>
      <c r="BMK2" s="229" t="s">
        <v>13328</v>
      </c>
      <c r="BML2" s="230"/>
      <c r="BMM2" s="230"/>
      <c r="BMN2" s="231"/>
      <c r="BMO2" s="229" t="s">
        <v>13328</v>
      </c>
      <c r="BMP2" s="230"/>
      <c r="BMQ2" s="230"/>
      <c r="BMR2" s="231"/>
      <c r="BMS2" s="229" t="s">
        <v>13328</v>
      </c>
      <c r="BMT2" s="230"/>
      <c r="BMU2" s="230"/>
      <c r="BMV2" s="231"/>
      <c r="BMW2" s="229" t="s">
        <v>13328</v>
      </c>
      <c r="BMX2" s="230"/>
      <c r="BMY2" s="230"/>
      <c r="BMZ2" s="231"/>
      <c r="BNA2" s="229" t="s">
        <v>13328</v>
      </c>
      <c r="BNB2" s="230"/>
      <c r="BNC2" s="230"/>
      <c r="BND2" s="231"/>
      <c r="BNE2" s="229" t="s">
        <v>13328</v>
      </c>
      <c r="BNF2" s="230"/>
      <c r="BNG2" s="230"/>
      <c r="BNH2" s="231"/>
      <c r="BNI2" s="229" t="s">
        <v>13328</v>
      </c>
      <c r="BNJ2" s="230"/>
      <c r="BNK2" s="230"/>
      <c r="BNL2" s="231"/>
      <c r="BNM2" s="229" t="s">
        <v>13328</v>
      </c>
      <c r="BNN2" s="230"/>
      <c r="BNO2" s="230"/>
      <c r="BNP2" s="231"/>
      <c r="BNQ2" s="229" t="s">
        <v>13328</v>
      </c>
      <c r="BNR2" s="230"/>
      <c r="BNS2" s="230"/>
      <c r="BNT2" s="231"/>
      <c r="BNU2" s="229" t="s">
        <v>13328</v>
      </c>
      <c r="BNV2" s="230"/>
      <c r="BNW2" s="230"/>
      <c r="BNX2" s="231"/>
      <c r="BNY2" s="229" t="s">
        <v>13328</v>
      </c>
      <c r="BNZ2" s="230"/>
      <c r="BOA2" s="230"/>
      <c r="BOB2" s="231"/>
      <c r="BOC2" s="229" t="s">
        <v>13328</v>
      </c>
      <c r="BOD2" s="230"/>
      <c r="BOE2" s="230"/>
      <c r="BOF2" s="231"/>
      <c r="BOG2" s="229" t="s">
        <v>13328</v>
      </c>
      <c r="BOH2" s="230"/>
      <c r="BOI2" s="230"/>
      <c r="BOJ2" s="231"/>
      <c r="BOK2" s="229" t="s">
        <v>13328</v>
      </c>
      <c r="BOL2" s="230"/>
      <c r="BOM2" s="230"/>
      <c r="BON2" s="231"/>
      <c r="BOO2" s="229" t="s">
        <v>13328</v>
      </c>
      <c r="BOP2" s="230"/>
      <c r="BOQ2" s="230"/>
      <c r="BOR2" s="231"/>
      <c r="BOS2" s="229" t="s">
        <v>13328</v>
      </c>
      <c r="BOT2" s="230"/>
      <c r="BOU2" s="230"/>
      <c r="BOV2" s="231"/>
      <c r="BOW2" s="229" t="s">
        <v>13328</v>
      </c>
      <c r="BOX2" s="230"/>
      <c r="BOY2" s="230"/>
      <c r="BOZ2" s="231"/>
      <c r="BPA2" s="229" t="s">
        <v>13328</v>
      </c>
      <c r="BPB2" s="230"/>
      <c r="BPC2" s="230"/>
      <c r="BPD2" s="231"/>
      <c r="BPE2" s="229" t="s">
        <v>13328</v>
      </c>
      <c r="BPF2" s="230"/>
      <c r="BPG2" s="230"/>
      <c r="BPH2" s="231"/>
      <c r="BPI2" s="229" t="s">
        <v>13328</v>
      </c>
      <c r="BPJ2" s="230"/>
      <c r="BPK2" s="230"/>
      <c r="BPL2" s="231"/>
      <c r="BPM2" s="229" t="s">
        <v>13328</v>
      </c>
      <c r="BPN2" s="230"/>
      <c r="BPO2" s="230"/>
      <c r="BPP2" s="231"/>
      <c r="BPQ2" s="229" t="s">
        <v>13328</v>
      </c>
      <c r="BPR2" s="230"/>
      <c r="BPS2" s="230"/>
      <c r="BPT2" s="231"/>
      <c r="BPU2" s="229" t="s">
        <v>13328</v>
      </c>
      <c r="BPV2" s="230"/>
      <c r="BPW2" s="230"/>
      <c r="BPX2" s="231"/>
      <c r="BPY2" s="229" t="s">
        <v>13328</v>
      </c>
      <c r="BPZ2" s="230"/>
      <c r="BQA2" s="230"/>
      <c r="BQB2" s="231"/>
      <c r="BQC2" s="229" t="s">
        <v>13328</v>
      </c>
      <c r="BQD2" s="230"/>
      <c r="BQE2" s="230"/>
      <c r="BQF2" s="231"/>
      <c r="BQG2" s="229" t="s">
        <v>13328</v>
      </c>
      <c r="BQH2" s="230"/>
      <c r="BQI2" s="230"/>
      <c r="BQJ2" s="231"/>
      <c r="BQK2" s="229" t="s">
        <v>13328</v>
      </c>
      <c r="BQL2" s="230"/>
      <c r="BQM2" s="230"/>
      <c r="BQN2" s="231"/>
      <c r="BQO2" s="229" t="s">
        <v>13328</v>
      </c>
      <c r="BQP2" s="230"/>
      <c r="BQQ2" s="230"/>
      <c r="BQR2" s="231"/>
      <c r="BQS2" s="229" t="s">
        <v>13328</v>
      </c>
      <c r="BQT2" s="230"/>
      <c r="BQU2" s="230"/>
      <c r="BQV2" s="231"/>
      <c r="BQW2" s="229" t="s">
        <v>13328</v>
      </c>
      <c r="BQX2" s="230"/>
      <c r="BQY2" s="230"/>
      <c r="BQZ2" s="231"/>
      <c r="BRA2" s="229" t="s">
        <v>13328</v>
      </c>
      <c r="BRB2" s="230"/>
      <c r="BRC2" s="230"/>
      <c r="BRD2" s="231"/>
      <c r="BRE2" s="229" t="s">
        <v>13328</v>
      </c>
      <c r="BRF2" s="230"/>
      <c r="BRG2" s="230"/>
      <c r="BRH2" s="231"/>
      <c r="BRI2" s="229" t="s">
        <v>13328</v>
      </c>
      <c r="BRJ2" s="230"/>
      <c r="BRK2" s="230"/>
      <c r="BRL2" s="231"/>
      <c r="BRM2" s="229" t="s">
        <v>13328</v>
      </c>
      <c r="BRN2" s="230"/>
      <c r="BRO2" s="230"/>
      <c r="BRP2" s="231"/>
      <c r="BRQ2" s="229" t="s">
        <v>13328</v>
      </c>
      <c r="BRR2" s="230"/>
      <c r="BRS2" s="230"/>
      <c r="BRT2" s="231"/>
      <c r="BRU2" s="229" t="s">
        <v>13328</v>
      </c>
      <c r="BRV2" s="230"/>
      <c r="BRW2" s="230"/>
      <c r="BRX2" s="231"/>
      <c r="BRY2" s="229" t="s">
        <v>13328</v>
      </c>
      <c r="BRZ2" s="230"/>
      <c r="BSA2" s="230"/>
      <c r="BSB2" s="231"/>
      <c r="BSC2" s="229" t="s">
        <v>13328</v>
      </c>
      <c r="BSD2" s="230"/>
      <c r="BSE2" s="230"/>
      <c r="BSF2" s="231"/>
      <c r="BSG2" s="229" t="s">
        <v>13328</v>
      </c>
      <c r="BSH2" s="230"/>
      <c r="BSI2" s="230"/>
      <c r="BSJ2" s="231"/>
      <c r="BSK2" s="229" t="s">
        <v>13328</v>
      </c>
      <c r="BSL2" s="230"/>
      <c r="BSM2" s="230"/>
      <c r="BSN2" s="231"/>
      <c r="BSO2" s="229" t="s">
        <v>13328</v>
      </c>
      <c r="BSP2" s="230"/>
      <c r="BSQ2" s="230"/>
      <c r="BSR2" s="231"/>
      <c r="BSS2" s="229" t="s">
        <v>13328</v>
      </c>
      <c r="BST2" s="230"/>
      <c r="BSU2" s="230"/>
      <c r="BSV2" s="231"/>
      <c r="BSW2" s="229" t="s">
        <v>13328</v>
      </c>
      <c r="BSX2" s="230"/>
      <c r="BSY2" s="230"/>
      <c r="BSZ2" s="231"/>
      <c r="BTA2" s="229" t="s">
        <v>13328</v>
      </c>
      <c r="BTB2" s="230"/>
      <c r="BTC2" s="230"/>
      <c r="BTD2" s="231"/>
      <c r="BTE2" s="229" t="s">
        <v>13328</v>
      </c>
      <c r="BTF2" s="230"/>
      <c r="BTG2" s="230"/>
      <c r="BTH2" s="231"/>
      <c r="BTI2" s="229" t="s">
        <v>13328</v>
      </c>
      <c r="BTJ2" s="230"/>
      <c r="BTK2" s="230"/>
      <c r="BTL2" s="231"/>
      <c r="BTM2" s="229" t="s">
        <v>13328</v>
      </c>
      <c r="BTN2" s="230"/>
      <c r="BTO2" s="230"/>
      <c r="BTP2" s="231"/>
      <c r="BTQ2" s="229" t="s">
        <v>13328</v>
      </c>
      <c r="BTR2" s="230"/>
      <c r="BTS2" s="230"/>
      <c r="BTT2" s="231"/>
      <c r="BTU2" s="229" t="s">
        <v>13328</v>
      </c>
      <c r="BTV2" s="230"/>
      <c r="BTW2" s="230"/>
      <c r="BTX2" s="231"/>
      <c r="BTY2" s="229" t="s">
        <v>13328</v>
      </c>
      <c r="BTZ2" s="230"/>
      <c r="BUA2" s="230"/>
      <c r="BUB2" s="231"/>
      <c r="BUC2" s="229" t="s">
        <v>13328</v>
      </c>
      <c r="BUD2" s="230"/>
      <c r="BUE2" s="230"/>
      <c r="BUF2" s="231"/>
      <c r="BUG2" s="229" t="s">
        <v>13328</v>
      </c>
      <c r="BUH2" s="230"/>
      <c r="BUI2" s="230"/>
      <c r="BUJ2" s="231"/>
      <c r="BUK2" s="229" t="s">
        <v>13328</v>
      </c>
      <c r="BUL2" s="230"/>
      <c r="BUM2" s="230"/>
      <c r="BUN2" s="231"/>
      <c r="BUO2" s="229" t="s">
        <v>13328</v>
      </c>
      <c r="BUP2" s="230"/>
      <c r="BUQ2" s="230"/>
      <c r="BUR2" s="231"/>
      <c r="BUS2" s="229" t="s">
        <v>13328</v>
      </c>
      <c r="BUT2" s="230"/>
      <c r="BUU2" s="230"/>
      <c r="BUV2" s="231"/>
      <c r="BUW2" s="229" t="s">
        <v>13328</v>
      </c>
      <c r="BUX2" s="230"/>
      <c r="BUY2" s="230"/>
      <c r="BUZ2" s="231"/>
      <c r="BVA2" s="229" t="s">
        <v>13328</v>
      </c>
      <c r="BVB2" s="230"/>
      <c r="BVC2" s="230"/>
      <c r="BVD2" s="231"/>
      <c r="BVE2" s="229" t="s">
        <v>13328</v>
      </c>
      <c r="BVF2" s="230"/>
      <c r="BVG2" s="230"/>
      <c r="BVH2" s="231"/>
      <c r="BVI2" s="229" t="s">
        <v>13328</v>
      </c>
      <c r="BVJ2" s="230"/>
      <c r="BVK2" s="230"/>
      <c r="BVL2" s="231"/>
      <c r="BVM2" s="229" t="s">
        <v>13328</v>
      </c>
      <c r="BVN2" s="230"/>
      <c r="BVO2" s="230"/>
      <c r="BVP2" s="231"/>
      <c r="BVQ2" s="229" t="s">
        <v>13328</v>
      </c>
      <c r="BVR2" s="230"/>
      <c r="BVS2" s="230"/>
      <c r="BVT2" s="231"/>
      <c r="BVU2" s="229" t="s">
        <v>13328</v>
      </c>
      <c r="BVV2" s="230"/>
      <c r="BVW2" s="230"/>
      <c r="BVX2" s="231"/>
      <c r="BVY2" s="229" t="s">
        <v>13328</v>
      </c>
      <c r="BVZ2" s="230"/>
      <c r="BWA2" s="230"/>
      <c r="BWB2" s="231"/>
      <c r="BWC2" s="229" t="s">
        <v>13328</v>
      </c>
      <c r="BWD2" s="230"/>
      <c r="BWE2" s="230"/>
      <c r="BWF2" s="231"/>
      <c r="BWG2" s="229" t="s">
        <v>13328</v>
      </c>
      <c r="BWH2" s="230"/>
      <c r="BWI2" s="230"/>
      <c r="BWJ2" s="231"/>
      <c r="BWK2" s="229" t="s">
        <v>13328</v>
      </c>
      <c r="BWL2" s="230"/>
      <c r="BWM2" s="230"/>
      <c r="BWN2" s="231"/>
      <c r="BWO2" s="229" t="s">
        <v>13328</v>
      </c>
      <c r="BWP2" s="230"/>
      <c r="BWQ2" s="230"/>
      <c r="BWR2" s="231"/>
      <c r="BWS2" s="229" t="s">
        <v>13328</v>
      </c>
      <c r="BWT2" s="230"/>
      <c r="BWU2" s="230"/>
      <c r="BWV2" s="231"/>
      <c r="BWW2" s="229" t="s">
        <v>13328</v>
      </c>
      <c r="BWX2" s="230"/>
      <c r="BWY2" s="230"/>
      <c r="BWZ2" s="231"/>
      <c r="BXA2" s="229" t="s">
        <v>13328</v>
      </c>
      <c r="BXB2" s="230"/>
      <c r="BXC2" s="230"/>
      <c r="BXD2" s="231"/>
      <c r="BXE2" s="229" t="s">
        <v>13328</v>
      </c>
      <c r="BXF2" s="230"/>
      <c r="BXG2" s="230"/>
      <c r="BXH2" s="231"/>
      <c r="BXI2" s="229" t="s">
        <v>13328</v>
      </c>
      <c r="BXJ2" s="230"/>
      <c r="BXK2" s="230"/>
      <c r="BXL2" s="231"/>
      <c r="BXM2" s="229" t="s">
        <v>13328</v>
      </c>
      <c r="BXN2" s="230"/>
      <c r="BXO2" s="230"/>
      <c r="BXP2" s="231"/>
      <c r="BXQ2" s="229" t="s">
        <v>13328</v>
      </c>
      <c r="BXR2" s="230"/>
      <c r="BXS2" s="230"/>
      <c r="BXT2" s="231"/>
      <c r="BXU2" s="229" t="s">
        <v>13328</v>
      </c>
      <c r="BXV2" s="230"/>
      <c r="BXW2" s="230"/>
      <c r="BXX2" s="231"/>
      <c r="BXY2" s="229" t="s">
        <v>13328</v>
      </c>
      <c r="BXZ2" s="230"/>
      <c r="BYA2" s="230"/>
      <c r="BYB2" s="231"/>
      <c r="BYC2" s="229" t="s">
        <v>13328</v>
      </c>
      <c r="BYD2" s="230"/>
      <c r="BYE2" s="230"/>
      <c r="BYF2" s="231"/>
      <c r="BYG2" s="229" t="s">
        <v>13328</v>
      </c>
      <c r="BYH2" s="230"/>
      <c r="BYI2" s="230"/>
      <c r="BYJ2" s="231"/>
      <c r="BYK2" s="229" t="s">
        <v>13328</v>
      </c>
      <c r="BYL2" s="230"/>
      <c r="BYM2" s="230"/>
      <c r="BYN2" s="231"/>
      <c r="BYO2" s="229" t="s">
        <v>13328</v>
      </c>
      <c r="BYP2" s="230"/>
      <c r="BYQ2" s="230"/>
      <c r="BYR2" s="231"/>
      <c r="BYS2" s="229" t="s">
        <v>13328</v>
      </c>
      <c r="BYT2" s="230"/>
      <c r="BYU2" s="230"/>
      <c r="BYV2" s="231"/>
      <c r="BYW2" s="229" t="s">
        <v>13328</v>
      </c>
      <c r="BYX2" s="230"/>
      <c r="BYY2" s="230"/>
      <c r="BYZ2" s="231"/>
      <c r="BZA2" s="229" t="s">
        <v>13328</v>
      </c>
      <c r="BZB2" s="230"/>
      <c r="BZC2" s="230"/>
      <c r="BZD2" s="231"/>
      <c r="BZE2" s="229" t="s">
        <v>13328</v>
      </c>
      <c r="BZF2" s="230"/>
      <c r="BZG2" s="230"/>
      <c r="BZH2" s="231"/>
      <c r="BZI2" s="229" t="s">
        <v>13328</v>
      </c>
      <c r="BZJ2" s="230"/>
      <c r="BZK2" s="230"/>
      <c r="BZL2" s="231"/>
      <c r="BZM2" s="229" t="s">
        <v>13328</v>
      </c>
      <c r="BZN2" s="230"/>
      <c r="BZO2" s="230"/>
      <c r="BZP2" s="231"/>
      <c r="BZQ2" s="229" t="s">
        <v>13328</v>
      </c>
      <c r="BZR2" s="230"/>
      <c r="BZS2" s="230"/>
      <c r="BZT2" s="231"/>
      <c r="BZU2" s="229" t="s">
        <v>13328</v>
      </c>
      <c r="BZV2" s="230"/>
      <c r="BZW2" s="230"/>
      <c r="BZX2" s="231"/>
      <c r="BZY2" s="229" t="s">
        <v>13328</v>
      </c>
      <c r="BZZ2" s="230"/>
      <c r="CAA2" s="230"/>
      <c r="CAB2" s="231"/>
      <c r="CAC2" s="229" t="s">
        <v>13328</v>
      </c>
      <c r="CAD2" s="230"/>
      <c r="CAE2" s="230"/>
      <c r="CAF2" s="231"/>
      <c r="CAG2" s="229" t="s">
        <v>13328</v>
      </c>
      <c r="CAH2" s="230"/>
      <c r="CAI2" s="230"/>
      <c r="CAJ2" s="231"/>
      <c r="CAK2" s="229" t="s">
        <v>13328</v>
      </c>
      <c r="CAL2" s="230"/>
      <c r="CAM2" s="230"/>
      <c r="CAN2" s="231"/>
      <c r="CAO2" s="229" t="s">
        <v>13328</v>
      </c>
      <c r="CAP2" s="230"/>
      <c r="CAQ2" s="230"/>
      <c r="CAR2" s="231"/>
      <c r="CAS2" s="229" t="s">
        <v>13328</v>
      </c>
      <c r="CAT2" s="230"/>
      <c r="CAU2" s="230"/>
      <c r="CAV2" s="231"/>
      <c r="CAW2" s="229" t="s">
        <v>13328</v>
      </c>
      <c r="CAX2" s="230"/>
      <c r="CAY2" s="230"/>
      <c r="CAZ2" s="231"/>
      <c r="CBA2" s="229" t="s">
        <v>13328</v>
      </c>
      <c r="CBB2" s="230"/>
      <c r="CBC2" s="230"/>
      <c r="CBD2" s="231"/>
      <c r="CBE2" s="229" t="s">
        <v>13328</v>
      </c>
      <c r="CBF2" s="230"/>
      <c r="CBG2" s="230"/>
      <c r="CBH2" s="231"/>
      <c r="CBI2" s="229" t="s">
        <v>13328</v>
      </c>
      <c r="CBJ2" s="230"/>
      <c r="CBK2" s="230"/>
      <c r="CBL2" s="231"/>
      <c r="CBM2" s="229" t="s">
        <v>13328</v>
      </c>
      <c r="CBN2" s="230"/>
      <c r="CBO2" s="230"/>
      <c r="CBP2" s="231"/>
      <c r="CBQ2" s="229" t="s">
        <v>13328</v>
      </c>
      <c r="CBR2" s="230"/>
      <c r="CBS2" s="230"/>
      <c r="CBT2" s="231"/>
      <c r="CBU2" s="229" t="s">
        <v>13328</v>
      </c>
      <c r="CBV2" s="230"/>
      <c r="CBW2" s="230"/>
      <c r="CBX2" s="231"/>
      <c r="CBY2" s="229" t="s">
        <v>13328</v>
      </c>
      <c r="CBZ2" s="230"/>
      <c r="CCA2" s="230"/>
      <c r="CCB2" s="231"/>
      <c r="CCC2" s="229" t="s">
        <v>13328</v>
      </c>
      <c r="CCD2" s="230"/>
      <c r="CCE2" s="230"/>
      <c r="CCF2" s="231"/>
      <c r="CCG2" s="229" t="s">
        <v>13328</v>
      </c>
      <c r="CCH2" s="230"/>
      <c r="CCI2" s="230"/>
      <c r="CCJ2" s="231"/>
      <c r="CCK2" s="229" t="s">
        <v>13328</v>
      </c>
      <c r="CCL2" s="230"/>
      <c r="CCM2" s="230"/>
      <c r="CCN2" s="231"/>
      <c r="CCO2" s="229" t="s">
        <v>13328</v>
      </c>
      <c r="CCP2" s="230"/>
      <c r="CCQ2" s="230"/>
      <c r="CCR2" s="231"/>
      <c r="CCS2" s="229" t="s">
        <v>13328</v>
      </c>
      <c r="CCT2" s="230"/>
      <c r="CCU2" s="230"/>
      <c r="CCV2" s="231"/>
      <c r="CCW2" s="229" t="s">
        <v>13328</v>
      </c>
      <c r="CCX2" s="230"/>
      <c r="CCY2" s="230"/>
      <c r="CCZ2" s="231"/>
      <c r="CDA2" s="229" t="s">
        <v>13328</v>
      </c>
      <c r="CDB2" s="230"/>
      <c r="CDC2" s="230"/>
      <c r="CDD2" s="231"/>
      <c r="CDE2" s="229" t="s">
        <v>13328</v>
      </c>
      <c r="CDF2" s="230"/>
      <c r="CDG2" s="230"/>
      <c r="CDH2" s="231"/>
      <c r="CDI2" s="229" t="s">
        <v>13328</v>
      </c>
      <c r="CDJ2" s="230"/>
      <c r="CDK2" s="230"/>
      <c r="CDL2" s="231"/>
      <c r="CDM2" s="229" t="s">
        <v>13328</v>
      </c>
      <c r="CDN2" s="230"/>
      <c r="CDO2" s="230"/>
      <c r="CDP2" s="231"/>
      <c r="CDQ2" s="229" t="s">
        <v>13328</v>
      </c>
      <c r="CDR2" s="230"/>
      <c r="CDS2" s="230"/>
      <c r="CDT2" s="231"/>
      <c r="CDU2" s="229" t="s">
        <v>13328</v>
      </c>
      <c r="CDV2" s="230"/>
      <c r="CDW2" s="230"/>
      <c r="CDX2" s="231"/>
      <c r="CDY2" s="229" t="s">
        <v>13328</v>
      </c>
      <c r="CDZ2" s="230"/>
      <c r="CEA2" s="230"/>
      <c r="CEB2" s="231"/>
      <c r="CEC2" s="229" t="s">
        <v>13328</v>
      </c>
      <c r="CED2" s="230"/>
      <c r="CEE2" s="230"/>
      <c r="CEF2" s="231"/>
      <c r="CEG2" s="229" t="s">
        <v>13328</v>
      </c>
      <c r="CEH2" s="230"/>
      <c r="CEI2" s="230"/>
      <c r="CEJ2" s="231"/>
      <c r="CEK2" s="229" t="s">
        <v>13328</v>
      </c>
      <c r="CEL2" s="230"/>
      <c r="CEM2" s="230"/>
      <c r="CEN2" s="231"/>
      <c r="CEO2" s="229" t="s">
        <v>13328</v>
      </c>
      <c r="CEP2" s="230"/>
      <c r="CEQ2" s="230"/>
      <c r="CER2" s="231"/>
      <c r="CES2" s="229" t="s">
        <v>13328</v>
      </c>
      <c r="CET2" s="230"/>
      <c r="CEU2" s="230"/>
      <c r="CEV2" s="231"/>
      <c r="CEW2" s="229" t="s">
        <v>13328</v>
      </c>
      <c r="CEX2" s="230"/>
      <c r="CEY2" s="230"/>
      <c r="CEZ2" s="231"/>
      <c r="CFA2" s="229" t="s">
        <v>13328</v>
      </c>
      <c r="CFB2" s="230"/>
      <c r="CFC2" s="230"/>
      <c r="CFD2" s="231"/>
      <c r="CFE2" s="229" t="s">
        <v>13328</v>
      </c>
      <c r="CFF2" s="230"/>
      <c r="CFG2" s="230"/>
      <c r="CFH2" s="231"/>
      <c r="CFI2" s="229" t="s">
        <v>13328</v>
      </c>
      <c r="CFJ2" s="230"/>
      <c r="CFK2" s="230"/>
      <c r="CFL2" s="231"/>
      <c r="CFM2" s="229" t="s">
        <v>13328</v>
      </c>
      <c r="CFN2" s="230"/>
      <c r="CFO2" s="230"/>
      <c r="CFP2" s="231"/>
      <c r="CFQ2" s="229" t="s">
        <v>13328</v>
      </c>
      <c r="CFR2" s="230"/>
      <c r="CFS2" s="230"/>
      <c r="CFT2" s="231"/>
      <c r="CFU2" s="229" t="s">
        <v>13328</v>
      </c>
      <c r="CFV2" s="230"/>
      <c r="CFW2" s="230"/>
      <c r="CFX2" s="231"/>
      <c r="CFY2" s="229" t="s">
        <v>13328</v>
      </c>
      <c r="CFZ2" s="230"/>
      <c r="CGA2" s="230"/>
      <c r="CGB2" s="231"/>
      <c r="CGC2" s="229" t="s">
        <v>13328</v>
      </c>
      <c r="CGD2" s="230"/>
      <c r="CGE2" s="230"/>
      <c r="CGF2" s="231"/>
      <c r="CGG2" s="229" t="s">
        <v>13328</v>
      </c>
      <c r="CGH2" s="230"/>
      <c r="CGI2" s="230"/>
      <c r="CGJ2" s="231"/>
      <c r="CGK2" s="229" t="s">
        <v>13328</v>
      </c>
      <c r="CGL2" s="230"/>
      <c r="CGM2" s="230"/>
      <c r="CGN2" s="231"/>
      <c r="CGO2" s="229" t="s">
        <v>13328</v>
      </c>
      <c r="CGP2" s="230"/>
      <c r="CGQ2" s="230"/>
      <c r="CGR2" s="231"/>
      <c r="CGS2" s="229" t="s">
        <v>13328</v>
      </c>
      <c r="CGT2" s="230"/>
      <c r="CGU2" s="230"/>
      <c r="CGV2" s="231"/>
      <c r="CGW2" s="229" t="s">
        <v>13328</v>
      </c>
      <c r="CGX2" s="230"/>
      <c r="CGY2" s="230"/>
      <c r="CGZ2" s="231"/>
      <c r="CHA2" s="229" t="s">
        <v>13328</v>
      </c>
      <c r="CHB2" s="230"/>
      <c r="CHC2" s="230"/>
      <c r="CHD2" s="231"/>
      <c r="CHE2" s="229" t="s">
        <v>13328</v>
      </c>
      <c r="CHF2" s="230"/>
      <c r="CHG2" s="230"/>
      <c r="CHH2" s="231"/>
      <c r="CHI2" s="229" t="s">
        <v>13328</v>
      </c>
      <c r="CHJ2" s="230"/>
      <c r="CHK2" s="230"/>
      <c r="CHL2" s="231"/>
      <c r="CHM2" s="229" t="s">
        <v>13328</v>
      </c>
      <c r="CHN2" s="230"/>
      <c r="CHO2" s="230"/>
      <c r="CHP2" s="231"/>
      <c r="CHQ2" s="229" t="s">
        <v>13328</v>
      </c>
      <c r="CHR2" s="230"/>
      <c r="CHS2" s="230"/>
      <c r="CHT2" s="231"/>
      <c r="CHU2" s="229" t="s">
        <v>13328</v>
      </c>
      <c r="CHV2" s="230"/>
      <c r="CHW2" s="230"/>
      <c r="CHX2" s="231"/>
      <c r="CHY2" s="229" t="s">
        <v>13328</v>
      </c>
      <c r="CHZ2" s="230"/>
      <c r="CIA2" s="230"/>
      <c r="CIB2" s="231"/>
      <c r="CIC2" s="229" t="s">
        <v>13328</v>
      </c>
      <c r="CID2" s="230"/>
      <c r="CIE2" s="230"/>
      <c r="CIF2" s="231"/>
      <c r="CIG2" s="229" t="s">
        <v>13328</v>
      </c>
      <c r="CIH2" s="230"/>
      <c r="CII2" s="230"/>
      <c r="CIJ2" s="231"/>
      <c r="CIK2" s="229" t="s">
        <v>13328</v>
      </c>
      <c r="CIL2" s="230"/>
      <c r="CIM2" s="230"/>
      <c r="CIN2" s="231"/>
      <c r="CIO2" s="229" t="s">
        <v>13328</v>
      </c>
      <c r="CIP2" s="230"/>
      <c r="CIQ2" s="230"/>
      <c r="CIR2" s="231"/>
      <c r="CIS2" s="229" t="s">
        <v>13328</v>
      </c>
      <c r="CIT2" s="230"/>
      <c r="CIU2" s="230"/>
      <c r="CIV2" s="231"/>
      <c r="CIW2" s="229" t="s">
        <v>13328</v>
      </c>
      <c r="CIX2" s="230"/>
      <c r="CIY2" s="230"/>
      <c r="CIZ2" s="231"/>
      <c r="CJA2" s="229" t="s">
        <v>13328</v>
      </c>
      <c r="CJB2" s="230"/>
      <c r="CJC2" s="230"/>
      <c r="CJD2" s="231"/>
      <c r="CJE2" s="229" t="s">
        <v>13328</v>
      </c>
      <c r="CJF2" s="230"/>
      <c r="CJG2" s="230"/>
      <c r="CJH2" s="231"/>
      <c r="CJI2" s="229" t="s">
        <v>13328</v>
      </c>
      <c r="CJJ2" s="230"/>
      <c r="CJK2" s="230"/>
      <c r="CJL2" s="231"/>
      <c r="CJM2" s="229" t="s">
        <v>13328</v>
      </c>
      <c r="CJN2" s="230"/>
      <c r="CJO2" s="230"/>
      <c r="CJP2" s="231"/>
      <c r="CJQ2" s="229" t="s">
        <v>13328</v>
      </c>
      <c r="CJR2" s="230"/>
      <c r="CJS2" s="230"/>
      <c r="CJT2" s="231"/>
      <c r="CJU2" s="229" t="s">
        <v>13328</v>
      </c>
      <c r="CJV2" s="230"/>
      <c r="CJW2" s="230"/>
      <c r="CJX2" s="231"/>
      <c r="CJY2" s="229" t="s">
        <v>13328</v>
      </c>
      <c r="CJZ2" s="230"/>
      <c r="CKA2" s="230"/>
      <c r="CKB2" s="231"/>
      <c r="CKC2" s="229" t="s">
        <v>13328</v>
      </c>
      <c r="CKD2" s="230"/>
      <c r="CKE2" s="230"/>
      <c r="CKF2" s="231"/>
      <c r="CKG2" s="229" t="s">
        <v>13328</v>
      </c>
      <c r="CKH2" s="230"/>
      <c r="CKI2" s="230"/>
      <c r="CKJ2" s="231"/>
      <c r="CKK2" s="229" t="s">
        <v>13328</v>
      </c>
      <c r="CKL2" s="230"/>
      <c r="CKM2" s="230"/>
      <c r="CKN2" s="231"/>
      <c r="CKO2" s="229" t="s">
        <v>13328</v>
      </c>
      <c r="CKP2" s="230"/>
      <c r="CKQ2" s="230"/>
      <c r="CKR2" s="231"/>
      <c r="CKS2" s="229" t="s">
        <v>13328</v>
      </c>
      <c r="CKT2" s="230"/>
      <c r="CKU2" s="230"/>
      <c r="CKV2" s="231"/>
      <c r="CKW2" s="229" t="s">
        <v>13328</v>
      </c>
      <c r="CKX2" s="230"/>
      <c r="CKY2" s="230"/>
      <c r="CKZ2" s="231"/>
      <c r="CLA2" s="229" t="s">
        <v>13328</v>
      </c>
      <c r="CLB2" s="230"/>
      <c r="CLC2" s="230"/>
      <c r="CLD2" s="231"/>
      <c r="CLE2" s="229" t="s">
        <v>13328</v>
      </c>
      <c r="CLF2" s="230"/>
      <c r="CLG2" s="230"/>
      <c r="CLH2" s="231"/>
      <c r="CLI2" s="229" t="s">
        <v>13328</v>
      </c>
      <c r="CLJ2" s="230"/>
      <c r="CLK2" s="230"/>
      <c r="CLL2" s="231"/>
      <c r="CLM2" s="229" t="s">
        <v>13328</v>
      </c>
      <c r="CLN2" s="230"/>
      <c r="CLO2" s="230"/>
      <c r="CLP2" s="231"/>
      <c r="CLQ2" s="229" t="s">
        <v>13328</v>
      </c>
      <c r="CLR2" s="230"/>
      <c r="CLS2" s="230"/>
      <c r="CLT2" s="231"/>
      <c r="CLU2" s="229" t="s">
        <v>13328</v>
      </c>
      <c r="CLV2" s="230"/>
      <c r="CLW2" s="230"/>
      <c r="CLX2" s="231"/>
      <c r="CLY2" s="229" t="s">
        <v>13328</v>
      </c>
      <c r="CLZ2" s="230"/>
      <c r="CMA2" s="230"/>
      <c r="CMB2" s="231"/>
      <c r="CMC2" s="229" t="s">
        <v>13328</v>
      </c>
      <c r="CMD2" s="230"/>
      <c r="CME2" s="230"/>
      <c r="CMF2" s="231"/>
      <c r="CMG2" s="229" t="s">
        <v>13328</v>
      </c>
      <c r="CMH2" s="230"/>
      <c r="CMI2" s="230"/>
      <c r="CMJ2" s="231"/>
      <c r="CMK2" s="229" t="s">
        <v>13328</v>
      </c>
      <c r="CML2" s="230"/>
      <c r="CMM2" s="230"/>
      <c r="CMN2" s="231"/>
      <c r="CMO2" s="229" t="s">
        <v>13328</v>
      </c>
      <c r="CMP2" s="230"/>
      <c r="CMQ2" s="230"/>
      <c r="CMR2" s="231"/>
      <c r="CMS2" s="229" t="s">
        <v>13328</v>
      </c>
      <c r="CMT2" s="230"/>
      <c r="CMU2" s="230"/>
      <c r="CMV2" s="231"/>
      <c r="CMW2" s="229" t="s">
        <v>13328</v>
      </c>
      <c r="CMX2" s="230"/>
      <c r="CMY2" s="230"/>
      <c r="CMZ2" s="231"/>
      <c r="CNA2" s="229" t="s">
        <v>13328</v>
      </c>
      <c r="CNB2" s="230"/>
      <c r="CNC2" s="230"/>
      <c r="CND2" s="231"/>
      <c r="CNE2" s="229" t="s">
        <v>13328</v>
      </c>
      <c r="CNF2" s="230"/>
      <c r="CNG2" s="230"/>
      <c r="CNH2" s="231"/>
      <c r="CNI2" s="229" t="s">
        <v>13328</v>
      </c>
      <c r="CNJ2" s="230"/>
      <c r="CNK2" s="230"/>
      <c r="CNL2" s="231"/>
      <c r="CNM2" s="229" t="s">
        <v>13328</v>
      </c>
      <c r="CNN2" s="230"/>
      <c r="CNO2" s="230"/>
      <c r="CNP2" s="231"/>
      <c r="CNQ2" s="229" t="s">
        <v>13328</v>
      </c>
      <c r="CNR2" s="230"/>
      <c r="CNS2" s="230"/>
      <c r="CNT2" s="231"/>
      <c r="CNU2" s="229" t="s">
        <v>13328</v>
      </c>
      <c r="CNV2" s="230"/>
      <c r="CNW2" s="230"/>
      <c r="CNX2" s="231"/>
      <c r="CNY2" s="229" t="s">
        <v>13328</v>
      </c>
      <c r="CNZ2" s="230"/>
      <c r="COA2" s="230"/>
      <c r="COB2" s="231"/>
      <c r="COC2" s="229" t="s">
        <v>13328</v>
      </c>
      <c r="COD2" s="230"/>
      <c r="COE2" s="230"/>
      <c r="COF2" s="231"/>
      <c r="COG2" s="229" t="s">
        <v>13328</v>
      </c>
      <c r="COH2" s="230"/>
      <c r="COI2" s="230"/>
      <c r="COJ2" s="231"/>
      <c r="COK2" s="229" t="s">
        <v>13328</v>
      </c>
      <c r="COL2" s="230"/>
      <c r="COM2" s="230"/>
      <c r="CON2" s="231"/>
      <c r="COO2" s="229" t="s">
        <v>13328</v>
      </c>
      <c r="COP2" s="230"/>
      <c r="COQ2" s="230"/>
      <c r="COR2" s="231"/>
      <c r="COS2" s="229" t="s">
        <v>13328</v>
      </c>
      <c r="COT2" s="230"/>
      <c r="COU2" s="230"/>
      <c r="COV2" s="231"/>
      <c r="COW2" s="229" t="s">
        <v>13328</v>
      </c>
      <c r="COX2" s="230"/>
      <c r="COY2" s="230"/>
      <c r="COZ2" s="231"/>
      <c r="CPA2" s="229" t="s">
        <v>13328</v>
      </c>
      <c r="CPB2" s="230"/>
      <c r="CPC2" s="230"/>
      <c r="CPD2" s="231"/>
      <c r="CPE2" s="229" t="s">
        <v>13328</v>
      </c>
      <c r="CPF2" s="230"/>
      <c r="CPG2" s="230"/>
      <c r="CPH2" s="231"/>
      <c r="CPI2" s="229" t="s">
        <v>13328</v>
      </c>
      <c r="CPJ2" s="230"/>
      <c r="CPK2" s="230"/>
      <c r="CPL2" s="231"/>
      <c r="CPM2" s="229" t="s">
        <v>13328</v>
      </c>
      <c r="CPN2" s="230"/>
      <c r="CPO2" s="230"/>
      <c r="CPP2" s="231"/>
      <c r="CPQ2" s="229" t="s">
        <v>13328</v>
      </c>
      <c r="CPR2" s="230"/>
      <c r="CPS2" s="230"/>
      <c r="CPT2" s="231"/>
      <c r="CPU2" s="229" t="s">
        <v>13328</v>
      </c>
      <c r="CPV2" s="230"/>
      <c r="CPW2" s="230"/>
      <c r="CPX2" s="231"/>
      <c r="CPY2" s="229" t="s">
        <v>13328</v>
      </c>
      <c r="CPZ2" s="230"/>
      <c r="CQA2" s="230"/>
      <c r="CQB2" s="231"/>
      <c r="CQC2" s="229" t="s">
        <v>13328</v>
      </c>
      <c r="CQD2" s="230"/>
      <c r="CQE2" s="230"/>
      <c r="CQF2" s="231"/>
      <c r="CQG2" s="229" t="s">
        <v>13328</v>
      </c>
      <c r="CQH2" s="230"/>
      <c r="CQI2" s="230"/>
      <c r="CQJ2" s="231"/>
      <c r="CQK2" s="229" t="s">
        <v>13328</v>
      </c>
      <c r="CQL2" s="230"/>
      <c r="CQM2" s="230"/>
      <c r="CQN2" s="231"/>
      <c r="CQO2" s="229" t="s">
        <v>13328</v>
      </c>
      <c r="CQP2" s="230"/>
      <c r="CQQ2" s="230"/>
      <c r="CQR2" s="231"/>
      <c r="CQS2" s="229" t="s">
        <v>13328</v>
      </c>
      <c r="CQT2" s="230"/>
      <c r="CQU2" s="230"/>
      <c r="CQV2" s="231"/>
      <c r="CQW2" s="229" t="s">
        <v>13328</v>
      </c>
      <c r="CQX2" s="230"/>
      <c r="CQY2" s="230"/>
      <c r="CQZ2" s="231"/>
      <c r="CRA2" s="229" t="s">
        <v>13328</v>
      </c>
      <c r="CRB2" s="230"/>
      <c r="CRC2" s="230"/>
      <c r="CRD2" s="231"/>
      <c r="CRE2" s="229" t="s">
        <v>13328</v>
      </c>
      <c r="CRF2" s="230"/>
      <c r="CRG2" s="230"/>
      <c r="CRH2" s="231"/>
      <c r="CRI2" s="229" t="s">
        <v>13328</v>
      </c>
      <c r="CRJ2" s="230"/>
      <c r="CRK2" s="230"/>
      <c r="CRL2" s="231"/>
      <c r="CRM2" s="229" t="s">
        <v>13328</v>
      </c>
      <c r="CRN2" s="230"/>
      <c r="CRO2" s="230"/>
      <c r="CRP2" s="231"/>
      <c r="CRQ2" s="229" t="s">
        <v>13328</v>
      </c>
      <c r="CRR2" s="230"/>
      <c r="CRS2" s="230"/>
      <c r="CRT2" s="231"/>
      <c r="CRU2" s="229" t="s">
        <v>13328</v>
      </c>
      <c r="CRV2" s="230"/>
      <c r="CRW2" s="230"/>
      <c r="CRX2" s="231"/>
      <c r="CRY2" s="229" t="s">
        <v>13328</v>
      </c>
      <c r="CRZ2" s="230"/>
      <c r="CSA2" s="230"/>
      <c r="CSB2" s="231"/>
      <c r="CSC2" s="229" t="s">
        <v>13328</v>
      </c>
      <c r="CSD2" s="230"/>
      <c r="CSE2" s="230"/>
      <c r="CSF2" s="231"/>
      <c r="CSG2" s="229" t="s">
        <v>13328</v>
      </c>
      <c r="CSH2" s="230"/>
      <c r="CSI2" s="230"/>
      <c r="CSJ2" s="231"/>
      <c r="CSK2" s="229" t="s">
        <v>13328</v>
      </c>
      <c r="CSL2" s="230"/>
      <c r="CSM2" s="230"/>
      <c r="CSN2" s="231"/>
      <c r="CSO2" s="229" t="s">
        <v>13328</v>
      </c>
      <c r="CSP2" s="230"/>
      <c r="CSQ2" s="230"/>
      <c r="CSR2" s="231"/>
      <c r="CSS2" s="229" t="s">
        <v>13328</v>
      </c>
      <c r="CST2" s="230"/>
      <c r="CSU2" s="230"/>
      <c r="CSV2" s="231"/>
      <c r="CSW2" s="229" t="s">
        <v>13328</v>
      </c>
      <c r="CSX2" s="230"/>
      <c r="CSY2" s="230"/>
      <c r="CSZ2" s="231"/>
      <c r="CTA2" s="229" t="s">
        <v>13328</v>
      </c>
      <c r="CTB2" s="230"/>
      <c r="CTC2" s="230"/>
      <c r="CTD2" s="231"/>
      <c r="CTE2" s="229" t="s">
        <v>13328</v>
      </c>
      <c r="CTF2" s="230"/>
      <c r="CTG2" s="230"/>
      <c r="CTH2" s="231"/>
      <c r="CTI2" s="229" t="s">
        <v>13328</v>
      </c>
      <c r="CTJ2" s="230"/>
      <c r="CTK2" s="230"/>
      <c r="CTL2" s="231"/>
      <c r="CTM2" s="229" t="s">
        <v>13328</v>
      </c>
      <c r="CTN2" s="230"/>
      <c r="CTO2" s="230"/>
      <c r="CTP2" s="231"/>
      <c r="CTQ2" s="229" t="s">
        <v>13328</v>
      </c>
      <c r="CTR2" s="230"/>
      <c r="CTS2" s="230"/>
      <c r="CTT2" s="231"/>
      <c r="CTU2" s="229" t="s">
        <v>13328</v>
      </c>
      <c r="CTV2" s="230"/>
      <c r="CTW2" s="230"/>
      <c r="CTX2" s="231"/>
      <c r="CTY2" s="229" t="s">
        <v>13328</v>
      </c>
      <c r="CTZ2" s="230"/>
      <c r="CUA2" s="230"/>
      <c r="CUB2" s="231"/>
      <c r="CUC2" s="229" t="s">
        <v>13328</v>
      </c>
      <c r="CUD2" s="230"/>
      <c r="CUE2" s="230"/>
      <c r="CUF2" s="231"/>
      <c r="CUG2" s="229" t="s">
        <v>13328</v>
      </c>
      <c r="CUH2" s="230"/>
      <c r="CUI2" s="230"/>
      <c r="CUJ2" s="231"/>
      <c r="CUK2" s="229" t="s">
        <v>13328</v>
      </c>
      <c r="CUL2" s="230"/>
      <c r="CUM2" s="230"/>
      <c r="CUN2" s="231"/>
      <c r="CUO2" s="229" t="s">
        <v>13328</v>
      </c>
      <c r="CUP2" s="230"/>
      <c r="CUQ2" s="230"/>
      <c r="CUR2" s="231"/>
      <c r="CUS2" s="229" t="s">
        <v>13328</v>
      </c>
      <c r="CUT2" s="230"/>
      <c r="CUU2" s="230"/>
      <c r="CUV2" s="231"/>
      <c r="CUW2" s="229" t="s">
        <v>13328</v>
      </c>
      <c r="CUX2" s="230"/>
      <c r="CUY2" s="230"/>
      <c r="CUZ2" s="231"/>
      <c r="CVA2" s="229" t="s">
        <v>13328</v>
      </c>
      <c r="CVB2" s="230"/>
      <c r="CVC2" s="230"/>
      <c r="CVD2" s="231"/>
      <c r="CVE2" s="229" t="s">
        <v>13328</v>
      </c>
      <c r="CVF2" s="230"/>
      <c r="CVG2" s="230"/>
      <c r="CVH2" s="231"/>
      <c r="CVI2" s="229" t="s">
        <v>13328</v>
      </c>
      <c r="CVJ2" s="230"/>
      <c r="CVK2" s="230"/>
      <c r="CVL2" s="231"/>
      <c r="CVM2" s="229" t="s">
        <v>13328</v>
      </c>
      <c r="CVN2" s="230"/>
      <c r="CVO2" s="230"/>
      <c r="CVP2" s="231"/>
      <c r="CVQ2" s="229" t="s">
        <v>13328</v>
      </c>
      <c r="CVR2" s="230"/>
      <c r="CVS2" s="230"/>
      <c r="CVT2" s="231"/>
      <c r="CVU2" s="229" t="s">
        <v>13328</v>
      </c>
      <c r="CVV2" s="230"/>
      <c r="CVW2" s="230"/>
      <c r="CVX2" s="231"/>
      <c r="CVY2" s="229" t="s">
        <v>13328</v>
      </c>
      <c r="CVZ2" s="230"/>
      <c r="CWA2" s="230"/>
      <c r="CWB2" s="231"/>
      <c r="CWC2" s="229" t="s">
        <v>13328</v>
      </c>
      <c r="CWD2" s="230"/>
      <c r="CWE2" s="230"/>
      <c r="CWF2" s="231"/>
      <c r="CWG2" s="229" t="s">
        <v>13328</v>
      </c>
      <c r="CWH2" s="230"/>
      <c r="CWI2" s="230"/>
      <c r="CWJ2" s="231"/>
      <c r="CWK2" s="229" t="s">
        <v>13328</v>
      </c>
      <c r="CWL2" s="230"/>
      <c r="CWM2" s="230"/>
      <c r="CWN2" s="231"/>
      <c r="CWO2" s="229" t="s">
        <v>13328</v>
      </c>
      <c r="CWP2" s="230"/>
      <c r="CWQ2" s="230"/>
      <c r="CWR2" s="231"/>
      <c r="CWS2" s="229" t="s">
        <v>13328</v>
      </c>
      <c r="CWT2" s="230"/>
      <c r="CWU2" s="230"/>
      <c r="CWV2" s="231"/>
      <c r="CWW2" s="229" t="s">
        <v>13328</v>
      </c>
      <c r="CWX2" s="230"/>
      <c r="CWY2" s="230"/>
      <c r="CWZ2" s="231"/>
      <c r="CXA2" s="229" t="s">
        <v>13328</v>
      </c>
      <c r="CXB2" s="230"/>
      <c r="CXC2" s="230"/>
      <c r="CXD2" s="231"/>
      <c r="CXE2" s="229" t="s">
        <v>13328</v>
      </c>
      <c r="CXF2" s="230"/>
      <c r="CXG2" s="230"/>
      <c r="CXH2" s="231"/>
      <c r="CXI2" s="229" t="s">
        <v>13328</v>
      </c>
      <c r="CXJ2" s="230"/>
      <c r="CXK2" s="230"/>
      <c r="CXL2" s="231"/>
      <c r="CXM2" s="229" t="s">
        <v>13328</v>
      </c>
      <c r="CXN2" s="230"/>
      <c r="CXO2" s="230"/>
      <c r="CXP2" s="231"/>
      <c r="CXQ2" s="229" t="s">
        <v>13328</v>
      </c>
      <c r="CXR2" s="230"/>
      <c r="CXS2" s="230"/>
      <c r="CXT2" s="231"/>
      <c r="CXU2" s="229" t="s">
        <v>13328</v>
      </c>
      <c r="CXV2" s="230"/>
      <c r="CXW2" s="230"/>
      <c r="CXX2" s="231"/>
      <c r="CXY2" s="229" t="s">
        <v>13328</v>
      </c>
      <c r="CXZ2" s="230"/>
      <c r="CYA2" s="230"/>
      <c r="CYB2" s="231"/>
      <c r="CYC2" s="229" t="s">
        <v>13328</v>
      </c>
      <c r="CYD2" s="230"/>
      <c r="CYE2" s="230"/>
      <c r="CYF2" s="231"/>
      <c r="CYG2" s="229" t="s">
        <v>13328</v>
      </c>
      <c r="CYH2" s="230"/>
      <c r="CYI2" s="230"/>
      <c r="CYJ2" s="231"/>
      <c r="CYK2" s="229" t="s">
        <v>13328</v>
      </c>
      <c r="CYL2" s="230"/>
      <c r="CYM2" s="230"/>
      <c r="CYN2" s="231"/>
      <c r="CYO2" s="229" t="s">
        <v>13328</v>
      </c>
      <c r="CYP2" s="230"/>
      <c r="CYQ2" s="230"/>
      <c r="CYR2" s="231"/>
      <c r="CYS2" s="229" t="s">
        <v>13328</v>
      </c>
      <c r="CYT2" s="230"/>
      <c r="CYU2" s="230"/>
      <c r="CYV2" s="231"/>
      <c r="CYW2" s="229" t="s">
        <v>13328</v>
      </c>
      <c r="CYX2" s="230"/>
      <c r="CYY2" s="230"/>
      <c r="CYZ2" s="231"/>
      <c r="CZA2" s="229" t="s">
        <v>13328</v>
      </c>
      <c r="CZB2" s="230"/>
      <c r="CZC2" s="230"/>
      <c r="CZD2" s="231"/>
      <c r="CZE2" s="229" t="s">
        <v>13328</v>
      </c>
      <c r="CZF2" s="230"/>
      <c r="CZG2" s="230"/>
      <c r="CZH2" s="231"/>
      <c r="CZI2" s="229" t="s">
        <v>13328</v>
      </c>
      <c r="CZJ2" s="230"/>
      <c r="CZK2" s="230"/>
      <c r="CZL2" s="231"/>
      <c r="CZM2" s="229" t="s">
        <v>13328</v>
      </c>
      <c r="CZN2" s="230"/>
      <c r="CZO2" s="230"/>
      <c r="CZP2" s="231"/>
      <c r="CZQ2" s="229" t="s">
        <v>13328</v>
      </c>
      <c r="CZR2" s="230"/>
      <c r="CZS2" s="230"/>
      <c r="CZT2" s="231"/>
      <c r="CZU2" s="229" t="s">
        <v>13328</v>
      </c>
      <c r="CZV2" s="230"/>
      <c r="CZW2" s="230"/>
      <c r="CZX2" s="231"/>
      <c r="CZY2" s="229" t="s">
        <v>13328</v>
      </c>
      <c r="CZZ2" s="230"/>
      <c r="DAA2" s="230"/>
      <c r="DAB2" s="231"/>
      <c r="DAC2" s="229" t="s">
        <v>13328</v>
      </c>
      <c r="DAD2" s="230"/>
      <c r="DAE2" s="230"/>
      <c r="DAF2" s="231"/>
      <c r="DAG2" s="229" t="s">
        <v>13328</v>
      </c>
      <c r="DAH2" s="230"/>
      <c r="DAI2" s="230"/>
      <c r="DAJ2" s="231"/>
      <c r="DAK2" s="229" t="s">
        <v>13328</v>
      </c>
      <c r="DAL2" s="230"/>
      <c r="DAM2" s="230"/>
      <c r="DAN2" s="231"/>
      <c r="DAO2" s="229" t="s">
        <v>13328</v>
      </c>
      <c r="DAP2" s="230"/>
      <c r="DAQ2" s="230"/>
      <c r="DAR2" s="231"/>
      <c r="DAS2" s="229" t="s">
        <v>13328</v>
      </c>
      <c r="DAT2" s="230"/>
      <c r="DAU2" s="230"/>
      <c r="DAV2" s="231"/>
      <c r="DAW2" s="229" t="s">
        <v>13328</v>
      </c>
      <c r="DAX2" s="230"/>
      <c r="DAY2" s="230"/>
      <c r="DAZ2" s="231"/>
      <c r="DBA2" s="229" t="s">
        <v>13328</v>
      </c>
      <c r="DBB2" s="230"/>
      <c r="DBC2" s="230"/>
      <c r="DBD2" s="231"/>
      <c r="DBE2" s="229" t="s">
        <v>13328</v>
      </c>
      <c r="DBF2" s="230"/>
      <c r="DBG2" s="230"/>
      <c r="DBH2" s="231"/>
      <c r="DBI2" s="229" t="s">
        <v>13328</v>
      </c>
      <c r="DBJ2" s="230"/>
      <c r="DBK2" s="230"/>
      <c r="DBL2" s="231"/>
      <c r="DBM2" s="229" t="s">
        <v>13328</v>
      </c>
      <c r="DBN2" s="230"/>
      <c r="DBO2" s="230"/>
      <c r="DBP2" s="231"/>
      <c r="DBQ2" s="229" t="s">
        <v>13328</v>
      </c>
      <c r="DBR2" s="230"/>
      <c r="DBS2" s="230"/>
      <c r="DBT2" s="231"/>
      <c r="DBU2" s="229" t="s">
        <v>13328</v>
      </c>
      <c r="DBV2" s="230"/>
      <c r="DBW2" s="230"/>
      <c r="DBX2" s="231"/>
      <c r="DBY2" s="229" t="s">
        <v>13328</v>
      </c>
      <c r="DBZ2" s="230"/>
      <c r="DCA2" s="230"/>
      <c r="DCB2" s="231"/>
      <c r="DCC2" s="229" t="s">
        <v>13328</v>
      </c>
      <c r="DCD2" s="230"/>
      <c r="DCE2" s="230"/>
      <c r="DCF2" s="231"/>
      <c r="DCG2" s="229" t="s">
        <v>13328</v>
      </c>
      <c r="DCH2" s="230"/>
      <c r="DCI2" s="230"/>
      <c r="DCJ2" s="231"/>
      <c r="DCK2" s="229" t="s">
        <v>13328</v>
      </c>
      <c r="DCL2" s="230"/>
      <c r="DCM2" s="230"/>
      <c r="DCN2" s="231"/>
      <c r="DCO2" s="229" t="s">
        <v>13328</v>
      </c>
      <c r="DCP2" s="230"/>
      <c r="DCQ2" s="230"/>
      <c r="DCR2" s="231"/>
      <c r="DCS2" s="229" t="s">
        <v>13328</v>
      </c>
      <c r="DCT2" s="230"/>
      <c r="DCU2" s="230"/>
      <c r="DCV2" s="231"/>
      <c r="DCW2" s="229" t="s">
        <v>13328</v>
      </c>
      <c r="DCX2" s="230"/>
      <c r="DCY2" s="230"/>
      <c r="DCZ2" s="231"/>
      <c r="DDA2" s="229" t="s">
        <v>13328</v>
      </c>
      <c r="DDB2" s="230"/>
      <c r="DDC2" s="230"/>
      <c r="DDD2" s="231"/>
      <c r="DDE2" s="229" t="s">
        <v>13328</v>
      </c>
      <c r="DDF2" s="230"/>
      <c r="DDG2" s="230"/>
      <c r="DDH2" s="231"/>
      <c r="DDI2" s="229" t="s">
        <v>13328</v>
      </c>
      <c r="DDJ2" s="230"/>
      <c r="DDK2" s="230"/>
      <c r="DDL2" s="231"/>
      <c r="DDM2" s="229" t="s">
        <v>13328</v>
      </c>
      <c r="DDN2" s="230"/>
      <c r="DDO2" s="230"/>
      <c r="DDP2" s="231"/>
      <c r="DDQ2" s="229" t="s">
        <v>13328</v>
      </c>
      <c r="DDR2" s="230"/>
      <c r="DDS2" s="230"/>
      <c r="DDT2" s="231"/>
      <c r="DDU2" s="229" t="s">
        <v>13328</v>
      </c>
      <c r="DDV2" s="230"/>
      <c r="DDW2" s="230"/>
      <c r="DDX2" s="231"/>
      <c r="DDY2" s="229" t="s">
        <v>13328</v>
      </c>
      <c r="DDZ2" s="230"/>
      <c r="DEA2" s="230"/>
      <c r="DEB2" s="231"/>
      <c r="DEC2" s="229" t="s">
        <v>13328</v>
      </c>
      <c r="DED2" s="230"/>
      <c r="DEE2" s="230"/>
      <c r="DEF2" s="231"/>
      <c r="DEG2" s="229" t="s">
        <v>13328</v>
      </c>
      <c r="DEH2" s="230"/>
      <c r="DEI2" s="230"/>
      <c r="DEJ2" s="231"/>
      <c r="DEK2" s="229" t="s">
        <v>13328</v>
      </c>
      <c r="DEL2" s="230"/>
      <c r="DEM2" s="230"/>
      <c r="DEN2" s="231"/>
      <c r="DEO2" s="229" t="s">
        <v>13328</v>
      </c>
      <c r="DEP2" s="230"/>
      <c r="DEQ2" s="230"/>
      <c r="DER2" s="231"/>
      <c r="DES2" s="229" t="s">
        <v>13328</v>
      </c>
      <c r="DET2" s="230"/>
      <c r="DEU2" s="230"/>
      <c r="DEV2" s="231"/>
      <c r="DEW2" s="229" t="s">
        <v>13328</v>
      </c>
      <c r="DEX2" s="230"/>
      <c r="DEY2" s="230"/>
      <c r="DEZ2" s="231"/>
      <c r="DFA2" s="229" t="s">
        <v>13328</v>
      </c>
      <c r="DFB2" s="230"/>
      <c r="DFC2" s="230"/>
      <c r="DFD2" s="231"/>
      <c r="DFE2" s="229" t="s">
        <v>13328</v>
      </c>
      <c r="DFF2" s="230"/>
      <c r="DFG2" s="230"/>
      <c r="DFH2" s="231"/>
      <c r="DFI2" s="229" t="s">
        <v>13328</v>
      </c>
      <c r="DFJ2" s="230"/>
      <c r="DFK2" s="230"/>
      <c r="DFL2" s="231"/>
      <c r="DFM2" s="229" t="s">
        <v>13328</v>
      </c>
      <c r="DFN2" s="230"/>
      <c r="DFO2" s="230"/>
      <c r="DFP2" s="231"/>
      <c r="DFQ2" s="229" t="s">
        <v>13328</v>
      </c>
      <c r="DFR2" s="230"/>
      <c r="DFS2" s="230"/>
      <c r="DFT2" s="231"/>
      <c r="DFU2" s="229" t="s">
        <v>13328</v>
      </c>
      <c r="DFV2" s="230"/>
      <c r="DFW2" s="230"/>
      <c r="DFX2" s="231"/>
      <c r="DFY2" s="229" t="s">
        <v>13328</v>
      </c>
      <c r="DFZ2" s="230"/>
      <c r="DGA2" s="230"/>
      <c r="DGB2" s="231"/>
      <c r="DGC2" s="229" t="s">
        <v>13328</v>
      </c>
      <c r="DGD2" s="230"/>
      <c r="DGE2" s="230"/>
      <c r="DGF2" s="231"/>
      <c r="DGG2" s="229" t="s">
        <v>13328</v>
      </c>
      <c r="DGH2" s="230"/>
      <c r="DGI2" s="230"/>
      <c r="DGJ2" s="231"/>
      <c r="DGK2" s="229" t="s">
        <v>13328</v>
      </c>
      <c r="DGL2" s="230"/>
      <c r="DGM2" s="230"/>
      <c r="DGN2" s="231"/>
      <c r="DGO2" s="229" t="s">
        <v>13328</v>
      </c>
      <c r="DGP2" s="230"/>
      <c r="DGQ2" s="230"/>
      <c r="DGR2" s="231"/>
      <c r="DGS2" s="229" t="s">
        <v>13328</v>
      </c>
      <c r="DGT2" s="230"/>
      <c r="DGU2" s="230"/>
      <c r="DGV2" s="231"/>
      <c r="DGW2" s="229" t="s">
        <v>13328</v>
      </c>
      <c r="DGX2" s="230"/>
      <c r="DGY2" s="230"/>
      <c r="DGZ2" s="231"/>
      <c r="DHA2" s="229" t="s">
        <v>13328</v>
      </c>
      <c r="DHB2" s="230"/>
      <c r="DHC2" s="230"/>
      <c r="DHD2" s="231"/>
      <c r="DHE2" s="229" t="s">
        <v>13328</v>
      </c>
      <c r="DHF2" s="230"/>
      <c r="DHG2" s="230"/>
      <c r="DHH2" s="231"/>
      <c r="DHI2" s="229" t="s">
        <v>13328</v>
      </c>
      <c r="DHJ2" s="230"/>
      <c r="DHK2" s="230"/>
      <c r="DHL2" s="231"/>
      <c r="DHM2" s="229" t="s">
        <v>13328</v>
      </c>
      <c r="DHN2" s="230"/>
      <c r="DHO2" s="230"/>
      <c r="DHP2" s="231"/>
      <c r="DHQ2" s="229" t="s">
        <v>13328</v>
      </c>
      <c r="DHR2" s="230"/>
      <c r="DHS2" s="230"/>
      <c r="DHT2" s="231"/>
      <c r="DHU2" s="229" t="s">
        <v>13328</v>
      </c>
      <c r="DHV2" s="230"/>
      <c r="DHW2" s="230"/>
      <c r="DHX2" s="231"/>
      <c r="DHY2" s="229" t="s">
        <v>13328</v>
      </c>
      <c r="DHZ2" s="230"/>
      <c r="DIA2" s="230"/>
      <c r="DIB2" s="231"/>
      <c r="DIC2" s="229" t="s">
        <v>13328</v>
      </c>
      <c r="DID2" s="230"/>
      <c r="DIE2" s="230"/>
      <c r="DIF2" s="231"/>
      <c r="DIG2" s="229" t="s">
        <v>13328</v>
      </c>
      <c r="DIH2" s="230"/>
      <c r="DII2" s="230"/>
      <c r="DIJ2" s="231"/>
      <c r="DIK2" s="229" t="s">
        <v>13328</v>
      </c>
      <c r="DIL2" s="230"/>
      <c r="DIM2" s="230"/>
      <c r="DIN2" s="231"/>
      <c r="DIO2" s="229" t="s">
        <v>13328</v>
      </c>
      <c r="DIP2" s="230"/>
      <c r="DIQ2" s="230"/>
      <c r="DIR2" s="231"/>
      <c r="DIS2" s="229" t="s">
        <v>13328</v>
      </c>
      <c r="DIT2" s="230"/>
      <c r="DIU2" s="230"/>
      <c r="DIV2" s="231"/>
      <c r="DIW2" s="229" t="s">
        <v>13328</v>
      </c>
      <c r="DIX2" s="230"/>
      <c r="DIY2" s="230"/>
      <c r="DIZ2" s="231"/>
      <c r="DJA2" s="229" t="s">
        <v>13328</v>
      </c>
      <c r="DJB2" s="230"/>
      <c r="DJC2" s="230"/>
      <c r="DJD2" s="231"/>
      <c r="DJE2" s="229" t="s">
        <v>13328</v>
      </c>
      <c r="DJF2" s="230"/>
      <c r="DJG2" s="230"/>
      <c r="DJH2" s="231"/>
      <c r="DJI2" s="229" t="s">
        <v>13328</v>
      </c>
      <c r="DJJ2" s="230"/>
      <c r="DJK2" s="230"/>
      <c r="DJL2" s="231"/>
      <c r="DJM2" s="229" t="s">
        <v>13328</v>
      </c>
      <c r="DJN2" s="230"/>
      <c r="DJO2" s="230"/>
      <c r="DJP2" s="231"/>
      <c r="DJQ2" s="229" t="s">
        <v>13328</v>
      </c>
      <c r="DJR2" s="230"/>
      <c r="DJS2" s="230"/>
      <c r="DJT2" s="231"/>
      <c r="DJU2" s="229" t="s">
        <v>13328</v>
      </c>
      <c r="DJV2" s="230"/>
      <c r="DJW2" s="230"/>
      <c r="DJX2" s="231"/>
      <c r="DJY2" s="229" t="s">
        <v>13328</v>
      </c>
      <c r="DJZ2" s="230"/>
      <c r="DKA2" s="230"/>
      <c r="DKB2" s="231"/>
      <c r="DKC2" s="229" t="s">
        <v>13328</v>
      </c>
      <c r="DKD2" s="230"/>
      <c r="DKE2" s="230"/>
      <c r="DKF2" s="231"/>
      <c r="DKG2" s="229" t="s">
        <v>13328</v>
      </c>
      <c r="DKH2" s="230"/>
      <c r="DKI2" s="230"/>
      <c r="DKJ2" s="231"/>
      <c r="DKK2" s="229" t="s">
        <v>13328</v>
      </c>
      <c r="DKL2" s="230"/>
      <c r="DKM2" s="230"/>
      <c r="DKN2" s="231"/>
      <c r="DKO2" s="229" t="s">
        <v>13328</v>
      </c>
      <c r="DKP2" s="230"/>
      <c r="DKQ2" s="230"/>
      <c r="DKR2" s="231"/>
      <c r="DKS2" s="229" t="s">
        <v>13328</v>
      </c>
      <c r="DKT2" s="230"/>
      <c r="DKU2" s="230"/>
      <c r="DKV2" s="231"/>
      <c r="DKW2" s="229" t="s">
        <v>13328</v>
      </c>
      <c r="DKX2" s="230"/>
      <c r="DKY2" s="230"/>
      <c r="DKZ2" s="231"/>
      <c r="DLA2" s="229" t="s">
        <v>13328</v>
      </c>
      <c r="DLB2" s="230"/>
      <c r="DLC2" s="230"/>
      <c r="DLD2" s="231"/>
      <c r="DLE2" s="229" t="s">
        <v>13328</v>
      </c>
      <c r="DLF2" s="230"/>
      <c r="DLG2" s="230"/>
      <c r="DLH2" s="231"/>
      <c r="DLI2" s="229" t="s">
        <v>13328</v>
      </c>
      <c r="DLJ2" s="230"/>
      <c r="DLK2" s="230"/>
      <c r="DLL2" s="231"/>
      <c r="DLM2" s="229" t="s">
        <v>13328</v>
      </c>
      <c r="DLN2" s="230"/>
      <c r="DLO2" s="230"/>
      <c r="DLP2" s="231"/>
      <c r="DLQ2" s="229" t="s">
        <v>13328</v>
      </c>
      <c r="DLR2" s="230"/>
      <c r="DLS2" s="230"/>
      <c r="DLT2" s="231"/>
      <c r="DLU2" s="229" t="s">
        <v>13328</v>
      </c>
      <c r="DLV2" s="230"/>
      <c r="DLW2" s="230"/>
      <c r="DLX2" s="231"/>
      <c r="DLY2" s="229" t="s">
        <v>13328</v>
      </c>
      <c r="DLZ2" s="230"/>
      <c r="DMA2" s="230"/>
      <c r="DMB2" s="231"/>
      <c r="DMC2" s="229" t="s">
        <v>13328</v>
      </c>
      <c r="DMD2" s="230"/>
      <c r="DME2" s="230"/>
      <c r="DMF2" s="231"/>
      <c r="DMG2" s="229" t="s">
        <v>13328</v>
      </c>
      <c r="DMH2" s="230"/>
      <c r="DMI2" s="230"/>
      <c r="DMJ2" s="231"/>
      <c r="DMK2" s="229" t="s">
        <v>13328</v>
      </c>
      <c r="DML2" s="230"/>
      <c r="DMM2" s="230"/>
      <c r="DMN2" s="231"/>
      <c r="DMO2" s="229" t="s">
        <v>13328</v>
      </c>
      <c r="DMP2" s="230"/>
      <c r="DMQ2" s="230"/>
      <c r="DMR2" s="231"/>
      <c r="DMS2" s="229" t="s">
        <v>13328</v>
      </c>
      <c r="DMT2" s="230"/>
      <c r="DMU2" s="230"/>
      <c r="DMV2" s="231"/>
      <c r="DMW2" s="229" t="s">
        <v>13328</v>
      </c>
      <c r="DMX2" s="230"/>
      <c r="DMY2" s="230"/>
      <c r="DMZ2" s="231"/>
      <c r="DNA2" s="229" t="s">
        <v>13328</v>
      </c>
      <c r="DNB2" s="230"/>
      <c r="DNC2" s="230"/>
      <c r="DND2" s="231"/>
      <c r="DNE2" s="229" t="s">
        <v>13328</v>
      </c>
      <c r="DNF2" s="230"/>
      <c r="DNG2" s="230"/>
      <c r="DNH2" s="231"/>
      <c r="DNI2" s="229" t="s">
        <v>13328</v>
      </c>
      <c r="DNJ2" s="230"/>
      <c r="DNK2" s="230"/>
      <c r="DNL2" s="231"/>
      <c r="DNM2" s="229" t="s">
        <v>13328</v>
      </c>
      <c r="DNN2" s="230"/>
      <c r="DNO2" s="230"/>
      <c r="DNP2" s="231"/>
      <c r="DNQ2" s="229" t="s">
        <v>13328</v>
      </c>
      <c r="DNR2" s="230"/>
      <c r="DNS2" s="230"/>
      <c r="DNT2" s="231"/>
      <c r="DNU2" s="229" t="s">
        <v>13328</v>
      </c>
      <c r="DNV2" s="230"/>
      <c r="DNW2" s="230"/>
      <c r="DNX2" s="231"/>
      <c r="DNY2" s="229" t="s">
        <v>13328</v>
      </c>
      <c r="DNZ2" s="230"/>
      <c r="DOA2" s="230"/>
      <c r="DOB2" s="231"/>
      <c r="DOC2" s="229" t="s">
        <v>13328</v>
      </c>
      <c r="DOD2" s="230"/>
      <c r="DOE2" s="230"/>
      <c r="DOF2" s="231"/>
      <c r="DOG2" s="229" t="s">
        <v>13328</v>
      </c>
      <c r="DOH2" s="230"/>
      <c r="DOI2" s="230"/>
      <c r="DOJ2" s="231"/>
      <c r="DOK2" s="229" t="s">
        <v>13328</v>
      </c>
      <c r="DOL2" s="230"/>
      <c r="DOM2" s="230"/>
      <c r="DON2" s="231"/>
      <c r="DOO2" s="229" t="s">
        <v>13328</v>
      </c>
      <c r="DOP2" s="230"/>
      <c r="DOQ2" s="230"/>
      <c r="DOR2" s="231"/>
      <c r="DOS2" s="229" t="s">
        <v>13328</v>
      </c>
      <c r="DOT2" s="230"/>
      <c r="DOU2" s="230"/>
      <c r="DOV2" s="231"/>
      <c r="DOW2" s="229" t="s">
        <v>13328</v>
      </c>
      <c r="DOX2" s="230"/>
      <c r="DOY2" s="230"/>
      <c r="DOZ2" s="231"/>
      <c r="DPA2" s="229" t="s">
        <v>13328</v>
      </c>
      <c r="DPB2" s="230"/>
      <c r="DPC2" s="230"/>
      <c r="DPD2" s="231"/>
      <c r="DPE2" s="229" t="s">
        <v>13328</v>
      </c>
      <c r="DPF2" s="230"/>
      <c r="DPG2" s="230"/>
      <c r="DPH2" s="231"/>
      <c r="DPI2" s="229" t="s">
        <v>13328</v>
      </c>
      <c r="DPJ2" s="230"/>
      <c r="DPK2" s="230"/>
      <c r="DPL2" s="231"/>
      <c r="DPM2" s="229" t="s">
        <v>13328</v>
      </c>
      <c r="DPN2" s="230"/>
      <c r="DPO2" s="230"/>
      <c r="DPP2" s="231"/>
      <c r="DPQ2" s="229" t="s">
        <v>13328</v>
      </c>
      <c r="DPR2" s="230"/>
      <c r="DPS2" s="230"/>
      <c r="DPT2" s="231"/>
      <c r="DPU2" s="229" t="s">
        <v>13328</v>
      </c>
      <c r="DPV2" s="230"/>
      <c r="DPW2" s="230"/>
      <c r="DPX2" s="231"/>
      <c r="DPY2" s="229" t="s">
        <v>13328</v>
      </c>
      <c r="DPZ2" s="230"/>
      <c r="DQA2" s="230"/>
      <c r="DQB2" s="231"/>
      <c r="DQC2" s="229" t="s">
        <v>13328</v>
      </c>
      <c r="DQD2" s="230"/>
      <c r="DQE2" s="230"/>
      <c r="DQF2" s="231"/>
      <c r="DQG2" s="229" t="s">
        <v>13328</v>
      </c>
      <c r="DQH2" s="230"/>
      <c r="DQI2" s="230"/>
      <c r="DQJ2" s="231"/>
      <c r="DQK2" s="229" t="s">
        <v>13328</v>
      </c>
      <c r="DQL2" s="230"/>
      <c r="DQM2" s="230"/>
      <c r="DQN2" s="231"/>
      <c r="DQO2" s="229" t="s">
        <v>13328</v>
      </c>
      <c r="DQP2" s="230"/>
      <c r="DQQ2" s="230"/>
      <c r="DQR2" s="231"/>
      <c r="DQS2" s="229" t="s">
        <v>13328</v>
      </c>
      <c r="DQT2" s="230"/>
      <c r="DQU2" s="230"/>
      <c r="DQV2" s="231"/>
      <c r="DQW2" s="229" t="s">
        <v>13328</v>
      </c>
      <c r="DQX2" s="230"/>
      <c r="DQY2" s="230"/>
      <c r="DQZ2" s="231"/>
      <c r="DRA2" s="229" t="s">
        <v>13328</v>
      </c>
      <c r="DRB2" s="230"/>
      <c r="DRC2" s="230"/>
      <c r="DRD2" s="231"/>
      <c r="DRE2" s="229" t="s">
        <v>13328</v>
      </c>
      <c r="DRF2" s="230"/>
      <c r="DRG2" s="230"/>
      <c r="DRH2" s="231"/>
      <c r="DRI2" s="229" t="s">
        <v>13328</v>
      </c>
      <c r="DRJ2" s="230"/>
      <c r="DRK2" s="230"/>
      <c r="DRL2" s="231"/>
      <c r="DRM2" s="229" t="s">
        <v>13328</v>
      </c>
      <c r="DRN2" s="230"/>
      <c r="DRO2" s="230"/>
      <c r="DRP2" s="231"/>
      <c r="DRQ2" s="229" t="s">
        <v>13328</v>
      </c>
      <c r="DRR2" s="230"/>
      <c r="DRS2" s="230"/>
      <c r="DRT2" s="231"/>
      <c r="DRU2" s="229" t="s">
        <v>13328</v>
      </c>
      <c r="DRV2" s="230"/>
      <c r="DRW2" s="230"/>
      <c r="DRX2" s="231"/>
      <c r="DRY2" s="229" t="s">
        <v>13328</v>
      </c>
      <c r="DRZ2" s="230"/>
      <c r="DSA2" s="230"/>
      <c r="DSB2" s="231"/>
      <c r="DSC2" s="229" t="s">
        <v>13328</v>
      </c>
      <c r="DSD2" s="230"/>
      <c r="DSE2" s="230"/>
      <c r="DSF2" s="231"/>
      <c r="DSG2" s="229" t="s">
        <v>13328</v>
      </c>
      <c r="DSH2" s="230"/>
      <c r="DSI2" s="230"/>
      <c r="DSJ2" s="231"/>
      <c r="DSK2" s="229" t="s">
        <v>13328</v>
      </c>
      <c r="DSL2" s="230"/>
      <c r="DSM2" s="230"/>
      <c r="DSN2" s="231"/>
      <c r="DSO2" s="229" t="s">
        <v>13328</v>
      </c>
      <c r="DSP2" s="230"/>
      <c r="DSQ2" s="230"/>
      <c r="DSR2" s="231"/>
      <c r="DSS2" s="229" t="s">
        <v>13328</v>
      </c>
      <c r="DST2" s="230"/>
      <c r="DSU2" s="230"/>
      <c r="DSV2" s="231"/>
      <c r="DSW2" s="229" t="s">
        <v>13328</v>
      </c>
      <c r="DSX2" s="230"/>
      <c r="DSY2" s="230"/>
      <c r="DSZ2" s="231"/>
      <c r="DTA2" s="229" t="s">
        <v>13328</v>
      </c>
      <c r="DTB2" s="230"/>
      <c r="DTC2" s="230"/>
      <c r="DTD2" s="231"/>
      <c r="DTE2" s="229" t="s">
        <v>13328</v>
      </c>
      <c r="DTF2" s="230"/>
      <c r="DTG2" s="230"/>
      <c r="DTH2" s="231"/>
      <c r="DTI2" s="229" t="s">
        <v>13328</v>
      </c>
      <c r="DTJ2" s="230"/>
      <c r="DTK2" s="230"/>
      <c r="DTL2" s="231"/>
      <c r="DTM2" s="229" t="s">
        <v>13328</v>
      </c>
      <c r="DTN2" s="230"/>
      <c r="DTO2" s="230"/>
      <c r="DTP2" s="231"/>
      <c r="DTQ2" s="229" t="s">
        <v>13328</v>
      </c>
      <c r="DTR2" s="230"/>
      <c r="DTS2" s="230"/>
      <c r="DTT2" s="231"/>
      <c r="DTU2" s="229" t="s">
        <v>13328</v>
      </c>
      <c r="DTV2" s="230"/>
      <c r="DTW2" s="230"/>
      <c r="DTX2" s="231"/>
      <c r="DTY2" s="229" t="s">
        <v>13328</v>
      </c>
      <c r="DTZ2" s="230"/>
      <c r="DUA2" s="230"/>
      <c r="DUB2" s="231"/>
      <c r="DUC2" s="229" t="s">
        <v>13328</v>
      </c>
      <c r="DUD2" s="230"/>
      <c r="DUE2" s="230"/>
      <c r="DUF2" s="231"/>
      <c r="DUG2" s="229" t="s">
        <v>13328</v>
      </c>
      <c r="DUH2" s="230"/>
      <c r="DUI2" s="230"/>
      <c r="DUJ2" s="231"/>
      <c r="DUK2" s="229" t="s">
        <v>13328</v>
      </c>
      <c r="DUL2" s="230"/>
      <c r="DUM2" s="230"/>
      <c r="DUN2" s="231"/>
      <c r="DUO2" s="229" t="s">
        <v>13328</v>
      </c>
      <c r="DUP2" s="230"/>
      <c r="DUQ2" s="230"/>
      <c r="DUR2" s="231"/>
      <c r="DUS2" s="229" t="s">
        <v>13328</v>
      </c>
      <c r="DUT2" s="230"/>
      <c r="DUU2" s="230"/>
      <c r="DUV2" s="231"/>
      <c r="DUW2" s="229" t="s">
        <v>13328</v>
      </c>
      <c r="DUX2" s="230"/>
      <c r="DUY2" s="230"/>
      <c r="DUZ2" s="231"/>
      <c r="DVA2" s="229" t="s">
        <v>13328</v>
      </c>
      <c r="DVB2" s="230"/>
      <c r="DVC2" s="230"/>
      <c r="DVD2" s="231"/>
      <c r="DVE2" s="229" t="s">
        <v>13328</v>
      </c>
      <c r="DVF2" s="230"/>
      <c r="DVG2" s="230"/>
      <c r="DVH2" s="231"/>
      <c r="DVI2" s="229" t="s">
        <v>13328</v>
      </c>
      <c r="DVJ2" s="230"/>
      <c r="DVK2" s="230"/>
      <c r="DVL2" s="231"/>
      <c r="DVM2" s="229" t="s">
        <v>13328</v>
      </c>
      <c r="DVN2" s="230"/>
      <c r="DVO2" s="230"/>
      <c r="DVP2" s="231"/>
      <c r="DVQ2" s="229" t="s">
        <v>13328</v>
      </c>
      <c r="DVR2" s="230"/>
      <c r="DVS2" s="230"/>
      <c r="DVT2" s="231"/>
      <c r="DVU2" s="229" t="s">
        <v>13328</v>
      </c>
      <c r="DVV2" s="230"/>
      <c r="DVW2" s="230"/>
      <c r="DVX2" s="231"/>
      <c r="DVY2" s="229" t="s">
        <v>13328</v>
      </c>
      <c r="DVZ2" s="230"/>
      <c r="DWA2" s="230"/>
      <c r="DWB2" s="231"/>
      <c r="DWC2" s="229" t="s">
        <v>13328</v>
      </c>
      <c r="DWD2" s="230"/>
      <c r="DWE2" s="230"/>
      <c r="DWF2" s="231"/>
      <c r="DWG2" s="229" t="s">
        <v>13328</v>
      </c>
      <c r="DWH2" s="230"/>
      <c r="DWI2" s="230"/>
      <c r="DWJ2" s="231"/>
      <c r="DWK2" s="229" t="s">
        <v>13328</v>
      </c>
      <c r="DWL2" s="230"/>
      <c r="DWM2" s="230"/>
      <c r="DWN2" s="231"/>
      <c r="DWO2" s="229" t="s">
        <v>13328</v>
      </c>
      <c r="DWP2" s="230"/>
      <c r="DWQ2" s="230"/>
      <c r="DWR2" s="231"/>
      <c r="DWS2" s="229" t="s">
        <v>13328</v>
      </c>
      <c r="DWT2" s="230"/>
      <c r="DWU2" s="230"/>
      <c r="DWV2" s="231"/>
      <c r="DWW2" s="229" t="s">
        <v>13328</v>
      </c>
      <c r="DWX2" s="230"/>
      <c r="DWY2" s="230"/>
      <c r="DWZ2" s="231"/>
      <c r="DXA2" s="229" t="s">
        <v>13328</v>
      </c>
      <c r="DXB2" s="230"/>
      <c r="DXC2" s="230"/>
      <c r="DXD2" s="231"/>
      <c r="DXE2" s="229" t="s">
        <v>13328</v>
      </c>
      <c r="DXF2" s="230"/>
      <c r="DXG2" s="230"/>
      <c r="DXH2" s="231"/>
      <c r="DXI2" s="229" t="s">
        <v>13328</v>
      </c>
      <c r="DXJ2" s="230"/>
      <c r="DXK2" s="230"/>
      <c r="DXL2" s="231"/>
      <c r="DXM2" s="229" t="s">
        <v>13328</v>
      </c>
      <c r="DXN2" s="230"/>
      <c r="DXO2" s="230"/>
      <c r="DXP2" s="231"/>
      <c r="DXQ2" s="229" t="s">
        <v>13328</v>
      </c>
      <c r="DXR2" s="230"/>
      <c r="DXS2" s="230"/>
      <c r="DXT2" s="231"/>
      <c r="DXU2" s="229" t="s">
        <v>13328</v>
      </c>
      <c r="DXV2" s="230"/>
      <c r="DXW2" s="230"/>
      <c r="DXX2" s="231"/>
      <c r="DXY2" s="229" t="s">
        <v>13328</v>
      </c>
      <c r="DXZ2" s="230"/>
      <c r="DYA2" s="230"/>
      <c r="DYB2" s="231"/>
      <c r="DYC2" s="229" t="s">
        <v>13328</v>
      </c>
      <c r="DYD2" s="230"/>
      <c r="DYE2" s="230"/>
      <c r="DYF2" s="231"/>
      <c r="DYG2" s="229" t="s">
        <v>13328</v>
      </c>
      <c r="DYH2" s="230"/>
      <c r="DYI2" s="230"/>
      <c r="DYJ2" s="231"/>
      <c r="DYK2" s="229" t="s">
        <v>13328</v>
      </c>
      <c r="DYL2" s="230"/>
      <c r="DYM2" s="230"/>
      <c r="DYN2" s="231"/>
      <c r="DYO2" s="229" t="s">
        <v>13328</v>
      </c>
      <c r="DYP2" s="230"/>
      <c r="DYQ2" s="230"/>
      <c r="DYR2" s="231"/>
      <c r="DYS2" s="229" t="s">
        <v>13328</v>
      </c>
      <c r="DYT2" s="230"/>
      <c r="DYU2" s="230"/>
      <c r="DYV2" s="231"/>
      <c r="DYW2" s="229" t="s">
        <v>13328</v>
      </c>
      <c r="DYX2" s="230"/>
      <c r="DYY2" s="230"/>
      <c r="DYZ2" s="231"/>
      <c r="DZA2" s="229" t="s">
        <v>13328</v>
      </c>
      <c r="DZB2" s="230"/>
      <c r="DZC2" s="230"/>
      <c r="DZD2" s="231"/>
      <c r="DZE2" s="229" t="s">
        <v>13328</v>
      </c>
      <c r="DZF2" s="230"/>
      <c r="DZG2" s="230"/>
      <c r="DZH2" s="231"/>
      <c r="DZI2" s="229" t="s">
        <v>13328</v>
      </c>
      <c r="DZJ2" s="230"/>
      <c r="DZK2" s="230"/>
      <c r="DZL2" s="231"/>
      <c r="DZM2" s="229" t="s">
        <v>13328</v>
      </c>
      <c r="DZN2" s="230"/>
      <c r="DZO2" s="230"/>
      <c r="DZP2" s="231"/>
      <c r="DZQ2" s="229" t="s">
        <v>13328</v>
      </c>
      <c r="DZR2" s="230"/>
      <c r="DZS2" s="230"/>
      <c r="DZT2" s="231"/>
      <c r="DZU2" s="229" t="s">
        <v>13328</v>
      </c>
      <c r="DZV2" s="230"/>
      <c r="DZW2" s="230"/>
      <c r="DZX2" s="231"/>
      <c r="DZY2" s="229" t="s">
        <v>13328</v>
      </c>
      <c r="DZZ2" s="230"/>
      <c r="EAA2" s="230"/>
      <c r="EAB2" s="231"/>
      <c r="EAC2" s="229" t="s">
        <v>13328</v>
      </c>
      <c r="EAD2" s="230"/>
      <c r="EAE2" s="230"/>
      <c r="EAF2" s="231"/>
      <c r="EAG2" s="229" t="s">
        <v>13328</v>
      </c>
      <c r="EAH2" s="230"/>
      <c r="EAI2" s="230"/>
      <c r="EAJ2" s="231"/>
      <c r="EAK2" s="229" t="s">
        <v>13328</v>
      </c>
      <c r="EAL2" s="230"/>
      <c r="EAM2" s="230"/>
      <c r="EAN2" s="231"/>
      <c r="EAO2" s="229" t="s">
        <v>13328</v>
      </c>
      <c r="EAP2" s="230"/>
      <c r="EAQ2" s="230"/>
      <c r="EAR2" s="231"/>
      <c r="EAS2" s="229" t="s">
        <v>13328</v>
      </c>
      <c r="EAT2" s="230"/>
      <c r="EAU2" s="230"/>
      <c r="EAV2" s="231"/>
      <c r="EAW2" s="229" t="s">
        <v>13328</v>
      </c>
      <c r="EAX2" s="230"/>
      <c r="EAY2" s="230"/>
      <c r="EAZ2" s="231"/>
      <c r="EBA2" s="229" t="s">
        <v>13328</v>
      </c>
      <c r="EBB2" s="230"/>
      <c r="EBC2" s="230"/>
      <c r="EBD2" s="231"/>
      <c r="EBE2" s="229" t="s">
        <v>13328</v>
      </c>
      <c r="EBF2" s="230"/>
      <c r="EBG2" s="230"/>
      <c r="EBH2" s="231"/>
      <c r="EBI2" s="229" t="s">
        <v>13328</v>
      </c>
      <c r="EBJ2" s="230"/>
      <c r="EBK2" s="230"/>
      <c r="EBL2" s="231"/>
      <c r="EBM2" s="229" t="s">
        <v>13328</v>
      </c>
      <c r="EBN2" s="230"/>
      <c r="EBO2" s="230"/>
      <c r="EBP2" s="231"/>
      <c r="EBQ2" s="229" t="s">
        <v>13328</v>
      </c>
      <c r="EBR2" s="230"/>
      <c r="EBS2" s="230"/>
      <c r="EBT2" s="231"/>
      <c r="EBU2" s="229" t="s">
        <v>13328</v>
      </c>
      <c r="EBV2" s="230"/>
      <c r="EBW2" s="230"/>
      <c r="EBX2" s="231"/>
      <c r="EBY2" s="229" t="s">
        <v>13328</v>
      </c>
      <c r="EBZ2" s="230"/>
      <c r="ECA2" s="230"/>
      <c r="ECB2" s="231"/>
      <c r="ECC2" s="229" t="s">
        <v>13328</v>
      </c>
      <c r="ECD2" s="230"/>
      <c r="ECE2" s="230"/>
      <c r="ECF2" s="231"/>
      <c r="ECG2" s="229" t="s">
        <v>13328</v>
      </c>
      <c r="ECH2" s="230"/>
      <c r="ECI2" s="230"/>
      <c r="ECJ2" s="231"/>
      <c r="ECK2" s="229" t="s">
        <v>13328</v>
      </c>
      <c r="ECL2" s="230"/>
      <c r="ECM2" s="230"/>
      <c r="ECN2" s="231"/>
      <c r="ECO2" s="229" t="s">
        <v>13328</v>
      </c>
      <c r="ECP2" s="230"/>
      <c r="ECQ2" s="230"/>
      <c r="ECR2" s="231"/>
      <c r="ECS2" s="229" t="s">
        <v>13328</v>
      </c>
      <c r="ECT2" s="230"/>
      <c r="ECU2" s="230"/>
      <c r="ECV2" s="231"/>
      <c r="ECW2" s="229" t="s">
        <v>13328</v>
      </c>
      <c r="ECX2" s="230"/>
      <c r="ECY2" s="230"/>
      <c r="ECZ2" s="231"/>
      <c r="EDA2" s="229" t="s">
        <v>13328</v>
      </c>
      <c r="EDB2" s="230"/>
      <c r="EDC2" s="230"/>
      <c r="EDD2" s="231"/>
      <c r="EDE2" s="229" t="s">
        <v>13328</v>
      </c>
      <c r="EDF2" s="230"/>
      <c r="EDG2" s="230"/>
      <c r="EDH2" s="231"/>
      <c r="EDI2" s="229" t="s">
        <v>13328</v>
      </c>
      <c r="EDJ2" s="230"/>
      <c r="EDK2" s="230"/>
      <c r="EDL2" s="231"/>
      <c r="EDM2" s="229" t="s">
        <v>13328</v>
      </c>
      <c r="EDN2" s="230"/>
      <c r="EDO2" s="230"/>
      <c r="EDP2" s="231"/>
      <c r="EDQ2" s="229" t="s">
        <v>13328</v>
      </c>
      <c r="EDR2" s="230"/>
      <c r="EDS2" s="230"/>
      <c r="EDT2" s="231"/>
      <c r="EDU2" s="229" t="s">
        <v>13328</v>
      </c>
      <c r="EDV2" s="230"/>
      <c r="EDW2" s="230"/>
      <c r="EDX2" s="231"/>
      <c r="EDY2" s="229" t="s">
        <v>13328</v>
      </c>
      <c r="EDZ2" s="230"/>
      <c r="EEA2" s="230"/>
      <c r="EEB2" s="231"/>
      <c r="EEC2" s="229" t="s">
        <v>13328</v>
      </c>
      <c r="EED2" s="230"/>
      <c r="EEE2" s="230"/>
      <c r="EEF2" s="231"/>
      <c r="EEG2" s="229" t="s">
        <v>13328</v>
      </c>
      <c r="EEH2" s="230"/>
      <c r="EEI2" s="230"/>
      <c r="EEJ2" s="231"/>
      <c r="EEK2" s="229" t="s">
        <v>13328</v>
      </c>
      <c r="EEL2" s="230"/>
      <c r="EEM2" s="230"/>
      <c r="EEN2" s="231"/>
      <c r="EEO2" s="229" t="s">
        <v>13328</v>
      </c>
      <c r="EEP2" s="230"/>
      <c r="EEQ2" s="230"/>
      <c r="EER2" s="231"/>
      <c r="EES2" s="229" t="s">
        <v>13328</v>
      </c>
      <c r="EET2" s="230"/>
      <c r="EEU2" s="230"/>
      <c r="EEV2" s="231"/>
      <c r="EEW2" s="229" t="s">
        <v>13328</v>
      </c>
      <c r="EEX2" s="230"/>
      <c r="EEY2" s="230"/>
      <c r="EEZ2" s="231"/>
      <c r="EFA2" s="229" t="s">
        <v>13328</v>
      </c>
      <c r="EFB2" s="230"/>
      <c r="EFC2" s="230"/>
      <c r="EFD2" s="231"/>
      <c r="EFE2" s="229" t="s">
        <v>13328</v>
      </c>
      <c r="EFF2" s="230"/>
      <c r="EFG2" s="230"/>
      <c r="EFH2" s="231"/>
      <c r="EFI2" s="229" t="s">
        <v>13328</v>
      </c>
      <c r="EFJ2" s="230"/>
      <c r="EFK2" s="230"/>
      <c r="EFL2" s="231"/>
      <c r="EFM2" s="229" t="s">
        <v>13328</v>
      </c>
      <c r="EFN2" s="230"/>
      <c r="EFO2" s="230"/>
      <c r="EFP2" s="231"/>
      <c r="EFQ2" s="229" t="s">
        <v>13328</v>
      </c>
      <c r="EFR2" s="230"/>
      <c r="EFS2" s="230"/>
      <c r="EFT2" s="231"/>
      <c r="EFU2" s="229" t="s">
        <v>13328</v>
      </c>
      <c r="EFV2" s="230"/>
      <c r="EFW2" s="230"/>
      <c r="EFX2" s="231"/>
      <c r="EFY2" s="229" t="s">
        <v>13328</v>
      </c>
      <c r="EFZ2" s="230"/>
      <c r="EGA2" s="230"/>
      <c r="EGB2" s="231"/>
      <c r="EGC2" s="229" t="s">
        <v>13328</v>
      </c>
      <c r="EGD2" s="230"/>
      <c r="EGE2" s="230"/>
      <c r="EGF2" s="231"/>
      <c r="EGG2" s="229" t="s">
        <v>13328</v>
      </c>
      <c r="EGH2" s="230"/>
      <c r="EGI2" s="230"/>
      <c r="EGJ2" s="231"/>
      <c r="EGK2" s="229" t="s">
        <v>13328</v>
      </c>
      <c r="EGL2" s="230"/>
      <c r="EGM2" s="230"/>
      <c r="EGN2" s="231"/>
      <c r="EGO2" s="229" t="s">
        <v>13328</v>
      </c>
      <c r="EGP2" s="230"/>
      <c r="EGQ2" s="230"/>
      <c r="EGR2" s="231"/>
      <c r="EGS2" s="229" t="s">
        <v>13328</v>
      </c>
      <c r="EGT2" s="230"/>
      <c r="EGU2" s="230"/>
      <c r="EGV2" s="231"/>
      <c r="EGW2" s="229" t="s">
        <v>13328</v>
      </c>
      <c r="EGX2" s="230"/>
      <c r="EGY2" s="230"/>
      <c r="EGZ2" s="231"/>
      <c r="EHA2" s="229" t="s">
        <v>13328</v>
      </c>
      <c r="EHB2" s="230"/>
      <c r="EHC2" s="230"/>
      <c r="EHD2" s="231"/>
      <c r="EHE2" s="229" t="s">
        <v>13328</v>
      </c>
      <c r="EHF2" s="230"/>
      <c r="EHG2" s="230"/>
      <c r="EHH2" s="231"/>
      <c r="EHI2" s="229" t="s">
        <v>13328</v>
      </c>
      <c r="EHJ2" s="230"/>
      <c r="EHK2" s="230"/>
      <c r="EHL2" s="231"/>
      <c r="EHM2" s="229" t="s">
        <v>13328</v>
      </c>
      <c r="EHN2" s="230"/>
      <c r="EHO2" s="230"/>
      <c r="EHP2" s="231"/>
      <c r="EHQ2" s="229" t="s">
        <v>13328</v>
      </c>
      <c r="EHR2" s="230"/>
      <c r="EHS2" s="230"/>
      <c r="EHT2" s="231"/>
      <c r="EHU2" s="229" t="s">
        <v>13328</v>
      </c>
      <c r="EHV2" s="230"/>
      <c r="EHW2" s="230"/>
      <c r="EHX2" s="231"/>
      <c r="EHY2" s="229" t="s">
        <v>13328</v>
      </c>
      <c r="EHZ2" s="230"/>
      <c r="EIA2" s="230"/>
      <c r="EIB2" s="231"/>
      <c r="EIC2" s="229" t="s">
        <v>13328</v>
      </c>
      <c r="EID2" s="230"/>
      <c r="EIE2" s="230"/>
      <c r="EIF2" s="231"/>
      <c r="EIG2" s="229" t="s">
        <v>13328</v>
      </c>
      <c r="EIH2" s="230"/>
      <c r="EII2" s="230"/>
      <c r="EIJ2" s="231"/>
      <c r="EIK2" s="229" t="s">
        <v>13328</v>
      </c>
      <c r="EIL2" s="230"/>
      <c r="EIM2" s="230"/>
      <c r="EIN2" s="231"/>
      <c r="EIO2" s="229" t="s">
        <v>13328</v>
      </c>
      <c r="EIP2" s="230"/>
      <c r="EIQ2" s="230"/>
      <c r="EIR2" s="231"/>
      <c r="EIS2" s="229" t="s">
        <v>13328</v>
      </c>
      <c r="EIT2" s="230"/>
      <c r="EIU2" s="230"/>
      <c r="EIV2" s="231"/>
      <c r="EIW2" s="229" t="s">
        <v>13328</v>
      </c>
      <c r="EIX2" s="230"/>
      <c r="EIY2" s="230"/>
      <c r="EIZ2" s="231"/>
      <c r="EJA2" s="229" t="s">
        <v>13328</v>
      </c>
      <c r="EJB2" s="230"/>
      <c r="EJC2" s="230"/>
      <c r="EJD2" s="231"/>
      <c r="EJE2" s="229" t="s">
        <v>13328</v>
      </c>
      <c r="EJF2" s="230"/>
      <c r="EJG2" s="230"/>
      <c r="EJH2" s="231"/>
      <c r="EJI2" s="229" t="s">
        <v>13328</v>
      </c>
      <c r="EJJ2" s="230"/>
      <c r="EJK2" s="230"/>
      <c r="EJL2" s="231"/>
      <c r="EJM2" s="229" t="s">
        <v>13328</v>
      </c>
      <c r="EJN2" s="230"/>
      <c r="EJO2" s="230"/>
      <c r="EJP2" s="231"/>
      <c r="EJQ2" s="229" t="s">
        <v>13328</v>
      </c>
      <c r="EJR2" s="230"/>
      <c r="EJS2" s="230"/>
      <c r="EJT2" s="231"/>
      <c r="EJU2" s="229" t="s">
        <v>13328</v>
      </c>
      <c r="EJV2" s="230"/>
      <c r="EJW2" s="230"/>
      <c r="EJX2" s="231"/>
      <c r="EJY2" s="229" t="s">
        <v>13328</v>
      </c>
      <c r="EJZ2" s="230"/>
      <c r="EKA2" s="230"/>
      <c r="EKB2" s="231"/>
      <c r="EKC2" s="229" t="s">
        <v>13328</v>
      </c>
      <c r="EKD2" s="230"/>
      <c r="EKE2" s="230"/>
      <c r="EKF2" s="231"/>
      <c r="EKG2" s="229" t="s">
        <v>13328</v>
      </c>
      <c r="EKH2" s="230"/>
      <c r="EKI2" s="230"/>
      <c r="EKJ2" s="231"/>
      <c r="EKK2" s="229" t="s">
        <v>13328</v>
      </c>
      <c r="EKL2" s="230"/>
      <c r="EKM2" s="230"/>
      <c r="EKN2" s="231"/>
      <c r="EKO2" s="229" t="s">
        <v>13328</v>
      </c>
      <c r="EKP2" s="230"/>
      <c r="EKQ2" s="230"/>
      <c r="EKR2" s="231"/>
      <c r="EKS2" s="229" t="s">
        <v>13328</v>
      </c>
      <c r="EKT2" s="230"/>
      <c r="EKU2" s="230"/>
      <c r="EKV2" s="231"/>
      <c r="EKW2" s="229" t="s">
        <v>13328</v>
      </c>
      <c r="EKX2" s="230"/>
      <c r="EKY2" s="230"/>
      <c r="EKZ2" s="231"/>
      <c r="ELA2" s="229" t="s">
        <v>13328</v>
      </c>
      <c r="ELB2" s="230"/>
      <c r="ELC2" s="230"/>
      <c r="ELD2" s="231"/>
      <c r="ELE2" s="229" t="s">
        <v>13328</v>
      </c>
      <c r="ELF2" s="230"/>
      <c r="ELG2" s="230"/>
      <c r="ELH2" s="231"/>
      <c r="ELI2" s="229" t="s">
        <v>13328</v>
      </c>
      <c r="ELJ2" s="230"/>
      <c r="ELK2" s="230"/>
      <c r="ELL2" s="231"/>
      <c r="ELM2" s="229" t="s">
        <v>13328</v>
      </c>
      <c r="ELN2" s="230"/>
      <c r="ELO2" s="230"/>
      <c r="ELP2" s="231"/>
      <c r="ELQ2" s="229" t="s">
        <v>13328</v>
      </c>
      <c r="ELR2" s="230"/>
      <c r="ELS2" s="230"/>
      <c r="ELT2" s="231"/>
      <c r="ELU2" s="229" t="s">
        <v>13328</v>
      </c>
      <c r="ELV2" s="230"/>
      <c r="ELW2" s="230"/>
      <c r="ELX2" s="231"/>
      <c r="ELY2" s="229" t="s">
        <v>13328</v>
      </c>
      <c r="ELZ2" s="230"/>
      <c r="EMA2" s="230"/>
      <c r="EMB2" s="231"/>
      <c r="EMC2" s="229" t="s">
        <v>13328</v>
      </c>
      <c r="EMD2" s="230"/>
      <c r="EME2" s="230"/>
      <c r="EMF2" s="231"/>
      <c r="EMG2" s="229" t="s">
        <v>13328</v>
      </c>
      <c r="EMH2" s="230"/>
      <c r="EMI2" s="230"/>
      <c r="EMJ2" s="231"/>
      <c r="EMK2" s="229" t="s">
        <v>13328</v>
      </c>
      <c r="EML2" s="230"/>
      <c r="EMM2" s="230"/>
      <c r="EMN2" s="231"/>
      <c r="EMO2" s="229" t="s">
        <v>13328</v>
      </c>
      <c r="EMP2" s="230"/>
      <c r="EMQ2" s="230"/>
      <c r="EMR2" s="231"/>
      <c r="EMS2" s="229" t="s">
        <v>13328</v>
      </c>
      <c r="EMT2" s="230"/>
      <c r="EMU2" s="230"/>
      <c r="EMV2" s="231"/>
      <c r="EMW2" s="229" t="s">
        <v>13328</v>
      </c>
      <c r="EMX2" s="230"/>
      <c r="EMY2" s="230"/>
      <c r="EMZ2" s="231"/>
      <c r="ENA2" s="229" t="s">
        <v>13328</v>
      </c>
      <c r="ENB2" s="230"/>
      <c r="ENC2" s="230"/>
      <c r="END2" s="231"/>
      <c r="ENE2" s="229" t="s">
        <v>13328</v>
      </c>
      <c r="ENF2" s="230"/>
      <c r="ENG2" s="230"/>
      <c r="ENH2" s="231"/>
      <c r="ENI2" s="229" t="s">
        <v>13328</v>
      </c>
      <c r="ENJ2" s="230"/>
      <c r="ENK2" s="230"/>
      <c r="ENL2" s="231"/>
      <c r="ENM2" s="229" t="s">
        <v>13328</v>
      </c>
      <c r="ENN2" s="230"/>
      <c r="ENO2" s="230"/>
      <c r="ENP2" s="231"/>
      <c r="ENQ2" s="229" t="s">
        <v>13328</v>
      </c>
      <c r="ENR2" s="230"/>
      <c r="ENS2" s="230"/>
      <c r="ENT2" s="231"/>
      <c r="ENU2" s="229" t="s">
        <v>13328</v>
      </c>
      <c r="ENV2" s="230"/>
      <c r="ENW2" s="230"/>
      <c r="ENX2" s="231"/>
      <c r="ENY2" s="229" t="s">
        <v>13328</v>
      </c>
      <c r="ENZ2" s="230"/>
      <c r="EOA2" s="230"/>
      <c r="EOB2" s="231"/>
      <c r="EOC2" s="229" t="s">
        <v>13328</v>
      </c>
      <c r="EOD2" s="230"/>
      <c r="EOE2" s="230"/>
      <c r="EOF2" s="231"/>
      <c r="EOG2" s="229" t="s">
        <v>13328</v>
      </c>
      <c r="EOH2" s="230"/>
      <c r="EOI2" s="230"/>
      <c r="EOJ2" s="231"/>
      <c r="EOK2" s="229" t="s">
        <v>13328</v>
      </c>
      <c r="EOL2" s="230"/>
      <c r="EOM2" s="230"/>
      <c r="EON2" s="231"/>
      <c r="EOO2" s="229" t="s">
        <v>13328</v>
      </c>
      <c r="EOP2" s="230"/>
      <c r="EOQ2" s="230"/>
      <c r="EOR2" s="231"/>
      <c r="EOS2" s="229" t="s">
        <v>13328</v>
      </c>
      <c r="EOT2" s="230"/>
      <c r="EOU2" s="230"/>
      <c r="EOV2" s="231"/>
      <c r="EOW2" s="229" t="s">
        <v>13328</v>
      </c>
      <c r="EOX2" s="230"/>
      <c r="EOY2" s="230"/>
      <c r="EOZ2" s="231"/>
      <c r="EPA2" s="229" t="s">
        <v>13328</v>
      </c>
      <c r="EPB2" s="230"/>
      <c r="EPC2" s="230"/>
      <c r="EPD2" s="231"/>
      <c r="EPE2" s="229" t="s">
        <v>13328</v>
      </c>
      <c r="EPF2" s="230"/>
      <c r="EPG2" s="230"/>
      <c r="EPH2" s="231"/>
      <c r="EPI2" s="229" t="s">
        <v>13328</v>
      </c>
      <c r="EPJ2" s="230"/>
      <c r="EPK2" s="230"/>
      <c r="EPL2" s="231"/>
      <c r="EPM2" s="229" t="s">
        <v>13328</v>
      </c>
      <c r="EPN2" s="230"/>
      <c r="EPO2" s="230"/>
      <c r="EPP2" s="231"/>
      <c r="EPQ2" s="229" t="s">
        <v>13328</v>
      </c>
      <c r="EPR2" s="230"/>
      <c r="EPS2" s="230"/>
      <c r="EPT2" s="231"/>
      <c r="EPU2" s="229" t="s">
        <v>13328</v>
      </c>
      <c r="EPV2" s="230"/>
      <c r="EPW2" s="230"/>
      <c r="EPX2" s="231"/>
      <c r="EPY2" s="229" t="s">
        <v>13328</v>
      </c>
      <c r="EPZ2" s="230"/>
      <c r="EQA2" s="230"/>
      <c r="EQB2" s="231"/>
      <c r="EQC2" s="229" t="s">
        <v>13328</v>
      </c>
      <c r="EQD2" s="230"/>
      <c r="EQE2" s="230"/>
      <c r="EQF2" s="231"/>
      <c r="EQG2" s="229" t="s">
        <v>13328</v>
      </c>
      <c r="EQH2" s="230"/>
      <c r="EQI2" s="230"/>
      <c r="EQJ2" s="231"/>
      <c r="EQK2" s="229" t="s">
        <v>13328</v>
      </c>
      <c r="EQL2" s="230"/>
      <c r="EQM2" s="230"/>
      <c r="EQN2" s="231"/>
      <c r="EQO2" s="229" t="s">
        <v>13328</v>
      </c>
      <c r="EQP2" s="230"/>
      <c r="EQQ2" s="230"/>
      <c r="EQR2" s="231"/>
      <c r="EQS2" s="229" t="s">
        <v>13328</v>
      </c>
      <c r="EQT2" s="230"/>
      <c r="EQU2" s="230"/>
      <c r="EQV2" s="231"/>
      <c r="EQW2" s="229" t="s">
        <v>13328</v>
      </c>
      <c r="EQX2" s="230"/>
      <c r="EQY2" s="230"/>
      <c r="EQZ2" s="231"/>
      <c r="ERA2" s="229" t="s">
        <v>13328</v>
      </c>
      <c r="ERB2" s="230"/>
      <c r="ERC2" s="230"/>
      <c r="ERD2" s="231"/>
      <c r="ERE2" s="229" t="s">
        <v>13328</v>
      </c>
      <c r="ERF2" s="230"/>
      <c r="ERG2" s="230"/>
      <c r="ERH2" s="231"/>
      <c r="ERI2" s="229" t="s">
        <v>13328</v>
      </c>
      <c r="ERJ2" s="230"/>
      <c r="ERK2" s="230"/>
      <c r="ERL2" s="231"/>
      <c r="ERM2" s="229" t="s">
        <v>13328</v>
      </c>
      <c r="ERN2" s="230"/>
      <c r="ERO2" s="230"/>
      <c r="ERP2" s="231"/>
      <c r="ERQ2" s="229" t="s">
        <v>13328</v>
      </c>
      <c r="ERR2" s="230"/>
      <c r="ERS2" s="230"/>
      <c r="ERT2" s="231"/>
      <c r="ERU2" s="229" t="s">
        <v>13328</v>
      </c>
      <c r="ERV2" s="230"/>
      <c r="ERW2" s="230"/>
      <c r="ERX2" s="231"/>
      <c r="ERY2" s="229" t="s">
        <v>13328</v>
      </c>
      <c r="ERZ2" s="230"/>
      <c r="ESA2" s="230"/>
      <c r="ESB2" s="231"/>
      <c r="ESC2" s="229" t="s">
        <v>13328</v>
      </c>
      <c r="ESD2" s="230"/>
      <c r="ESE2" s="230"/>
      <c r="ESF2" s="231"/>
      <c r="ESG2" s="229" t="s">
        <v>13328</v>
      </c>
      <c r="ESH2" s="230"/>
      <c r="ESI2" s="230"/>
      <c r="ESJ2" s="231"/>
      <c r="ESK2" s="229" t="s">
        <v>13328</v>
      </c>
      <c r="ESL2" s="230"/>
      <c r="ESM2" s="230"/>
      <c r="ESN2" s="231"/>
      <c r="ESO2" s="229" t="s">
        <v>13328</v>
      </c>
      <c r="ESP2" s="230"/>
      <c r="ESQ2" s="230"/>
      <c r="ESR2" s="231"/>
      <c r="ESS2" s="229" t="s">
        <v>13328</v>
      </c>
      <c r="EST2" s="230"/>
      <c r="ESU2" s="230"/>
      <c r="ESV2" s="231"/>
      <c r="ESW2" s="229" t="s">
        <v>13328</v>
      </c>
      <c r="ESX2" s="230"/>
      <c r="ESY2" s="230"/>
      <c r="ESZ2" s="231"/>
      <c r="ETA2" s="229" t="s">
        <v>13328</v>
      </c>
      <c r="ETB2" s="230"/>
      <c r="ETC2" s="230"/>
      <c r="ETD2" s="231"/>
      <c r="ETE2" s="229" t="s">
        <v>13328</v>
      </c>
      <c r="ETF2" s="230"/>
      <c r="ETG2" s="230"/>
      <c r="ETH2" s="231"/>
      <c r="ETI2" s="229" t="s">
        <v>13328</v>
      </c>
      <c r="ETJ2" s="230"/>
      <c r="ETK2" s="230"/>
      <c r="ETL2" s="231"/>
      <c r="ETM2" s="229" t="s">
        <v>13328</v>
      </c>
      <c r="ETN2" s="230"/>
      <c r="ETO2" s="230"/>
      <c r="ETP2" s="231"/>
      <c r="ETQ2" s="229" t="s">
        <v>13328</v>
      </c>
      <c r="ETR2" s="230"/>
      <c r="ETS2" s="230"/>
      <c r="ETT2" s="231"/>
      <c r="ETU2" s="229" t="s">
        <v>13328</v>
      </c>
      <c r="ETV2" s="230"/>
      <c r="ETW2" s="230"/>
      <c r="ETX2" s="231"/>
      <c r="ETY2" s="229" t="s">
        <v>13328</v>
      </c>
      <c r="ETZ2" s="230"/>
      <c r="EUA2" s="230"/>
      <c r="EUB2" s="231"/>
      <c r="EUC2" s="229" t="s">
        <v>13328</v>
      </c>
      <c r="EUD2" s="230"/>
      <c r="EUE2" s="230"/>
      <c r="EUF2" s="231"/>
      <c r="EUG2" s="229" t="s">
        <v>13328</v>
      </c>
      <c r="EUH2" s="230"/>
      <c r="EUI2" s="230"/>
      <c r="EUJ2" s="231"/>
      <c r="EUK2" s="229" t="s">
        <v>13328</v>
      </c>
      <c r="EUL2" s="230"/>
      <c r="EUM2" s="230"/>
      <c r="EUN2" s="231"/>
      <c r="EUO2" s="229" t="s">
        <v>13328</v>
      </c>
      <c r="EUP2" s="230"/>
      <c r="EUQ2" s="230"/>
      <c r="EUR2" s="231"/>
      <c r="EUS2" s="229" t="s">
        <v>13328</v>
      </c>
      <c r="EUT2" s="230"/>
      <c r="EUU2" s="230"/>
      <c r="EUV2" s="231"/>
      <c r="EUW2" s="229" t="s">
        <v>13328</v>
      </c>
      <c r="EUX2" s="230"/>
      <c r="EUY2" s="230"/>
      <c r="EUZ2" s="231"/>
      <c r="EVA2" s="229" t="s">
        <v>13328</v>
      </c>
      <c r="EVB2" s="230"/>
      <c r="EVC2" s="230"/>
      <c r="EVD2" s="231"/>
      <c r="EVE2" s="229" t="s">
        <v>13328</v>
      </c>
      <c r="EVF2" s="230"/>
      <c r="EVG2" s="230"/>
      <c r="EVH2" s="231"/>
      <c r="EVI2" s="229" t="s">
        <v>13328</v>
      </c>
      <c r="EVJ2" s="230"/>
      <c r="EVK2" s="230"/>
      <c r="EVL2" s="231"/>
      <c r="EVM2" s="229" t="s">
        <v>13328</v>
      </c>
      <c r="EVN2" s="230"/>
      <c r="EVO2" s="230"/>
      <c r="EVP2" s="231"/>
      <c r="EVQ2" s="229" t="s">
        <v>13328</v>
      </c>
      <c r="EVR2" s="230"/>
      <c r="EVS2" s="230"/>
      <c r="EVT2" s="231"/>
      <c r="EVU2" s="229" t="s">
        <v>13328</v>
      </c>
      <c r="EVV2" s="230"/>
      <c r="EVW2" s="230"/>
      <c r="EVX2" s="231"/>
      <c r="EVY2" s="229" t="s">
        <v>13328</v>
      </c>
      <c r="EVZ2" s="230"/>
      <c r="EWA2" s="230"/>
      <c r="EWB2" s="231"/>
      <c r="EWC2" s="229" t="s">
        <v>13328</v>
      </c>
      <c r="EWD2" s="230"/>
      <c r="EWE2" s="230"/>
      <c r="EWF2" s="231"/>
      <c r="EWG2" s="229" t="s">
        <v>13328</v>
      </c>
      <c r="EWH2" s="230"/>
      <c r="EWI2" s="230"/>
      <c r="EWJ2" s="231"/>
      <c r="EWK2" s="229" t="s">
        <v>13328</v>
      </c>
      <c r="EWL2" s="230"/>
      <c r="EWM2" s="230"/>
      <c r="EWN2" s="231"/>
      <c r="EWO2" s="229" t="s">
        <v>13328</v>
      </c>
      <c r="EWP2" s="230"/>
      <c r="EWQ2" s="230"/>
      <c r="EWR2" s="231"/>
      <c r="EWS2" s="229" t="s">
        <v>13328</v>
      </c>
      <c r="EWT2" s="230"/>
      <c r="EWU2" s="230"/>
      <c r="EWV2" s="231"/>
      <c r="EWW2" s="229" t="s">
        <v>13328</v>
      </c>
      <c r="EWX2" s="230"/>
      <c r="EWY2" s="230"/>
      <c r="EWZ2" s="231"/>
      <c r="EXA2" s="229" t="s">
        <v>13328</v>
      </c>
      <c r="EXB2" s="230"/>
      <c r="EXC2" s="230"/>
      <c r="EXD2" s="231"/>
      <c r="EXE2" s="229" t="s">
        <v>13328</v>
      </c>
      <c r="EXF2" s="230"/>
      <c r="EXG2" s="230"/>
      <c r="EXH2" s="231"/>
      <c r="EXI2" s="229" t="s">
        <v>13328</v>
      </c>
      <c r="EXJ2" s="230"/>
      <c r="EXK2" s="230"/>
      <c r="EXL2" s="231"/>
      <c r="EXM2" s="229" t="s">
        <v>13328</v>
      </c>
      <c r="EXN2" s="230"/>
      <c r="EXO2" s="230"/>
      <c r="EXP2" s="231"/>
      <c r="EXQ2" s="229" t="s">
        <v>13328</v>
      </c>
      <c r="EXR2" s="230"/>
      <c r="EXS2" s="230"/>
      <c r="EXT2" s="231"/>
      <c r="EXU2" s="229" t="s">
        <v>13328</v>
      </c>
      <c r="EXV2" s="230"/>
      <c r="EXW2" s="230"/>
      <c r="EXX2" s="231"/>
      <c r="EXY2" s="229" t="s">
        <v>13328</v>
      </c>
      <c r="EXZ2" s="230"/>
      <c r="EYA2" s="230"/>
      <c r="EYB2" s="231"/>
      <c r="EYC2" s="229" t="s">
        <v>13328</v>
      </c>
      <c r="EYD2" s="230"/>
      <c r="EYE2" s="230"/>
      <c r="EYF2" s="231"/>
      <c r="EYG2" s="229" t="s">
        <v>13328</v>
      </c>
      <c r="EYH2" s="230"/>
      <c r="EYI2" s="230"/>
      <c r="EYJ2" s="231"/>
      <c r="EYK2" s="229" t="s">
        <v>13328</v>
      </c>
      <c r="EYL2" s="230"/>
      <c r="EYM2" s="230"/>
      <c r="EYN2" s="231"/>
      <c r="EYO2" s="229" t="s">
        <v>13328</v>
      </c>
      <c r="EYP2" s="230"/>
      <c r="EYQ2" s="230"/>
      <c r="EYR2" s="231"/>
      <c r="EYS2" s="229" t="s">
        <v>13328</v>
      </c>
      <c r="EYT2" s="230"/>
      <c r="EYU2" s="230"/>
      <c r="EYV2" s="231"/>
      <c r="EYW2" s="229" t="s">
        <v>13328</v>
      </c>
      <c r="EYX2" s="230"/>
      <c r="EYY2" s="230"/>
      <c r="EYZ2" s="231"/>
      <c r="EZA2" s="229" t="s">
        <v>13328</v>
      </c>
      <c r="EZB2" s="230"/>
      <c r="EZC2" s="230"/>
      <c r="EZD2" s="231"/>
      <c r="EZE2" s="229" t="s">
        <v>13328</v>
      </c>
      <c r="EZF2" s="230"/>
      <c r="EZG2" s="230"/>
      <c r="EZH2" s="231"/>
      <c r="EZI2" s="229" t="s">
        <v>13328</v>
      </c>
      <c r="EZJ2" s="230"/>
      <c r="EZK2" s="230"/>
      <c r="EZL2" s="231"/>
      <c r="EZM2" s="229" t="s">
        <v>13328</v>
      </c>
      <c r="EZN2" s="230"/>
      <c r="EZO2" s="230"/>
      <c r="EZP2" s="231"/>
      <c r="EZQ2" s="229" t="s">
        <v>13328</v>
      </c>
      <c r="EZR2" s="230"/>
      <c r="EZS2" s="230"/>
      <c r="EZT2" s="231"/>
      <c r="EZU2" s="229" t="s">
        <v>13328</v>
      </c>
      <c r="EZV2" s="230"/>
      <c r="EZW2" s="230"/>
      <c r="EZX2" s="231"/>
      <c r="EZY2" s="229" t="s">
        <v>13328</v>
      </c>
      <c r="EZZ2" s="230"/>
      <c r="FAA2" s="230"/>
      <c r="FAB2" s="231"/>
      <c r="FAC2" s="229" t="s">
        <v>13328</v>
      </c>
      <c r="FAD2" s="230"/>
      <c r="FAE2" s="230"/>
      <c r="FAF2" s="231"/>
      <c r="FAG2" s="229" t="s">
        <v>13328</v>
      </c>
      <c r="FAH2" s="230"/>
      <c r="FAI2" s="230"/>
      <c r="FAJ2" s="231"/>
      <c r="FAK2" s="229" t="s">
        <v>13328</v>
      </c>
      <c r="FAL2" s="230"/>
      <c r="FAM2" s="230"/>
      <c r="FAN2" s="231"/>
      <c r="FAO2" s="229" t="s">
        <v>13328</v>
      </c>
      <c r="FAP2" s="230"/>
      <c r="FAQ2" s="230"/>
      <c r="FAR2" s="231"/>
      <c r="FAS2" s="229" t="s">
        <v>13328</v>
      </c>
      <c r="FAT2" s="230"/>
      <c r="FAU2" s="230"/>
      <c r="FAV2" s="231"/>
      <c r="FAW2" s="229" t="s">
        <v>13328</v>
      </c>
      <c r="FAX2" s="230"/>
      <c r="FAY2" s="230"/>
      <c r="FAZ2" s="231"/>
      <c r="FBA2" s="229" t="s">
        <v>13328</v>
      </c>
      <c r="FBB2" s="230"/>
      <c r="FBC2" s="230"/>
      <c r="FBD2" s="231"/>
      <c r="FBE2" s="229" t="s">
        <v>13328</v>
      </c>
      <c r="FBF2" s="230"/>
      <c r="FBG2" s="230"/>
      <c r="FBH2" s="231"/>
      <c r="FBI2" s="229" t="s">
        <v>13328</v>
      </c>
      <c r="FBJ2" s="230"/>
      <c r="FBK2" s="230"/>
      <c r="FBL2" s="231"/>
      <c r="FBM2" s="229" t="s">
        <v>13328</v>
      </c>
      <c r="FBN2" s="230"/>
      <c r="FBO2" s="230"/>
      <c r="FBP2" s="231"/>
      <c r="FBQ2" s="229" t="s">
        <v>13328</v>
      </c>
      <c r="FBR2" s="230"/>
      <c r="FBS2" s="230"/>
      <c r="FBT2" s="231"/>
      <c r="FBU2" s="229" t="s">
        <v>13328</v>
      </c>
      <c r="FBV2" s="230"/>
      <c r="FBW2" s="230"/>
      <c r="FBX2" s="231"/>
      <c r="FBY2" s="229" t="s">
        <v>13328</v>
      </c>
      <c r="FBZ2" s="230"/>
      <c r="FCA2" s="230"/>
      <c r="FCB2" s="231"/>
      <c r="FCC2" s="229" t="s">
        <v>13328</v>
      </c>
      <c r="FCD2" s="230"/>
      <c r="FCE2" s="230"/>
      <c r="FCF2" s="231"/>
      <c r="FCG2" s="229" t="s">
        <v>13328</v>
      </c>
      <c r="FCH2" s="230"/>
      <c r="FCI2" s="230"/>
      <c r="FCJ2" s="231"/>
      <c r="FCK2" s="229" t="s">
        <v>13328</v>
      </c>
      <c r="FCL2" s="230"/>
      <c r="FCM2" s="230"/>
      <c r="FCN2" s="231"/>
      <c r="FCO2" s="229" t="s">
        <v>13328</v>
      </c>
      <c r="FCP2" s="230"/>
      <c r="FCQ2" s="230"/>
      <c r="FCR2" s="231"/>
      <c r="FCS2" s="229" t="s">
        <v>13328</v>
      </c>
      <c r="FCT2" s="230"/>
      <c r="FCU2" s="230"/>
      <c r="FCV2" s="231"/>
      <c r="FCW2" s="229" t="s">
        <v>13328</v>
      </c>
      <c r="FCX2" s="230"/>
      <c r="FCY2" s="230"/>
      <c r="FCZ2" s="231"/>
      <c r="FDA2" s="229" t="s">
        <v>13328</v>
      </c>
      <c r="FDB2" s="230"/>
      <c r="FDC2" s="230"/>
      <c r="FDD2" s="231"/>
      <c r="FDE2" s="229" t="s">
        <v>13328</v>
      </c>
      <c r="FDF2" s="230"/>
      <c r="FDG2" s="230"/>
      <c r="FDH2" s="231"/>
      <c r="FDI2" s="229" t="s">
        <v>13328</v>
      </c>
      <c r="FDJ2" s="230"/>
      <c r="FDK2" s="230"/>
      <c r="FDL2" s="231"/>
      <c r="FDM2" s="229" t="s">
        <v>13328</v>
      </c>
      <c r="FDN2" s="230"/>
      <c r="FDO2" s="230"/>
      <c r="FDP2" s="231"/>
      <c r="FDQ2" s="229" t="s">
        <v>13328</v>
      </c>
      <c r="FDR2" s="230"/>
      <c r="FDS2" s="230"/>
      <c r="FDT2" s="231"/>
      <c r="FDU2" s="229" t="s">
        <v>13328</v>
      </c>
      <c r="FDV2" s="230"/>
      <c r="FDW2" s="230"/>
      <c r="FDX2" s="231"/>
      <c r="FDY2" s="229" t="s">
        <v>13328</v>
      </c>
      <c r="FDZ2" s="230"/>
      <c r="FEA2" s="230"/>
      <c r="FEB2" s="231"/>
      <c r="FEC2" s="229" t="s">
        <v>13328</v>
      </c>
      <c r="FED2" s="230"/>
      <c r="FEE2" s="230"/>
      <c r="FEF2" s="231"/>
      <c r="FEG2" s="229" t="s">
        <v>13328</v>
      </c>
      <c r="FEH2" s="230"/>
      <c r="FEI2" s="230"/>
      <c r="FEJ2" s="231"/>
      <c r="FEK2" s="229" t="s">
        <v>13328</v>
      </c>
      <c r="FEL2" s="230"/>
      <c r="FEM2" s="230"/>
      <c r="FEN2" s="231"/>
      <c r="FEO2" s="229" t="s">
        <v>13328</v>
      </c>
      <c r="FEP2" s="230"/>
      <c r="FEQ2" s="230"/>
      <c r="FER2" s="231"/>
      <c r="FES2" s="229" t="s">
        <v>13328</v>
      </c>
      <c r="FET2" s="230"/>
      <c r="FEU2" s="230"/>
      <c r="FEV2" s="231"/>
      <c r="FEW2" s="229" t="s">
        <v>13328</v>
      </c>
      <c r="FEX2" s="230"/>
      <c r="FEY2" s="230"/>
      <c r="FEZ2" s="231"/>
      <c r="FFA2" s="229" t="s">
        <v>13328</v>
      </c>
      <c r="FFB2" s="230"/>
      <c r="FFC2" s="230"/>
      <c r="FFD2" s="231"/>
      <c r="FFE2" s="229" t="s">
        <v>13328</v>
      </c>
      <c r="FFF2" s="230"/>
      <c r="FFG2" s="230"/>
      <c r="FFH2" s="231"/>
      <c r="FFI2" s="229" t="s">
        <v>13328</v>
      </c>
      <c r="FFJ2" s="230"/>
      <c r="FFK2" s="230"/>
      <c r="FFL2" s="231"/>
      <c r="FFM2" s="229" t="s">
        <v>13328</v>
      </c>
      <c r="FFN2" s="230"/>
      <c r="FFO2" s="230"/>
      <c r="FFP2" s="231"/>
      <c r="FFQ2" s="229" t="s">
        <v>13328</v>
      </c>
      <c r="FFR2" s="230"/>
      <c r="FFS2" s="230"/>
      <c r="FFT2" s="231"/>
      <c r="FFU2" s="229" t="s">
        <v>13328</v>
      </c>
      <c r="FFV2" s="230"/>
      <c r="FFW2" s="230"/>
      <c r="FFX2" s="231"/>
      <c r="FFY2" s="229" t="s">
        <v>13328</v>
      </c>
      <c r="FFZ2" s="230"/>
      <c r="FGA2" s="230"/>
      <c r="FGB2" s="231"/>
      <c r="FGC2" s="229" t="s">
        <v>13328</v>
      </c>
      <c r="FGD2" s="230"/>
      <c r="FGE2" s="230"/>
      <c r="FGF2" s="231"/>
      <c r="FGG2" s="229" t="s">
        <v>13328</v>
      </c>
      <c r="FGH2" s="230"/>
      <c r="FGI2" s="230"/>
      <c r="FGJ2" s="231"/>
      <c r="FGK2" s="229" t="s">
        <v>13328</v>
      </c>
      <c r="FGL2" s="230"/>
      <c r="FGM2" s="230"/>
      <c r="FGN2" s="231"/>
      <c r="FGO2" s="229" t="s">
        <v>13328</v>
      </c>
      <c r="FGP2" s="230"/>
      <c r="FGQ2" s="230"/>
      <c r="FGR2" s="231"/>
      <c r="FGS2" s="229" t="s">
        <v>13328</v>
      </c>
      <c r="FGT2" s="230"/>
      <c r="FGU2" s="230"/>
      <c r="FGV2" s="231"/>
      <c r="FGW2" s="229" t="s">
        <v>13328</v>
      </c>
      <c r="FGX2" s="230"/>
      <c r="FGY2" s="230"/>
      <c r="FGZ2" s="231"/>
      <c r="FHA2" s="229" t="s">
        <v>13328</v>
      </c>
      <c r="FHB2" s="230"/>
      <c r="FHC2" s="230"/>
      <c r="FHD2" s="231"/>
      <c r="FHE2" s="229" t="s">
        <v>13328</v>
      </c>
      <c r="FHF2" s="230"/>
      <c r="FHG2" s="230"/>
      <c r="FHH2" s="231"/>
      <c r="FHI2" s="229" t="s">
        <v>13328</v>
      </c>
      <c r="FHJ2" s="230"/>
      <c r="FHK2" s="230"/>
      <c r="FHL2" s="231"/>
      <c r="FHM2" s="229" t="s">
        <v>13328</v>
      </c>
      <c r="FHN2" s="230"/>
      <c r="FHO2" s="230"/>
      <c r="FHP2" s="231"/>
      <c r="FHQ2" s="229" t="s">
        <v>13328</v>
      </c>
      <c r="FHR2" s="230"/>
      <c r="FHS2" s="230"/>
      <c r="FHT2" s="231"/>
      <c r="FHU2" s="229" t="s">
        <v>13328</v>
      </c>
      <c r="FHV2" s="230"/>
      <c r="FHW2" s="230"/>
      <c r="FHX2" s="231"/>
      <c r="FHY2" s="229" t="s">
        <v>13328</v>
      </c>
      <c r="FHZ2" s="230"/>
      <c r="FIA2" s="230"/>
      <c r="FIB2" s="231"/>
      <c r="FIC2" s="229" t="s">
        <v>13328</v>
      </c>
      <c r="FID2" s="230"/>
      <c r="FIE2" s="230"/>
      <c r="FIF2" s="231"/>
      <c r="FIG2" s="229" t="s">
        <v>13328</v>
      </c>
      <c r="FIH2" s="230"/>
      <c r="FII2" s="230"/>
      <c r="FIJ2" s="231"/>
      <c r="FIK2" s="229" t="s">
        <v>13328</v>
      </c>
      <c r="FIL2" s="230"/>
      <c r="FIM2" s="230"/>
      <c r="FIN2" s="231"/>
      <c r="FIO2" s="229" t="s">
        <v>13328</v>
      </c>
      <c r="FIP2" s="230"/>
      <c r="FIQ2" s="230"/>
      <c r="FIR2" s="231"/>
      <c r="FIS2" s="229" t="s">
        <v>13328</v>
      </c>
      <c r="FIT2" s="230"/>
      <c r="FIU2" s="230"/>
      <c r="FIV2" s="231"/>
      <c r="FIW2" s="229" t="s">
        <v>13328</v>
      </c>
      <c r="FIX2" s="230"/>
      <c r="FIY2" s="230"/>
      <c r="FIZ2" s="231"/>
      <c r="FJA2" s="229" t="s">
        <v>13328</v>
      </c>
      <c r="FJB2" s="230"/>
      <c r="FJC2" s="230"/>
      <c r="FJD2" s="231"/>
      <c r="FJE2" s="229" t="s">
        <v>13328</v>
      </c>
      <c r="FJF2" s="230"/>
      <c r="FJG2" s="230"/>
      <c r="FJH2" s="231"/>
      <c r="FJI2" s="229" t="s">
        <v>13328</v>
      </c>
      <c r="FJJ2" s="230"/>
      <c r="FJK2" s="230"/>
      <c r="FJL2" s="231"/>
      <c r="FJM2" s="229" t="s">
        <v>13328</v>
      </c>
      <c r="FJN2" s="230"/>
      <c r="FJO2" s="230"/>
      <c r="FJP2" s="231"/>
      <c r="FJQ2" s="229" t="s">
        <v>13328</v>
      </c>
      <c r="FJR2" s="230"/>
      <c r="FJS2" s="230"/>
      <c r="FJT2" s="231"/>
      <c r="FJU2" s="229" t="s">
        <v>13328</v>
      </c>
      <c r="FJV2" s="230"/>
      <c r="FJW2" s="230"/>
      <c r="FJX2" s="231"/>
      <c r="FJY2" s="229" t="s">
        <v>13328</v>
      </c>
      <c r="FJZ2" s="230"/>
      <c r="FKA2" s="230"/>
      <c r="FKB2" s="231"/>
      <c r="FKC2" s="229" t="s">
        <v>13328</v>
      </c>
      <c r="FKD2" s="230"/>
      <c r="FKE2" s="230"/>
      <c r="FKF2" s="231"/>
      <c r="FKG2" s="229" t="s">
        <v>13328</v>
      </c>
      <c r="FKH2" s="230"/>
      <c r="FKI2" s="230"/>
      <c r="FKJ2" s="231"/>
      <c r="FKK2" s="229" t="s">
        <v>13328</v>
      </c>
      <c r="FKL2" s="230"/>
      <c r="FKM2" s="230"/>
      <c r="FKN2" s="231"/>
      <c r="FKO2" s="229" t="s">
        <v>13328</v>
      </c>
      <c r="FKP2" s="230"/>
      <c r="FKQ2" s="230"/>
      <c r="FKR2" s="231"/>
      <c r="FKS2" s="229" t="s">
        <v>13328</v>
      </c>
      <c r="FKT2" s="230"/>
      <c r="FKU2" s="230"/>
      <c r="FKV2" s="231"/>
      <c r="FKW2" s="229" t="s">
        <v>13328</v>
      </c>
      <c r="FKX2" s="230"/>
      <c r="FKY2" s="230"/>
      <c r="FKZ2" s="231"/>
      <c r="FLA2" s="229" t="s">
        <v>13328</v>
      </c>
      <c r="FLB2" s="230"/>
      <c r="FLC2" s="230"/>
      <c r="FLD2" s="231"/>
      <c r="FLE2" s="229" t="s">
        <v>13328</v>
      </c>
      <c r="FLF2" s="230"/>
      <c r="FLG2" s="230"/>
      <c r="FLH2" s="231"/>
      <c r="FLI2" s="229" t="s">
        <v>13328</v>
      </c>
      <c r="FLJ2" s="230"/>
      <c r="FLK2" s="230"/>
      <c r="FLL2" s="231"/>
      <c r="FLM2" s="229" t="s">
        <v>13328</v>
      </c>
      <c r="FLN2" s="230"/>
      <c r="FLO2" s="230"/>
      <c r="FLP2" s="231"/>
      <c r="FLQ2" s="229" t="s">
        <v>13328</v>
      </c>
      <c r="FLR2" s="230"/>
      <c r="FLS2" s="230"/>
      <c r="FLT2" s="231"/>
      <c r="FLU2" s="229" t="s">
        <v>13328</v>
      </c>
      <c r="FLV2" s="230"/>
      <c r="FLW2" s="230"/>
      <c r="FLX2" s="231"/>
      <c r="FLY2" s="229" t="s">
        <v>13328</v>
      </c>
      <c r="FLZ2" s="230"/>
      <c r="FMA2" s="230"/>
      <c r="FMB2" s="231"/>
      <c r="FMC2" s="229" t="s">
        <v>13328</v>
      </c>
      <c r="FMD2" s="230"/>
      <c r="FME2" s="230"/>
      <c r="FMF2" s="231"/>
      <c r="FMG2" s="229" t="s">
        <v>13328</v>
      </c>
      <c r="FMH2" s="230"/>
      <c r="FMI2" s="230"/>
      <c r="FMJ2" s="231"/>
      <c r="FMK2" s="229" t="s">
        <v>13328</v>
      </c>
      <c r="FML2" s="230"/>
      <c r="FMM2" s="230"/>
      <c r="FMN2" s="231"/>
      <c r="FMO2" s="229" t="s">
        <v>13328</v>
      </c>
      <c r="FMP2" s="230"/>
      <c r="FMQ2" s="230"/>
      <c r="FMR2" s="231"/>
      <c r="FMS2" s="229" t="s">
        <v>13328</v>
      </c>
      <c r="FMT2" s="230"/>
      <c r="FMU2" s="230"/>
      <c r="FMV2" s="231"/>
      <c r="FMW2" s="229" t="s">
        <v>13328</v>
      </c>
      <c r="FMX2" s="230"/>
      <c r="FMY2" s="230"/>
      <c r="FMZ2" s="231"/>
      <c r="FNA2" s="229" t="s">
        <v>13328</v>
      </c>
      <c r="FNB2" s="230"/>
      <c r="FNC2" s="230"/>
      <c r="FND2" s="231"/>
      <c r="FNE2" s="229" t="s">
        <v>13328</v>
      </c>
      <c r="FNF2" s="230"/>
      <c r="FNG2" s="230"/>
      <c r="FNH2" s="231"/>
      <c r="FNI2" s="229" t="s">
        <v>13328</v>
      </c>
      <c r="FNJ2" s="230"/>
      <c r="FNK2" s="230"/>
      <c r="FNL2" s="231"/>
      <c r="FNM2" s="229" t="s">
        <v>13328</v>
      </c>
      <c r="FNN2" s="230"/>
      <c r="FNO2" s="230"/>
      <c r="FNP2" s="231"/>
      <c r="FNQ2" s="229" t="s">
        <v>13328</v>
      </c>
      <c r="FNR2" s="230"/>
      <c r="FNS2" s="230"/>
      <c r="FNT2" s="231"/>
      <c r="FNU2" s="229" t="s">
        <v>13328</v>
      </c>
      <c r="FNV2" s="230"/>
      <c r="FNW2" s="230"/>
      <c r="FNX2" s="231"/>
      <c r="FNY2" s="229" t="s">
        <v>13328</v>
      </c>
      <c r="FNZ2" s="230"/>
      <c r="FOA2" s="230"/>
      <c r="FOB2" s="231"/>
      <c r="FOC2" s="229" t="s">
        <v>13328</v>
      </c>
      <c r="FOD2" s="230"/>
      <c r="FOE2" s="230"/>
      <c r="FOF2" s="231"/>
      <c r="FOG2" s="229" t="s">
        <v>13328</v>
      </c>
      <c r="FOH2" s="230"/>
      <c r="FOI2" s="230"/>
      <c r="FOJ2" s="231"/>
      <c r="FOK2" s="229" t="s">
        <v>13328</v>
      </c>
      <c r="FOL2" s="230"/>
      <c r="FOM2" s="230"/>
      <c r="FON2" s="231"/>
      <c r="FOO2" s="229" t="s">
        <v>13328</v>
      </c>
      <c r="FOP2" s="230"/>
      <c r="FOQ2" s="230"/>
      <c r="FOR2" s="231"/>
      <c r="FOS2" s="229" t="s">
        <v>13328</v>
      </c>
      <c r="FOT2" s="230"/>
      <c r="FOU2" s="230"/>
      <c r="FOV2" s="231"/>
      <c r="FOW2" s="229" t="s">
        <v>13328</v>
      </c>
      <c r="FOX2" s="230"/>
      <c r="FOY2" s="230"/>
      <c r="FOZ2" s="231"/>
      <c r="FPA2" s="229" t="s">
        <v>13328</v>
      </c>
      <c r="FPB2" s="230"/>
      <c r="FPC2" s="230"/>
      <c r="FPD2" s="231"/>
      <c r="FPE2" s="229" t="s">
        <v>13328</v>
      </c>
      <c r="FPF2" s="230"/>
      <c r="FPG2" s="230"/>
      <c r="FPH2" s="231"/>
      <c r="FPI2" s="229" t="s">
        <v>13328</v>
      </c>
      <c r="FPJ2" s="230"/>
      <c r="FPK2" s="230"/>
      <c r="FPL2" s="231"/>
      <c r="FPM2" s="229" t="s">
        <v>13328</v>
      </c>
      <c r="FPN2" s="230"/>
      <c r="FPO2" s="230"/>
      <c r="FPP2" s="231"/>
      <c r="FPQ2" s="229" t="s">
        <v>13328</v>
      </c>
      <c r="FPR2" s="230"/>
      <c r="FPS2" s="230"/>
      <c r="FPT2" s="231"/>
      <c r="FPU2" s="229" t="s">
        <v>13328</v>
      </c>
      <c r="FPV2" s="230"/>
      <c r="FPW2" s="230"/>
      <c r="FPX2" s="231"/>
      <c r="FPY2" s="229" t="s">
        <v>13328</v>
      </c>
      <c r="FPZ2" s="230"/>
      <c r="FQA2" s="230"/>
      <c r="FQB2" s="231"/>
      <c r="FQC2" s="229" t="s">
        <v>13328</v>
      </c>
      <c r="FQD2" s="230"/>
      <c r="FQE2" s="230"/>
      <c r="FQF2" s="231"/>
      <c r="FQG2" s="229" t="s">
        <v>13328</v>
      </c>
      <c r="FQH2" s="230"/>
      <c r="FQI2" s="230"/>
      <c r="FQJ2" s="231"/>
      <c r="FQK2" s="229" t="s">
        <v>13328</v>
      </c>
      <c r="FQL2" s="230"/>
      <c r="FQM2" s="230"/>
      <c r="FQN2" s="231"/>
      <c r="FQO2" s="229" t="s">
        <v>13328</v>
      </c>
      <c r="FQP2" s="230"/>
      <c r="FQQ2" s="230"/>
      <c r="FQR2" s="231"/>
      <c r="FQS2" s="229" t="s">
        <v>13328</v>
      </c>
      <c r="FQT2" s="230"/>
      <c r="FQU2" s="230"/>
      <c r="FQV2" s="231"/>
      <c r="FQW2" s="229" t="s">
        <v>13328</v>
      </c>
      <c r="FQX2" s="230"/>
      <c r="FQY2" s="230"/>
      <c r="FQZ2" s="231"/>
      <c r="FRA2" s="229" t="s">
        <v>13328</v>
      </c>
      <c r="FRB2" s="230"/>
      <c r="FRC2" s="230"/>
      <c r="FRD2" s="231"/>
      <c r="FRE2" s="229" t="s">
        <v>13328</v>
      </c>
      <c r="FRF2" s="230"/>
      <c r="FRG2" s="230"/>
      <c r="FRH2" s="231"/>
      <c r="FRI2" s="229" t="s">
        <v>13328</v>
      </c>
      <c r="FRJ2" s="230"/>
      <c r="FRK2" s="230"/>
      <c r="FRL2" s="231"/>
      <c r="FRM2" s="229" t="s">
        <v>13328</v>
      </c>
      <c r="FRN2" s="230"/>
      <c r="FRO2" s="230"/>
      <c r="FRP2" s="231"/>
      <c r="FRQ2" s="229" t="s">
        <v>13328</v>
      </c>
      <c r="FRR2" s="230"/>
      <c r="FRS2" s="230"/>
      <c r="FRT2" s="231"/>
      <c r="FRU2" s="229" t="s">
        <v>13328</v>
      </c>
      <c r="FRV2" s="230"/>
      <c r="FRW2" s="230"/>
      <c r="FRX2" s="231"/>
      <c r="FRY2" s="229" t="s">
        <v>13328</v>
      </c>
      <c r="FRZ2" s="230"/>
      <c r="FSA2" s="230"/>
      <c r="FSB2" s="231"/>
      <c r="FSC2" s="229" t="s">
        <v>13328</v>
      </c>
      <c r="FSD2" s="230"/>
      <c r="FSE2" s="230"/>
      <c r="FSF2" s="231"/>
      <c r="FSG2" s="229" t="s">
        <v>13328</v>
      </c>
      <c r="FSH2" s="230"/>
      <c r="FSI2" s="230"/>
      <c r="FSJ2" s="231"/>
      <c r="FSK2" s="229" t="s">
        <v>13328</v>
      </c>
      <c r="FSL2" s="230"/>
      <c r="FSM2" s="230"/>
      <c r="FSN2" s="231"/>
      <c r="FSO2" s="229" t="s">
        <v>13328</v>
      </c>
      <c r="FSP2" s="230"/>
      <c r="FSQ2" s="230"/>
      <c r="FSR2" s="231"/>
      <c r="FSS2" s="229" t="s">
        <v>13328</v>
      </c>
      <c r="FST2" s="230"/>
      <c r="FSU2" s="230"/>
      <c r="FSV2" s="231"/>
      <c r="FSW2" s="229" t="s">
        <v>13328</v>
      </c>
      <c r="FSX2" s="230"/>
      <c r="FSY2" s="230"/>
      <c r="FSZ2" s="231"/>
      <c r="FTA2" s="229" t="s">
        <v>13328</v>
      </c>
      <c r="FTB2" s="230"/>
      <c r="FTC2" s="230"/>
      <c r="FTD2" s="231"/>
      <c r="FTE2" s="229" t="s">
        <v>13328</v>
      </c>
      <c r="FTF2" s="230"/>
      <c r="FTG2" s="230"/>
      <c r="FTH2" s="231"/>
      <c r="FTI2" s="229" t="s">
        <v>13328</v>
      </c>
      <c r="FTJ2" s="230"/>
      <c r="FTK2" s="230"/>
      <c r="FTL2" s="231"/>
      <c r="FTM2" s="229" t="s">
        <v>13328</v>
      </c>
      <c r="FTN2" s="230"/>
      <c r="FTO2" s="230"/>
      <c r="FTP2" s="231"/>
      <c r="FTQ2" s="229" t="s">
        <v>13328</v>
      </c>
      <c r="FTR2" s="230"/>
      <c r="FTS2" s="230"/>
      <c r="FTT2" s="231"/>
      <c r="FTU2" s="229" t="s">
        <v>13328</v>
      </c>
      <c r="FTV2" s="230"/>
      <c r="FTW2" s="230"/>
      <c r="FTX2" s="231"/>
      <c r="FTY2" s="229" t="s">
        <v>13328</v>
      </c>
      <c r="FTZ2" s="230"/>
      <c r="FUA2" s="230"/>
      <c r="FUB2" s="231"/>
      <c r="FUC2" s="229" t="s">
        <v>13328</v>
      </c>
      <c r="FUD2" s="230"/>
      <c r="FUE2" s="230"/>
      <c r="FUF2" s="231"/>
      <c r="FUG2" s="229" t="s">
        <v>13328</v>
      </c>
      <c r="FUH2" s="230"/>
      <c r="FUI2" s="230"/>
      <c r="FUJ2" s="231"/>
      <c r="FUK2" s="229" t="s">
        <v>13328</v>
      </c>
      <c r="FUL2" s="230"/>
      <c r="FUM2" s="230"/>
      <c r="FUN2" s="231"/>
      <c r="FUO2" s="229" t="s">
        <v>13328</v>
      </c>
      <c r="FUP2" s="230"/>
      <c r="FUQ2" s="230"/>
      <c r="FUR2" s="231"/>
      <c r="FUS2" s="229" t="s">
        <v>13328</v>
      </c>
      <c r="FUT2" s="230"/>
      <c r="FUU2" s="230"/>
      <c r="FUV2" s="231"/>
      <c r="FUW2" s="229" t="s">
        <v>13328</v>
      </c>
      <c r="FUX2" s="230"/>
      <c r="FUY2" s="230"/>
      <c r="FUZ2" s="231"/>
      <c r="FVA2" s="229" t="s">
        <v>13328</v>
      </c>
      <c r="FVB2" s="230"/>
      <c r="FVC2" s="230"/>
      <c r="FVD2" s="231"/>
      <c r="FVE2" s="229" t="s">
        <v>13328</v>
      </c>
      <c r="FVF2" s="230"/>
      <c r="FVG2" s="230"/>
      <c r="FVH2" s="231"/>
      <c r="FVI2" s="229" t="s">
        <v>13328</v>
      </c>
      <c r="FVJ2" s="230"/>
      <c r="FVK2" s="230"/>
      <c r="FVL2" s="231"/>
      <c r="FVM2" s="229" t="s">
        <v>13328</v>
      </c>
      <c r="FVN2" s="230"/>
      <c r="FVO2" s="230"/>
      <c r="FVP2" s="231"/>
      <c r="FVQ2" s="229" t="s">
        <v>13328</v>
      </c>
      <c r="FVR2" s="230"/>
      <c r="FVS2" s="230"/>
      <c r="FVT2" s="231"/>
      <c r="FVU2" s="229" t="s">
        <v>13328</v>
      </c>
      <c r="FVV2" s="230"/>
      <c r="FVW2" s="230"/>
      <c r="FVX2" s="231"/>
      <c r="FVY2" s="229" t="s">
        <v>13328</v>
      </c>
      <c r="FVZ2" s="230"/>
      <c r="FWA2" s="230"/>
      <c r="FWB2" s="231"/>
      <c r="FWC2" s="229" t="s">
        <v>13328</v>
      </c>
      <c r="FWD2" s="230"/>
      <c r="FWE2" s="230"/>
      <c r="FWF2" s="231"/>
      <c r="FWG2" s="229" t="s">
        <v>13328</v>
      </c>
      <c r="FWH2" s="230"/>
      <c r="FWI2" s="230"/>
      <c r="FWJ2" s="231"/>
      <c r="FWK2" s="229" t="s">
        <v>13328</v>
      </c>
      <c r="FWL2" s="230"/>
      <c r="FWM2" s="230"/>
      <c r="FWN2" s="231"/>
      <c r="FWO2" s="229" t="s">
        <v>13328</v>
      </c>
      <c r="FWP2" s="230"/>
      <c r="FWQ2" s="230"/>
      <c r="FWR2" s="231"/>
      <c r="FWS2" s="229" t="s">
        <v>13328</v>
      </c>
      <c r="FWT2" s="230"/>
      <c r="FWU2" s="230"/>
      <c r="FWV2" s="231"/>
      <c r="FWW2" s="229" t="s">
        <v>13328</v>
      </c>
      <c r="FWX2" s="230"/>
      <c r="FWY2" s="230"/>
      <c r="FWZ2" s="231"/>
      <c r="FXA2" s="229" t="s">
        <v>13328</v>
      </c>
      <c r="FXB2" s="230"/>
      <c r="FXC2" s="230"/>
      <c r="FXD2" s="231"/>
      <c r="FXE2" s="229" t="s">
        <v>13328</v>
      </c>
      <c r="FXF2" s="230"/>
      <c r="FXG2" s="230"/>
      <c r="FXH2" s="231"/>
      <c r="FXI2" s="229" t="s">
        <v>13328</v>
      </c>
      <c r="FXJ2" s="230"/>
      <c r="FXK2" s="230"/>
      <c r="FXL2" s="231"/>
      <c r="FXM2" s="229" t="s">
        <v>13328</v>
      </c>
      <c r="FXN2" s="230"/>
      <c r="FXO2" s="230"/>
      <c r="FXP2" s="231"/>
      <c r="FXQ2" s="229" t="s">
        <v>13328</v>
      </c>
      <c r="FXR2" s="230"/>
      <c r="FXS2" s="230"/>
      <c r="FXT2" s="231"/>
      <c r="FXU2" s="229" t="s">
        <v>13328</v>
      </c>
      <c r="FXV2" s="230"/>
      <c r="FXW2" s="230"/>
      <c r="FXX2" s="231"/>
      <c r="FXY2" s="229" t="s">
        <v>13328</v>
      </c>
      <c r="FXZ2" s="230"/>
      <c r="FYA2" s="230"/>
      <c r="FYB2" s="231"/>
      <c r="FYC2" s="229" t="s">
        <v>13328</v>
      </c>
      <c r="FYD2" s="230"/>
      <c r="FYE2" s="230"/>
      <c r="FYF2" s="231"/>
      <c r="FYG2" s="229" t="s">
        <v>13328</v>
      </c>
      <c r="FYH2" s="230"/>
      <c r="FYI2" s="230"/>
      <c r="FYJ2" s="231"/>
      <c r="FYK2" s="229" t="s">
        <v>13328</v>
      </c>
      <c r="FYL2" s="230"/>
      <c r="FYM2" s="230"/>
      <c r="FYN2" s="231"/>
      <c r="FYO2" s="229" t="s">
        <v>13328</v>
      </c>
      <c r="FYP2" s="230"/>
      <c r="FYQ2" s="230"/>
      <c r="FYR2" s="231"/>
      <c r="FYS2" s="229" t="s">
        <v>13328</v>
      </c>
      <c r="FYT2" s="230"/>
      <c r="FYU2" s="230"/>
      <c r="FYV2" s="231"/>
      <c r="FYW2" s="229" t="s">
        <v>13328</v>
      </c>
      <c r="FYX2" s="230"/>
      <c r="FYY2" s="230"/>
      <c r="FYZ2" s="231"/>
      <c r="FZA2" s="229" t="s">
        <v>13328</v>
      </c>
      <c r="FZB2" s="230"/>
      <c r="FZC2" s="230"/>
      <c r="FZD2" s="231"/>
      <c r="FZE2" s="229" t="s">
        <v>13328</v>
      </c>
      <c r="FZF2" s="230"/>
      <c r="FZG2" s="230"/>
      <c r="FZH2" s="231"/>
      <c r="FZI2" s="229" t="s">
        <v>13328</v>
      </c>
      <c r="FZJ2" s="230"/>
      <c r="FZK2" s="230"/>
      <c r="FZL2" s="231"/>
      <c r="FZM2" s="229" t="s">
        <v>13328</v>
      </c>
      <c r="FZN2" s="230"/>
      <c r="FZO2" s="230"/>
      <c r="FZP2" s="231"/>
      <c r="FZQ2" s="229" t="s">
        <v>13328</v>
      </c>
      <c r="FZR2" s="230"/>
      <c r="FZS2" s="230"/>
      <c r="FZT2" s="231"/>
      <c r="FZU2" s="229" t="s">
        <v>13328</v>
      </c>
      <c r="FZV2" s="230"/>
      <c r="FZW2" s="230"/>
      <c r="FZX2" s="231"/>
      <c r="FZY2" s="229" t="s">
        <v>13328</v>
      </c>
      <c r="FZZ2" s="230"/>
      <c r="GAA2" s="230"/>
      <c r="GAB2" s="231"/>
      <c r="GAC2" s="229" t="s">
        <v>13328</v>
      </c>
      <c r="GAD2" s="230"/>
      <c r="GAE2" s="230"/>
      <c r="GAF2" s="231"/>
      <c r="GAG2" s="229" t="s">
        <v>13328</v>
      </c>
      <c r="GAH2" s="230"/>
      <c r="GAI2" s="230"/>
      <c r="GAJ2" s="231"/>
      <c r="GAK2" s="229" t="s">
        <v>13328</v>
      </c>
      <c r="GAL2" s="230"/>
      <c r="GAM2" s="230"/>
      <c r="GAN2" s="231"/>
      <c r="GAO2" s="229" t="s">
        <v>13328</v>
      </c>
      <c r="GAP2" s="230"/>
      <c r="GAQ2" s="230"/>
      <c r="GAR2" s="231"/>
      <c r="GAS2" s="229" t="s">
        <v>13328</v>
      </c>
      <c r="GAT2" s="230"/>
      <c r="GAU2" s="230"/>
      <c r="GAV2" s="231"/>
      <c r="GAW2" s="229" t="s">
        <v>13328</v>
      </c>
      <c r="GAX2" s="230"/>
      <c r="GAY2" s="230"/>
      <c r="GAZ2" s="231"/>
      <c r="GBA2" s="229" t="s">
        <v>13328</v>
      </c>
      <c r="GBB2" s="230"/>
      <c r="GBC2" s="230"/>
      <c r="GBD2" s="231"/>
      <c r="GBE2" s="229" t="s">
        <v>13328</v>
      </c>
      <c r="GBF2" s="230"/>
      <c r="GBG2" s="230"/>
      <c r="GBH2" s="231"/>
      <c r="GBI2" s="229" t="s">
        <v>13328</v>
      </c>
      <c r="GBJ2" s="230"/>
      <c r="GBK2" s="230"/>
      <c r="GBL2" s="231"/>
      <c r="GBM2" s="229" t="s">
        <v>13328</v>
      </c>
      <c r="GBN2" s="230"/>
      <c r="GBO2" s="230"/>
      <c r="GBP2" s="231"/>
      <c r="GBQ2" s="229" t="s">
        <v>13328</v>
      </c>
      <c r="GBR2" s="230"/>
      <c r="GBS2" s="230"/>
      <c r="GBT2" s="231"/>
      <c r="GBU2" s="229" t="s">
        <v>13328</v>
      </c>
      <c r="GBV2" s="230"/>
      <c r="GBW2" s="230"/>
      <c r="GBX2" s="231"/>
      <c r="GBY2" s="229" t="s">
        <v>13328</v>
      </c>
      <c r="GBZ2" s="230"/>
      <c r="GCA2" s="230"/>
      <c r="GCB2" s="231"/>
      <c r="GCC2" s="229" t="s">
        <v>13328</v>
      </c>
      <c r="GCD2" s="230"/>
      <c r="GCE2" s="230"/>
      <c r="GCF2" s="231"/>
      <c r="GCG2" s="229" t="s">
        <v>13328</v>
      </c>
      <c r="GCH2" s="230"/>
      <c r="GCI2" s="230"/>
      <c r="GCJ2" s="231"/>
      <c r="GCK2" s="229" t="s">
        <v>13328</v>
      </c>
      <c r="GCL2" s="230"/>
      <c r="GCM2" s="230"/>
      <c r="GCN2" s="231"/>
      <c r="GCO2" s="229" t="s">
        <v>13328</v>
      </c>
      <c r="GCP2" s="230"/>
      <c r="GCQ2" s="230"/>
      <c r="GCR2" s="231"/>
      <c r="GCS2" s="229" t="s">
        <v>13328</v>
      </c>
      <c r="GCT2" s="230"/>
      <c r="GCU2" s="230"/>
      <c r="GCV2" s="231"/>
      <c r="GCW2" s="229" t="s">
        <v>13328</v>
      </c>
      <c r="GCX2" s="230"/>
      <c r="GCY2" s="230"/>
      <c r="GCZ2" s="231"/>
      <c r="GDA2" s="229" t="s">
        <v>13328</v>
      </c>
      <c r="GDB2" s="230"/>
      <c r="GDC2" s="230"/>
      <c r="GDD2" s="231"/>
      <c r="GDE2" s="229" t="s">
        <v>13328</v>
      </c>
      <c r="GDF2" s="230"/>
      <c r="GDG2" s="230"/>
      <c r="GDH2" s="231"/>
      <c r="GDI2" s="229" t="s">
        <v>13328</v>
      </c>
      <c r="GDJ2" s="230"/>
      <c r="GDK2" s="230"/>
      <c r="GDL2" s="231"/>
      <c r="GDM2" s="229" t="s">
        <v>13328</v>
      </c>
      <c r="GDN2" s="230"/>
      <c r="GDO2" s="230"/>
      <c r="GDP2" s="231"/>
      <c r="GDQ2" s="229" t="s">
        <v>13328</v>
      </c>
      <c r="GDR2" s="230"/>
      <c r="GDS2" s="230"/>
      <c r="GDT2" s="231"/>
      <c r="GDU2" s="229" t="s">
        <v>13328</v>
      </c>
      <c r="GDV2" s="230"/>
      <c r="GDW2" s="230"/>
      <c r="GDX2" s="231"/>
      <c r="GDY2" s="229" t="s">
        <v>13328</v>
      </c>
      <c r="GDZ2" s="230"/>
      <c r="GEA2" s="230"/>
      <c r="GEB2" s="231"/>
      <c r="GEC2" s="229" t="s">
        <v>13328</v>
      </c>
      <c r="GED2" s="230"/>
      <c r="GEE2" s="230"/>
      <c r="GEF2" s="231"/>
      <c r="GEG2" s="229" t="s">
        <v>13328</v>
      </c>
      <c r="GEH2" s="230"/>
      <c r="GEI2" s="230"/>
      <c r="GEJ2" s="231"/>
      <c r="GEK2" s="229" t="s">
        <v>13328</v>
      </c>
      <c r="GEL2" s="230"/>
      <c r="GEM2" s="230"/>
      <c r="GEN2" s="231"/>
      <c r="GEO2" s="229" t="s">
        <v>13328</v>
      </c>
      <c r="GEP2" s="230"/>
      <c r="GEQ2" s="230"/>
      <c r="GER2" s="231"/>
      <c r="GES2" s="229" t="s">
        <v>13328</v>
      </c>
      <c r="GET2" s="230"/>
      <c r="GEU2" s="230"/>
      <c r="GEV2" s="231"/>
      <c r="GEW2" s="229" t="s">
        <v>13328</v>
      </c>
      <c r="GEX2" s="230"/>
      <c r="GEY2" s="230"/>
      <c r="GEZ2" s="231"/>
      <c r="GFA2" s="229" t="s">
        <v>13328</v>
      </c>
      <c r="GFB2" s="230"/>
      <c r="GFC2" s="230"/>
      <c r="GFD2" s="231"/>
      <c r="GFE2" s="229" t="s">
        <v>13328</v>
      </c>
      <c r="GFF2" s="230"/>
      <c r="GFG2" s="230"/>
      <c r="GFH2" s="231"/>
      <c r="GFI2" s="229" t="s">
        <v>13328</v>
      </c>
      <c r="GFJ2" s="230"/>
      <c r="GFK2" s="230"/>
      <c r="GFL2" s="231"/>
      <c r="GFM2" s="229" t="s">
        <v>13328</v>
      </c>
      <c r="GFN2" s="230"/>
      <c r="GFO2" s="230"/>
      <c r="GFP2" s="231"/>
      <c r="GFQ2" s="229" t="s">
        <v>13328</v>
      </c>
      <c r="GFR2" s="230"/>
      <c r="GFS2" s="230"/>
      <c r="GFT2" s="231"/>
      <c r="GFU2" s="229" t="s">
        <v>13328</v>
      </c>
      <c r="GFV2" s="230"/>
      <c r="GFW2" s="230"/>
      <c r="GFX2" s="231"/>
      <c r="GFY2" s="229" t="s">
        <v>13328</v>
      </c>
      <c r="GFZ2" s="230"/>
      <c r="GGA2" s="230"/>
      <c r="GGB2" s="231"/>
      <c r="GGC2" s="229" t="s">
        <v>13328</v>
      </c>
      <c r="GGD2" s="230"/>
      <c r="GGE2" s="230"/>
      <c r="GGF2" s="231"/>
      <c r="GGG2" s="229" t="s">
        <v>13328</v>
      </c>
      <c r="GGH2" s="230"/>
      <c r="GGI2" s="230"/>
      <c r="GGJ2" s="231"/>
      <c r="GGK2" s="229" t="s">
        <v>13328</v>
      </c>
      <c r="GGL2" s="230"/>
      <c r="GGM2" s="230"/>
      <c r="GGN2" s="231"/>
      <c r="GGO2" s="229" t="s">
        <v>13328</v>
      </c>
      <c r="GGP2" s="230"/>
      <c r="GGQ2" s="230"/>
      <c r="GGR2" s="231"/>
      <c r="GGS2" s="229" t="s">
        <v>13328</v>
      </c>
      <c r="GGT2" s="230"/>
      <c r="GGU2" s="230"/>
      <c r="GGV2" s="231"/>
      <c r="GGW2" s="229" t="s">
        <v>13328</v>
      </c>
      <c r="GGX2" s="230"/>
      <c r="GGY2" s="230"/>
      <c r="GGZ2" s="231"/>
      <c r="GHA2" s="229" t="s">
        <v>13328</v>
      </c>
      <c r="GHB2" s="230"/>
      <c r="GHC2" s="230"/>
      <c r="GHD2" s="231"/>
      <c r="GHE2" s="229" t="s">
        <v>13328</v>
      </c>
      <c r="GHF2" s="230"/>
      <c r="GHG2" s="230"/>
      <c r="GHH2" s="231"/>
      <c r="GHI2" s="229" t="s">
        <v>13328</v>
      </c>
      <c r="GHJ2" s="230"/>
      <c r="GHK2" s="230"/>
      <c r="GHL2" s="231"/>
      <c r="GHM2" s="229" t="s">
        <v>13328</v>
      </c>
      <c r="GHN2" s="230"/>
      <c r="GHO2" s="230"/>
      <c r="GHP2" s="231"/>
      <c r="GHQ2" s="229" t="s">
        <v>13328</v>
      </c>
      <c r="GHR2" s="230"/>
      <c r="GHS2" s="230"/>
      <c r="GHT2" s="231"/>
      <c r="GHU2" s="229" t="s">
        <v>13328</v>
      </c>
      <c r="GHV2" s="230"/>
      <c r="GHW2" s="230"/>
      <c r="GHX2" s="231"/>
      <c r="GHY2" s="229" t="s">
        <v>13328</v>
      </c>
      <c r="GHZ2" s="230"/>
      <c r="GIA2" s="230"/>
      <c r="GIB2" s="231"/>
      <c r="GIC2" s="229" t="s">
        <v>13328</v>
      </c>
      <c r="GID2" s="230"/>
      <c r="GIE2" s="230"/>
      <c r="GIF2" s="231"/>
      <c r="GIG2" s="229" t="s">
        <v>13328</v>
      </c>
      <c r="GIH2" s="230"/>
      <c r="GII2" s="230"/>
      <c r="GIJ2" s="231"/>
      <c r="GIK2" s="229" t="s">
        <v>13328</v>
      </c>
      <c r="GIL2" s="230"/>
      <c r="GIM2" s="230"/>
      <c r="GIN2" s="231"/>
      <c r="GIO2" s="229" t="s">
        <v>13328</v>
      </c>
      <c r="GIP2" s="230"/>
      <c r="GIQ2" s="230"/>
      <c r="GIR2" s="231"/>
      <c r="GIS2" s="229" t="s">
        <v>13328</v>
      </c>
      <c r="GIT2" s="230"/>
      <c r="GIU2" s="230"/>
      <c r="GIV2" s="231"/>
      <c r="GIW2" s="229" t="s">
        <v>13328</v>
      </c>
      <c r="GIX2" s="230"/>
      <c r="GIY2" s="230"/>
      <c r="GIZ2" s="231"/>
      <c r="GJA2" s="229" t="s">
        <v>13328</v>
      </c>
      <c r="GJB2" s="230"/>
      <c r="GJC2" s="230"/>
      <c r="GJD2" s="231"/>
      <c r="GJE2" s="229" t="s">
        <v>13328</v>
      </c>
      <c r="GJF2" s="230"/>
      <c r="GJG2" s="230"/>
      <c r="GJH2" s="231"/>
      <c r="GJI2" s="229" t="s">
        <v>13328</v>
      </c>
      <c r="GJJ2" s="230"/>
      <c r="GJK2" s="230"/>
      <c r="GJL2" s="231"/>
      <c r="GJM2" s="229" t="s">
        <v>13328</v>
      </c>
      <c r="GJN2" s="230"/>
      <c r="GJO2" s="230"/>
      <c r="GJP2" s="231"/>
      <c r="GJQ2" s="229" t="s">
        <v>13328</v>
      </c>
      <c r="GJR2" s="230"/>
      <c r="GJS2" s="230"/>
      <c r="GJT2" s="231"/>
      <c r="GJU2" s="229" t="s">
        <v>13328</v>
      </c>
      <c r="GJV2" s="230"/>
      <c r="GJW2" s="230"/>
      <c r="GJX2" s="231"/>
      <c r="GJY2" s="229" t="s">
        <v>13328</v>
      </c>
      <c r="GJZ2" s="230"/>
      <c r="GKA2" s="230"/>
      <c r="GKB2" s="231"/>
      <c r="GKC2" s="229" t="s">
        <v>13328</v>
      </c>
      <c r="GKD2" s="230"/>
      <c r="GKE2" s="230"/>
      <c r="GKF2" s="231"/>
      <c r="GKG2" s="229" t="s">
        <v>13328</v>
      </c>
      <c r="GKH2" s="230"/>
      <c r="GKI2" s="230"/>
      <c r="GKJ2" s="231"/>
      <c r="GKK2" s="229" t="s">
        <v>13328</v>
      </c>
      <c r="GKL2" s="230"/>
      <c r="GKM2" s="230"/>
      <c r="GKN2" s="231"/>
      <c r="GKO2" s="229" t="s">
        <v>13328</v>
      </c>
      <c r="GKP2" s="230"/>
      <c r="GKQ2" s="230"/>
      <c r="GKR2" s="231"/>
      <c r="GKS2" s="229" t="s">
        <v>13328</v>
      </c>
      <c r="GKT2" s="230"/>
      <c r="GKU2" s="230"/>
      <c r="GKV2" s="231"/>
      <c r="GKW2" s="229" t="s">
        <v>13328</v>
      </c>
      <c r="GKX2" s="230"/>
      <c r="GKY2" s="230"/>
      <c r="GKZ2" s="231"/>
      <c r="GLA2" s="229" t="s">
        <v>13328</v>
      </c>
      <c r="GLB2" s="230"/>
      <c r="GLC2" s="230"/>
      <c r="GLD2" s="231"/>
      <c r="GLE2" s="229" t="s">
        <v>13328</v>
      </c>
      <c r="GLF2" s="230"/>
      <c r="GLG2" s="230"/>
      <c r="GLH2" s="231"/>
      <c r="GLI2" s="229" t="s">
        <v>13328</v>
      </c>
      <c r="GLJ2" s="230"/>
      <c r="GLK2" s="230"/>
      <c r="GLL2" s="231"/>
      <c r="GLM2" s="229" t="s">
        <v>13328</v>
      </c>
      <c r="GLN2" s="230"/>
      <c r="GLO2" s="230"/>
      <c r="GLP2" s="231"/>
      <c r="GLQ2" s="229" t="s">
        <v>13328</v>
      </c>
      <c r="GLR2" s="230"/>
      <c r="GLS2" s="230"/>
      <c r="GLT2" s="231"/>
      <c r="GLU2" s="229" t="s">
        <v>13328</v>
      </c>
      <c r="GLV2" s="230"/>
      <c r="GLW2" s="230"/>
      <c r="GLX2" s="231"/>
      <c r="GLY2" s="229" t="s">
        <v>13328</v>
      </c>
      <c r="GLZ2" s="230"/>
      <c r="GMA2" s="230"/>
      <c r="GMB2" s="231"/>
      <c r="GMC2" s="229" t="s">
        <v>13328</v>
      </c>
      <c r="GMD2" s="230"/>
      <c r="GME2" s="230"/>
      <c r="GMF2" s="231"/>
      <c r="GMG2" s="229" t="s">
        <v>13328</v>
      </c>
      <c r="GMH2" s="230"/>
      <c r="GMI2" s="230"/>
      <c r="GMJ2" s="231"/>
      <c r="GMK2" s="229" t="s">
        <v>13328</v>
      </c>
      <c r="GML2" s="230"/>
      <c r="GMM2" s="230"/>
      <c r="GMN2" s="231"/>
      <c r="GMO2" s="229" t="s">
        <v>13328</v>
      </c>
      <c r="GMP2" s="230"/>
      <c r="GMQ2" s="230"/>
      <c r="GMR2" s="231"/>
      <c r="GMS2" s="229" t="s">
        <v>13328</v>
      </c>
      <c r="GMT2" s="230"/>
      <c r="GMU2" s="230"/>
      <c r="GMV2" s="231"/>
      <c r="GMW2" s="229" t="s">
        <v>13328</v>
      </c>
      <c r="GMX2" s="230"/>
      <c r="GMY2" s="230"/>
      <c r="GMZ2" s="231"/>
      <c r="GNA2" s="229" t="s">
        <v>13328</v>
      </c>
      <c r="GNB2" s="230"/>
      <c r="GNC2" s="230"/>
      <c r="GND2" s="231"/>
      <c r="GNE2" s="229" t="s">
        <v>13328</v>
      </c>
      <c r="GNF2" s="230"/>
      <c r="GNG2" s="230"/>
      <c r="GNH2" s="231"/>
      <c r="GNI2" s="229" t="s">
        <v>13328</v>
      </c>
      <c r="GNJ2" s="230"/>
      <c r="GNK2" s="230"/>
      <c r="GNL2" s="231"/>
      <c r="GNM2" s="229" t="s">
        <v>13328</v>
      </c>
      <c r="GNN2" s="230"/>
      <c r="GNO2" s="230"/>
      <c r="GNP2" s="231"/>
      <c r="GNQ2" s="229" t="s">
        <v>13328</v>
      </c>
      <c r="GNR2" s="230"/>
      <c r="GNS2" s="230"/>
      <c r="GNT2" s="231"/>
      <c r="GNU2" s="229" t="s">
        <v>13328</v>
      </c>
      <c r="GNV2" s="230"/>
      <c r="GNW2" s="230"/>
      <c r="GNX2" s="231"/>
      <c r="GNY2" s="229" t="s">
        <v>13328</v>
      </c>
      <c r="GNZ2" s="230"/>
      <c r="GOA2" s="230"/>
      <c r="GOB2" s="231"/>
      <c r="GOC2" s="229" t="s">
        <v>13328</v>
      </c>
      <c r="GOD2" s="230"/>
      <c r="GOE2" s="230"/>
      <c r="GOF2" s="231"/>
      <c r="GOG2" s="229" t="s">
        <v>13328</v>
      </c>
      <c r="GOH2" s="230"/>
      <c r="GOI2" s="230"/>
      <c r="GOJ2" s="231"/>
      <c r="GOK2" s="229" t="s">
        <v>13328</v>
      </c>
      <c r="GOL2" s="230"/>
      <c r="GOM2" s="230"/>
      <c r="GON2" s="231"/>
      <c r="GOO2" s="229" t="s">
        <v>13328</v>
      </c>
      <c r="GOP2" s="230"/>
      <c r="GOQ2" s="230"/>
      <c r="GOR2" s="231"/>
      <c r="GOS2" s="229" t="s">
        <v>13328</v>
      </c>
      <c r="GOT2" s="230"/>
      <c r="GOU2" s="230"/>
      <c r="GOV2" s="231"/>
      <c r="GOW2" s="229" t="s">
        <v>13328</v>
      </c>
      <c r="GOX2" s="230"/>
      <c r="GOY2" s="230"/>
      <c r="GOZ2" s="231"/>
      <c r="GPA2" s="229" t="s">
        <v>13328</v>
      </c>
      <c r="GPB2" s="230"/>
      <c r="GPC2" s="230"/>
      <c r="GPD2" s="231"/>
      <c r="GPE2" s="229" t="s">
        <v>13328</v>
      </c>
      <c r="GPF2" s="230"/>
      <c r="GPG2" s="230"/>
      <c r="GPH2" s="231"/>
      <c r="GPI2" s="229" t="s">
        <v>13328</v>
      </c>
      <c r="GPJ2" s="230"/>
      <c r="GPK2" s="230"/>
      <c r="GPL2" s="231"/>
      <c r="GPM2" s="229" t="s">
        <v>13328</v>
      </c>
      <c r="GPN2" s="230"/>
      <c r="GPO2" s="230"/>
      <c r="GPP2" s="231"/>
      <c r="GPQ2" s="229" t="s">
        <v>13328</v>
      </c>
      <c r="GPR2" s="230"/>
      <c r="GPS2" s="230"/>
      <c r="GPT2" s="231"/>
      <c r="GPU2" s="229" t="s">
        <v>13328</v>
      </c>
      <c r="GPV2" s="230"/>
      <c r="GPW2" s="230"/>
      <c r="GPX2" s="231"/>
      <c r="GPY2" s="229" t="s">
        <v>13328</v>
      </c>
      <c r="GPZ2" s="230"/>
      <c r="GQA2" s="230"/>
      <c r="GQB2" s="231"/>
      <c r="GQC2" s="229" t="s">
        <v>13328</v>
      </c>
      <c r="GQD2" s="230"/>
      <c r="GQE2" s="230"/>
      <c r="GQF2" s="231"/>
      <c r="GQG2" s="229" t="s">
        <v>13328</v>
      </c>
      <c r="GQH2" s="230"/>
      <c r="GQI2" s="230"/>
      <c r="GQJ2" s="231"/>
      <c r="GQK2" s="229" t="s">
        <v>13328</v>
      </c>
      <c r="GQL2" s="230"/>
      <c r="GQM2" s="230"/>
      <c r="GQN2" s="231"/>
      <c r="GQO2" s="229" t="s">
        <v>13328</v>
      </c>
      <c r="GQP2" s="230"/>
      <c r="GQQ2" s="230"/>
      <c r="GQR2" s="231"/>
      <c r="GQS2" s="229" t="s">
        <v>13328</v>
      </c>
      <c r="GQT2" s="230"/>
      <c r="GQU2" s="230"/>
      <c r="GQV2" s="231"/>
      <c r="GQW2" s="229" t="s">
        <v>13328</v>
      </c>
      <c r="GQX2" s="230"/>
      <c r="GQY2" s="230"/>
      <c r="GQZ2" s="231"/>
      <c r="GRA2" s="229" t="s">
        <v>13328</v>
      </c>
      <c r="GRB2" s="230"/>
      <c r="GRC2" s="230"/>
      <c r="GRD2" s="231"/>
      <c r="GRE2" s="229" t="s">
        <v>13328</v>
      </c>
      <c r="GRF2" s="230"/>
      <c r="GRG2" s="230"/>
      <c r="GRH2" s="231"/>
      <c r="GRI2" s="229" t="s">
        <v>13328</v>
      </c>
      <c r="GRJ2" s="230"/>
      <c r="GRK2" s="230"/>
      <c r="GRL2" s="231"/>
      <c r="GRM2" s="229" t="s">
        <v>13328</v>
      </c>
      <c r="GRN2" s="230"/>
      <c r="GRO2" s="230"/>
      <c r="GRP2" s="231"/>
      <c r="GRQ2" s="229" t="s">
        <v>13328</v>
      </c>
      <c r="GRR2" s="230"/>
      <c r="GRS2" s="230"/>
      <c r="GRT2" s="231"/>
      <c r="GRU2" s="229" t="s">
        <v>13328</v>
      </c>
      <c r="GRV2" s="230"/>
      <c r="GRW2" s="230"/>
      <c r="GRX2" s="231"/>
      <c r="GRY2" s="229" t="s">
        <v>13328</v>
      </c>
      <c r="GRZ2" s="230"/>
      <c r="GSA2" s="230"/>
      <c r="GSB2" s="231"/>
      <c r="GSC2" s="229" t="s">
        <v>13328</v>
      </c>
      <c r="GSD2" s="230"/>
      <c r="GSE2" s="230"/>
      <c r="GSF2" s="231"/>
      <c r="GSG2" s="229" t="s">
        <v>13328</v>
      </c>
      <c r="GSH2" s="230"/>
      <c r="GSI2" s="230"/>
      <c r="GSJ2" s="231"/>
      <c r="GSK2" s="229" t="s">
        <v>13328</v>
      </c>
      <c r="GSL2" s="230"/>
      <c r="GSM2" s="230"/>
      <c r="GSN2" s="231"/>
      <c r="GSO2" s="229" t="s">
        <v>13328</v>
      </c>
      <c r="GSP2" s="230"/>
      <c r="GSQ2" s="230"/>
      <c r="GSR2" s="231"/>
      <c r="GSS2" s="229" t="s">
        <v>13328</v>
      </c>
      <c r="GST2" s="230"/>
      <c r="GSU2" s="230"/>
      <c r="GSV2" s="231"/>
      <c r="GSW2" s="229" t="s">
        <v>13328</v>
      </c>
      <c r="GSX2" s="230"/>
      <c r="GSY2" s="230"/>
      <c r="GSZ2" s="231"/>
      <c r="GTA2" s="229" t="s">
        <v>13328</v>
      </c>
      <c r="GTB2" s="230"/>
      <c r="GTC2" s="230"/>
      <c r="GTD2" s="231"/>
      <c r="GTE2" s="229" t="s">
        <v>13328</v>
      </c>
      <c r="GTF2" s="230"/>
      <c r="GTG2" s="230"/>
      <c r="GTH2" s="231"/>
      <c r="GTI2" s="229" t="s">
        <v>13328</v>
      </c>
      <c r="GTJ2" s="230"/>
      <c r="GTK2" s="230"/>
      <c r="GTL2" s="231"/>
      <c r="GTM2" s="229" t="s">
        <v>13328</v>
      </c>
      <c r="GTN2" s="230"/>
      <c r="GTO2" s="230"/>
      <c r="GTP2" s="231"/>
      <c r="GTQ2" s="229" t="s">
        <v>13328</v>
      </c>
      <c r="GTR2" s="230"/>
      <c r="GTS2" s="230"/>
      <c r="GTT2" s="231"/>
      <c r="GTU2" s="229" t="s">
        <v>13328</v>
      </c>
      <c r="GTV2" s="230"/>
      <c r="GTW2" s="230"/>
      <c r="GTX2" s="231"/>
      <c r="GTY2" s="229" t="s">
        <v>13328</v>
      </c>
      <c r="GTZ2" s="230"/>
      <c r="GUA2" s="230"/>
      <c r="GUB2" s="231"/>
      <c r="GUC2" s="229" t="s">
        <v>13328</v>
      </c>
      <c r="GUD2" s="230"/>
      <c r="GUE2" s="230"/>
      <c r="GUF2" s="231"/>
      <c r="GUG2" s="229" t="s">
        <v>13328</v>
      </c>
      <c r="GUH2" s="230"/>
      <c r="GUI2" s="230"/>
      <c r="GUJ2" s="231"/>
      <c r="GUK2" s="229" t="s">
        <v>13328</v>
      </c>
      <c r="GUL2" s="230"/>
      <c r="GUM2" s="230"/>
      <c r="GUN2" s="231"/>
      <c r="GUO2" s="229" t="s">
        <v>13328</v>
      </c>
      <c r="GUP2" s="230"/>
      <c r="GUQ2" s="230"/>
      <c r="GUR2" s="231"/>
      <c r="GUS2" s="229" t="s">
        <v>13328</v>
      </c>
      <c r="GUT2" s="230"/>
      <c r="GUU2" s="230"/>
      <c r="GUV2" s="231"/>
      <c r="GUW2" s="229" t="s">
        <v>13328</v>
      </c>
      <c r="GUX2" s="230"/>
      <c r="GUY2" s="230"/>
      <c r="GUZ2" s="231"/>
      <c r="GVA2" s="229" t="s">
        <v>13328</v>
      </c>
      <c r="GVB2" s="230"/>
      <c r="GVC2" s="230"/>
      <c r="GVD2" s="231"/>
      <c r="GVE2" s="229" t="s">
        <v>13328</v>
      </c>
      <c r="GVF2" s="230"/>
      <c r="GVG2" s="230"/>
      <c r="GVH2" s="231"/>
      <c r="GVI2" s="229" t="s">
        <v>13328</v>
      </c>
      <c r="GVJ2" s="230"/>
      <c r="GVK2" s="230"/>
      <c r="GVL2" s="231"/>
      <c r="GVM2" s="229" t="s">
        <v>13328</v>
      </c>
      <c r="GVN2" s="230"/>
      <c r="GVO2" s="230"/>
      <c r="GVP2" s="231"/>
      <c r="GVQ2" s="229" t="s">
        <v>13328</v>
      </c>
      <c r="GVR2" s="230"/>
      <c r="GVS2" s="230"/>
      <c r="GVT2" s="231"/>
      <c r="GVU2" s="229" t="s">
        <v>13328</v>
      </c>
      <c r="GVV2" s="230"/>
      <c r="GVW2" s="230"/>
      <c r="GVX2" s="231"/>
      <c r="GVY2" s="229" t="s">
        <v>13328</v>
      </c>
      <c r="GVZ2" s="230"/>
      <c r="GWA2" s="230"/>
      <c r="GWB2" s="231"/>
      <c r="GWC2" s="229" t="s">
        <v>13328</v>
      </c>
      <c r="GWD2" s="230"/>
      <c r="GWE2" s="230"/>
      <c r="GWF2" s="231"/>
      <c r="GWG2" s="229" t="s">
        <v>13328</v>
      </c>
      <c r="GWH2" s="230"/>
      <c r="GWI2" s="230"/>
      <c r="GWJ2" s="231"/>
      <c r="GWK2" s="229" t="s">
        <v>13328</v>
      </c>
      <c r="GWL2" s="230"/>
      <c r="GWM2" s="230"/>
      <c r="GWN2" s="231"/>
      <c r="GWO2" s="229" t="s">
        <v>13328</v>
      </c>
      <c r="GWP2" s="230"/>
      <c r="GWQ2" s="230"/>
      <c r="GWR2" s="231"/>
      <c r="GWS2" s="229" t="s">
        <v>13328</v>
      </c>
      <c r="GWT2" s="230"/>
      <c r="GWU2" s="230"/>
      <c r="GWV2" s="231"/>
      <c r="GWW2" s="229" t="s">
        <v>13328</v>
      </c>
      <c r="GWX2" s="230"/>
      <c r="GWY2" s="230"/>
      <c r="GWZ2" s="231"/>
      <c r="GXA2" s="229" t="s">
        <v>13328</v>
      </c>
      <c r="GXB2" s="230"/>
      <c r="GXC2" s="230"/>
      <c r="GXD2" s="231"/>
      <c r="GXE2" s="229" t="s">
        <v>13328</v>
      </c>
      <c r="GXF2" s="230"/>
      <c r="GXG2" s="230"/>
      <c r="GXH2" s="231"/>
      <c r="GXI2" s="229" t="s">
        <v>13328</v>
      </c>
      <c r="GXJ2" s="230"/>
      <c r="GXK2" s="230"/>
      <c r="GXL2" s="231"/>
      <c r="GXM2" s="229" t="s">
        <v>13328</v>
      </c>
      <c r="GXN2" s="230"/>
      <c r="GXO2" s="230"/>
      <c r="GXP2" s="231"/>
      <c r="GXQ2" s="229" t="s">
        <v>13328</v>
      </c>
      <c r="GXR2" s="230"/>
      <c r="GXS2" s="230"/>
      <c r="GXT2" s="231"/>
      <c r="GXU2" s="229" t="s">
        <v>13328</v>
      </c>
      <c r="GXV2" s="230"/>
      <c r="GXW2" s="230"/>
      <c r="GXX2" s="231"/>
      <c r="GXY2" s="229" t="s">
        <v>13328</v>
      </c>
      <c r="GXZ2" s="230"/>
      <c r="GYA2" s="230"/>
      <c r="GYB2" s="231"/>
      <c r="GYC2" s="229" t="s">
        <v>13328</v>
      </c>
      <c r="GYD2" s="230"/>
      <c r="GYE2" s="230"/>
      <c r="GYF2" s="231"/>
      <c r="GYG2" s="229" t="s">
        <v>13328</v>
      </c>
      <c r="GYH2" s="230"/>
      <c r="GYI2" s="230"/>
      <c r="GYJ2" s="231"/>
      <c r="GYK2" s="229" t="s">
        <v>13328</v>
      </c>
      <c r="GYL2" s="230"/>
      <c r="GYM2" s="230"/>
      <c r="GYN2" s="231"/>
      <c r="GYO2" s="229" t="s">
        <v>13328</v>
      </c>
      <c r="GYP2" s="230"/>
      <c r="GYQ2" s="230"/>
      <c r="GYR2" s="231"/>
      <c r="GYS2" s="229" t="s">
        <v>13328</v>
      </c>
      <c r="GYT2" s="230"/>
      <c r="GYU2" s="230"/>
      <c r="GYV2" s="231"/>
      <c r="GYW2" s="229" t="s">
        <v>13328</v>
      </c>
      <c r="GYX2" s="230"/>
      <c r="GYY2" s="230"/>
      <c r="GYZ2" s="231"/>
      <c r="GZA2" s="229" t="s">
        <v>13328</v>
      </c>
      <c r="GZB2" s="230"/>
      <c r="GZC2" s="230"/>
      <c r="GZD2" s="231"/>
      <c r="GZE2" s="229" t="s">
        <v>13328</v>
      </c>
      <c r="GZF2" s="230"/>
      <c r="GZG2" s="230"/>
      <c r="GZH2" s="231"/>
      <c r="GZI2" s="229" t="s">
        <v>13328</v>
      </c>
      <c r="GZJ2" s="230"/>
      <c r="GZK2" s="230"/>
      <c r="GZL2" s="231"/>
      <c r="GZM2" s="229" t="s">
        <v>13328</v>
      </c>
      <c r="GZN2" s="230"/>
      <c r="GZO2" s="230"/>
      <c r="GZP2" s="231"/>
      <c r="GZQ2" s="229" t="s">
        <v>13328</v>
      </c>
      <c r="GZR2" s="230"/>
      <c r="GZS2" s="230"/>
      <c r="GZT2" s="231"/>
      <c r="GZU2" s="229" t="s">
        <v>13328</v>
      </c>
      <c r="GZV2" s="230"/>
      <c r="GZW2" s="230"/>
      <c r="GZX2" s="231"/>
      <c r="GZY2" s="229" t="s">
        <v>13328</v>
      </c>
      <c r="GZZ2" s="230"/>
      <c r="HAA2" s="230"/>
      <c r="HAB2" s="231"/>
      <c r="HAC2" s="229" t="s">
        <v>13328</v>
      </c>
      <c r="HAD2" s="230"/>
      <c r="HAE2" s="230"/>
      <c r="HAF2" s="231"/>
      <c r="HAG2" s="229" t="s">
        <v>13328</v>
      </c>
      <c r="HAH2" s="230"/>
      <c r="HAI2" s="230"/>
      <c r="HAJ2" s="231"/>
      <c r="HAK2" s="229" t="s">
        <v>13328</v>
      </c>
      <c r="HAL2" s="230"/>
      <c r="HAM2" s="230"/>
      <c r="HAN2" s="231"/>
      <c r="HAO2" s="229" t="s">
        <v>13328</v>
      </c>
      <c r="HAP2" s="230"/>
      <c r="HAQ2" s="230"/>
      <c r="HAR2" s="231"/>
      <c r="HAS2" s="229" t="s">
        <v>13328</v>
      </c>
      <c r="HAT2" s="230"/>
      <c r="HAU2" s="230"/>
      <c r="HAV2" s="231"/>
      <c r="HAW2" s="229" t="s">
        <v>13328</v>
      </c>
      <c r="HAX2" s="230"/>
      <c r="HAY2" s="230"/>
      <c r="HAZ2" s="231"/>
      <c r="HBA2" s="229" t="s">
        <v>13328</v>
      </c>
      <c r="HBB2" s="230"/>
      <c r="HBC2" s="230"/>
      <c r="HBD2" s="231"/>
      <c r="HBE2" s="229" t="s">
        <v>13328</v>
      </c>
      <c r="HBF2" s="230"/>
      <c r="HBG2" s="230"/>
      <c r="HBH2" s="231"/>
      <c r="HBI2" s="229" t="s">
        <v>13328</v>
      </c>
      <c r="HBJ2" s="230"/>
      <c r="HBK2" s="230"/>
      <c r="HBL2" s="231"/>
      <c r="HBM2" s="229" t="s">
        <v>13328</v>
      </c>
      <c r="HBN2" s="230"/>
      <c r="HBO2" s="230"/>
      <c r="HBP2" s="231"/>
      <c r="HBQ2" s="229" t="s">
        <v>13328</v>
      </c>
      <c r="HBR2" s="230"/>
      <c r="HBS2" s="230"/>
      <c r="HBT2" s="231"/>
      <c r="HBU2" s="229" t="s">
        <v>13328</v>
      </c>
      <c r="HBV2" s="230"/>
      <c r="HBW2" s="230"/>
      <c r="HBX2" s="231"/>
      <c r="HBY2" s="229" t="s">
        <v>13328</v>
      </c>
      <c r="HBZ2" s="230"/>
      <c r="HCA2" s="230"/>
      <c r="HCB2" s="231"/>
      <c r="HCC2" s="229" t="s">
        <v>13328</v>
      </c>
      <c r="HCD2" s="230"/>
      <c r="HCE2" s="230"/>
      <c r="HCF2" s="231"/>
      <c r="HCG2" s="229" t="s">
        <v>13328</v>
      </c>
      <c r="HCH2" s="230"/>
      <c r="HCI2" s="230"/>
      <c r="HCJ2" s="231"/>
      <c r="HCK2" s="229" t="s">
        <v>13328</v>
      </c>
      <c r="HCL2" s="230"/>
      <c r="HCM2" s="230"/>
      <c r="HCN2" s="231"/>
      <c r="HCO2" s="229" t="s">
        <v>13328</v>
      </c>
      <c r="HCP2" s="230"/>
      <c r="HCQ2" s="230"/>
      <c r="HCR2" s="231"/>
      <c r="HCS2" s="229" t="s">
        <v>13328</v>
      </c>
      <c r="HCT2" s="230"/>
      <c r="HCU2" s="230"/>
      <c r="HCV2" s="231"/>
      <c r="HCW2" s="229" t="s">
        <v>13328</v>
      </c>
      <c r="HCX2" s="230"/>
      <c r="HCY2" s="230"/>
      <c r="HCZ2" s="231"/>
      <c r="HDA2" s="229" t="s">
        <v>13328</v>
      </c>
      <c r="HDB2" s="230"/>
      <c r="HDC2" s="230"/>
      <c r="HDD2" s="231"/>
      <c r="HDE2" s="229" t="s">
        <v>13328</v>
      </c>
      <c r="HDF2" s="230"/>
      <c r="HDG2" s="230"/>
      <c r="HDH2" s="231"/>
      <c r="HDI2" s="229" t="s">
        <v>13328</v>
      </c>
      <c r="HDJ2" s="230"/>
      <c r="HDK2" s="230"/>
      <c r="HDL2" s="231"/>
      <c r="HDM2" s="229" t="s">
        <v>13328</v>
      </c>
      <c r="HDN2" s="230"/>
      <c r="HDO2" s="230"/>
      <c r="HDP2" s="231"/>
      <c r="HDQ2" s="229" t="s">
        <v>13328</v>
      </c>
      <c r="HDR2" s="230"/>
      <c r="HDS2" s="230"/>
      <c r="HDT2" s="231"/>
      <c r="HDU2" s="229" t="s">
        <v>13328</v>
      </c>
      <c r="HDV2" s="230"/>
      <c r="HDW2" s="230"/>
      <c r="HDX2" s="231"/>
      <c r="HDY2" s="229" t="s">
        <v>13328</v>
      </c>
      <c r="HDZ2" s="230"/>
      <c r="HEA2" s="230"/>
      <c r="HEB2" s="231"/>
      <c r="HEC2" s="229" t="s">
        <v>13328</v>
      </c>
      <c r="HED2" s="230"/>
      <c r="HEE2" s="230"/>
      <c r="HEF2" s="231"/>
      <c r="HEG2" s="229" t="s">
        <v>13328</v>
      </c>
      <c r="HEH2" s="230"/>
      <c r="HEI2" s="230"/>
      <c r="HEJ2" s="231"/>
      <c r="HEK2" s="229" t="s">
        <v>13328</v>
      </c>
      <c r="HEL2" s="230"/>
      <c r="HEM2" s="230"/>
      <c r="HEN2" s="231"/>
      <c r="HEO2" s="229" t="s">
        <v>13328</v>
      </c>
      <c r="HEP2" s="230"/>
      <c r="HEQ2" s="230"/>
      <c r="HER2" s="231"/>
      <c r="HES2" s="229" t="s">
        <v>13328</v>
      </c>
      <c r="HET2" s="230"/>
      <c r="HEU2" s="230"/>
      <c r="HEV2" s="231"/>
      <c r="HEW2" s="229" t="s">
        <v>13328</v>
      </c>
      <c r="HEX2" s="230"/>
      <c r="HEY2" s="230"/>
      <c r="HEZ2" s="231"/>
      <c r="HFA2" s="229" t="s">
        <v>13328</v>
      </c>
      <c r="HFB2" s="230"/>
      <c r="HFC2" s="230"/>
      <c r="HFD2" s="231"/>
      <c r="HFE2" s="229" t="s">
        <v>13328</v>
      </c>
      <c r="HFF2" s="230"/>
      <c r="HFG2" s="230"/>
      <c r="HFH2" s="231"/>
      <c r="HFI2" s="229" t="s">
        <v>13328</v>
      </c>
      <c r="HFJ2" s="230"/>
      <c r="HFK2" s="230"/>
      <c r="HFL2" s="231"/>
      <c r="HFM2" s="229" t="s">
        <v>13328</v>
      </c>
      <c r="HFN2" s="230"/>
      <c r="HFO2" s="230"/>
      <c r="HFP2" s="231"/>
      <c r="HFQ2" s="229" t="s">
        <v>13328</v>
      </c>
      <c r="HFR2" s="230"/>
      <c r="HFS2" s="230"/>
      <c r="HFT2" s="231"/>
      <c r="HFU2" s="229" t="s">
        <v>13328</v>
      </c>
      <c r="HFV2" s="230"/>
      <c r="HFW2" s="230"/>
      <c r="HFX2" s="231"/>
      <c r="HFY2" s="229" t="s">
        <v>13328</v>
      </c>
      <c r="HFZ2" s="230"/>
      <c r="HGA2" s="230"/>
      <c r="HGB2" s="231"/>
      <c r="HGC2" s="229" t="s">
        <v>13328</v>
      </c>
      <c r="HGD2" s="230"/>
      <c r="HGE2" s="230"/>
      <c r="HGF2" s="231"/>
      <c r="HGG2" s="229" t="s">
        <v>13328</v>
      </c>
      <c r="HGH2" s="230"/>
      <c r="HGI2" s="230"/>
      <c r="HGJ2" s="231"/>
      <c r="HGK2" s="229" t="s">
        <v>13328</v>
      </c>
      <c r="HGL2" s="230"/>
      <c r="HGM2" s="230"/>
      <c r="HGN2" s="231"/>
      <c r="HGO2" s="229" t="s">
        <v>13328</v>
      </c>
      <c r="HGP2" s="230"/>
      <c r="HGQ2" s="230"/>
      <c r="HGR2" s="231"/>
      <c r="HGS2" s="229" t="s">
        <v>13328</v>
      </c>
      <c r="HGT2" s="230"/>
      <c r="HGU2" s="230"/>
      <c r="HGV2" s="231"/>
      <c r="HGW2" s="229" t="s">
        <v>13328</v>
      </c>
      <c r="HGX2" s="230"/>
      <c r="HGY2" s="230"/>
      <c r="HGZ2" s="231"/>
      <c r="HHA2" s="229" t="s">
        <v>13328</v>
      </c>
      <c r="HHB2" s="230"/>
      <c r="HHC2" s="230"/>
      <c r="HHD2" s="231"/>
      <c r="HHE2" s="229" t="s">
        <v>13328</v>
      </c>
      <c r="HHF2" s="230"/>
      <c r="HHG2" s="230"/>
      <c r="HHH2" s="231"/>
      <c r="HHI2" s="229" t="s">
        <v>13328</v>
      </c>
      <c r="HHJ2" s="230"/>
      <c r="HHK2" s="230"/>
      <c r="HHL2" s="231"/>
      <c r="HHM2" s="229" t="s">
        <v>13328</v>
      </c>
      <c r="HHN2" s="230"/>
      <c r="HHO2" s="230"/>
      <c r="HHP2" s="231"/>
      <c r="HHQ2" s="229" t="s">
        <v>13328</v>
      </c>
      <c r="HHR2" s="230"/>
      <c r="HHS2" s="230"/>
      <c r="HHT2" s="231"/>
      <c r="HHU2" s="229" t="s">
        <v>13328</v>
      </c>
      <c r="HHV2" s="230"/>
      <c r="HHW2" s="230"/>
      <c r="HHX2" s="231"/>
      <c r="HHY2" s="229" t="s">
        <v>13328</v>
      </c>
      <c r="HHZ2" s="230"/>
      <c r="HIA2" s="230"/>
      <c r="HIB2" s="231"/>
      <c r="HIC2" s="229" t="s">
        <v>13328</v>
      </c>
      <c r="HID2" s="230"/>
      <c r="HIE2" s="230"/>
      <c r="HIF2" s="231"/>
      <c r="HIG2" s="229" t="s">
        <v>13328</v>
      </c>
      <c r="HIH2" s="230"/>
      <c r="HII2" s="230"/>
      <c r="HIJ2" s="231"/>
      <c r="HIK2" s="229" t="s">
        <v>13328</v>
      </c>
      <c r="HIL2" s="230"/>
      <c r="HIM2" s="230"/>
      <c r="HIN2" s="231"/>
      <c r="HIO2" s="229" t="s">
        <v>13328</v>
      </c>
      <c r="HIP2" s="230"/>
      <c r="HIQ2" s="230"/>
      <c r="HIR2" s="231"/>
      <c r="HIS2" s="229" t="s">
        <v>13328</v>
      </c>
      <c r="HIT2" s="230"/>
      <c r="HIU2" s="230"/>
      <c r="HIV2" s="231"/>
      <c r="HIW2" s="229" t="s">
        <v>13328</v>
      </c>
      <c r="HIX2" s="230"/>
      <c r="HIY2" s="230"/>
      <c r="HIZ2" s="231"/>
      <c r="HJA2" s="229" t="s">
        <v>13328</v>
      </c>
      <c r="HJB2" s="230"/>
      <c r="HJC2" s="230"/>
      <c r="HJD2" s="231"/>
      <c r="HJE2" s="229" t="s">
        <v>13328</v>
      </c>
      <c r="HJF2" s="230"/>
      <c r="HJG2" s="230"/>
      <c r="HJH2" s="231"/>
      <c r="HJI2" s="229" t="s">
        <v>13328</v>
      </c>
      <c r="HJJ2" s="230"/>
      <c r="HJK2" s="230"/>
      <c r="HJL2" s="231"/>
      <c r="HJM2" s="229" t="s">
        <v>13328</v>
      </c>
      <c r="HJN2" s="230"/>
      <c r="HJO2" s="230"/>
      <c r="HJP2" s="231"/>
      <c r="HJQ2" s="229" t="s">
        <v>13328</v>
      </c>
      <c r="HJR2" s="230"/>
      <c r="HJS2" s="230"/>
      <c r="HJT2" s="231"/>
      <c r="HJU2" s="229" t="s">
        <v>13328</v>
      </c>
      <c r="HJV2" s="230"/>
      <c r="HJW2" s="230"/>
      <c r="HJX2" s="231"/>
      <c r="HJY2" s="229" t="s">
        <v>13328</v>
      </c>
      <c r="HJZ2" s="230"/>
      <c r="HKA2" s="230"/>
      <c r="HKB2" s="231"/>
      <c r="HKC2" s="229" t="s">
        <v>13328</v>
      </c>
      <c r="HKD2" s="230"/>
      <c r="HKE2" s="230"/>
      <c r="HKF2" s="231"/>
      <c r="HKG2" s="229" t="s">
        <v>13328</v>
      </c>
      <c r="HKH2" s="230"/>
      <c r="HKI2" s="230"/>
      <c r="HKJ2" s="231"/>
      <c r="HKK2" s="229" t="s">
        <v>13328</v>
      </c>
      <c r="HKL2" s="230"/>
      <c r="HKM2" s="230"/>
      <c r="HKN2" s="231"/>
      <c r="HKO2" s="229" t="s">
        <v>13328</v>
      </c>
      <c r="HKP2" s="230"/>
      <c r="HKQ2" s="230"/>
      <c r="HKR2" s="231"/>
      <c r="HKS2" s="229" t="s">
        <v>13328</v>
      </c>
      <c r="HKT2" s="230"/>
      <c r="HKU2" s="230"/>
      <c r="HKV2" s="231"/>
      <c r="HKW2" s="229" t="s">
        <v>13328</v>
      </c>
      <c r="HKX2" s="230"/>
      <c r="HKY2" s="230"/>
      <c r="HKZ2" s="231"/>
      <c r="HLA2" s="229" t="s">
        <v>13328</v>
      </c>
      <c r="HLB2" s="230"/>
      <c r="HLC2" s="230"/>
      <c r="HLD2" s="231"/>
      <c r="HLE2" s="229" t="s">
        <v>13328</v>
      </c>
      <c r="HLF2" s="230"/>
      <c r="HLG2" s="230"/>
      <c r="HLH2" s="231"/>
      <c r="HLI2" s="229" t="s">
        <v>13328</v>
      </c>
      <c r="HLJ2" s="230"/>
      <c r="HLK2" s="230"/>
      <c r="HLL2" s="231"/>
      <c r="HLM2" s="229" t="s">
        <v>13328</v>
      </c>
      <c r="HLN2" s="230"/>
      <c r="HLO2" s="230"/>
      <c r="HLP2" s="231"/>
      <c r="HLQ2" s="229" t="s">
        <v>13328</v>
      </c>
      <c r="HLR2" s="230"/>
      <c r="HLS2" s="230"/>
      <c r="HLT2" s="231"/>
      <c r="HLU2" s="229" t="s">
        <v>13328</v>
      </c>
      <c r="HLV2" s="230"/>
      <c r="HLW2" s="230"/>
      <c r="HLX2" s="231"/>
      <c r="HLY2" s="229" t="s">
        <v>13328</v>
      </c>
      <c r="HLZ2" s="230"/>
      <c r="HMA2" s="230"/>
      <c r="HMB2" s="231"/>
      <c r="HMC2" s="229" t="s">
        <v>13328</v>
      </c>
      <c r="HMD2" s="230"/>
      <c r="HME2" s="230"/>
      <c r="HMF2" s="231"/>
      <c r="HMG2" s="229" t="s">
        <v>13328</v>
      </c>
      <c r="HMH2" s="230"/>
      <c r="HMI2" s="230"/>
      <c r="HMJ2" s="231"/>
      <c r="HMK2" s="229" t="s">
        <v>13328</v>
      </c>
      <c r="HML2" s="230"/>
      <c r="HMM2" s="230"/>
      <c r="HMN2" s="231"/>
      <c r="HMO2" s="229" t="s">
        <v>13328</v>
      </c>
      <c r="HMP2" s="230"/>
      <c r="HMQ2" s="230"/>
      <c r="HMR2" s="231"/>
      <c r="HMS2" s="229" t="s">
        <v>13328</v>
      </c>
      <c r="HMT2" s="230"/>
      <c r="HMU2" s="230"/>
      <c r="HMV2" s="231"/>
      <c r="HMW2" s="229" t="s">
        <v>13328</v>
      </c>
      <c r="HMX2" s="230"/>
      <c r="HMY2" s="230"/>
      <c r="HMZ2" s="231"/>
      <c r="HNA2" s="229" t="s">
        <v>13328</v>
      </c>
      <c r="HNB2" s="230"/>
      <c r="HNC2" s="230"/>
      <c r="HND2" s="231"/>
      <c r="HNE2" s="229" t="s">
        <v>13328</v>
      </c>
      <c r="HNF2" s="230"/>
      <c r="HNG2" s="230"/>
      <c r="HNH2" s="231"/>
      <c r="HNI2" s="229" t="s">
        <v>13328</v>
      </c>
      <c r="HNJ2" s="230"/>
      <c r="HNK2" s="230"/>
      <c r="HNL2" s="231"/>
      <c r="HNM2" s="229" t="s">
        <v>13328</v>
      </c>
      <c r="HNN2" s="230"/>
      <c r="HNO2" s="230"/>
      <c r="HNP2" s="231"/>
      <c r="HNQ2" s="229" t="s">
        <v>13328</v>
      </c>
      <c r="HNR2" s="230"/>
      <c r="HNS2" s="230"/>
      <c r="HNT2" s="231"/>
      <c r="HNU2" s="229" t="s">
        <v>13328</v>
      </c>
      <c r="HNV2" s="230"/>
      <c r="HNW2" s="230"/>
      <c r="HNX2" s="231"/>
      <c r="HNY2" s="229" t="s">
        <v>13328</v>
      </c>
      <c r="HNZ2" s="230"/>
      <c r="HOA2" s="230"/>
      <c r="HOB2" s="231"/>
      <c r="HOC2" s="229" t="s">
        <v>13328</v>
      </c>
      <c r="HOD2" s="230"/>
      <c r="HOE2" s="230"/>
      <c r="HOF2" s="231"/>
      <c r="HOG2" s="229" t="s">
        <v>13328</v>
      </c>
      <c r="HOH2" s="230"/>
      <c r="HOI2" s="230"/>
      <c r="HOJ2" s="231"/>
      <c r="HOK2" s="229" t="s">
        <v>13328</v>
      </c>
      <c r="HOL2" s="230"/>
      <c r="HOM2" s="230"/>
      <c r="HON2" s="231"/>
      <c r="HOO2" s="229" t="s">
        <v>13328</v>
      </c>
      <c r="HOP2" s="230"/>
      <c r="HOQ2" s="230"/>
      <c r="HOR2" s="231"/>
      <c r="HOS2" s="229" t="s">
        <v>13328</v>
      </c>
      <c r="HOT2" s="230"/>
      <c r="HOU2" s="230"/>
      <c r="HOV2" s="231"/>
      <c r="HOW2" s="229" t="s">
        <v>13328</v>
      </c>
      <c r="HOX2" s="230"/>
      <c r="HOY2" s="230"/>
      <c r="HOZ2" s="231"/>
      <c r="HPA2" s="229" t="s">
        <v>13328</v>
      </c>
      <c r="HPB2" s="230"/>
      <c r="HPC2" s="230"/>
      <c r="HPD2" s="231"/>
      <c r="HPE2" s="229" t="s">
        <v>13328</v>
      </c>
      <c r="HPF2" s="230"/>
      <c r="HPG2" s="230"/>
      <c r="HPH2" s="231"/>
      <c r="HPI2" s="229" t="s">
        <v>13328</v>
      </c>
      <c r="HPJ2" s="230"/>
      <c r="HPK2" s="230"/>
      <c r="HPL2" s="231"/>
      <c r="HPM2" s="229" t="s">
        <v>13328</v>
      </c>
      <c r="HPN2" s="230"/>
      <c r="HPO2" s="230"/>
      <c r="HPP2" s="231"/>
      <c r="HPQ2" s="229" t="s">
        <v>13328</v>
      </c>
      <c r="HPR2" s="230"/>
      <c r="HPS2" s="230"/>
      <c r="HPT2" s="231"/>
      <c r="HPU2" s="229" t="s">
        <v>13328</v>
      </c>
      <c r="HPV2" s="230"/>
      <c r="HPW2" s="230"/>
      <c r="HPX2" s="231"/>
      <c r="HPY2" s="229" t="s">
        <v>13328</v>
      </c>
      <c r="HPZ2" s="230"/>
      <c r="HQA2" s="230"/>
      <c r="HQB2" s="231"/>
      <c r="HQC2" s="229" t="s">
        <v>13328</v>
      </c>
      <c r="HQD2" s="230"/>
      <c r="HQE2" s="230"/>
      <c r="HQF2" s="231"/>
      <c r="HQG2" s="229" t="s">
        <v>13328</v>
      </c>
      <c r="HQH2" s="230"/>
      <c r="HQI2" s="230"/>
      <c r="HQJ2" s="231"/>
      <c r="HQK2" s="229" t="s">
        <v>13328</v>
      </c>
      <c r="HQL2" s="230"/>
      <c r="HQM2" s="230"/>
      <c r="HQN2" s="231"/>
      <c r="HQO2" s="229" t="s">
        <v>13328</v>
      </c>
      <c r="HQP2" s="230"/>
      <c r="HQQ2" s="230"/>
      <c r="HQR2" s="231"/>
      <c r="HQS2" s="229" t="s">
        <v>13328</v>
      </c>
      <c r="HQT2" s="230"/>
      <c r="HQU2" s="230"/>
      <c r="HQV2" s="231"/>
      <c r="HQW2" s="229" t="s">
        <v>13328</v>
      </c>
      <c r="HQX2" s="230"/>
      <c r="HQY2" s="230"/>
      <c r="HQZ2" s="231"/>
      <c r="HRA2" s="229" t="s">
        <v>13328</v>
      </c>
      <c r="HRB2" s="230"/>
      <c r="HRC2" s="230"/>
      <c r="HRD2" s="231"/>
      <c r="HRE2" s="229" t="s">
        <v>13328</v>
      </c>
      <c r="HRF2" s="230"/>
      <c r="HRG2" s="230"/>
      <c r="HRH2" s="231"/>
      <c r="HRI2" s="229" t="s">
        <v>13328</v>
      </c>
      <c r="HRJ2" s="230"/>
      <c r="HRK2" s="230"/>
      <c r="HRL2" s="231"/>
      <c r="HRM2" s="229" t="s">
        <v>13328</v>
      </c>
      <c r="HRN2" s="230"/>
      <c r="HRO2" s="230"/>
      <c r="HRP2" s="231"/>
      <c r="HRQ2" s="229" t="s">
        <v>13328</v>
      </c>
      <c r="HRR2" s="230"/>
      <c r="HRS2" s="230"/>
      <c r="HRT2" s="231"/>
      <c r="HRU2" s="229" t="s">
        <v>13328</v>
      </c>
      <c r="HRV2" s="230"/>
      <c r="HRW2" s="230"/>
      <c r="HRX2" s="231"/>
      <c r="HRY2" s="229" t="s">
        <v>13328</v>
      </c>
      <c r="HRZ2" s="230"/>
      <c r="HSA2" s="230"/>
      <c r="HSB2" s="231"/>
      <c r="HSC2" s="229" t="s">
        <v>13328</v>
      </c>
      <c r="HSD2" s="230"/>
      <c r="HSE2" s="230"/>
      <c r="HSF2" s="231"/>
      <c r="HSG2" s="229" t="s">
        <v>13328</v>
      </c>
      <c r="HSH2" s="230"/>
      <c r="HSI2" s="230"/>
      <c r="HSJ2" s="231"/>
      <c r="HSK2" s="229" t="s">
        <v>13328</v>
      </c>
      <c r="HSL2" s="230"/>
      <c r="HSM2" s="230"/>
      <c r="HSN2" s="231"/>
      <c r="HSO2" s="229" t="s">
        <v>13328</v>
      </c>
      <c r="HSP2" s="230"/>
      <c r="HSQ2" s="230"/>
      <c r="HSR2" s="231"/>
      <c r="HSS2" s="229" t="s">
        <v>13328</v>
      </c>
      <c r="HST2" s="230"/>
      <c r="HSU2" s="230"/>
      <c r="HSV2" s="231"/>
      <c r="HSW2" s="229" t="s">
        <v>13328</v>
      </c>
      <c r="HSX2" s="230"/>
      <c r="HSY2" s="230"/>
      <c r="HSZ2" s="231"/>
      <c r="HTA2" s="229" t="s">
        <v>13328</v>
      </c>
      <c r="HTB2" s="230"/>
      <c r="HTC2" s="230"/>
      <c r="HTD2" s="231"/>
      <c r="HTE2" s="229" t="s">
        <v>13328</v>
      </c>
      <c r="HTF2" s="230"/>
      <c r="HTG2" s="230"/>
      <c r="HTH2" s="231"/>
      <c r="HTI2" s="229" t="s">
        <v>13328</v>
      </c>
      <c r="HTJ2" s="230"/>
      <c r="HTK2" s="230"/>
      <c r="HTL2" s="231"/>
      <c r="HTM2" s="229" t="s">
        <v>13328</v>
      </c>
      <c r="HTN2" s="230"/>
      <c r="HTO2" s="230"/>
      <c r="HTP2" s="231"/>
      <c r="HTQ2" s="229" t="s">
        <v>13328</v>
      </c>
      <c r="HTR2" s="230"/>
      <c r="HTS2" s="230"/>
      <c r="HTT2" s="231"/>
      <c r="HTU2" s="229" t="s">
        <v>13328</v>
      </c>
      <c r="HTV2" s="230"/>
      <c r="HTW2" s="230"/>
      <c r="HTX2" s="231"/>
      <c r="HTY2" s="229" t="s">
        <v>13328</v>
      </c>
      <c r="HTZ2" s="230"/>
      <c r="HUA2" s="230"/>
      <c r="HUB2" s="231"/>
      <c r="HUC2" s="229" t="s">
        <v>13328</v>
      </c>
      <c r="HUD2" s="230"/>
      <c r="HUE2" s="230"/>
      <c r="HUF2" s="231"/>
      <c r="HUG2" s="229" t="s">
        <v>13328</v>
      </c>
      <c r="HUH2" s="230"/>
      <c r="HUI2" s="230"/>
      <c r="HUJ2" s="231"/>
      <c r="HUK2" s="229" t="s">
        <v>13328</v>
      </c>
      <c r="HUL2" s="230"/>
      <c r="HUM2" s="230"/>
      <c r="HUN2" s="231"/>
      <c r="HUO2" s="229" t="s">
        <v>13328</v>
      </c>
      <c r="HUP2" s="230"/>
      <c r="HUQ2" s="230"/>
      <c r="HUR2" s="231"/>
      <c r="HUS2" s="229" t="s">
        <v>13328</v>
      </c>
      <c r="HUT2" s="230"/>
      <c r="HUU2" s="230"/>
      <c r="HUV2" s="231"/>
      <c r="HUW2" s="229" t="s">
        <v>13328</v>
      </c>
      <c r="HUX2" s="230"/>
      <c r="HUY2" s="230"/>
      <c r="HUZ2" s="231"/>
      <c r="HVA2" s="229" t="s">
        <v>13328</v>
      </c>
      <c r="HVB2" s="230"/>
      <c r="HVC2" s="230"/>
      <c r="HVD2" s="231"/>
      <c r="HVE2" s="229" t="s">
        <v>13328</v>
      </c>
      <c r="HVF2" s="230"/>
      <c r="HVG2" s="230"/>
      <c r="HVH2" s="231"/>
      <c r="HVI2" s="229" t="s">
        <v>13328</v>
      </c>
      <c r="HVJ2" s="230"/>
      <c r="HVK2" s="230"/>
      <c r="HVL2" s="231"/>
      <c r="HVM2" s="229" t="s">
        <v>13328</v>
      </c>
      <c r="HVN2" s="230"/>
      <c r="HVO2" s="230"/>
      <c r="HVP2" s="231"/>
      <c r="HVQ2" s="229" t="s">
        <v>13328</v>
      </c>
      <c r="HVR2" s="230"/>
      <c r="HVS2" s="230"/>
      <c r="HVT2" s="231"/>
      <c r="HVU2" s="229" t="s">
        <v>13328</v>
      </c>
      <c r="HVV2" s="230"/>
      <c r="HVW2" s="230"/>
      <c r="HVX2" s="231"/>
      <c r="HVY2" s="229" t="s">
        <v>13328</v>
      </c>
      <c r="HVZ2" s="230"/>
      <c r="HWA2" s="230"/>
      <c r="HWB2" s="231"/>
      <c r="HWC2" s="229" t="s">
        <v>13328</v>
      </c>
      <c r="HWD2" s="230"/>
      <c r="HWE2" s="230"/>
      <c r="HWF2" s="231"/>
      <c r="HWG2" s="229" t="s">
        <v>13328</v>
      </c>
      <c r="HWH2" s="230"/>
      <c r="HWI2" s="230"/>
      <c r="HWJ2" s="231"/>
      <c r="HWK2" s="229" t="s">
        <v>13328</v>
      </c>
      <c r="HWL2" s="230"/>
      <c r="HWM2" s="230"/>
      <c r="HWN2" s="231"/>
      <c r="HWO2" s="229" t="s">
        <v>13328</v>
      </c>
      <c r="HWP2" s="230"/>
      <c r="HWQ2" s="230"/>
      <c r="HWR2" s="231"/>
      <c r="HWS2" s="229" t="s">
        <v>13328</v>
      </c>
      <c r="HWT2" s="230"/>
      <c r="HWU2" s="230"/>
      <c r="HWV2" s="231"/>
      <c r="HWW2" s="229" t="s">
        <v>13328</v>
      </c>
      <c r="HWX2" s="230"/>
      <c r="HWY2" s="230"/>
      <c r="HWZ2" s="231"/>
      <c r="HXA2" s="229" t="s">
        <v>13328</v>
      </c>
      <c r="HXB2" s="230"/>
      <c r="HXC2" s="230"/>
      <c r="HXD2" s="231"/>
      <c r="HXE2" s="229" t="s">
        <v>13328</v>
      </c>
      <c r="HXF2" s="230"/>
      <c r="HXG2" s="230"/>
      <c r="HXH2" s="231"/>
      <c r="HXI2" s="229" t="s">
        <v>13328</v>
      </c>
      <c r="HXJ2" s="230"/>
      <c r="HXK2" s="230"/>
      <c r="HXL2" s="231"/>
      <c r="HXM2" s="229" t="s">
        <v>13328</v>
      </c>
      <c r="HXN2" s="230"/>
      <c r="HXO2" s="230"/>
      <c r="HXP2" s="231"/>
      <c r="HXQ2" s="229" t="s">
        <v>13328</v>
      </c>
      <c r="HXR2" s="230"/>
      <c r="HXS2" s="230"/>
      <c r="HXT2" s="231"/>
      <c r="HXU2" s="229" t="s">
        <v>13328</v>
      </c>
      <c r="HXV2" s="230"/>
      <c r="HXW2" s="230"/>
      <c r="HXX2" s="231"/>
      <c r="HXY2" s="229" t="s">
        <v>13328</v>
      </c>
      <c r="HXZ2" s="230"/>
      <c r="HYA2" s="230"/>
      <c r="HYB2" s="231"/>
      <c r="HYC2" s="229" t="s">
        <v>13328</v>
      </c>
      <c r="HYD2" s="230"/>
      <c r="HYE2" s="230"/>
      <c r="HYF2" s="231"/>
      <c r="HYG2" s="229" t="s">
        <v>13328</v>
      </c>
      <c r="HYH2" s="230"/>
      <c r="HYI2" s="230"/>
      <c r="HYJ2" s="231"/>
      <c r="HYK2" s="229" t="s">
        <v>13328</v>
      </c>
      <c r="HYL2" s="230"/>
      <c r="HYM2" s="230"/>
      <c r="HYN2" s="231"/>
      <c r="HYO2" s="229" t="s">
        <v>13328</v>
      </c>
      <c r="HYP2" s="230"/>
      <c r="HYQ2" s="230"/>
      <c r="HYR2" s="231"/>
      <c r="HYS2" s="229" t="s">
        <v>13328</v>
      </c>
      <c r="HYT2" s="230"/>
      <c r="HYU2" s="230"/>
      <c r="HYV2" s="231"/>
      <c r="HYW2" s="229" t="s">
        <v>13328</v>
      </c>
      <c r="HYX2" s="230"/>
      <c r="HYY2" s="230"/>
      <c r="HYZ2" s="231"/>
      <c r="HZA2" s="229" t="s">
        <v>13328</v>
      </c>
      <c r="HZB2" s="230"/>
      <c r="HZC2" s="230"/>
      <c r="HZD2" s="231"/>
      <c r="HZE2" s="229" t="s">
        <v>13328</v>
      </c>
      <c r="HZF2" s="230"/>
      <c r="HZG2" s="230"/>
      <c r="HZH2" s="231"/>
      <c r="HZI2" s="229" t="s">
        <v>13328</v>
      </c>
      <c r="HZJ2" s="230"/>
      <c r="HZK2" s="230"/>
      <c r="HZL2" s="231"/>
      <c r="HZM2" s="229" t="s">
        <v>13328</v>
      </c>
      <c r="HZN2" s="230"/>
      <c r="HZO2" s="230"/>
      <c r="HZP2" s="231"/>
      <c r="HZQ2" s="229" t="s">
        <v>13328</v>
      </c>
      <c r="HZR2" s="230"/>
      <c r="HZS2" s="230"/>
      <c r="HZT2" s="231"/>
      <c r="HZU2" s="229" t="s">
        <v>13328</v>
      </c>
      <c r="HZV2" s="230"/>
      <c r="HZW2" s="230"/>
      <c r="HZX2" s="231"/>
      <c r="HZY2" s="229" t="s">
        <v>13328</v>
      </c>
      <c r="HZZ2" s="230"/>
      <c r="IAA2" s="230"/>
      <c r="IAB2" s="231"/>
      <c r="IAC2" s="229" t="s">
        <v>13328</v>
      </c>
      <c r="IAD2" s="230"/>
      <c r="IAE2" s="230"/>
      <c r="IAF2" s="231"/>
      <c r="IAG2" s="229" t="s">
        <v>13328</v>
      </c>
      <c r="IAH2" s="230"/>
      <c r="IAI2" s="230"/>
      <c r="IAJ2" s="231"/>
      <c r="IAK2" s="229" t="s">
        <v>13328</v>
      </c>
      <c r="IAL2" s="230"/>
      <c r="IAM2" s="230"/>
      <c r="IAN2" s="231"/>
      <c r="IAO2" s="229" t="s">
        <v>13328</v>
      </c>
      <c r="IAP2" s="230"/>
      <c r="IAQ2" s="230"/>
      <c r="IAR2" s="231"/>
      <c r="IAS2" s="229" t="s">
        <v>13328</v>
      </c>
      <c r="IAT2" s="230"/>
      <c r="IAU2" s="230"/>
      <c r="IAV2" s="231"/>
      <c r="IAW2" s="229" t="s">
        <v>13328</v>
      </c>
      <c r="IAX2" s="230"/>
      <c r="IAY2" s="230"/>
      <c r="IAZ2" s="231"/>
      <c r="IBA2" s="229" t="s">
        <v>13328</v>
      </c>
      <c r="IBB2" s="230"/>
      <c r="IBC2" s="230"/>
      <c r="IBD2" s="231"/>
      <c r="IBE2" s="229" t="s">
        <v>13328</v>
      </c>
      <c r="IBF2" s="230"/>
      <c r="IBG2" s="230"/>
      <c r="IBH2" s="231"/>
      <c r="IBI2" s="229" t="s">
        <v>13328</v>
      </c>
      <c r="IBJ2" s="230"/>
      <c r="IBK2" s="230"/>
      <c r="IBL2" s="231"/>
      <c r="IBM2" s="229" t="s">
        <v>13328</v>
      </c>
      <c r="IBN2" s="230"/>
      <c r="IBO2" s="230"/>
      <c r="IBP2" s="231"/>
      <c r="IBQ2" s="229" t="s">
        <v>13328</v>
      </c>
      <c r="IBR2" s="230"/>
      <c r="IBS2" s="230"/>
      <c r="IBT2" s="231"/>
      <c r="IBU2" s="229" t="s">
        <v>13328</v>
      </c>
      <c r="IBV2" s="230"/>
      <c r="IBW2" s="230"/>
      <c r="IBX2" s="231"/>
      <c r="IBY2" s="229" t="s">
        <v>13328</v>
      </c>
      <c r="IBZ2" s="230"/>
      <c r="ICA2" s="230"/>
      <c r="ICB2" s="231"/>
      <c r="ICC2" s="229" t="s">
        <v>13328</v>
      </c>
      <c r="ICD2" s="230"/>
      <c r="ICE2" s="230"/>
      <c r="ICF2" s="231"/>
      <c r="ICG2" s="229" t="s">
        <v>13328</v>
      </c>
      <c r="ICH2" s="230"/>
      <c r="ICI2" s="230"/>
      <c r="ICJ2" s="231"/>
      <c r="ICK2" s="229" t="s">
        <v>13328</v>
      </c>
      <c r="ICL2" s="230"/>
      <c r="ICM2" s="230"/>
      <c r="ICN2" s="231"/>
      <c r="ICO2" s="229" t="s">
        <v>13328</v>
      </c>
      <c r="ICP2" s="230"/>
      <c r="ICQ2" s="230"/>
      <c r="ICR2" s="231"/>
      <c r="ICS2" s="229" t="s">
        <v>13328</v>
      </c>
      <c r="ICT2" s="230"/>
      <c r="ICU2" s="230"/>
      <c r="ICV2" s="231"/>
      <c r="ICW2" s="229" t="s">
        <v>13328</v>
      </c>
      <c r="ICX2" s="230"/>
      <c r="ICY2" s="230"/>
      <c r="ICZ2" s="231"/>
      <c r="IDA2" s="229" t="s">
        <v>13328</v>
      </c>
      <c r="IDB2" s="230"/>
      <c r="IDC2" s="230"/>
      <c r="IDD2" s="231"/>
      <c r="IDE2" s="229" t="s">
        <v>13328</v>
      </c>
      <c r="IDF2" s="230"/>
      <c r="IDG2" s="230"/>
      <c r="IDH2" s="231"/>
      <c r="IDI2" s="229" t="s">
        <v>13328</v>
      </c>
      <c r="IDJ2" s="230"/>
      <c r="IDK2" s="230"/>
      <c r="IDL2" s="231"/>
      <c r="IDM2" s="229" t="s">
        <v>13328</v>
      </c>
      <c r="IDN2" s="230"/>
      <c r="IDO2" s="230"/>
      <c r="IDP2" s="231"/>
      <c r="IDQ2" s="229" t="s">
        <v>13328</v>
      </c>
      <c r="IDR2" s="230"/>
      <c r="IDS2" s="230"/>
      <c r="IDT2" s="231"/>
      <c r="IDU2" s="229" t="s">
        <v>13328</v>
      </c>
      <c r="IDV2" s="230"/>
      <c r="IDW2" s="230"/>
      <c r="IDX2" s="231"/>
      <c r="IDY2" s="229" t="s">
        <v>13328</v>
      </c>
      <c r="IDZ2" s="230"/>
      <c r="IEA2" s="230"/>
      <c r="IEB2" s="231"/>
      <c r="IEC2" s="229" t="s">
        <v>13328</v>
      </c>
      <c r="IED2" s="230"/>
      <c r="IEE2" s="230"/>
      <c r="IEF2" s="231"/>
      <c r="IEG2" s="229" t="s">
        <v>13328</v>
      </c>
      <c r="IEH2" s="230"/>
      <c r="IEI2" s="230"/>
      <c r="IEJ2" s="231"/>
      <c r="IEK2" s="229" t="s">
        <v>13328</v>
      </c>
      <c r="IEL2" s="230"/>
      <c r="IEM2" s="230"/>
      <c r="IEN2" s="231"/>
      <c r="IEO2" s="229" t="s">
        <v>13328</v>
      </c>
      <c r="IEP2" s="230"/>
      <c r="IEQ2" s="230"/>
      <c r="IER2" s="231"/>
      <c r="IES2" s="229" t="s">
        <v>13328</v>
      </c>
      <c r="IET2" s="230"/>
      <c r="IEU2" s="230"/>
      <c r="IEV2" s="231"/>
      <c r="IEW2" s="229" t="s">
        <v>13328</v>
      </c>
      <c r="IEX2" s="230"/>
      <c r="IEY2" s="230"/>
      <c r="IEZ2" s="231"/>
      <c r="IFA2" s="229" t="s">
        <v>13328</v>
      </c>
      <c r="IFB2" s="230"/>
      <c r="IFC2" s="230"/>
      <c r="IFD2" s="231"/>
      <c r="IFE2" s="229" t="s">
        <v>13328</v>
      </c>
      <c r="IFF2" s="230"/>
      <c r="IFG2" s="230"/>
      <c r="IFH2" s="231"/>
      <c r="IFI2" s="229" t="s">
        <v>13328</v>
      </c>
      <c r="IFJ2" s="230"/>
      <c r="IFK2" s="230"/>
      <c r="IFL2" s="231"/>
      <c r="IFM2" s="229" t="s">
        <v>13328</v>
      </c>
      <c r="IFN2" s="230"/>
      <c r="IFO2" s="230"/>
      <c r="IFP2" s="231"/>
      <c r="IFQ2" s="229" t="s">
        <v>13328</v>
      </c>
      <c r="IFR2" s="230"/>
      <c r="IFS2" s="230"/>
      <c r="IFT2" s="231"/>
      <c r="IFU2" s="229" t="s">
        <v>13328</v>
      </c>
      <c r="IFV2" s="230"/>
      <c r="IFW2" s="230"/>
      <c r="IFX2" s="231"/>
      <c r="IFY2" s="229" t="s">
        <v>13328</v>
      </c>
      <c r="IFZ2" s="230"/>
      <c r="IGA2" s="230"/>
      <c r="IGB2" s="231"/>
      <c r="IGC2" s="229" t="s">
        <v>13328</v>
      </c>
      <c r="IGD2" s="230"/>
      <c r="IGE2" s="230"/>
      <c r="IGF2" s="231"/>
      <c r="IGG2" s="229" t="s">
        <v>13328</v>
      </c>
      <c r="IGH2" s="230"/>
      <c r="IGI2" s="230"/>
      <c r="IGJ2" s="231"/>
      <c r="IGK2" s="229" t="s">
        <v>13328</v>
      </c>
      <c r="IGL2" s="230"/>
      <c r="IGM2" s="230"/>
      <c r="IGN2" s="231"/>
      <c r="IGO2" s="229" t="s">
        <v>13328</v>
      </c>
      <c r="IGP2" s="230"/>
      <c r="IGQ2" s="230"/>
      <c r="IGR2" s="231"/>
      <c r="IGS2" s="229" t="s">
        <v>13328</v>
      </c>
      <c r="IGT2" s="230"/>
      <c r="IGU2" s="230"/>
      <c r="IGV2" s="231"/>
      <c r="IGW2" s="229" t="s">
        <v>13328</v>
      </c>
      <c r="IGX2" s="230"/>
      <c r="IGY2" s="230"/>
      <c r="IGZ2" s="231"/>
      <c r="IHA2" s="229" t="s">
        <v>13328</v>
      </c>
      <c r="IHB2" s="230"/>
      <c r="IHC2" s="230"/>
      <c r="IHD2" s="231"/>
      <c r="IHE2" s="229" t="s">
        <v>13328</v>
      </c>
      <c r="IHF2" s="230"/>
      <c r="IHG2" s="230"/>
      <c r="IHH2" s="231"/>
      <c r="IHI2" s="229" t="s">
        <v>13328</v>
      </c>
      <c r="IHJ2" s="230"/>
      <c r="IHK2" s="230"/>
      <c r="IHL2" s="231"/>
      <c r="IHM2" s="229" t="s">
        <v>13328</v>
      </c>
      <c r="IHN2" s="230"/>
      <c r="IHO2" s="230"/>
      <c r="IHP2" s="231"/>
      <c r="IHQ2" s="229" t="s">
        <v>13328</v>
      </c>
      <c r="IHR2" s="230"/>
      <c r="IHS2" s="230"/>
      <c r="IHT2" s="231"/>
      <c r="IHU2" s="229" t="s">
        <v>13328</v>
      </c>
      <c r="IHV2" s="230"/>
      <c r="IHW2" s="230"/>
      <c r="IHX2" s="231"/>
      <c r="IHY2" s="229" t="s">
        <v>13328</v>
      </c>
      <c r="IHZ2" s="230"/>
      <c r="IIA2" s="230"/>
      <c r="IIB2" s="231"/>
      <c r="IIC2" s="229" t="s">
        <v>13328</v>
      </c>
      <c r="IID2" s="230"/>
      <c r="IIE2" s="230"/>
      <c r="IIF2" s="231"/>
      <c r="IIG2" s="229" t="s">
        <v>13328</v>
      </c>
      <c r="IIH2" s="230"/>
      <c r="III2" s="230"/>
      <c r="IIJ2" s="231"/>
      <c r="IIK2" s="229" t="s">
        <v>13328</v>
      </c>
      <c r="IIL2" s="230"/>
      <c r="IIM2" s="230"/>
      <c r="IIN2" s="231"/>
      <c r="IIO2" s="229" t="s">
        <v>13328</v>
      </c>
      <c r="IIP2" s="230"/>
      <c r="IIQ2" s="230"/>
      <c r="IIR2" s="231"/>
      <c r="IIS2" s="229" t="s">
        <v>13328</v>
      </c>
      <c r="IIT2" s="230"/>
      <c r="IIU2" s="230"/>
      <c r="IIV2" s="231"/>
      <c r="IIW2" s="229" t="s">
        <v>13328</v>
      </c>
      <c r="IIX2" s="230"/>
      <c r="IIY2" s="230"/>
      <c r="IIZ2" s="231"/>
      <c r="IJA2" s="229" t="s">
        <v>13328</v>
      </c>
      <c r="IJB2" s="230"/>
      <c r="IJC2" s="230"/>
      <c r="IJD2" s="231"/>
      <c r="IJE2" s="229" t="s">
        <v>13328</v>
      </c>
      <c r="IJF2" s="230"/>
      <c r="IJG2" s="230"/>
      <c r="IJH2" s="231"/>
      <c r="IJI2" s="229" t="s">
        <v>13328</v>
      </c>
      <c r="IJJ2" s="230"/>
      <c r="IJK2" s="230"/>
      <c r="IJL2" s="231"/>
      <c r="IJM2" s="229" t="s">
        <v>13328</v>
      </c>
      <c r="IJN2" s="230"/>
      <c r="IJO2" s="230"/>
      <c r="IJP2" s="231"/>
      <c r="IJQ2" s="229" t="s">
        <v>13328</v>
      </c>
      <c r="IJR2" s="230"/>
      <c r="IJS2" s="230"/>
      <c r="IJT2" s="231"/>
      <c r="IJU2" s="229" t="s">
        <v>13328</v>
      </c>
      <c r="IJV2" s="230"/>
      <c r="IJW2" s="230"/>
      <c r="IJX2" s="231"/>
      <c r="IJY2" s="229" t="s">
        <v>13328</v>
      </c>
      <c r="IJZ2" s="230"/>
      <c r="IKA2" s="230"/>
      <c r="IKB2" s="231"/>
      <c r="IKC2" s="229" t="s">
        <v>13328</v>
      </c>
      <c r="IKD2" s="230"/>
      <c r="IKE2" s="230"/>
      <c r="IKF2" s="231"/>
      <c r="IKG2" s="229" t="s">
        <v>13328</v>
      </c>
      <c r="IKH2" s="230"/>
      <c r="IKI2" s="230"/>
      <c r="IKJ2" s="231"/>
      <c r="IKK2" s="229" t="s">
        <v>13328</v>
      </c>
      <c r="IKL2" s="230"/>
      <c r="IKM2" s="230"/>
      <c r="IKN2" s="231"/>
      <c r="IKO2" s="229" t="s">
        <v>13328</v>
      </c>
      <c r="IKP2" s="230"/>
      <c r="IKQ2" s="230"/>
      <c r="IKR2" s="231"/>
      <c r="IKS2" s="229" t="s">
        <v>13328</v>
      </c>
      <c r="IKT2" s="230"/>
      <c r="IKU2" s="230"/>
      <c r="IKV2" s="231"/>
      <c r="IKW2" s="229" t="s">
        <v>13328</v>
      </c>
      <c r="IKX2" s="230"/>
      <c r="IKY2" s="230"/>
      <c r="IKZ2" s="231"/>
      <c r="ILA2" s="229" t="s">
        <v>13328</v>
      </c>
      <c r="ILB2" s="230"/>
      <c r="ILC2" s="230"/>
      <c r="ILD2" s="231"/>
      <c r="ILE2" s="229" t="s">
        <v>13328</v>
      </c>
      <c r="ILF2" s="230"/>
      <c r="ILG2" s="230"/>
      <c r="ILH2" s="231"/>
      <c r="ILI2" s="229" t="s">
        <v>13328</v>
      </c>
      <c r="ILJ2" s="230"/>
      <c r="ILK2" s="230"/>
      <c r="ILL2" s="231"/>
      <c r="ILM2" s="229" t="s">
        <v>13328</v>
      </c>
      <c r="ILN2" s="230"/>
      <c r="ILO2" s="230"/>
      <c r="ILP2" s="231"/>
      <c r="ILQ2" s="229" t="s">
        <v>13328</v>
      </c>
      <c r="ILR2" s="230"/>
      <c r="ILS2" s="230"/>
      <c r="ILT2" s="231"/>
      <c r="ILU2" s="229" t="s">
        <v>13328</v>
      </c>
      <c r="ILV2" s="230"/>
      <c r="ILW2" s="230"/>
      <c r="ILX2" s="231"/>
      <c r="ILY2" s="229" t="s">
        <v>13328</v>
      </c>
      <c r="ILZ2" s="230"/>
      <c r="IMA2" s="230"/>
      <c r="IMB2" s="231"/>
      <c r="IMC2" s="229" t="s">
        <v>13328</v>
      </c>
      <c r="IMD2" s="230"/>
      <c r="IME2" s="230"/>
      <c r="IMF2" s="231"/>
      <c r="IMG2" s="229" t="s">
        <v>13328</v>
      </c>
      <c r="IMH2" s="230"/>
      <c r="IMI2" s="230"/>
      <c r="IMJ2" s="231"/>
      <c r="IMK2" s="229" t="s">
        <v>13328</v>
      </c>
      <c r="IML2" s="230"/>
      <c r="IMM2" s="230"/>
      <c r="IMN2" s="231"/>
      <c r="IMO2" s="229" t="s">
        <v>13328</v>
      </c>
      <c r="IMP2" s="230"/>
      <c r="IMQ2" s="230"/>
      <c r="IMR2" s="231"/>
      <c r="IMS2" s="229" t="s">
        <v>13328</v>
      </c>
      <c r="IMT2" s="230"/>
      <c r="IMU2" s="230"/>
      <c r="IMV2" s="231"/>
      <c r="IMW2" s="229" t="s">
        <v>13328</v>
      </c>
      <c r="IMX2" s="230"/>
      <c r="IMY2" s="230"/>
      <c r="IMZ2" s="231"/>
      <c r="INA2" s="229" t="s">
        <v>13328</v>
      </c>
      <c r="INB2" s="230"/>
      <c r="INC2" s="230"/>
      <c r="IND2" s="231"/>
      <c r="INE2" s="229" t="s">
        <v>13328</v>
      </c>
      <c r="INF2" s="230"/>
      <c r="ING2" s="230"/>
      <c r="INH2" s="231"/>
      <c r="INI2" s="229" t="s">
        <v>13328</v>
      </c>
      <c r="INJ2" s="230"/>
      <c r="INK2" s="230"/>
      <c r="INL2" s="231"/>
      <c r="INM2" s="229" t="s">
        <v>13328</v>
      </c>
      <c r="INN2" s="230"/>
      <c r="INO2" s="230"/>
      <c r="INP2" s="231"/>
      <c r="INQ2" s="229" t="s">
        <v>13328</v>
      </c>
      <c r="INR2" s="230"/>
      <c r="INS2" s="230"/>
      <c r="INT2" s="231"/>
      <c r="INU2" s="229" t="s">
        <v>13328</v>
      </c>
      <c r="INV2" s="230"/>
      <c r="INW2" s="230"/>
      <c r="INX2" s="231"/>
      <c r="INY2" s="229" t="s">
        <v>13328</v>
      </c>
      <c r="INZ2" s="230"/>
      <c r="IOA2" s="230"/>
      <c r="IOB2" s="231"/>
      <c r="IOC2" s="229" t="s">
        <v>13328</v>
      </c>
      <c r="IOD2" s="230"/>
      <c r="IOE2" s="230"/>
      <c r="IOF2" s="231"/>
      <c r="IOG2" s="229" t="s">
        <v>13328</v>
      </c>
      <c r="IOH2" s="230"/>
      <c r="IOI2" s="230"/>
      <c r="IOJ2" s="231"/>
      <c r="IOK2" s="229" t="s">
        <v>13328</v>
      </c>
      <c r="IOL2" s="230"/>
      <c r="IOM2" s="230"/>
      <c r="ION2" s="231"/>
      <c r="IOO2" s="229" t="s">
        <v>13328</v>
      </c>
      <c r="IOP2" s="230"/>
      <c r="IOQ2" s="230"/>
      <c r="IOR2" s="231"/>
      <c r="IOS2" s="229" t="s">
        <v>13328</v>
      </c>
      <c r="IOT2" s="230"/>
      <c r="IOU2" s="230"/>
      <c r="IOV2" s="231"/>
      <c r="IOW2" s="229" t="s">
        <v>13328</v>
      </c>
      <c r="IOX2" s="230"/>
      <c r="IOY2" s="230"/>
      <c r="IOZ2" s="231"/>
      <c r="IPA2" s="229" t="s">
        <v>13328</v>
      </c>
      <c r="IPB2" s="230"/>
      <c r="IPC2" s="230"/>
      <c r="IPD2" s="231"/>
      <c r="IPE2" s="229" t="s">
        <v>13328</v>
      </c>
      <c r="IPF2" s="230"/>
      <c r="IPG2" s="230"/>
      <c r="IPH2" s="231"/>
      <c r="IPI2" s="229" t="s">
        <v>13328</v>
      </c>
      <c r="IPJ2" s="230"/>
      <c r="IPK2" s="230"/>
      <c r="IPL2" s="231"/>
      <c r="IPM2" s="229" t="s">
        <v>13328</v>
      </c>
      <c r="IPN2" s="230"/>
      <c r="IPO2" s="230"/>
      <c r="IPP2" s="231"/>
      <c r="IPQ2" s="229" t="s">
        <v>13328</v>
      </c>
      <c r="IPR2" s="230"/>
      <c r="IPS2" s="230"/>
      <c r="IPT2" s="231"/>
      <c r="IPU2" s="229" t="s">
        <v>13328</v>
      </c>
      <c r="IPV2" s="230"/>
      <c r="IPW2" s="230"/>
      <c r="IPX2" s="231"/>
      <c r="IPY2" s="229" t="s">
        <v>13328</v>
      </c>
      <c r="IPZ2" s="230"/>
      <c r="IQA2" s="230"/>
      <c r="IQB2" s="231"/>
      <c r="IQC2" s="229" t="s">
        <v>13328</v>
      </c>
      <c r="IQD2" s="230"/>
      <c r="IQE2" s="230"/>
      <c r="IQF2" s="231"/>
      <c r="IQG2" s="229" t="s">
        <v>13328</v>
      </c>
      <c r="IQH2" s="230"/>
      <c r="IQI2" s="230"/>
      <c r="IQJ2" s="231"/>
      <c r="IQK2" s="229" t="s">
        <v>13328</v>
      </c>
      <c r="IQL2" s="230"/>
      <c r="IQM2" s="230"/>
      <c r="IQN2" s="231"/>
      <c r="IQO2" s="229" t="s">
        <v>13328</v>
      </c>
      <c r="IQP2" s="230"/>
      <c r="IQQ2" s="230"/>
      <c r="IQR2" s="231"/>
      <c r="IQS2" s="229" t="s">
        <v>13328</v>
      </c>
      <c r="IQT2" s="230"/>
      <c r="IQU2" s="230"/>
      <c r="IQV2" s="231"/>
      <c r="IQW2" s="229" t="s">
        <v>13328</v>
      </c>
      <c r="IQX2" s="230"/>
      <c r="IQY2" s="230"/>
      <c r="IQZ2" s="231"/>
      <c r="IRA2" s="229" t="s">
        <v>13328</v>
      </c>
      <c r="IRB2" s="230"/>
      <c r="IRC2" s="230"/>
      <c r="IRD2" s="231"/>
      <c r="IRE2" s="229" t="s">
        <v>13328</v>
      </c>
      <c r="IRF2" s="230"/>
      <c r="IRG2" s="230"/>
      <c r="IRH2" s="231"/>
      <c r="IRI2" s="229" t="s">
        <v>13328</v>
      </c>
      <c r="IRJ2" s="230"/>
      <c r="IRK2" s="230"/>
      <c r="IRL2" s="231"/>
      <c r="IRM2" s="229" t="s">
        <v>13328</v>
      </c>
      <c r="IRN2" s="230"/>
      <c r="IRO2" s="230"/>
      <c r="IRP2" s="231"/>
      <c r="IRQ2" s="229" t="s">
        <v>13328</v>
      </c>
      <c r="IRR2" s="230"/>
      <c r="IRS2" s="230"/>
      <c r="IRT2" s="231"/>
      <c r="IRU2" s="229" t="s">
        <v>13328</v>
      </c>
      <c r="IRV2" s="230"/>
      <c r="IRW2" s="230"/>
      <c r="IRX2" s="231"/>
      <c r="IRY2" s="229" t="s">
        <v>13328</v>
      </c>
      <c r="IRZ2" s="230"/>
      <c r="ISA2" s="230"/>
      <c r="ISB2" s="231"/>
      <c r="ISC2" s="229" t="s">
        <v>13328</v>
      </c>
      <c r="ISD2" s="230"/>
      <c r="ISE2" s="230"/>
      <c r="ISF2" s="231"/>
      <c r="ISG2" s="229" t="s">
        <v>13328</v>
      </c>
      <c r="ISH2" s="230"/>
      <c r="ISI2" s="230"/>
      <c r="ISJ2" s="231"/>
      <c r="ISK2" s="229" t="s">
        <v>13328</v>
      </c>
      <c r="ISL2" s="230"/>
      <c r="ISM2" s="230"/>
      <c r="ISN2" s="231"/>
      <c r="ISO2" s="229" t="s">
        <v>13328</v>
      </c>
      <c r="ISP2" s="230"/>
      <c r="ISQ2" s="230"/>
      <c r="ISR2" s="231"/>
      <c r="ISS2" s="229" t="s">
        <v>13328</v>
      </c>
      <c r="IST2" s="230"/>
      <c r="ISU2" s="230"/>
      <c r="ISV2" s="231"/>
      <c r="ISW2" s="229" t="s">
        <v>13328</v>
      </c>
      <c r="ISX2" s="230"/>
      <c r="ISY2" s="230"/>
      <c r="ISZ2" s="231"/>
      <c r="ITA2" s="229" t="s">
        <v>13328</v>
      </c>
      <c r="ITB2" s="230"/>
      <c r="ITC2" s="230"/>
      <c r="ITD2" s="231"/>
      <c r="ITE2" s="229" t="s">
        <v>13328</v>
      </c>
      <c r="ITF2" s="230"/>
      <c r="ITG2" s="230"/>
      <c r="ITH2" s="231"/>
      <c r="ITI2" s="229" t="s">
        <v>13328</v>
      </c>
      <c r="ITJ2" s="230"/>
      <c r="ITK2" s="230"/>
      <c r="ITL2" s="231"/>
      <c r="ITM2" s="229" t="s">
        <v>13328</v>
      </c>
      <c r="ITN2" s="230"/>
      <c r="ITO2" s="230"/>
      <c r="ITP2" s="231"/>
      <c r="ITQ2" s="229" t="s">
        <v>13328</v>
      </c>
      <c r="ITR2" s="230"/>
      <c r="ITS2" s="230"/>
      <c r="ITT2" s="231"/>
      <c r="ITU2" s="229" t="s">
        <v>13328</v>
      </c>
      <c r="ITV2" s="230"/>
      <c r="ITW2" s="230"/>
      <c r="ITX2" s="231"/>
      <c r="ITY2" s="229" t="s">
        <v>13328</v>
      </c>
      <c r="ITZ2" s="230"/>
      <c r="IUA2" s="230"/>
      <c r="IUB2" s="231"/>
      <c r="IUC2" s="229" t="s">
        <v>13328</v>
      </c>
      <c r="IUD2" s="230"/>
      <c r="IUE2" s="230"/>
      <c r="IUF2" s="231"/>
      <c r="IUG2" s="229" t="s">
        <v>13328</v>
      </c>
      <c r="IUH2" s="230"/>
      <c r="IUI2" s="230"/>
      <c r="IUJ2" s="231"/>
      <c r="IUK2" s="229" t="s">
        <v>13328</v>
      </c>
      <c r="IUL2" s="230"/>
      <c r="IUM2" s="230"/>
      <c r="IUN2" s="231"/>
      <c r="IUO2" s="229" t="s">
        <v>13328</v>
      </c>
      <c r="IUP2" s="230"/>
      <c r="IUQ2" s="230"/>
      <c r="IUR2" s="231"/>
      <c r="IUS2" s="229" t="s">
        <v>13328</v>
      </c>
      <c r="IUT2" s="230"/>
      <c r="IUU2" s="230"/>
      <c r="IUV2" s="231"/>
      <c r="IUW2" s="229" t="s">
        <v>13328</v>
      </c>
      <c r="IUX2" s="230"/>
      <c r="IUY2" s="230"/>
      <c r="IUZ2" s="231"/>
      <c r="IVA2" s="229" t="s">
        <v>13328</v>
      </c>
      <c r="IVB2" s="230"/>
      <c r="IVC2" s="230"/>
      <c r="IVD2" s="231"/>
      <c r="IVE2" s="229" t="s">
        <v>13328</v>
      </c>
      <c r="IVF2" s="230"/>
      <c r="IVG2" s="230"/>
      <c r="IVH2" s="231"/>
      <c r="IVI2" s="229" t="s">
        <v>13328</v>
      </c>
      <c r="IVJ2" s="230"/>
      <c r="IVK2" s="230"/>
      <c r="IVL2" s="231"/>
      <c r="IVM2" s="229" t="s">
        <v>13328</v>
      </c>
      <c r="IVN2" s="230"/>
      <c r="IVO2" s="230"/>
      <c r="IVP2" s="231"/>
      <c r="IVQ2" s="229" t="s">
        <v>13328</v>
      </c>
      <c r="IVR2" s="230"/>
      <c r="IVS2" s="230"/>
      <c r="IVT2" s="231"/>
      <c r="IVU2" s="229" t="s">
        <v>13328</v>
      </c>
      <c r="IVV2" s="230"/>
      <c r="IVW2" s="230"/>
      <c r="IVX2" s="231"/>
      <c r="IVY2" s="229" t="s">
        <v>13328</v>
      </c>
      <c r="IVZ2" s="230"/>
      <c r="IWA2" s="230"/>
      <c r="IWB2" s="231"/>
      <c r="IWC2" s="229" t="s">
        <v>13328</v>
      </c>
      <c r="IWD2" s="230"/>
      <c r="IWE2" s="230"/>
      <c r="IWF2" s="231"/>
      <c r="IWG2" s="229" t="s">
        <v>13328</v>
      </c>
      <c r="IWH2" s="230"/>
      <c r="IWI2" s="230"/>
      <c r="IWJ2" s="231"/>
      <c r="IWK2" s="229" t="s">
        <v>13328</v>
      </c>
      <c r="IWL2" s="230"/>
      <c r="IWM2" s="230"/>
      <c r="IWN2" s="231"/>
      <c r="IWO2" s="229" t="s">
        <v>13328</v>
      </c>
      <c r="IWP2" s="230"/>
      <c r="IWQ2" s="230"/>
      <c r="IWR2" s="231"/>
      <c r="IWS2" s="229" t="s">
        <v>13328</v>
      </c>
      <c r="IWT2" s="230"/>
      <c r="IWU2" s="230"/>
      <c r="IWV2" s="231"/>
      <c r="IWW2" s="229" t="s">
        <v>13328</v>
      </c>
      <c r="IWX2" s="230"/>
      <c r="IWY2" s="230"/>
      <c r="IWZ2" s="231"/>
      <c r="IXA2" s="229" t="s">
        <v>13328</v>
      </c>
      <c r="IXB2" s="230"/>
      <c r="IXC2" s="230"/>
      <c r="IXD2" s="231"/>
      <c r="IXE2" s="229" t="s">
        <v>13328</v>
      </c>
      <c r="IXF2" s="230"/>
      <c r="IXG2" s="230"/>
      <c r="IXH2" s="231"/>
      <c r="IXI2" s="229" t="s">
        <v>13328</v>
      </c>
      <c r="IXJ2" s="230"/>
      <c r="IXK2" s="230"/>
      <c r="IXL2" s="231"/>
      <c r="IXM2" s="229" t="s">
        <v>13328</v>
      </c>
      <c r="IXN2" s="230"/>
      <c r="IXO2" s="230"/>
      <c r="IXP2" s="231"/>
      <c r="IXQ2" s="229" t="s">
        <v>13328</v>
      </c>
      <c r="IXR2" s="230"/>
      <c r="IXS2" s="230"/>
      <c r="IXT2" s="231"/>
      <c r="IXU2" s="229" t="s">
        <v>13328</v>
      </c>
      <c r="IXV2" s="230"/>
      <c r="IXW2" s="230"/>
      <c r="IXX2" s="231"/>
      <c r="IXY2" s="229" t="s">
        <v>13328</v>
      </c>
      <c r="IXZ2" s="230"/>
      <c r="IYA2" s="230"/>
      <c r="IYB2" s="231"/>
      <c r="IYC2" s="229" t="s">
        <v>13328</v>
      </c>
      <c r="IYD2" s="230"/>
      <c r="IYE2" s="230"/>
      <c r="IYF2" s="231"/>
      <c r="IYG2" s="229" t="s">
        <v>13328</v>
      </c>
      <c r="IYH2" s="230"/>
      <c r="IYI2" s="230"/>
      <c r="IYJ2" s="231"/>
      <c r="IYK2" s="229" t="s">
        <v>13328</v>
      </c>
      <c r="IYL2" s="230"/>
      <c r="IYM2" s="230"/>
      <c r="IYN2" s="231"/>
      <c r="IYO2" s="229" t="s">
        <v>13328</v>
      </c>
      <c r="IYP2" s="230"/>
      <c r="IYQ2" s="230"/>
      <c r="IYR2" s="231"/>
      <c r="IYS2" s="229" t="s">
        <v>13328</v>
      </c>
      <c r="IYT2" s="230"/>
      <c r="IYU2" s="230"/>
      <c r="IYV2" s="231"/>
      <c r="IYW2" s="229" t="s">
        <v>13328</v>
      </c>
      <c r="IYX2" s="230"/>
      <c r="IYY2" s="230"/>
      <c r="IYZ2" s="231"/>
      <c r="IZA2" s="229" t="s">
        <v>13328</v>
      </c>
      <c r="IZB2" s="230"/>
      <c r="IZC2" s="230"/>
      <c r="IZD2" s="231"/>
      <c r="IZE2" s="229" t="s">
        <v>13328</v>
      </c>
      <c r="IZF2" s="230"/>
      <c r="IZG2" s="230"/>
      <c r="IZH2" s="231"/>
      <c r="IZI2" s="229" t="s">
        <v>13328</v>
      </c>
      <c r="IZJ2" s="230"/>
      <c r="IZK2" s="230"/>
      <c r="IZL2" s="231"/>
      <c r="IZM2" s="229" t="s">
        <v>13328</v>
      </c>
      <c r="IZN2" s="230"/>
      <c r="IZO2" s="230"/>
      <c r="IZP2" s="231"/>
      <c r="IZQ2" s="229" t="s">
        <v>13328</v>
      </c>
      <c r="IZR2" s="230"/>
      <c r="IZS2" s="230"/>
      <c r="IZT2" s="231"/>
      <c r="IZU2" s="229" t="s">
        <v>13328</v>
      </c>
      <c r="IZV2" s="230"/>
      <c r="IZW2" s="230"/>
      <c r="IZX2" s="231"/>
      <c r="IZY2" s="229" t="s">
        <v>13328</v>
      </c>
      <c r="IZZ2" s="230"/>
      <c r="JAA2" s="230"/>
      <c r="JAB2" s="231"/>
      <c r="JAC2" s="229" t="s">
        <v>13328</v>
      </c>
      <c r="JAD2" s="230"/>
      <c r="JAE2" s="230"/>
      <c r="JAF2" s="231"/>
      <c r="JAG2" s="229" t="s">
        <v>13328</v>
      </c>
      <c r="JAH2" s="230"/>
      <c r="JAI2" s="230"/>
      <c r="JAJ2" s="231"/>
      <c r="JAK2" s="229" t="s">
        <v>13328</v>
      </c>
      <c r="JAL2" s="230"/>
      <c r="JAM2" s="230"/>
      <c r="JAN2" s="231"/>
      <c r="JAO2" s="229" t="s">
        <v>13328</v>
      </c>
      <c r="JAP2" s="230"/>
      <c r="JAQ2" s="230"/>
      <c r="JAR2" s="231"/>
      <c r="JAS2" s="229" t="s">
        <v>13328</v>
      </c>
      <c r="JAT2" s="230"/>
      <c r="JAU2" s="230"/>
      <c r="JAV2" s="231"/>
      <c r="JAW2" s="229" t="s">
        <v>13328</v>
      </c>
      <c r="JAX2" s="230"/>
      <c r="JAY2" s="230"/>
      <c r="JAZ2" s="231"/>
      <c r="JBA2" s="229" t="s">
        <v>13328</v>
      </c>
      <c r="JBB2" s="230"/>
      <c r="JBC2" s="230"/>
      <c r="JBD2" s="231"/>
      <c r="JBE2" s="229" t="s">
        <v>13328</v>
      </c>
      <c r="JBF2" s="230"/>
      <c r="JBG2" s="230"/>
      <c r="JBH2" s="231"/>
      <c r="JBI2" s="229" t="s">
        <v>13328</v>
      </c>
      <c r="JBJ2" s="230"/>
      <c r="JBK2" s="230"/>
      <c r="JBL2" s="231"/>
      <c r="JBM2" s="229" t="s">
        <v>13328</v>
      </c>
      <c r="JBN2" s="230"/>
      <c r="JBO2" s="230"/>
      <c r="JBP2" s="231"/>
      <c r="JBQ2" s="229" t="s">
        <v>13328</v>
      </c>
      <c r="JBR2" s="230"/>
      <c r="JBS2" s="230"/>
      <c r="JBT2" s="231"/>
      <c r="JBU2" s="229" t="s">
        <v>13328</v>
      </c>
      <c r="JBV2" s="230"/>
      <c r="JBW2" s="230"/>
      <c r="JBX2" s="231"/>
      <c r="JBY2" s="229" t="s">
        <v>13328</v>
      </c>
      <c r="JBZ2" s="230"/>
      <c r="JCA2" s="230"/>
      <c r="JCB2" s="231"/>
      <c r="JCC2" s="229" t="s">
        <v>13328</v>
      </c>
      <c r="JCD2" s="230"/>
      <c r="JCE2" s="230"/>
      <c r="JCF2" s="231"/>
      <c r="JCG2" s="229" t="s">
        <v>13328</v>
      </c>
      <c r="JCH2" s="230"/>
      <c r="JCI2" s="230"/>
      <c r="JCJ2" s="231"/>
      <c r="JCK2" s="229" t="s">
        <v>13328</v>
      </c>
      <c r="JCL2" s="230"/>
      <c r="JCM2" s="230"/>
      <c r="JCN2" s="231"/>
      <c r="JCO2" s="229" t="s">
        <v>13328</v>
      </c>
      <c r="JCP2" s="230"/>
      <c r="JCQ2" s="230"/>
      <c r="JCR2" s="231"/>
      <c r="JCS2" s="229" t="s">
        <v>13328</v>
      </c>
      <c r="JCT2" s="230"/>
      <c r="JCU2" s="230"/>
      <c r="JCV2" s="231"/>
      <c r="JCW2" s="229" t="s">
        <v>13328</v>
      </c>
      <c r="JCX2" s="230"/>
      <c r="JCY2" s="230"/>
      <c r="JCZ2" s="231"/>
      <c r="JDA2" s="229" t="s">
        <v>13328</v>
      </c>
      <c r="JDB2" s="230"/>
      <c r="JDC2" s="230"/>
      <c r="JDD2" s="231"/>
      <c r="JDE2" s="229" t="s">
        <v>13328</v>
      </c>
      <c r="JDF2" s="230"/>
      <c r="JDG2" s="230"/>
      <c r="JDH2" s="231"/>
      <c r="JDI2" s="229" t="s">
        <v>13328</v>
      </c>
      <c r="JDJ2" s="230"/>
      <c r="JDK2" s="230"/>
      <c r="JDL2" s="231"/>
      <c r="JDM2" s="229" t="s">
        <v>13328</v>
      </c>
      <c r="JDN2" s="230"/>
      <c r="JDO2" s="230"/>
      <c r="JDP2" s="231"/>
      <c r="JDQ2" s="229" t="s">
        <v>13328</v>
      </c>
      <c r="JDR2" s="230"/>
      <c r="JDS2" s="230"/>
      <c r="JDT2" s="231"/>
      <c r="JDU2" s="229" t="s">
        <v>13328</v>
      </c>
      <c r="JDV2" s="230"/>
      <c r="JDW2" s="230"/>
      <c r="JDX2" s="231"/>
      <c r="JDY2" s="229" t="s">
        <v>13328</v>
      </c>
      <c r="JDZ2" s="230"/>
      <c r="JEA2" s="230"/>
      <c r="JEB2" s="231"/>
      <c r="JEC2" s="229" t="s">
        <v>13328</v>
      </c>
      <c r="JED2" s="230"/>
      <c r="JEE2" s="230"/>
      <c r="JEF2" s="231"/>
      <c r="JEG2" s="229" t="s">
        <v>13328</v>
      </c>
      <c r="JEH2" s="230"/>
      <c r="JEI2" s="230"/>
      <c r="JEJ2" s="231"/>
      <c r="JEK2" s="229" t="s">
        <v>13328</v>
      </c>
      <c r="JEL2" s="230"/>
      <c r="JEM2" s="230"/>
      <c r="JEN2" s="231"/>
      <c r="JEO2" s="229" t="s">
        <v>13328</v>
      </c>
      <c r="JEP2" s="230"/>
      <c r="JEQ2" s="230"/>
      <c r="JER2" s="231"/>
      <c r="JES2" s="229" t="s">
        <v>13328</v>
      </c>
      <c r="JET2" s="230"/>
      <c r="JEU2" s="230"/>
      <c r="JEV2" s="231"/>
      <c r="JEW2" s="229" t="s">
        <v>13328</v>
      </c>
      <c r="JEX2" s="230"/>
      <c r="JEY2" s="230"/>
      <c r="JEZ2" s="231"/>
      <c r="JFA2" s="229" t="s">
        <v>13328</v>
      </c>
      <c r="JFB2" s="230"/>
      <c r="JFC2" s="230"/>
      <c r="JFD2" s="231"/>
      <c r="JFE2" s="229" t="s">
        <v>13328</v>
      </c>
      <c r="JFF2" s="230"/>
      <c r="JFG2" s="230"/>
      <c r="JFH2" s="231"/>
      <c r="JFI2" s="229" t="s">
        <v>13328</v>
      </c>
      <c r="JFJ2" s="230"/>
      <c r="JFK2" s="230"/>
      <c r="JFL2" s="231"/>
      <c r="JFM2" s="229" t="s">
        <v>13328</v>
      </c>
      <c r="JFN2" s="230"/>
      <c r="JFO2" s="230"/>
      <c r="JFP2" s="231"/>
      <c r="JFQ2" s="229" t="s">
        <v>13328</v>
      </c>
      <c r="JFR2" s="230"/>
      <c r="JFS2" s="230"/>
      <c r="JFT2" s="231"/>
      <c r="JFU2" s="229" t="s">
        <v>13328</v>
      </c>
      <c r="JFV2" s="230"/>
      <c r="JFW2" s="230"/>
      <c r="JFX2" s="231"/>
      <c r="JFY2" s="229" t="s">
        <v>13328</v>
      </c>
      <c r="JFZ2" s="230"/>
      <c r="JGA2" s="230"/>
      <c r="JGB2" s="231"/>
      <c r="JGC2" s="229" t="s">
        <v>13328</v>
      </c>
      <c r="JGD2" s="230"/>
      <c r="JGE2" s="230"/>
      <c r="JGF2" s="231"/>
      <c r="JGG2" s="229" t="s">
        <v>13328</v>
      </c>
      <c r="JGH2" s="230"/>
      <c r="JGI2" s="230"/>
      <c r="JGJ2" s="231"/>
      <c r="JGK2" s="229" t="s">
        <v>13328</v>
      </c>
      <c r="JGL2" s="230"/>
      <c r="JGM2" s="230"/>
      <c r="JGN2" s="231"/>
      <c r="JGO2" s="229" t="s">
        <v>13328</v>
      </c>
      <c r="JGP2" s="230"/>
      <c r="JGQ2" s="230"/>
      <c r="JGR2" s="231"/>
      <c r="JGS2" s="229" t="s">
        <v>13328</v>
      </c>
      <c r="JGT2" s="230"/>
      <c r="JGU2" s="230"/>
      <c r="JGV2" s="231"/>
      <c r="JGW2" s="229" t="s">
        <v>13328</v>
      </c>
      <c r="JGX2" s="230"/>
      <c r="JGY2" s="230"/>
      <c r="JGZ2" s="231"/>
      <c r="JHA2" s="229" t="s">
        <v>13328</v>
      </c>
      <c r="JHB2" s="230"/>
      <c r="JHC2" s="230"/>
      <c r="JHD2" s="231"/>
      <c r="JHE2" s="229" t="s">
        <v>13328</v>
      </c>
      <c r="JHF2" s="230"/>
      <c r="JHG2" s="230"/>
      <c r="JHH2" s="231"/>
      <c r="JHI2" s="229" t="s">
        <v>13328</v>
      </c>
      <c r="JHJ2" s="230"/>
      <c r="JHK2" s="230"/>
      <c r="JHL2" s="231"/>
      <c r="JHM2" s="229" t="s">
        <v>13328</v>
      </c>
      <c r="JHN2" s="230"/>
      <c r="JHO2" s="230"/>
      <c r="JHP2" s="231"/>
      <c r="JHQ2" s="229" t="s">
        <v>13328</v>
      </c>
      <c r="JHR2" s="230"/>
      <c r="JHS2" s="230"/>
      <c r="JHT2" s="231"/>
      <c r="JHU2" s="229" t="s">
        <v>13328</v>
      </c>
      <c r="JHV2" s="230"/>
      <c r="JHW2" s="230"/>
      <c r="JHX2" s="231"/>
      <c r="JHY2" s="229" t="s">
        <v>13328</v>
      </c>
      <c r="JHZ2" s="230"/>
      <c r="JIA2" s="230"/>
      <c r="JIB2" s="231"/>
      <c r="JIC2" s="229" t="s">
        <v>13328</v>
      </c>
      <c r="JID2" s="230"/>
      <c r="JIE2" s="230"/>
      <c r="JIF2" s="231"/>
      <c r="JIG2" s="229" t="s">
        <v>13328</v>
      </c>
      <c r="JIH2" s="230"/>
      <c r="JII2" s="230"/>
      <c r="JIJ2" s="231"/>
      <c r="JIK2" s="229" t="s">
        <v>13328</v>
      </c>
      <c r="JIL2" s="230"/>
      <c r="JIM2" s="230"/>
      <c r="JIN2" s="231"/>
      <c r="JIO2" s="229" t="s">
        <v>13328</v>
      </c>
      <c r="JIP2" s="230"/>
      <c r="JIQ2" s="230"/>
      <c r="JIR2" s="231"/>
      <c r="JIS2" s="229" t="s">
        <v>13328</v>
      </c>
      <c r="JIT2" s="230"/>
      <c r="JIU2" s="230"/>
      <c r="JIV2" s="231"/>
      <c r="JIW2" s="229" t="s">
        <v>13328</v>
      </c>
      <c r="JIX2" s="230"/>
      <c r="JIY2" s="230"/>
      <c r="JIZ2" s="231"/>
      <c r="JJA2" s="229" t="s">
        <v>13328</v>
      </c>
      <c r="JJB2" s="230"/>
      <c r="JJC2" s="230"/>
      <c r="JJD2" s="231"/>
      <c r="JJE2" s="229" t="s">
        <v>13328</v>
      </c>
      <c r="JJF2" s="230"/>
      <c r="JJG2" s="230"/>
      <c r="JJH2" s="231"/>
      <c r="JJI2" s="229" t="s">
        <v>13328</v>
      </c>
      <c r="JJJ2" s="230"/>
      <c r="JJK2" s="230"/>
      <c r="JJL2" s="231"/>
      <c r="JJM2" s="229" t="s">
        <v>13328</v>
      </c>
      <c r="JJN2" s="230"/>
      <c r="JJO2" s="230"/>
      <c r="JJP2" s="231"/>
      <c r="JJQ2" s="229" t="s">
        <v>13328</v>
      </c>
      <c r="JJR2" s="230"/>
      <c r="JJS2" s="230"/>
      <c r="JJT2" s="231"/>
      <c r="JJU2" s="229" t="s">
        <v>13328</v>
      </c>
      <c r="JJV2" s="230"/>
      <c r="JJW2" s="230"/>
      <c r="JJX2" s="231"/>
      <c r="JJY2" s="229" t="s">
        <v>13328</v>
      </c>
      <c r="JJZ2" s="230"/>
      <c r="JKA2" s="230"/>
      <c r="JKB2" s="231"/>
      <c r="JKC2" s="229" t="s">
        <v>13328</v>
      </c>
      <c r="JKD2" s="230"/>
      <c r="JKE2" s="230"/>
      <c r="JKF2" s="231"/>
      <c r="JKG2" s="229" t="s">
        <v>13328</v>
      </c>
      <c r="JKH2" s="230"/>
      <c r="JKI2" s="230"/>
      <c r="JKJ2" s="231"/>
      <c r="JKK2" s="229" t="s">
        <v>13328</v>
      </c>
      <c r="JKL2" s="230"/>
      <c r="JKM2" s="230"/>
      <c r="JKN2" s="231"/>
      <c r="JKO2" s="229" t="s">
        <v>13328</v>
      </c>
      <c r="JKP2" s="230"/>
      <c r="JKQ2" s="230"/>
      <c r="JKR2" s="231"/>
      <c r="JKS2" s="229" t="s">
        <v>13328</v>
      </c>
      <c r="JKT2" s="230"/>
      <c r="JKU2" s="230"/>
      <c r="JKV2" s="231"/>
      <c r="JKW2" s="229" t="s">
        <v>13328</v>
      </c>
      <c r="JKX2" s="230"/>
      <c r="JKY2" s="230"/>
      <c r="JKZ2" s="231"/>
      <c r="JLA2" s="229" t="s">
        <v>13328</v>
      </c>
      <c r="JLB2" s="230"/>
      <c r="JLC2" s="230"/>
      <c r="JLD2" s="231"/>
      <c r="JLE2" s="229" t="s">
        <v>13328</v>
      </c>
      <c r="JLF2" s="230"/>
      <c r="JLG2" s="230"/>
      <c r="JLH2" s="231"/>
      <c r="JLI2" s="229" t="s">
        <v>13328</v>
      </c>
      <c r="JLJ2" s="230"/>
      <c r="JLK2" s="230"/>
      <c r="JLL2" s="231"/>
      <c r="JLM2" s="229" t="s">
        <v>13328</v>
      </c>
      <c r="JLN2" s="230"/>
      <c r="JLO2" s="230"/>
      <c r="JLP2" s="231"/>
      <c r="JLQ2" s="229" t="s">
        <v>13328</v>
      </c>
      <c r="JLR2" s="230"/>
      <c r="JLS2" s="230"/>
      <c r="JLT2" s="231"/>
      <c r="JLU2" s="229" t="s">
        <v>13328</v>
      </c>
      <c r="JLV2" s="230"/>
      <c r="JLW2" s="230"/>
      <c r="JLX2" s="231"/>
      <c r="JLY2" s="229" t="s">
        <v>13328</v>
      </c>
      <c r="JLZ2" s="230"/>
      <c r="JMA2" s="230"/>
      <c r="JMB2" s="231"/>
      <c r="JMC2" s="229" t="s">
        <v>13328</v>
      </c>
      <c r="JMD2" s="230"/>
      <c r="JME2" s="230"/>
      <c r="JMF2" s="231"/>
      <c r="JMG2" s="229" t="s">
        <v>13328</v>
      </c>
      <c r="JMH2" s="230"/>
      <c r="JMI2" s="230"/>
      <c r="JMJ2" s="231"/>
      <c r="JMK2" s="229" t="s">
        <v>13328</v>
      </c>
      <c r="JML2" s="230"/>
      <c r="JMM2" s="230"/>
      <c r="JMN2" s="231"/>
      <c r="JMO2" s="229" t="s">
        <v>13328</v>
      </c>
      <c r="JMP2" s="230"/>
      <c r="JMQ2" s="230"/>
      <c r="JMR2" s="231"/>
      <c r="JMS2" s="229" t="s">
        <v>13328</v>
      </c>
      <c r="JMT2" s="230"/>
      <c r="JMU2" s="230"/>
      <c r="JMV2" s="231"/>
      <c r="JMW2" s="229" t="s">
        <v>13328</v>
      </c>
      <c r="JMX2" s="230"/>
      <c r="JMY2" s="230"/>
      <c r="JMZ2" s="231"/>
      <c r="JNA2" s="229" t="s">
        <v>13328</v>
      </c>
      <c r="JNB2" s="230"/>
      <c r="JNC2" s="230"/>
      <c r="JND2" s="231"/>
      <c r="JNE2" s="229" t="s">
        <v>13328</v>
      </c>
      <c r="JNF2" s="230"/>
      <c r="JNG2" s="230"/>
      <c r="JNH2" s="231"/>
      <c r="JNI2" s="229" t="s">
        <v>13328</v>
      </c>
      <c r="JNJ2" s="230"/>
      <c r="JNK2" s="230"/>
      <c r="JNL2" s="231"/>
      <c r="JNM2" s="229" t="s">
        <v>13328</v>
      </c>
      <c r="JNN2" s="230"/>
      <c r="JNO2" s="230"/>
      <c r="JNP2" s="231"/>
      <c r="JNQ2" s="229" t="s">
        <v>13328</v>
      </c>
      <c r="JNR2" s="230"/>
      <c r="JNS2" s="230"/>
      <c r="JNT2" s="231"/>
      <c r="JNU2" s="229" t="s">
        <v>13328</v>
      </c>
      <c r="JNV2" s="230"/>
      <c r="JNW2" s="230"/>
      <c r="JNX2" s="231"/>
      <c r="JNY2" s="229" t="s">
        <v>13328</v>
      </c>
      <c r="JNZ2" s="230"/>
      <c r="JOA2" s="230"/>
      <c r="JOB2" s="231"/>
      <c r="JOC2" s="229" t="s">
        <v>13328</v>
      </c>
      <c r="JOD2" s="230"/>
      <c r="JOE2" s="230"/>
      <c r="JOF2" s="231"/>
      <c r="JOG2" s="229" t="s">
        <v>13328</v>
      </c>
      <c r="JOH2" s="230"/>
      <c r="JOI2" s="230"/>
      <c r="JOJ2" s="231"/>
      <c r="JOK2" s="229" t="s">
        <v>13328</v>
      </c>
      <c r="JOL2" s="230"/>
      <c r="JOM2" s="230"/>
      <c r="JON2" s="231"/>
      <c r="JOO2" s="229" t="s">
        <v>13328</v>
      </c>
      <c r="JOP2" s="230"/>
      <c r="JOQ2" s="230"/>
      <c r="JOR2" s="231"/>
      <c r="JOS2" s="229" t="s">
        <v>13328</v>
      </c>
      <c r="JOT2" s="230"/>
      <c r="JOU2" s="230"/>
      <c r="JOV2" s="231"/>
      <c r="JOW2" s="229" t="s">
        <v>13328</v>
      </c>
      <c r="JOX2" s="230"/>
      <c r="JOY2" s="230"/>
      <c r="JOZ2" s="231"/>
      <c r="JPA2" s="229" t="s">
        <v>13328</v>
      </c>
      <c r="JPB2" s="230"/>
      <c r="JPC2" s="230"/>
      <c r="JPD2" s="231"/>
      <c r="JPE2" s="229" t="s">
        <v>13328</v>
      </c>
      <c r="JPF2" s="230"/>
      <c r="JPG2" s="230"/>
      <c r="JPH2" s="231"/>
      <c r="JPI2" s="229" t="s">
        <v>13328</v>
      </c>
      <c r="JPJ2" s="230"/>
      <c r="JPK2" s="230"/>
      <c r="JPL2" s="231"/>
      <c r="JPM2" s="229" t="s">
        <v>13328</v>
      </c>
      <c r="JPN2" s="230"/>
      <c r="JPO2" s="230"/>
      <c r="JPP2" s="231"/>
      <c r="JPQ2" s="229" t="s">
        <v>13328</v>
      </c>
      <c r="JPR2" s="230"/>
      <c r="JPS2" s="230"/>
      <c r="JPT2" s="231"/>
      <c r="JPU2" s="229" t="s">
        <v>13328</v>
      </c>
      <c r="JPV2" s="230"/>
      <c r="JPW2" s="230"/>
      <c r="JPX2" s="231"/>
      <c r="JPY2" s="229" t="s">
        <v>13328</v>
      </c>
      <c r="JPZ2" s="230"/>
      <c r="JQA2" s="230"/>
      <c r="JQB2" s="231"/>
      <c r="JQC2" s="229" t="s">
        <v>13328</v>
      </c>
      <c r="JQD2" s="230"/>
      <c r="JQE2" s="230"/>
      <c r="JQF2" s="231"/>
      <c r="JQG2" s="229" t="s">
        <v>13328</v>
      </c>
      <c r="JQH2" s="230"/>
      <c r="JQI2" s="230"/>
      <c r="JQJ2" s="231"/>
      <c r="JQK2" s="229" t="s">
        <v>13328</v>
      </c>
      <c r="JQL2" s="230"/>
      <c r="JQM2" s="230"/>
      <c r="JQN2" s="231"/>
      <c r="JQO2" s="229" t="s">
        <v>13328</v>
      </c>
      <c r="JQP2" s="230"/>
      <c r="JQQ2" s="230"/>
      <c r="JQR2" s="231"/>
      <c r="JQS2" s="229" t="s">
        <v>13328</v>
      </c>
      <c r="JQT2" s="230"/>
      <c r="JQU2" s="230"/>
      <c r="JQV2" s="231"/>
      <c r="JQW2" s="229" t="s">
        <v>13328</v>
      </c>
      <c r="JQX2" s="230"/>
      <c r="JQY2" s="230"/>
      <c r="JQZ2" s="231"/>
      <c r="JRA2" s="229" t="s">
        <v>13328</v>
      </c>
      <c r="JRB2" s="230"/>
      <c r="JRC2" s="230"/>
      <c r="JRD2" s="231"/>
      <c r="JRE2" s="229" t="s">
        <v>13328</v>
      </c>
      <c r="JRF2" s="230"/>
      <c r="JRG2" s="230"/>
      <c r="JRH2" s="231"/>
      <c r="JRI2" s="229" t="s">
        <v>13328</v>
      </c>
      <c r="JRJ2" s="230"/>
      <c r="JRK2" s="230"/>
      <c r="JRL2" s="231"/>
      <c r="JRM2" s="229" t="s">
        <v>13328</v>
      </c>
      <c r="JRN2" s="230"/>
      <c r="JRO2" s="230"/>
      <c r="JRP2" s="231"/>
      <c r="JRQ2" s="229" t="s">
        <v>13328</v>
      </c>
      <c r="JRR2" s="230"/>
      <c r="JRS2" s="230"/>
      <c r="JRT2" s="231"/>
      <c r="JRU2" s="229" t="s">
        <v>13328</v>
      </c>
      <c r="JRV2" s="230"/>
      <c r="JRW2" s="230"/>
      <c r="JRX2" s="231"/>
      <c r="JRY2" s="229" t="s">
        <v>13328</v>
      </c>
      <c r="JRZ2" s="230"/>
      <c r="JSA2" s="230"/>
      <c r="JSB2" s="231"/>
      <c r="JSC2" s="229" t="s">
        <v>13328</v>
      </c>
      <c r="JSD2" s="230"/>
      <c r="JSE2" s="230"/>
      <c r="JSF2" s="231"/>
      <c r="JSG2" s="229" t="s">
        <v>13328</v>
      </c>
      <c r="JSH2" s="230"/>
      <c r="JSI2" s="230"/>
      <c r="JSJ2" s="231"/>
      <c r="JSK2" s="229" t="s">
        <v>13328</v>
      </c>
      <c r="JSL2" s="230"/>
      <c r="JSM2" s="230"/>
      <c r="JSN2" s="231"/>
      <c r="JSO2" s="229" t="s">
        <v>13328</v>
      </c>
      <c r="JSP2" s="230"/>
      <c r="JSQ2" s="230"/>
      <c r="JSR2" s="231"/>
      <c r="JSS2" s="229" t="s">
        <v>13328</v>
      </c>
      <c r="JST2" s="230"/>
      <c r="JSU2" s="230"/>
      <c r="JSV2" s="231"/>
      <c r="JSW2" s="229" t="s">
        <v>13328</v>
      </c>
      <c r="JSX2" s="230"/>
      <c r="JSY2" s="230"/>
      <c r="JSZ2" s="231"/>
      <c r="JTA2" s="229" t="s">
        <v>13328</v>
      </c>
      <c r="JTB2" s="230"/>
      <c r="JTC2" s="230"/>
      <c r="JTD2" s="231"/>
      <c r="JTE2" s="229" t="s">
        <v>13328</v>
      </c>
      <c r="JTF2" s="230"/>
      <c r="JTG2" s="230"/>
      <c r="JTH2" s="231"/>
      <c r="JTI2" s="229" t="s">
        <v>13328</v>
      </c>
      <c r="JTJ2" s="230"/>
      <c r="JTK2" s="230"/>
      <c r="JTL2" s="231"/>
      <c r="JTM2" s="229" t="s">
        <v>13328</v>
      </c>
      <c r="JTN2" s="230"/>
      <c r="JTO2" s="230"/>
      <c r="JTP2" s="231"/>
      <c r="JTQ2" s="229" t="s">
        <v>13328</v>
      </c>
      <c r="JTR2" s="230"/>
      <c r="JTS2" s="230"/>
      <c r="JTT2" s="231"/>
      <c r="JTU2" s="229" t="s">
        <v>13328</v>
      </c>
      <c r="JTV2" s="230"/>
      <c r="JTW2" s="230"/>
      <c r="JTX2" s="231"/>
      <c r="JTY2" s="229" t="s">
        <v>13328</v>
      </c>
      <c r="JTZ2" s="230"/>
      <c r="JUA2" s="230"/>
      <c r="JUB2" s="231"/>
      <c r="JUC2" s="229" t="s">
        <v>13328</v>
      </c>
      <c r="JUD2" s="230"/>
      <c r="JUE2" s="230"/>
      <c r="JUF2" s="231"/>
      <c r="JUG2" s="229" t="s">
        <v>13328</v>
      </c>
      <c r="JUH2" s="230"/>
      <c r="JUI2" s="230"/>
      <c r="JUJ2" s="231"/>
      <c r="JUK2" s="229" t="s">
        <v>13328</v>
      </c>
      <c r="JUL2" s="230"/>
      <c r="JUM2" s="230"/>
      <c r="JUN2" s="231"/>
      <c r="JUO2" s="229" t="s">
        <v>13328</v>
      </c>
      <c r="JUP2" s="230"/>
      <c r="JUQ2" s="230"/>
      <c r="JUR2" s="231"/>
      <c r="JUS2" s="229" t="s">
        <v>13328</v>
      </c>
      <c r="JUT2" s="230"/>
      <c r="JUU2" s="230"/>
      <c r="JUV2" s="231"/>
      <c r="JUW2" s="229" t="s">
        <v>13328</v>
      </c>
      <c r="JUX2" s="230"/>
      <c r="JUY2" s="230"/>
      <c r="JUZ2" s="231"/>
      <c r="JVA2" s="229" t="s">
        <v>13328</v>
      </c>
      <c r="JVB2" s="230"/>
      <c r="JVC2" s="230"/>
      <c r="JVD2" s="231"/>
      <c r="JVE2" s="229" t="s">
        <v>13328</v>
      </c>
      <c r="JVF2" s="230"/>
      <c r="JVG2" s="230"/>
      <c r="JVH2" s="231"/>
      <c r="JVI2" s="229" t="s">
        <v>13328</v>
      </c>
      <c r="JVJ2" s="230"/>
      <c r="JVK2" s="230"/>
      <c r="JVL2" s="231"/>
      <c r="JVM2" s="229" t="s">
        <v>13328</v>
      </c>
      <c r="JVN2" s="230"/>
      <c r="JVO2" s="230"/>
      <c r="JVP2" s="231"/>
      <c r="JVQ2" s="229" t="s">
        <v>13328</v>
      </c>
      <c r="JVR2" s="230"/>
      <c r="JVS2" s="230"/>
      <c r="JVT2" s="231"/>
      <c r="JVU2" s="229" t="s">
        <v>13328</v>
      </c>
      <c r="JVV2" s="230"/>
      <c r="JVW2" s="230"/>
      <c r="JVX2" s="231"/>
      <c r="JVY2" s="229" t="s">
        <v>13328</v>
      </c>
      <c r="JVZ2" s="230"/>
      <c r="JWA2" s="230"/>
      <c r="JWB2" s="231"/>
      <c r="JWC2" s="229" t="s">
        <v>13328</v>
      </c>
      <c r="JWD2" s="230"/>
      <c r="JWE2" s="230"/>
      <c r="JWF2" s="231"/>
      <c r="JWG2" s="229" t="s">
        <v>13328</v>
      </c>
      <c r="JWH2" s="230"/>
      <c r="JWI2" s="230"/>
      <c r="JWJ2" s="231"/>
      <c r="JWK2" s="229" t="s">
        <v>13328</v>
      </c>
      <c r="JWL2" s="230"/>
      <c r="JWM2" s="230"/>
      <c r="JWN2" s="231"/>
      <c r="JWO2" s="229" t="s">
        <v>13328</v>
      </c>
      <c r="JWP2" s="230"/>
      <c r="JWQ2" s="230"/>
      <c r="JWR2" s="231"/>
      <c r="JWS2" s="229" t="s">
        <v>13328</v>
      </c>
      <c r="JWT2" s="230"/>
      <c r="JWU2" s="230"/>
      <c r="JWV2" s="231"/>
      <c r="JWW2" s="229" t="s">
        <v>13328</v>
      </c>
      <c r="JWX2" s="230"/>
      <c r="JWY2" s="230"/>
      <c r="JWZ2" s="231"/>
      <c r="JXA2" s="229" t="s">
        <v>13328</v>
      </c>
      <c r="JXB2" s="230"/>
      <c r="JXC2" s="230"/>
      <c r="JXD2" s="231"/>
      <c r="JXE2" s="229" t="s">
        <v>13328</v>
      </c>
      <c r="JXF2" s="230"/>
      <c r="JXG2" s="230"/>
      <c r="JXH2" s="231"/>
      <c r="JXI2" s="229" t="s">
        <v>13328</v>
      </c>
      <c r="JXJ2" s="230"/>
      <c r="JXK2" s="230"/>
      <c r="JXL2" s="231"/>
      <c r="JXM2" s="229" t="s">
        <v>13328</v>
      </c>
      <c r="JXN2" s="230"/>
      <c r="JXO2" s="230"/>
      <c r="JXP2" s="231"/>
      <c r="JXQ2" s="229" t="s">
        <v>13328</v>
      </c>
      <c r="JXR2" s="230"/>
      <c r="JXS2" s="230"/>
      <c r="JXT2" s="231"/>
      <c r="JXU2" s="229" t="s">
        <v>13328</v>
      </c>
      <c r="JXV2" s="230"/>
      <c r="JXW2" s="230"/>
      <c r="JXX2" s="231"/>
      <c r="JXY2" s="229" t="s">
        <v>13328</v>
      </c>
      <c r="JXZ2" s="230"/>
      <c r="JYA2" s="230"/>
      <c r="JYB2" s="231"/>
      <c r="JYC2" s="229" t="s">
        <v>13328</v>
      </c>
      <c r="JYD2" s="230"/>
      <c r="JYE2" s="230"/>
      <c r="JYF2" s="231"/>
      <c r="JYG2" s="229" t="s">
        <v>13328</v>
      </c>
      <c r="JYH2" s="230"/>
      <c r="JYI2" s="230"/>
      <c r="JYJ2" s="231"/>
      <c r="JYK2" s="229" t="s">
        <v>13328</v>
      </c>
      <c r="JYL2" s="230"/>
      <c r="JYM2" s="230"/>
      <c r="JYN2" s="231"/>
      <c r="JYO2" s="229" t="s">
        <v>13328</v>
      </c>
      <c r="JYP2" s="230"/>
      <c r="JYQ2" s="230"/>
      <c r="JYR2" s="231"/>
      <c r="JYS2" s="229" t="s">
        <v>13328</v>
      </c>
      <c r="JYT2" s="230"/>
      <c r="JYU2" s="230"/>
      <c r="JYV2" s="231"/>
      <c r="JYW2" s="229" t="s">
        <v>13328</v>
      </c>
      <c r="JYX2" s="230"/>
      <c r="JYY2" s="230"/>
      <c r="JYZ2" s="231"/>
      <c r="JZA2" s="229" t="s">
        <v>13328</v>
      </c>
      <c r="JZB2" s="230"/>
      <c r="JZC2" s="230"/>
      <c r="JZD2" s="231"/>
      <c r="JZE2" s="229" t="s">
        <v>13328</v>
      </c>
      <c r="JZF2" s="230"/>
      <c r="JZG2" s="230"/>
      <c r="JZH2" s="231"/>
      <c r="JZI2" s="229" t="s">
        <v>13328</v>
      </c>
      <c r="JZJ2" s="230"/>
      <c r="JZK2" s="230"/>
      <c r="JZL2" s="231"/>
      <c r="JZM2" s="229" t="s">
        <v>13328</v>
      </c>
      <c r="JZN2" s="230"/>
      <c r="JZO2" s="230"/>
      <c r="JZP2" s="231"/>
      <c r="JZQ2" s="229" t="s">
        <v>13328</v>
      </c>
      <c r="JZR2" s="230"/>
      <c r="JZS2" s="230"/>
      <c r="JZT2" s="231"/>
      <c r="JZU2" s="229" t="s">
        <v>13328</v>
      </c>
      <c r="JZV2" s="230"/>
      <c r="JZW2" s="230"/>
      <c r="JZX2" s="231"/>
      <c r="JZY2" s="229" t="s">
        <v>13328</v>
      </c>
      <c r="JZZ2" s="230"/>
      <c r="KAA2" s="230"/>
      <c r="KAB2" s="231"/>
      <c r="KAC2" s="229" t="s">
        <v>13328</v>
      </c>
      <c r="KAD2" s="230"/>
      <c r="KAE2" s="230"/>
      <c r="KAF2" s="231"/>
      <c r="KAG2" s="229" t="s">
        <v>13328</v>
      </c>
      <c r="KAH2" s="230"/>
      <c r="KAI2" s="230"/>
      <c r="KAJ2" s="231"/>
      <c r="KAK2" s="229" t="s">
        <v>13328</v>
      </c>
      <c r="KAL2" s="230"/>
      <c r="KAM2" s="230"/>
      <c r="KAN2" s="231"/>
      <c r="KAO2" s="229" t="s">
        <v>13328</v>
      </c>
      <c r="KAP2" s="230"/>
      <c r="KAQ2" s="230"/>
      <c r="KAR2" s="231"/>
      <c r="KAS2" s="229" t="s">
        <v>13328</v>
      </c>
      <c r="KAT2" s="230"/>
      <c r="KAU2" s="230"/>
      <c r="KAV2" s="231"/>
      <c r="KAW2" s="229" t="s">
        <v>13328</v>
      </c>
      <c r="KAX2" s="230"/>
      <c r="KAY2" s="230"/>
      <c r="KAZ2" s="231"/>
      <c r="KBA2" s="229" t="s">
        <v>13328</v>
      </c>
      <c r="KBB2" s="230"/>
      <c r="KBC2" s="230"/>
      <c r="KBD2" s="231"/>
      <c r="KBE2" s="229" t="s">
        <v>13328</v>
      </c>
      <c r="KBF2" s="230"/>
      <c r="KBG2" s="230"/>
      <c r="KBH2" s="231"/>
      <c r="KBI2" s="229" t="s">
        <v>13328</v>
      </c>
      <c r="KBJ2" s="230"/>
      <c r="KBK2" s="230"/>
      <c r="KBL2" s="231"/>
      <c r="KBM2" s="229" t="s">
        <v>13328</v>
      </c>
      <c r="KBN2" s="230"/>
      <c r="KBO2" s="230"/>
      <c r="KBP2" s="231"/>
      <c r="KBQ2" s="229" t="s">
        <v>13328</v>
      </c>
      <c r="KBR2" s="230"/>
      <c r="KBS2" s="230"/>
      <c r="KBT2" s="231"/>
      <c r="KBU2" s="229" t="s">
        <v>13328</v>
      </c>
      <c r="KBV2" s="230"/>
      <c r="KBW2" s="230"/>
      <c r="KBX2" s="231"/>
      <c r="KBY2" s="229" t="s">
        <v>13328</v>
      </c>
      <c r="KBZ2" s="230"/>
      <c r="KCA2" s="230"/>
      <c r="KCB2" s="231"/>
      <c r="KCC2" s="229" t="s">
        <v>13328</v>
      </c>
      <c r="KCD2" s="230"/>
      <c r="KCE2" s="230"/>
      <c r="KCF2" s="231"/>
      <c r="KCG2" s="229" t="s">
        <v>13328</v>
      </c>
      <c r="KCH2" s="230"/>
      <c r="KCI2" s="230"/>
      <c r="KCJ2" s="231"/>
      <c r="KCK2" s="229" t="s">
        <v>13328</v>
      </c>
      <c r="KCL2" s="230"/>
      <c r="KCM2" s="230"/>
      <c r="KCN2" s="231"/>
      <c r="KCO2" s="229" t="s">
        <v>13328</v>
      </c>
      <c r="KCP2" s="230"/>
      <c r="KCQ2" s="230"/>
      <c r="KCR2" s="231"/>
      <c r="KCS2" s="229" t="s">
        <v>13328</v>
      </c>
      <c r="KCT2" s="230"/>
      <c r="KCU2" s="230"/>
      <c r="KCV2" s="231"/>
      <c r="KCW2" s="229" t="s">
        <v>13328</v>
      </c>
      <c r="KCX2" s="230"/>
      <c r="KCY2" s="230"/>
      <c r="KCZ2" s="231"/>
      <c r="KDA2" s="229" t="s">
        <v>13328</v>
      </c>
      <c r="KDB2" s="230"/>
      <c r="KDC2" s="230"/>
      <c r="KDD2" s="231"/>
      <c r="KDE2" s="229" t="s">
        <v>13328</v>
      </c>
      <c r="KDF2" s="230"/>
      <c r="KDG2" s="230"/>
      <c r="KDH2" s="231"/>
      <c r="KDI2" s="229" t="s">
        <v>13328</v>
      </c>
      <c r="KDJ2" s="230"/>
      <c r="KDK2" s="230"/>
      <c r="KDL2" s="231"/>
      <c r="KDM2" s="229" t="s">
        <v>13328</v>
      </c>
      <c r="KDN2" s="230"/>
      <c r="KDO2" s="230"/>
      <c r="KDP2" s="231"/>
      <c r="KDQ2" s="229" t="s">
        <v>13328</v>
      </c>
      <c r="KDR2" s="230"/>
      <c r="KDS2" s="230"/>
      <c r="KDT2" s="231"/>
      <c r="KDU2" s="229" t="s">
        <v>13328</v>
      </c>
      <c r="KDV2" s="230"/>
      <c r="KDW2" s="230"/>
      <c r="KDX2" s="231"/>
      <c r="KDY2" s="229" t="s">
        <v>13328</v>
      </c>
      <c r="KDZ2" s="230"/>
      <c r="KEA2" s="230"/>
      <c r="KEB2" s="231"/>
      <c r="KEC2" s="229" t="s">
        <v>13328</v>
      </c>
      <c r="KED2" s="230"/>
      <c r="KEE2" s="230"/>
      <c r="KEF2" s="231"/>
      <c r="KEG2" s="229" t="s">
        <v>13328</v>
      </c>
      <c r="KEH2" s="230"/>
      <c r="KEI2" s="230"/>
      <c r="KEJ2" s="231"/>
      <c r="KEK2" s="229" t="s">
        <v>13328</v>
      </c>
      <c r="KEL2" s="230"/>
      <c r="KEM2" s="230"/>
      <c r="KEN2" s="231"/>
      <c r="KEO2" s="229" t="s">
        <v>13328</v>
      </c>
      <c r="KEP2" s="230"/>
      <c r="KEQ2" s="230"/>
      <c r="KER2" s="231"/>
      <c r="KES2" s="229" t="s">
        <v>13328</v>
      </c>
      <c r="KET2" s="230"/>
      <c r="KEU2" s="230"/>
      <c r="KEV2" s="231"/>
      <c r="KEW2" s="229" t="s">
        <v>13328</v>
      </c>
      <c r="KEX2" s="230"/>
      <c r="KEY2" s="230"/>
      <c r="KEZ2" s="231"/>
      <c r="KFA2" s="229" t="s">
        <v>13328</v>
      </c>
      <c r="KFB2" s="230"/>
      <c r="KFC2" s="230"/>
      <c r="KFD2" s="231"/>
      <c r="KFE2" s="229" t="s">
        <v>13328</v>
      </c>
      <c r="KFF2" s="230"/>
      <c r="KFG2" s="230"/>
      <c r="KFH2" s="231"/>
      <c r="KFI2" s="229" t="s">
        <v>13328</v>
      </c>
      <c r="KFJ2" s="230"/>
      <c r="KFK2" s="230"/>
      <c r="KFL2" s="231"/>
      <c r="KFM2" s="229" t="s">
        <v>13328</v>
      </c>
      <c r="KFN2" s="230"/>
      <c r="KFO2" s="230"/>
      <c r="KFP2" s="231"/>
      <c r="KFQ2" s="229" t="s">
        <v>13328</v>
      </c>
      <c r="KFR2" s="230"/>
      <c r="KFS2" s="230"/>
      <c r="KFT2" s="231"/>
      <c r="KFU2" s="229" t="s">
        <v>13328</v>
      </c>
      <c r="KFV2" s="230"/>
      <c r="KFW2" s="230"/>
      <c r="KFX2" s="231"/>
      <c r="KFY2" s="229" t="s">
        <v>13328</v>
      </c>
      <c r="KFZ2" s="230"/>
      <c r="KGA2" s="230"/>
      <c r="KGB2" s="231"/>
      <c r="KGC2" s="229" t="s">
        <v>13328</v>
      </c>
      <c r="KGD2" s="230"/>
      <c r="KGE2" s="230"/>
      <c r="KGF2" s="231"/>
      <c r="KGG2" s="229" t="s">
        <v>13328</v>
      </c>
      <c r="KGH2" s="230"/>
      <c r="KGI2" s="230"/>
      <c r="KGJ2" s="231"/>
      <c r="KGK2" s="229" t="s">
        <v>13328</v>
      </c>
      <c r="KGL2" s="230"/>
      <c r="KGM2" s="230"/>
      <c r="KGN2" s="231"/>
      <c r="KGO2" s="229" t="s">
        <v>13328</v>
      </c>
      <c r="KGP2" s="230"/>
      <c r="KGQ2" s="230"/>
      <c r="KGR2" s="231"/>
      <c r="KGS2" s="229" t="s">
        <v>13328</v>
      </c>
      <c r="KGT2" s="230"/>
      <c r="KGU2" s="230"/>
      <c r="KGV2" s="231"/>
      <c r="KGW2" s="229" t="s">
        <v>13328</v>
      </c>
      <c r="KGX2" s="230"/>
      <c r="KGY2" s="230"/>
      <c r="KGZ2" s="231"/>
      <c r="KHA2" s="229" t="s">
        <v>13328</v>
      </c>
      <c r="KHB2" s="230"/>
      <c r="KHC2" s="230"/>
      <c r="KHD2" s="231"/>
      <c r="KHE2" s="229" t="s">
        <v>13328</v>
      </c>
      <c r="KHF2" s="230"/>
      <c r="KHG2" s="230"/>
      <c r="KHH2" s="231"/>
      <c r="KHI2" s="229" t="s">
        <v>13328</v>
      </c>
      <c r="KHJ2" s="230"/>
      <c r="KHK2" s="230"/>
      <c r="KHL2" s="231"/>
      <c r="KHM2" s="229" t="s">
        <v>13328</v>
      </c>
      <c r="KHN2" s="230"/>
      <c r="KHO2" s="230"/>
      <c r="KHP2" s="231"/>
      <c r="KHQ2" s="229" t="s">
        <v>13328</v>
      </c>
      <c r="KHR2" s="230"/>
      <c r="KHS2" s="230"/>
      <c r="KHT2" s="231"/>
      <c r="KHU2" s="229" t="s">
        <v>13328</v>
      </c>
      <c r="KHV2" s="230"/>
      <c r="KHW2" s="230"/>
      <c r="KHX2" s="231"/>
      <c r="KHY2" s="229" t="s">
        <v>13328</v>
      </c>
      <c r="KHZ2" s="230"/>
      <c r="KIA2" s="230"/>
      <c r="KIB2" s="231"/>
      <c r="KIC2" s="229" t="s">
        <v>13328</v>
      </c>
      <c r="KID2" s="230"/>
      <c r="KIE2" s="230"/>
      <c r="KIF2" s="231"/>
      <c r="KIG2" s="229" t="s">
        <v>13328</v>
      </c>
      <c r="KIH2" s="230"/>
      <c r="KII2" s="230"/>
      <c r="KIJ2" s="231"/>
      <c r="KIK2" s="229" t="s">
        <v>13328</v>
      </c>
      <c r="KIL2" s="230"/>
      <c r="KIM2" s="230"/>
      <c r="KIN2" s="231"/>
      <c r="KIO2" s="229" t="s">
        <v>13328</v>
      </c>
      <c r="KIP2" s="230"/>
      <c r="KIQ2" s="230"/>
      <c r="KIR2" s="231"/>
      <c r="KIS2" s="229" t="s">
        <v>13328</v>
      </c>
      <c r="KIT2" s="230"/>
      <c r="KIU2" s="230"/>
      <c r="KIV2" s="231"/>
      <c r="KIW2" s="229" t="s">
        <v>13328</v>
      </c>
      <c r="KIX2" s="230"/>
      <c r="KIY2" s="230"/>
      <c r="KIZ2" s="231"/>
      <c r="KJA2" s="229" t="s">
        <v>13328</v>
      </c>
      <c r="KJB2" s="230"/>
      <c r="KJC2" s="230"/>
      <c r="KJD2" s="231"/>
      <c r="KJE2" s="229" t="s">
        <v>13328</v>
      </c>
      <c r="KJF2" s="230"/>
      <c r="KJG2" s="230"/>
      <c r="KJH2" s="231"/>
      <c r="KJI2" s="229" t="s">
        <v>13328</v>
      </c>
      <c r="KJJ2" s="230"/>
      <c r="KJK2" s="230"/>
      <c r="KJL2" s="231"/>
      <c r="KJM2" s="229" t="s">
        <v>13328</v>
      </c>
      <c r="KJN2" s="230"/>
      <c r="KJO2" s="230"/>
      <c r="KJP2" s="231"/>
      <c r="KJQ2" s="229" t="s">
        <v>13328</v>
      </c>
      <c r="KJR2" s="230"/>
      <c r="KJS2" s="230"/>
      <c r="KJT2" s="231"/>
      <c r="KJU2" s="229" t="s">
        <v>13328</v>
      </c>
      <c r="KJV2" s="230"/>
      <c r="KJW2" s="230"/>
      <c r="KJX2" s="231"/>
      <c r="KJY2" s="229" t="s">
        <v>13328</v>
      </c>
      <c r="KJZ2" s="230"/>
      <c r="KKA2" s="230"/>
      <c r="KKB2" s="231"/>
      <c r="KKC2" s="229" t="s">
        <v>13328</v>
      </c>
      <c r="KKD2" s="230"/>
      <c r="KKE2" s="230"/>
      <c r="KKF2" s="231"/>
      <c r="KKG2" s="229" t="s">
        <v>13328</v>
      </c>
      <c r="KKH2" s="230"/>
      <c r="KKI2" s="230"/>
      <c r="KKJ2" s="231"/>
      <c r="KKK2" s="229" t="s">
        <v>13328</v>
      </c>
      <c r="KKL2" s="230"/>
      <c r="KKM2" s="230"/>
      <c r="KKN2" s="231"/>
      <c r="KKO2" s="229" t="s">
        <v>13328</v>
      </c>
      <c r="KKP2" s="230"/>
      <c r="KKQ2" s="230"/>
      <c r="KKR2" s="231"/>
      <c r="KKS2" s="229" t="s">
        <v>13328</v>
      </c>
      <c r="KKT2" s="230"/>
      <c r="KKU2" s="230"/>
      <c r="KKV2" s="231"/>
      <c r="KKW2" s="229" t="s">
        <v>13328</v>
      </c>
      <c r="KKX2" s="230"/>
      <c r="KKY2" s="230"/>
      <c r="KKZ2" s="231"/>
      <c r="KLA2" s="229" t="s">
        <v>13328</v>
      </c>
      <c r="KLB2" s="230"/>
      <c r="KLC2" s="230"/>
      <c r="KLD2" s="231"/>
      <c r="KLE2" s="229" t="s">
        <v>13328</v>
      </c>
      <c r="KLF2" s="230"/>
      <c r="KLG2" s="230"/>
      <c r="KLH2" s="231"/>
      <c r="KLI2" s="229" t="s">
        <v>13328</v>
      </c>
      <c r="KLJ2" s="230"/>
      <c r="KLK2" s="230"/>
      <c r="KLL2" s="231"/>
      <c r="KLM2" s="229" t="s">
        <v>13328</v>
      </c>
      <c r="KLN2" s="230"/>
      <c r="KLO2" s="230"/>
      <c r="KLP2" s="231"/>
      <c r="KLQ2" s="229" t="s">
        <v>13328</v>
      </c>
      <c r="KLR2" s="230"/>
      <c r="KLS2" s="230"/>
      <c r="KLT2" s="231"/>
      <c r="KLU2" s="229" t="s">
        <v>13328</v>
      </c>
      <c r="KLV2" s="230"/>
      <c r="KLW2" s="230"/>
      <c r="KLX2" s="231"/>
      <c r="KLY2" s="229" t="s">
        <v>13328</v>
      </c>
      <c r="KLZ2" s="230"/>
      <c r="KMA2" s="230"/>
      <c r="KMB2" s="231"/>
      <c r="KMC2" s="229" t="s">
        <v>13328</v>
      </c>
      <c r="KMD2" s="230"/>
      <c r="KME2" s="230"/>
      <c r="KMF2" s="231"/>
      <c r="KMG2" s="229" t="s">
        <v>13328</v>
      </c>
      <c r="KMH2" s="230"/>
      <c r="KMI2" s="230"/>
      <c r="KMJ2" s="231"/>
      <c r="KMK2" s="229" t="s">
        <v>13328</v>
      </c>
      <c r="KML2" s="230"/>
      <c r="KMM2" s="230"/>
      <c r="KMN2" s="231"/>
      <c r="KMO2" s="229" t="s">
        <v>13328</v>
      </c>
      <c r="KMP2" s="230"/>
      <c r="KMQ2" s="230"/>
      <c r="KMR2" s="231"/>
      <c r="KMS2" s="229" t="s">
        <v>13328</v>
      </c>
      <c r="KMT2" s="230"/>
      <c r="KMU2" s="230"/>
      <c r="KMV2" s="231"/>
      <c r="KMW2" s="229" t="s">
        <v>13328</v>
      </c>
      <c r="KMX2" s="230"/>
      <c r="KMY2" s="230"/>
      <c r="KMZ2" s="231"/>
      <c r="KNA2" s="229" t="s">
        <v>13328</v>
      </c>
      <c r="KNB2" s="230"/>
      <c r="KNC2" s="230"/>
      <c r="KND2" s="231"/>
      <c r="KNE2" s="229" t="s">
        <v>13328</v>
      </c>
      <c r="KNF2" s="230"/>
      <c r="KNG2" s="230"/>
      <c r="KNH2" s="231"/>
      <c r="KNI2" s="229" t="s">
        <v>13328</v>
      </c>
      <c r="KNJ2" s="230"/>
      <c r="KNK2" s="230"/>
      <c r="KNL2" s="231"/>
      <c r="KNM2" s="229" t="s">
        <v>13328</v>
      </c>
      <c r="KNN2" s="230"/>
      <c r="KNO2" s="230"/>
      <c r="KNP2" s="231"/>
      <c r="KNQ2" s="229" t="s">
        <v>13328</v>
      </c>
      <c r="KNR2" s="230"/>
      <c r="KNS2" s="230"/>
      <c r="KNT2" s="231"/>
      <c r="KNU2" s="229" t="s">
        <v>13328</v>
      </c>
      <c r="KNV2" s="230"/>
      <c r="KNW2" s="230"/>
      <c r="KNX2" s="231"/>
      <c r="KNY2" s="229" t="s">
        <v>13328</v>
      </c>
      <c r="KNZ2" s="230"/>
      <c r="KOA2" s="230"/>
      <c r="KOB2" s="231"/>
      <c r="KOC2" s="229" t="s">
        <v>13328</v>
      </c>
      <c r="KOD2" s="230"/>
      <c r="KOE2" s="230"/>
      <c r="KOF2" s="231"/>
      <c r="KOG2" s="229" t="s">
        <v>13328</v>
      </c>
      <c r="KOH2" s="230"/>
      <c r="KOI2" s="230"/>
      <c r="KOJ2" s="231"/>
      <c r="KOK2" s="229" t="s">
        <v>13328</v>
      </c>
      <c r="KOL2" s="230"/>
      <c r="KOM2" s="230"/>
      <c r="KON2" s="231"/>
      <c r="KOO2" s="229" t="s">
        <v>13328</v>
      </c>
      <c r="KOP2" s="230"/>
      <c r="KOQ2" s="230"/>
      <c r="KOR2" s="231"/>
      <c r="KOS2" s="229" t="s">
        <v>13328</v>
      </c>
      <c r="KOT2" s="230"/>
      <c r="KOU2" s="230"/>
      <c r="KOV2" s="231"/>
      <c r="KOW2" s="229" t="s">
        <v>13328</v>
      </c>
      <c r="KOX2" s="230"/>
      <c r="KOY2" s="230"/>
      <c r="KOZ2" s="231"/>
      <c r="KPA2" s="229" t="s">
        <v>13328</v>
      </c>
      <c r="KPB2" s="230"/>
      <c r="KPC2" s="230"/>
      <c r="KPD2" s="231"/>
      <c r="KPE2" s="229" t="s">
        <v>13328</v>
      </c>
      <c r="KPF2" s="230"/>
      <c r="KPG2" s="230"/>
      <c r="KPH2" s="231"/>
      <c r="KPI2" s="229" t="s">
        <v>13328</v>
      </c>
      <c r="KPJ2" s="230"/>
      <c r="KPK2" s="230"/>
      <c r="KPL2" s="231"/>
      <c r="KPM2" s="229" t="s">
        <v>13328</v>
      </c>
      <c r="KPN2" s="230"/>
      <c r="KPO2" s="230"/>
      <c r="KPP2" s="231"/>
      <c r="KPQ2" s="229" t="s">
        <v>13328</v>
      </c>
      <c r="KPR2" s="230"/>
      <c r="KPS2" s="230"/>
      <c r="KPT2" s="231"/>
      <c r="KPU2" s="229" t="s">
        <v>13328</v>
      </c>
      <c r="KPV2" s="230"/>
      <c r="KPW2" s="230"/>
      <c r="KPX2" s="231"/>
      <c r="KPY2" s="229" t="s">
        <v>13328</v>
      </c>
      <c r="KPZ2" s="230"/>
      <c r="KQA2" s="230"/>
      <c r="KQB2" s="231"/>
      <c r="KQC2" s="229" t="s">
        <v>13328</v>
      </c>
      <c r="KQD2" s="230"/>
      <c r="KQE2" s="230"/>
      <c r="KQF2" s="231"/>
      <c r="KQG2" s="229" t="s">
        <v>13328</v>
      </c>
      <c r="KQH2" s="230"/>
      <c r="KQI2" s="230"/>
      <c r="KQJ2" s="231"/>
      <c r="KQK2" s="229" t="s">
        <v>13328</v>
      </c>
      <c r="KQL2" s="230"/>
      <c r="KQM2" s="230"/>
      <c r="KQN2" s="231"/>
      <c r="KQO2" s="229" t="s">
        <v>13328</v>
      </c>
      <c r="KQP2" s="230"/>
      <c r="KQQ2" s="230"/>
      <c r="KQR2" s="231"/>
      <c r="KQS2" s="229" t="s">
        <v>13328</v>
      </c>
      <c r="KQT2" s="230"/>
      <c r="KQU2" s="230"/>
      <c r="KQV2" s="231"/>
      <c r="KQW2" s="229" t="s">
        <v>13328</v>
      </c>
      <c r="KQX2" s="230"/>
      <c r="KQY2" s="230"/>
      <c r="KQZ2" s="231"/>
      <c r="KRA2" s="229" t="s">
        <v>13328</v>
      </c>
      <c r="KRB2" s="230"/>
      <c r="KRC2" s="230"/>
      <c r="KRD2" s="231"/>
      <c r="KRE2" s="229" t="s">
        <v>13328</v>
      </c>
      <c r="KRF2" s="230"/>
      <c r="KRG2" s="230"/>
      <c r="KRH2" s="231"/>
      <c r="KRI2" s="229" t="s">
        <v>13328</v>
      </c>
      <c r="KRJ2" s="230"/>
      <c r="KRK2" s="230"/>
      <c r="KRL2" s="231"/>
      <c r="KRM2" s="229" t="s">
        <v>13328</v>
      </c>
      <c r="KRN2" s="230"/>
      <c r="KRO2" s="230"/>
      <c r="KRP2" s="231"/>
      <c r="KRQ2" s="229" t="s">
        <v>13328</v>
      </c>
      <c r="KRR2" s="230"/>
      <c r="KRS2" s="230"/>
      <c r="KRT2" s="231"/>
      <c r="KRU2" s="229" t="s">
        <v>13328</v>
      </c>
      <c r="KRV2" s="230"/>
      <c r="KRW2" s="230"/>
      <c r="KRX2" s="231"/>
      <c r="KRY2" s="229" t="s">
        <v>13328</v>
      </c>
      <c r="KRZ2" s="230"/>
      <c r="KSA2" s="230"/>
      <c r="KSB2" s="231"/>
      <c r="KSC2" s="229" t="s">
        <v>13328</v>
      </c>
      <c r="KSD2" s="230"/>
      <c r="KSE2" s="230"/>
      <c r="KSF2" s="231"/>
      <c r="KSG2" s="229" t="s">
        <v>13328</v>
      </c>
      <c r="KSH2" s="230"/>
      <c r="KSI2" s="230"/>
      <c r="KSJ2" s="231"/>
      <c r="KSK2" s="229" t="s">
        <v>13328</v>
      </c>
      <c r="KSL2" s="230"/>
      <c r="KSM2" s="230"/>
      <c r="KSN2" s="231"/>
      <c r="KSO2" s="229" t="s">
        <v>13328</v>
      </c>
      <c r="KSP2" s="230"/>
      <c r="KSQ2" s="230"/>
      <c r="KSR2" s="231"/>
      <c r="KSS2" s="229" t="s">
        <v>13328</v>
      </c>
      <c r="KST2" s="230"/>
      <c r="KSU2" s="230"/>
      <c r="KSV2" s="231"/>
      <c r="KSW2" s="229" t="s">
        <v>13328</v>
      </c>
      <c r="KSX2" s="230"/>
      <c r="KSY2" s="230"/>
      <c r="KSZ2" s="231"/>
      <c r="KTA2" s="229" t="s">
        <v>13328</v>
      </c>
      <c r="KTB2" s="230"/>
      <c r="KTC2" s="230"/>
      <c r="KTD2" s="231"/>
      <c r="KTE2" s="229" t="s">
        <v>13328</v>
      </c>
      <c r="KTF2" s="230"/>
      <c r="KTG2" s="230"/>
      <c r="KTH2" s="231"/>
      <c r="KTI2" s="229" t="s">
        <v>13328</v>
      </c>
      <c r="KTJ2" s="230"/>
      <c r="KTK2" s="230"/>
      <c r="KTL2" s="231"/>
      <c r="KTM2" s="229" t="s">
        <v>13328</v>
      </c>
      <c r="KTN2" s="230"/>
      <c r="KTO2" s="230"/>
      <c r="KTP2" s="231"/>
      <c r="KTQ2" s="229" t="s">
        <v>13328</v>
      </c>
      <c r="KTR2" s="230"/>
      <c r="KTS2" s="230"/>
      <c r="KTT2" s="231"/>
      <c r="KTU2" s="229" t="s">
        <v>13328</v>
      </c>
      <c r="KTV2" s="230"/>
      <c r="KTW2" s="230"/>
      <c r="KTX2" s="231"/>
      <c r="KTY2" s="229" t="s">
        <v>13328</v>
      </c>
      <c r="KTZ2" s="230"/>
      <c r="KUA2" s="230"/>
      <c r="KUB2" s="231"/>
      <c r="KUC2" s="229" t="s">
        <v>13328</v>
      </c>
      <c r="KUD2" s="230"/>
      <c r="KUE2" s="230"/>
      <c r="KUF2" s="231"/>
      <c r="KUG2" s="229" t="s">
        <v>13328</v>
      </c>
      <c r="KUH2" s="230"/>
      <c r="KUI2" s="230"/>
      <c r="KUJ2" s="231"/>
      <c r="KUK2" s="229" t="s">
        <v>13328</v>
      </c>
      <c r="KUL2" s="230"/>
      <c r="KUM2" s="230"/>
      <c r="KUN2" s="231"/>
      <c r="KUO2" s="229" t="s">
        <v>13328</v>
      </c>
      <c r="KUP2" s="230"/>
      <c r="KUQ2" s="230"/>
      <c r="KUR2" s="231"/>
      <c r="KUS2" s="229" t="s">
        <v>13328</v>
      </c>
      <c r="KUT2" s="230"/>
      <c r="KUU2" s="230"/>
      <c r="KUV2" s="231"/>
      <c r="KUW2" s="229" t="s">
        <v>13328</v>
      </c>
      <c r="KUX2" s="230"/>
      <c r="KUY2" s="230"/>
      <c r="KUZ2" s="231"/>
      <c r="KVA2" s="229" t="s">
        <v>13328</v>
      </c>
      <c r="KVB2" s="230"/>
      <c r="KVC2" s="230"/>
      <c r="KVD2" s="231"/>
      <c r="KVE2" s="229" t="s">
        <v>13328</v>
      </c>
      <c r="KVF2" s="230"/>
      <c r="KVG2" s="230"/>
      <c r="KVH2" s="231"/>
      <c r="KVI2" s="229" t="s">
        <v>13328</v>
      </c>
      <c r="KVJ2" s="230"/>
      <c r="KVK2" s="230"/>
      <c r="KVL2" s="231"/>
      <c r="KVM2" s="229" t="s">
        <v>13328</v>
      </c>
      <c r="KVN2" s="230"/>
      <c r="KVO2" s="230"/>
      <c r="KVP2" s="231"/>
      <c r="KVQ2" s="229" t="s">
        <v>13328</v>
      </c>
      <c r="KVR2" s="230"/>
      <c r="KVS2" s="230"/>
      <c r="KVT2" s="231"/>
      <c r="KVU2" s="229" t="s">
        <v>13328</v>
      </c>
      <c r="KVV2" s="230"/>
      <c r="KVW2" s="230"/>
      <c r="KVX2" s="231"/>
      <c r="KVY2" s="229" t="s">
        <v>13328</v>
      </c>
      <c r="KVZ2" s="230"/>
      <c r="KWA2" s="230"/>
      <c r="KWB2" s="231"/>
      <c r="KWC2" s="229" t="s">
        <v>13328</v>
      </c>
      <c r="KWD2" s="230"/>
      <c r="KWE2" s="230"/>
      <c r="KWF2" s="231"/>
      <c r="KWG2" s="229" t="s">
        <v>13328</v>
      </c>
      <c r="KWH2" s="230"/>
      <c r="KWI2" s="230"/>
      <c r="KWJ2" s="231"/>
      <c r="KWK2" s="229" t="s">
        <v>13328</v>
      </c>
      <c r="KWL2" s="230"/>
      <c r="KWM2" s="230"/>
      <c r="KWN2" s="231"/>
      <c r="KWO2" s="229" t="s">
        <v>13328</v>
      </c>
      <c r="KWP2" s="230"/>
      <c r="KWQ2" s="230"/>
      <c r="KWR2" s="231"/>
      <c r="KWS2" s="229" t="s">
        <v>13328</v>
      </c>
      <c r="KWT2" s="230"/>
      <c r="KWU2" s="230"/>
      <c r="KWV2" s="231"/>
      <c r="KWW2" s="229" t="s">
        <v>13328</v>
      </c>
      <c r="KWX2" s="230"/>
      <c r="KWY2" s="230"/>
      <c r="KWZ2" s="231"/>
      <c r="KXA2" s="229" t="s">
        <v>13328</v>
      </c>
      <c r="KXB2" s="230"/>
      <c r="KXC2" s="230"/>
      <c r="KXD2" s="231"/>
      <c r="KXE2" s="229" t="s">
        <v>13328</v>
      </c>
      <c r="KXF2" s="230"/>
      <c r="KXG2" s="230"/>
      <c r="KXH2" s="231"/>
      <c r="KXI2" s="229" t="s">
        <v>13328</v>
      </c>
      <c r="KXJ2" s="230"/>
      <c r="KXK2" s="230"/>
      <c r="KXL2" s="231"/>
      <c r="KXM2" s="229" t="s">
        <v>13328</v>
      </c>
      <c r="KXN2" s="230"/>
      <c r="KXO2" s="230"/>
      <c r="KXP2" s="231"/>
      <c r="KXQ2" s="229" t="s">
        <v>13328</v>
      </c>
      <c r="KXR2" s="230"/>
      <c r="KXS2" s="230"/>
      <c r="KXT2" s="231"/>
      <c r="KXU2" s="229" t="s">
        <v>13328</v>
      </c>
      <c r="KXV2" s="230"/>
      <c r="KXW2" s="230"/>
      <c r="KXX2" s="231"/>
      <c r="KXY2" s="229" t="s">
        <v>13328</v>
      </c>
      <c r="KXZ2" s="230"/>
      <c r="KYA2" s="230"/>
      <c r="KYB2" s="231"/>
      <c r="KYC2" s="229" t="s">
        <v>13328</v>
      </c>
      <c r="KYD2" s="230"/>
      <c r="KYE2" s="230"/>
      <c r="KYF2" s="231"/>
      <c r="KYG2" s="229" t="s">
        <v>13328</v>
      </c>
      <c r="KYH2" s="230"/>
      <c r="KYI2" s="230"/>
      <c r="KYJ2" s="231"/>
      <c r="KYK2" s="229" t="s">
        <v>13328</v>
      </c>
      <c r="KYL2" s="230"/>
      <c r="KYM2" s="230"/>
      <c r="KYN2" s="231"/>
      <c r="KYO2" s="229" t="s">
        <v>13328</v>
      </c>
      <c r="KYP2" s="230"/>
      <c r="KYQ2" s="230"/>
      <c r="KYR2" s="231"/>
      <c r="KYS2" s="229" t="s">
        <v>13328</v>
      </c>
      <c r="KYT2" s="230"/>
      <c r="KYU2" s="230"/>
      <c r="KYV2" s="231"/>
      <c r="KYW2" s="229" t="s">
        <v>13328</v>
      </c>
      <c r="KYX2" s="230"/>
      <c r="KYY2" s="230"/>
      <c r="KYZ2" s="231"/>
      <c r="KZA2" s="229" t="s">
        <v>13328</v>
      </c>
      <c r="KZB2" s="230"/>
      <c r="KZC2" s="230"/>
      <c r="KZD2" s="231"/>
      <c r="KZE2" s="229" t="s">
        <v>13328</v>
      </c>
      <c r="KZF2" s="230"/>
      <c r="KZG2" s="230"/>
      <c r="KZH2" s="231"/>
      <c r="KZI2" s="229" t="s">
        <v>13328</v>
      </c>
      <c r="KZJ2" s="230"/>
      <c r="KZK2" s="230"/>
      <c r="KZL2" s="231"/>
      <c r="KZM2" s="229" t="s">
        <v>13328</v>
      </c>
      <c r="KZN2" s="230"/>
      <c r="KZO2" s="230"/>
      <c r="KZP2" s="231"/>
      <c r="KZQ2" s="229" t="s">
        <v>13328</v>
      </c>
      <c r="KZR2" s="230"/>
      <c r="KZS2" s="230"/>
      <c r="KZT2" s="231"/>
      <c r="KZU2" s="229" t="s">
        <v>13328</v>
      </c>
      <c r="KZV2" s="230"/>
      <c r="KZW2" s="230"/>
      <c r="KZX2" s="231"/>
      <c r="KZY2" s="229" t="s">
        <v>13328</v>
      </c>
      <c r="KZZ2" s="230"/>
      <c r="LAA2" s="230"/>
      <c r="LAB2" s="231"/>
      <c r="LAC2" s="229" t="s">
        <v>13328</v>
      </c>
      <c r="LAD2" s="230"/>
      <c r="LAE2" s="230"/>
      <c r="LAF2" s="231"/>
      <c r="LAG2" s="229" t="s">
        <v>13328</v>
      </c>
      <c r="LAH2" s="230"/>
      <c r="LAI2" s="230"/>
      <c r="LAJ2" s="231"/>
      <c r="LAK2" s="229" t="s">
        <v>13328</v>
      </c>
      <c r="LAL2" s="230"/>
      <c r="LAM2" s="230"/>
      <c r="LAN2" s="231"/>
      <c r="LAO2" s="229" t="s">
        <v>13328</v>
      </c>
      <c r="LAP2" s="230"/>
      <c r="LAQ2" s="230"/>
      <c r="LAR2" s="231"/>
      <c r="LAS2" s="229" t="s">
        <v>13328</v>
      </c>
      <c r="LAT2" s="230"/>
      <c r="LAU2" s="230"/>
      <c r="LAV2" s="231"/>
      <c r="LAW2" s="229" t="s">
        <v>13328</v>
      </c>
      <c r="LAX2" s="230"/>
      <c r="LAY2" s="230"/>
      <c r="LAZ2" s="231"/>
      <c r="LBA2" s="229" t="s">
        <v>13328</v>
      </c>
      <c r="LBB2" s="230"/>
      <c r="LBC2" s="230"/>
      <c r="LBD2" s="231"/>
      <c r="LBE2" s="229" t="s">
        <v>13328</v>
      </c>
      <c r="LBF2" s="230"/>
      <c r="LBG2" s="230"/>
      <c r="LBH2" s="231"/>
      <c r="LBI2" s="229" t="s">
        <v>13328</v>
      </c>
      <c r="LBJ2" s="230"/>
      <c r="LBK2" s="230"/>
      <c r="LBL2" s="231"/>
      <c r="LBM2" s="229" t="s">
        <v>13328</v>
      </c>
      <c r="LBN2" s="230"/>
      <c r="LBO2" s="230"/>
      <c r="LBP2" s="231"/>
      <c r="LBQ2" s="229" t="s">
        <v>13328</v>
      </c>
      <c r="LBR2" s="230"/>
      <c r="LBS2" s="230"/>
      <c r="LBT2" s="231"/>
      <c r="LBU2" s="229" t="s">
        <v>13328</v>
      </c>
      <c r="LBV2" s="230"/>
      <c r="LBW2" s="230"/>
      <c r="LBX2" s="231"/>
      <c r="LBY2" s="229" t="s">
        <v>13328</v>
      </c>
      <c r="LBZ2" s="230"/>
      <c r="LCA2" s="230"/>
      <c r="LCB2" s="231"/>
      <c r="LCC2" s="229" t="s">
        <v>13328</v>
      </c>
      <c r="LCD2" s="230"/>
      <c r="LCE2" s="230"/>
      <c r="LCF2" s="231"/>
      <c r="LCG2" s="229" t="s">
        <v>13328</v>
      </c>
      <c r="LCH2" s="230"/>
      <c r="LCI2" s="230"/>
      <c r="LCJ2" s="231"/>
      <c r="LCK2" s="229" t="s">
        <v>13328</v>
      </c>
      <c r="LCL2" s="230"/>
      <c r="LCM2" s="230"/>
      <c r="LCN2" s="231"/>
      <c r="LCO2" s="229" t="s">
        <v>13328</v>
      </c>
      <c r="LCP2" s="230"/>
      <c r="LCQ2" s="230"/>
      <c r="LCR2" s="231"/>
      <c r="LCS2" s="229" t="s">
        <v>13328</v>
      </c>
      <c r="LCT2" s="230"/>
      <c r="LCU2" s="230"/>
      <c r="LCV2" s="231"/>
      <c r="LCW2" s="229" t="s">
        <v>13328</v>
      </c>
      <c r="LCX2" s="230"/>
      <c r="LCY2" s="230"/>
      <c r="LCZ2" s="231"/>
      <c r="LDA2" s="229" t="s">
        <v>13328</v>
      </c>
      <c r="LDB2" s="230"/>
      <c r="LDC2" s="230"/>
      <c r="LDD2" s="231"/>
      <c r="LDE2" s="229" t="s">
        <v>13328</v>
      </c>
      <c r="LDF2" s="230"/>
      <c r="LDG2" s="230"/>
      <c r="LDH2" s="231"/>
      <c r="LDI2" s="229" t="s">
        <v>13328</v>
      </c>
      <c r="LDJ2" s="230"/>
      <c r="LDK2" s="230"/>
      <c r="LDL2" s="231"/>
      <c r="LDM2" s="229" t="s">
        <v>13328</v>
      </c>
      <c r="LDN2" s="230"/>
      <c r="LDO2" s="230"/>
      <c r="LDP2" s="231"/>
      <c r="LDQ2" s="229" t="s">
        <v>13328</v>
      </c>
      <c r="LDR2" s="230"/>
      <c r="LDS2" s="230"/>
      <c r="LDT2" s="231"/>
      <c r="LDU2" s="229" t="s">
        <v>13328</v>
      </c>
      <c r="LDV2" s="230"/>
      <c r="LDW2" s="230"/>
      <c r="LDX2" s="231"/>
      <c r="LDY2" s="229" t="s">
        <v>13328</v>
      </c>
      <c r="LDZ2" s="230"/>
      <c r="LEA2" s="230"/>
      <c r="LEB2" s="231"/>
      <c r="LEC2" s="229" t="s">
        <v>13328</v>
      </c>
      <c r="LED2" s="230"/>
      <c r="LEE2" s="230"/>
      <c r="LEF2" s="231"/>
      <c r="LEG2" s="229" t="s">
        <v>13328</v>
      </c>
      <c r="LEH2" s="230"/>
      <c r="LEI2" s="230"/>
      <c r="LEJ2" s="231"/>
      <c r="LEK2" s="229" t="s">
        <v>13328</v>
      </c>
      <c r="LEL2" s="230"/>
      <c r="LEM2" s="230"/>
      <c r="LEN2" s="231"/>
      <c r="LEO2" s="229" t="s">
        <v>13328</v>
      </c>
      <c r="LEP2" s="230"/>
      <c r="LEQ2" s="230"/>
      <c r="LER2" s="231"/>
      <c r="LES2" s="229" t="s">
        <v>13328</v>
      </c>
      <c r="LET2" s="230"/>
      <c r="LEU2" s="230"/>
      <c r="LEV2" s="231"/>
      <c r="LEW2" s="229" t="s">
        <v>13328</v>
      </c>
      <c r="LEX2" s="230"/>
      <c r="LEY2" s="230"/>
      <c r="LEZ2" s="231"/>
      <c r="LFA2" s="229" t="s">
        <v>13328</v>
      </c>
      <c r="LFB2" s="230"/>
      <c r="LFC2" s="230"/>
      <c r="LFD2" s="231"/>
      <c r="LFE2" s="229" t="s">
        <v>13328</v>
      </c>
      <c r="LFF2" s="230"/>
      <c r="LFG2" s="230"/>
      <c r="LFH2" s="231"/>
      <c r="LFI2" s="229" t="s">
        <v>13328</v>
      </c>
      <c r="LFJ2" s="230"/>
      <c r="LFK2" s="230"/>
      <c r="LFL2" s="231"/>
      <c r="LFM2" s="229" t="s">
        <v>13328</v>
      </c>
      <c r="LFN2" s="230"/>
      <c r="LFO2" s="230"/>
      <c r="LFP2" s="231"/>
      <c r="LFQ2" s="229" t="s">
        <v>13328</v>
      </c>
      <c r="LFR2" s="230"/>
      <c r="LFS2" s="230"/>
      <c r="LFT2" s="231"/>
      <c r="LFU2" s="229" t="s">
        <v>13328</v>
      </c>
      <c r="LFV2" s="230"/>
      <c r="LFW2" s="230"/>
      <c r="LFX2" s="231"/>
      <c r="LFY2" s="229" t="s">
        <v>13328</v>
      </c>
      <c r="LFZ2" s="230"/>
      <c r="LGA2" s="230"/>
      <c r="LGB2" s="231"/>
      <c r="LGC2" s="229" t="s">
        <v>13328</v>
      </c>
      <c r="LGD2" s="230"/>
      <c r="LGE2" s="230"/>
      <c r="LGF2" s="231"/>
      <c r="LGG2" s="229" t="s">
        <v>13328</v>
      </c>
      <c r="LGH2" s="230"/>
      <c r="LGI2" s="230"/>
      <c r="LGJ2" s="231"/>
      <c r="LGK2" s="229" t="s">
        <v>13328</v>
      </c>
      <c r="LGL2" s="230"/>
      <c r="LGM2" s="230"/>
      <c r="LGN2" s="231"/>
      <c r="LGO2" s="229" t="s">
        <v>13328</v>
      </c>
      <c r="LGP2" s="230"/>
      <c r="LGQ2" s="230"/>
      <c r="LGR2" s="231"/>
      <c r="LGS2" s="229" t="s">
        <v>13328</v>
      </c>
      <c r="LGT2" s="230"/>
      <c r="LGU2" s="230"/>
      <c r="LGV2" s="231"/>
      <c r="LGW2" s="229" t="s">
        <v>13328</v>
      </c>
      <c r="LGX2" s="230"/>
      <c r="LGY2" s="230"/>
      <c r="LGZ2" s="231"/>
      <c r="LHA2" s="229" t="s">
        <v>13328</v>
      </c>
      <c r="LHB2" s="230"/>
      <c r="LHC2" s="230"/>
      <c r="LHD2" s="231"/>
      <c r="LHE2" s="229" t="s">
        <v>13328</v>
      </c>
      <c r="LHF2" s="230"/>
      <c r="LHG2" s="230"/>
      <c r="LHH2" s="231"/>
      <c r="LHI2" s="229" t="s">
        <v>13328</v>
      </c>
      <c r="LHJ2" s="230"/>
      <c r="LHK2" s="230"/>
      <c r="LHL2" s="231"/>
      <c r="LHM2" s="229" t="s">
        <v>13328</v>
      </c>
      <c r="LHN2" s="230"/>
      <c r="LHO2" s="230"/>
      <c r="LHP2" s="231"/>
      <c r="LHQ2" s="229" t="s">
        <v>13328</v>
      </c>
      <c r="LHR2" s="230"/>
      <c r="LHS2" s="230"/>
      <c r="LHT2" s="231"/>
      <c r="LHU2" s="229" t="s">
        <v>13328</v>
      </c>
      <c r="LHV2" s="230"/>
      <c r="LHW2" s="230"/>
      <c r="LHX2" s="231"/>
      <c r="LHY2" s="229" t="s">
        <v>13328</v>
      </c>
      <c r="LHZ2" s="230"/>
      <c r="LIA2" s="230"/>
      <c r="LIB2" s="231"/>
      <c r="LIC2" s="229" t="s">
        <v>13328</v>
      </c>
      <c r="LID2" s="230"/>
      <c r="LIE2" s="230"/>
      <c r="LIF2" s="231"/>
      <c r="LIG2" s="229" t="s">
        <v>13328</v>
      </c>
      <c r="LIH2" s="230"/>
      <c r="LII2" s="230"/>
      <c r="LIJ2" s="231"/>
      <c r="LIK2" s="229" t="s">
        <v>13328</v>
      </c>
      <c r="LIL2" s="230"/>
      <c r="LIM2" s="230"/>
      <c r="LIN2" s="231"/>
      <c r="LIO2" s="229" t="s">
        <v>13328</v>
      </c>
      <c r="LIP2" s="230"/>
      <c r="LIQ2" s="230"/>
      <c r="LIR2" s="231"/>
      <c r="LIS2" s="229" t="s">
        <v>13328</v>
      </c>
      <c r="LIT2" s="230"/>
      <c r="LIU2" s="230"/>
      <c r="LIV2" s="231"/>
      <c r="LIW2" s="229" t="s">
        <v>13328</v>
      </c>
      <c r="LIX2" s="230"/>
      <c r="LIY2" s="230"/>
      <c r="LIZ2" s="231"/>
      <c r="LJA2" s="229" t="s">
        <v>13328</v>
      </c>
      <c r="LJB2" s="230"/>
      <c r="LJC2" s="230"/>
      <c r="LJD2" s="231"/>
      <c r="LJE2" s="229" t="s">
        <v>13328</v>
      </c>
      <c r="LJF2" s="230"/>
      <c r="LJG2" s="230"/>
      <c r="LJH2" s="231"/>
      <c r="LJI2" s="229" t="s">
        <v>13328</v>
      </c>
      <c r="LJJ2" s="230"/>
      <c r="LJK2" s="230"/>
      <c r="LJL2" s="231"/>
      <c r="LJM2" s="229" t="s">
        <v>13328</v>
      </c>
      <c r="LJN2" s="230"/>
      <c r="LJO2" s="230"/>
      <c r="LJP2" s="231"/>
      <c r="LJQ2" s="229" t="s">
        <v>13328</v>
      </c>
      <c r="LJR2" s="230"/>
      <c r="LJS2" s="230"/>
      <c r="LJT2" s="231"/>
      <c r="LJU2" s="229" t="s">
        <v>13328</v>
      </c>
      <c r="LJV2" s="230"/>
      <c r="LJW2" s="230"/>
      <c r="LJX2" s="231"/>
      <c r="LJY2" s="229" t="s">
        <v>13328</v>
      </c>
      <c r="LJZ2" s="230"/>
      <c r="LKA2" s="230"/>
      <c r="LKB2" s="231"/>
      <c r="LKC2" s="229" t="s">
        <v>13328</v>
      </c>
      <c r="LKD2" s="230"/>
      <c r="LKE2" s="230"/>
      <c r="LKF2" s="231"/>
      <c r="LKG2" s="229" t="s">
        <v>13328</v>
      </c>
      <c r="LKH2" s="230"/>
      <c r="LKI2" s="230"/>
      <c r="LKJ2" s="231"/>
      <c r="LKK2" s="229" t="s">
        <v>13328</v>
      </c>
      <c r="LKL2" s="230"/>
      <c r="LKM2" s="230"/>
      <c r="LKN2" s="231"/>
      <c r="LKO2" s="229" t="s">
        <v>13328</v>
      </c>
      <c r="LKP2" s="230"/>
      <c r="LKQ2" s="230"/>
      <c r="LKR2" s="231"/>
      <c r="LKS2" s="229" t="s">
        <v>13328</v>
      </c>
      <c r="LKT2" s="230"/>
      <c r="LKU2" s="230"/>
      <c r="LKV2" s="231"/>
      <c r="LKW2" s="229" t="s">
        <v>13328</v>
      </c>
      <c r="LKX2" s="230"/>
      <c r="LKY2" s="230"/>
      <c r="LKZ2" s="231"/>
      <c r="LLA2" s="229" t="s">
        <v>13328</v>
      </c>
      <c r="LLB2" s="230"/>
      <c r="LLC2" s="230"/>
      <c r="LLD2" s="231"/>
      <c r="LLE2" s="229" t="s">
        <v>13328</v>
      </c>
      <c r="LLF2" s="230"/>
      <c r="LLG2" s="230"/>
      <c r="LLH2" s="231"/>
      <c r="LLI2" s="229" t="s">
        <v>13328</v>
      </c>
      <c r="LLJ2" s="230"/>
      <c r="LLK2" s="230"/>
      <c r="LLL2" s="231"/>
      <c r="LLM2" s="229" t="s">
        <v>13328</v>
      </c>
      <c r="LLN2" s="230"/>
      <c r="LLO2" s="230"/>
      <c r="LLP2" s="231"/>
      <c r="LLQ2" s="229" t="s">
        <v>13328</v>
      </c>
      <c r="LLR2" s="230"/>
      <c r="LLS2" s="230"/>
      <c r="LLT2" s="231"/>
      <c r="LLU2" s="229" t="s">
        <v>13328</v>
      </c>
      <c r="LLV2" s="230"/>
      <c r="LLW2" s="230"/>
      <c r="LLX2" s="231"/>
      <c r="LLY2" s="229" t="s">
        <v>13328</v>
      </c>
      <c r="LLZ2" s="230"/>
      <c r="LMA2" s="230"/>
      <c r="LMB2" s="231"/>
      <c r="LMC2" s="229" t="s">
        <v>13328</v>
      </c>
      <c r="LMD2" s="230"/>
      <c r="LME2" s="230"/>
      <c r="LMF2" s="231"/>
      <c r="LMG2" s="229" t="s">
        <v>13328</v>
      </c>
      <c r="LMH2" s="230"/>
      <c r="LMI2" s="230"/>
      <c r="LMJ2" s="231"/>
      <c r="LMK2" s="229" t="s">
        <v>13328</v>
      </c>
      <c r="LML2" s="230"/>
      <c r="LMM2" s="230"/>
      <c r="LMN2" s="231"/>
      <c r="LMO2" s="229" t="s">
        <v>13328</v>
      </c>
      <c r="LMP2" s="230"/>
      <c r="LMQ2" s="230"/>
      <c r="LMR2" s="231"/>
      <c r="LMS2" s="229" t="s">
        <v>13328</v>
      </c>
      <c r="LMT2" s="230"/>
      <c r="LMU2" s="230"/>
      <c r="LMV2" s="231"/>
      <c r="LMW2" s="229" t="s">
        <v>13328</v>
      </c>
      <c r="LMX2" s="230"/>
      <c r="LMY2" s="230"/>
      <c r="LMZ2" s="231"/>
      <c r="LNA2" s="229" t="s">
        <v>13328</v>
      </c>
      <c r="LNB2" s="230"/>
      <c r="LNC2" s="230"/>
      <c r="LND2" s="231"/>
      <c r="LNE2" s="229" t="s">
        <v>13328</v>
      </c>
      <c r="LNF2" s="230"/>
      <c r="LNG2" s="230"/>
      <c r="LNH2" s="231"/>
      <c r="LNI2" s="229" t="s">
        <v>13328</v>
      </c>
      <c r="LNJ2" s="230"/>
      <c r="LNK2" s="230"/>
      <c r="LNL2" s="231"/>
      <c r="LNM2" s="229" t="s">
        <v>13328</v>
      </c>
      <c r="LNN2" s="230"/>
      <c r="LNO2" s="230"/>
      <c r="LNP2" s="231"/>
      <c r="LNQ2" s="229" t="s">
        <v>13328</v>
      </c>
      <c r="LNR2" s="230"/>
      <c r="LNS2" s="230"/>
      <c r="LNT2" s="231"/>
      <c r="LNU2" s="229" t="s">
        <v>13328</v>
      </c>
      <c r="LNV2" s="230"/>
      <c r="LNW2" s="230"/>
      <c r="LNX2" s="231"/>
      <c r="LNY2" s="229" t="s">
        <v>13328</v>
      </c>
      <c r="LNZ2" s="230"/>
      <c r="LOA2" s="230"/>
      <c r="LOB2" s="231"/>
      <c r="LOC2" s="229" t="s">
        <v>13328</v>
      </c>
      <c r="LOD2" s="230"/>
      <c r="LOE2" s="230"/>
      <c r="LOF2" s="231"/>
      <c r="LOG2" s="229" t="s">
        <v>13328</v>
      </c>
      <c r="LOH2" s="230"/>
      <c r="LOI2" s="230"/>
      <c r="LOJ2" s="231"/>
      <c r="LOK2" s="229" t="s">
        <v>13328</v>
      </c>
      <c r="LOL2" s="230"/>
      <c r="LOM2" s="230"/>
      <c r="LON2" s="231"/>
      <c r="LOO2" s="229" t="s">
        <v>13328</v>
      </c>
      <c r="LOP2" s="230"/>
      <c r="LOQ2" s="230"/>
      <c r="LOR2" s="231"/>
      <c r="LOS2" s="229" t="s">
        <v>13328</v>
      </c>
      <c r="LOT2" s="230"/>
      <c r="LOU2" s="230"/>
      <c r="LOV2" s="231"/>
      <c r="LOW2" s="229" t="s">
        <v>13328</v>
      </c>
      <c r="LOX2" s="230"/>
      <c r="LOY2" s="230"/>
      <c r="LOZ2" s="231"/>
      <c r="LPA2" s="229" t="s">
        <v>13328</v>
      </c>
      <c r="LPB2" s="230"/>
      <c r="LPC2" s="230"/>
      <c r="LPD2" s="231"/>
      <c r="LPE2" s="229" t="s">
        <v>13328</v>
      </c>
      <c r="LPF2" s="230"/>
      <c r="LPG2" s="230"/>
      <c r="LPH2" s="231"/>
      <c r="LPI2" s="229" t="s">
        <v>13328</v>
      </c>
      <c r="LPJ2" s="230"/>
      <c r="LPK2" s="230"/>
      <c r="LPL2" s="231"/>
      <c r="LPM2" s="229" t="s">
        <v>13328</v>
      </c>
      <c r="LPN2" s="230"/>
      <c r="LPO2" s="230"/>
      <c r="LPP2" s="231"/>
      <c r="LPQ2" s="229" t="s">
        <v>13328</v>
      </c>
      <c r="LPR2" s="230"/>
      <c r="LPS2" s="230"/>
      <c r="LPT2" s="231"/>
      <c r="LPU2" s="229" t="s">
        <v>13328</v>
      </c>
      <c r="LPV2" s="230"/>
      <c r="LPW2" s="230"/>
      <c r="LPX2" s="231"/>
      <c r="LPY2" s="229" t="s">
        <v>13328</v>
      </c>
      <c r="LPZ2" s="230"/>
      <c r="LQA2" s="230"/>
      <c r="LQB2" s="231"/>
      <c r="LQC2" s="229" t="s">
        <v>13328</v>
      </c>
      <c r="LQD2" s="230"/>
      <c r="LQE2" s="230"/>
      <c r="LQF2" s="231"/>
      <c r="LQG2" s="229" t="s">
        <v>13328</v>
      </c>
      <c r="LQH2" s="230"/>
      <c r="LQI2" s="230"/>
      <c r="LQJ2" s="231"/>
      <c r="LQK2" s="229" t="s">
        <v>13328</v>
      </c>
      <c r="LQL2" s="230"/>
      <c r="LQM2" s="230"/>
      <c r="LQN2" s="231"/>
      <c r="LQO2" s="229" t="s">
        <v>13328</v>
      </c>
      <c r="LQP2" s="230"/>
      <c r="LQQ2" s="230"/>
      <c r="LQR2" s="231"/>
      <c r="LQS2" s="229" t="s">
        <v>13328</v>
      </c>
      <c r="LQT2" s="230"/>
      <c r="LQU2" s="230"/>
      <c r="LQV2" s="231"/>
      <c r="LQW2" s="229" t="s">
        <v>13328</v>
      </c>
      <c r="LQX2" s="230"/>
      <c r="LQY2" s="230"/>
      <c r="LQZ2" s="231"/>
      <c r="LRA2" s="229" t="s">
        <v>13328</v>
      </c>
      <c r="LRB2" s="230"/>
      <c r="LRC2" s="230"/>
      <c r="LRD2" s="231"/>
      <c r="LRE2" s="229" t="s">
        <v>13328</v>
      </c>
      <c r="LRF2" s="230"/>
      <c r="LRG2" s="230"/>
      <c r="LRH2" s="231"/>
      <c r="LRI2" s="229" t="s">
        <v>13328</v>
      </c>
      <c r="LRJ2" s="230"/>
      <c r="LRK2" s="230"/>
      <c r="LRL2" s="231"/>
      <c r="LRM2" s="229" t="s">
        <v>13328</v>
      </c>
      <c r="LRN2" s="230"/>
      <c r="LRO2" s="230"/>
      <c r="LRP2" s="231"/>
      <c r="LRQ2" s="229" t="s">
        <v>13328</v>
      </c>
      <c r="LRR2" s="230"/>
      <c r="LRS2" s="230"/>
      <c r="LRT2" s="231"/>
      <c r="LRU2" s="229" t="s">
        <v>13328</v>
      </c>
      <c r="LRV2" s="230"/>
      <c r="LRW2" s="230"/>
      <c r="LRX2" s="231"/>
      <c r="LRY2" s="229" t="s">
        <v>13328</v>
      </c>
      <c r="LRZ2" s="230"/>
      <c r="LSA2" s="230"/>
      <c r="LSB2" s="231"/>
      <c r="LSC2" s="229" t="s">
        <v>13328</v>
      </c>
      <c r="LSD2" s="230"/>
      <c r="LSE2" s="230"/>
      <c r="LSF2" s="231"/>
      <c r="LSG2" s="229" t="s">
        <v>13328</v>
      </c>
      <c r="LSH2" s="230"/>
      <c r="LSI2" s="230"/>
      <c r="LSJ2" s="231"/>
      <c r="LSK2" s="229" t="s">
        <v>13328</v>
      </c>
      <c r="LSL2" s="230"/>
      <c r="LSM2" s="230"/>
      <c r="LSN2" s="231"/>
      <c r="LSO2" s="229" t="s">
        <v>13328</v>
      </c>
      <c r="LSP2" s="230"/>
      <c r="LSQ2" s="230"/>
      <c r="LSR2" s="231"/>
      <c r="LSS2" s="229" t="s">
        <v>13328</v>
      </c>
      <c r="LST2" s="230"/>
      <c r="LSU2" s="230"/>
      <c r="LSV2" s="231"/>
      <c r="LSW2" s="229" t="s">
        <v>13328</v>
      </c>
      <c r="LSX2" s="230"/>
      <c r="LSY2" s="230"/>
      <c r="LSZ2" s="231"/>
      <c r="LTA2" s="229" t="s">
        <v>13328</v>
      </c>
      <c r="LTB2" s="230"/>
      <c r="LTC2" s="230"/>
      <c r="LTD2" s="231"/>
      <c r="LTE2" s="229" t="s">
        <v>13328</v>
      </c>
      <c r="LTF2" s="230"/>
      <c r="LTG2" s="230"/>
      <c r="LTH2" s="231"/>
      <c r="LTI2" s="229" t="s">
        <v>13328</v>
      </c>
      <c r="LTJ2" s="230"/>
      <c r="LTK2" s="230"/>
      <c r="LTL2" s="231"/>
      <c r="LTM2" s="229" t="s">
        <v>13328</v>
      </c>
      <c r="LTN2" s="230"/>
      <c r="LTO2" s="230"/>
      <c r="LTP2" s="231"/>
      <c r="LTQ2" s="229" t="s">
        <v>13328</v>
      </c>
      <c r="LTR2" s="230"/>
      <c r="LTS2" s="230"/>
      <c r="LTT2" s="231"/>
      <c r="LTU2" s="229" t="s">
        <v>13328</v>
      </c>
      <c r="LTV2" s="230"/>
      <c r="LTW2" s="230"/>
      <c r="LTX2" s="231"/>
      <c r="LTY2" s="229" t="s">
        <v>13328</v>
      </c>
      <c r="LTZ2" s="230"/>
      <c r="LUA2" s="230"/>
      <c r="LUB2" s="231"/>
      <c r="LUC2" s="229" t="s">
        <v>13328</v>
      </c>
      <c r="LUD2" s="230"/>
      <c r="LUE2" s="230"/>
      <c r="LUF2" s="231"/>
      <c r="LUG2" s="229" t="s">
        <v>13328</v>
      </c>
      <c r="LUH2" s="230"/>
      <c r="LUI2" s="230"/>
      <c r="LUJ2" s="231"/>
      <c r="LUK2" s="229" t="s">
        <v>13328</v>
      </c>
      <c r="LUL2" s="230"/>
      <c r="LUM2" s="230"/>
      <c r="LUN2" s="231"/>
      <c r="LUO2" s="229" t="s">
        <v>13328</v>
      </c>
      <c r="LUP2" s="230"/>
      <c r="LUQ2" s="230"/>
      <c r="LUR2" s="231"/>
      <c r="LUS2" s="229" t="s">
        <v>13328</v>
      </c>
      <c r="LUT2" s="230"/>
      <c r="LUU2" s="230"/>
      <c r="LUV2" s="231"/>
      <c r="LUW2" s="229" t="s">
        <v>13328</v>
      </c>
      <c r="LUX2" s="230"/>
      <c r="LUY2" s="230"/>
      <c r="LUZ2" s="231"/>
      <c r="LVA2" s="229" t="s">
        <v>13328</v>
      </c>
      <c r="LVB2" s="230"/>
      <c r="LVC2" s="230"/>
      <c r="LVD2" s="231"/>
      <c r="LVE2" s="229" t="s">
        <v>13328</v>
      </c>
      <c r="LVF2" s="230"/>
      <c r="LVG2" s="230"/>
      <c r="LVH2" s="231"/>
      <c r="LVI2" s="229" t="s">
        <v>13328</v>
      </c>
      <c r="LVJ2" s="230"/>
      <c r="LVK2" s="230"/>
      <c r="LVL2" s="231"/>
      <c r="LVM2" s="229" t="s">
        <v>13328</v>
      </c>
      <c r="LVN2" s="230"/>
      <c r="LVO2" s="230"/>
      <c r="LVP2" s="231"/>
      <c r="LVQ2" s="229" t="s">
        <v>13328</v>
      </c>
      <c r="LVR2" s="230"/>
      <c r="LVS2" s="230"/>
      <c r="LVT2" s="231"/>
      <c r="LVU2" s="229" t="s">
        <v>13328</v>
      </c>
      <c r="LVV2" s="230"/>
      <c r="LVW2" s="230"/>
      <c r="LVX2" s="231"/>
      <c r="LVY2" s="229" t="s">
        <v>13328</v>
      </c>
      <c r="LVZ2" s="230"/>
      <c r="LWA2" s="230"/>
      <c r="LWB2" s="231"/>
      <c r="LWC2" s="229" t="s">
        <v>13328</v>
      </c>
      <c r="LWD2" s="230"/>
      <c r="LWE2" s="230"/>
      <c r="LWF2" s="231"/>
      <c r="LWG2" s="229" t="s">
        <v>13328</v>
      </c>
      <c r="LWH2" s="230"/>
      <c r="LWI2" s="230"/>
      <c r="LWJ2" s="231"/>
      <c r="LWK2" s="229" t="s">
        <v>13328</v>
      </c>
      <c r="LWL2" s="230"/>
      <c r="LWM2" s="230"/>
      <c r="LWN2" s="231"/>
      <c r="LWO2" s="229" t="s">
        <v>13328</v>
      </c>
      <c r="LWP2" s="230"/>
      <c r="LWQ2" s="230"/>
      <c r="LWR2" s="231"/>
      <c r="LWS2" s="229" t="s">
        <v>13328</v>
      </c>
      <c r="LWT2" s="230"/>
      <c r="LWU2" s="230"/>
      <c r="LWV2" s="231"/>
      <c r="LWW2" s="229" t="s">
        <v>13328</v>
      </c>
      <c r="LWX2" s="230"/>
      <c r="LWY2" s="230"/>
      <c r="LWZ2" s="231"/>
      <c r="LXA2" s="229" t="s">
        <v>13328</v>
      </c>
      <c r="LXB2" s="230"/>
      <c r="LXC2" s="230"/>
      <c r="LXD2" s="231"/>
      <c r="LXE2" s="229" t="s">
        <v>13328</v>
      </c>
      <c r="LXF2" s="230"/>
      <c r="LXG2" s="230"/>
      <c r="LXH2" s="231"/>
      <c r="LXI2" s="229" t="s">
        <v>13328</v>
      </c>
      <c r="LXJ2" s="230"/>
      <c r="LXK2" s="230"/>
      <c r="LXL2" s="231"/>
      <c r="LXM2" s="229" t="s">
        <v>13328</v>
      </c>
      <c r="LXN2" s="230"/>
      <c r="LXO2" s="230"/>
      <c r="LXP2" s="231"/>
      <c r="LXQ2" s="229" t="s">
        <v>13328</v>
      </c>
      <c r="LXR2" s="230"/>
      <c r="LXS2" s="230"/>
      <c r="LXT2" s="231"/>
      <c r="LXU2" s="229" t="s">
        <v>13328</v>
      </c>
      <c r="LXV2" s="230"/>
      <c r="LXW2" s="230"/>
      <c r="LXX2" s="231"/>
      <c r="LXY2" s="229" t="s">
        <v>13328</v>
      </c>
      <c r="LXZ2" s="230"/>
      <c r="LYA2" s="230"/>
      <c r="LYB2" s="231"/>
      <c r="LYC2" s="229" t="s">
        <v>13328</v>
      </c>
      <c r="LYD2" s="230"/>
      <c r="LYE2" s="230"/>
      <c r="LYF2" s="231"/>
      <c r="LYG2" s="229" t="s">
        <v>13328</v>
      </c>
      <c r="LYH2" s="230"/>
      <c r="LYI2" s="230"/>
      <c r="LYJ2" s="231"/>
      <c r="LYK2" s="229" t="s">
        <v>13328</v>
      </c>
      <c r="LYL2" s="230"/>
      <c r="LYM2" s="230"/>
      <c r="LYN2" s="231"/>
      <c r="LYO2" s="229" t="s">
        <v>13328</v>
      </c>
      <c r="LYP2" s="230"/>
      <c r="LYQ2" s="230"/>
      <c r="LYR2" s="231"/>
      <c r="LYS2" s="229" t="s">
        <v>13328</v>
      </c>
      <c r="LYT2" s="230"/>
      <c r="LYU2" s="230"/>
      <c r="LYV2" s="231"/>
      <c r="LYW2" s="229" t="s">
        <v>13328</v>
      </c>
      <c r="LYX2" s="230"/>
      <c r="LYY2" s="230"/>
      <c r="LYZ2" s="231"/>
      <c r="LZA2" s="229" t="s">
        <v>13328</v>
      </c>
      <c r="LZB2" s="230"/>
      <c r="LZC2" s="230"/>
      <c r="LZD2" s="231"/>
      <c r="LZE2" s="229" t="s">
        <v>13328</v>
      </c>
      <c r="LZF2" s="230"/>
      <c r="LZG2" s="230"/>
      <c r="LZH2" s="231"/>
      <c r="LZI2" s="229" t="s">
        <v>13328</v>
      </c>
      <c r="LZJ2" s="230"/>
      <c r="LZK2" s="230"/>
      <c r="LZL2" s="231"/>
      <c r="LZM2" s="229" t="s">
        <v>13328</v>
      </c>
      <c r="LZN2" s="230"/>
      <c r="LZO2" s="230"/>
      <c r="LZP2" s="231"/>
      <c r="LZQ2" s="229" t="s">
        <v>13328</v>
      </c>
      <c r="LZR2" s="230"/>
      <c r="LZS2" s="230"/>
      <c r="LZT2" s="231"/>
      <c r="LZU2" s="229" t="s">
        <v>13328</v>
      </c>
      <c r="LZV2" s="230"/>
      <c r="LZW2" s="230"/>
      <c r="LZX2" s="231"/>
      <c r="LZY2" s="229" t="s">
        <v>13328</v>
      </c>
      <c r="LZZ2" s="230"/>
      <c r="MAA2" s="230"/>
      <c r="MAB2" s="231"/>
      <c r="MAC2" s="229" t="s">
        <v>13328</v>
      </c>
      <c r="MAD2" s="230"/>
      <c r="MAE2" s="230"/>
      <c r="MAF2" s="231"/>
      <c r="MAG2" s="229" t="s">
        <v>13328</v>
      </c>
      <c r="MAH2" s="230"/>
      <c r="MAI2" s="230"/>
      <c r="MAJ2" s="231"/>
      <c r="MAK2" s="229" t="s">
        <v>13328</v>
      </c>
      <c r="MAL2" s="230"/>
      <c r="MAM2" s="230"/>
      <c r="MAN2" s="231"/>
      <c r="MAO2" s="229" t="s">
        <v>13328</v>
      </c>
      <c r="MAP2" s="230"/>
      <c r="MAQ2" s="230"/>
      <c r="MAR2" s="231"/>
      <c r="MAS2" s="229" t="s">
        <v>13328</v>
      </c>
      <c r="MAT2" s="230"/>
      <c r="MAU2" s="230"/>
      <c r="MAV2" s="231"/>
      <c r="MAW2" s="229" t="s">
        <v>13328</v>
      </c>
      <c r="MAX2" s="230"/>
      <c r="MAY2" s="230"/>
      <c r="MAZ2" s="231"/>
      <c r="MBA2" s="229" t="s">
        <v>13328</v>
      </c>
      <c r="MBB2" s="230"/>
      <c r="MBC2" s="230"/>
      <c r="MBD2" s="231"/>
      <c r="MBE2" s="229" t="s">
        <v>13328</v>
      </c>
      <c r="MBF2" s="230"/>
      <c r="MBG2" s="230"/>
      <c r="MBH2" s="231"/>
      <c r="MBI2" s="229" t="s">
        <v>13328</v>
      </c>
      <c r="MBJ2" s="230"/>
      <c r="MBK2" s="230"/>
      <c r="MBL2" s="231"/>
      <c r="MBM2" s="229" t="s">
        <v>13328</v>
      </c>
      <c r="MBN2" s="230"/>
      <c r="MBO2" s="230"/>
      <c r="MBP2" s="231"/>
      <c r="MBQ2" s="229" t="s">
        <v>13328</v>
      </c>
      <c r="MBR2" s="230"/>
      <c r="MBS2" s="230"/>
      <c r="MBT2" s="231"/>
      <c r="MBU2" s="229" t="s">
        <v>13328</v>
      </c>
      <c r="MBV2" s="230"/>
      <c r="MBW2" s="230"/>
      <c r="MBX2" s="231"/>
      <c r="MBY2" s="229" t="s">
        <v>13328</v>
      </c>
      <c r="MBZ2" s="230"/>
      <c r="MCA2" s="230"/>
      <c r="MCB2" s="231"/>
      <c r="MCC2" s="229" t="s">
        <v>13328</v>
      </c>
      <c r="MCD2" s="230"/>
      <c r="MCE2" s="230"/>
      <c r="MCF2" s="231"/>
      <c r="MCG2" s="229" t="s">
        <v>13328</v>
      </c>
      <c r="MCH2" s="230"/>
      <c r="MCI2" s="230"/>
      <c r="MCJ2" s="231"/>
      <c r="MCK2" s="229" t="s">
        <v>13328</v>
      </c>
      <c r="MCL2" s="230"/>
      <c r="MCM2" s="230"/>
      <c r="MCN2" s="231"/>
      <c r="MCO2" s="229" t="s">
        <v>13328</v>
      </c>
      <c r="MCP2" s="230"/>
      <c r="MCQ2" s="230"/>
      <c r="MCR2" s="231"/>
      <c r="MCS2" s="229" t="s">
        <v>13328</v>
      </c>
      <c r="MCT2" s="230"/>
      <c r="MCU2" s="230"/>
      <c r="MCV2" s="231"/>
      <c r="MCW2" s="229" t="s">
        <v>13328</v>
      </c>
      <c r="MCX2" s="230"/>
      <c r="MCY2" s="230"/>
      <c r="MCZ2" s="231"/>
      <c r="MDA2" s="229" t="s">
        <v>13328</v>
      </c>
      <c r="MDB2" s="230"/>
      <c r="MDC2" s="230"/>
      <c r="MDD2" s="231"/>
      <c r="MDE2" s="229" t="s">
        <v>13328</v>
      </c>
      <c r="MDF2" s="230"/>
      <c r="MDG2" s="230"/>
      <c r="MDH2" s="231"/>
      <c r="MDI2" s="229" t="s">
        <v>13328</v>
      </c>
      <c r="MDJ2" s="230"/>
      <c r="MDK2" s="230"/>
      <c r="MDL2" s="231"/>
      <c r="MDM2" s="229" t="s">
        <v>13328</v>
      </c>
      <c r="MDN2" s="230"/>
      <c r="MDO2" s="230"/>
      <c r="MDP2" s="231"/>
      <c r="MDQ2" s="229" t="s">
        <v>13328</v>
      </c>
      <c r="MDR2" s="230"/>
      <c r="MDS2" s="230"/>
      <c r="MDT2" s="231"/>
      <c r="MDU2" s="229" t="s">
        <v>13328</v>
      </c>
      <c r="MDV2" s="230"/>
      <c r="MDW2" s="230"/>
      <c r="MDX2" s="231"/>
      <c r="MDY2" s="229" t="s">
        <v>13328</v>
      </c>
      <c r="MDZ2" s="230"/>
      <c r="MEA2" s="230"/>
      <c r="MEB2" s="231"/>
      <c r="MEC2" s="229" t="s">
        <v>13328</v>
      </c>
      <c r="MED2" s="230"/>
      <c r="MEE2" s="230"/>
      <c r="MEF2" s="231"/>
      <c r="MEG2" s="229" t="s">
        <v>13328</v>
      </c>
      <c r="MEH2" s="230"/>
      <c r="MEI2" s="230"/>
      <c r="MEJ2" s="231"/>
      <c r="MEK2" s="229" t="s">
        <v>13328</v>
      </c>
      <c r="MEL2" s="230"/>
      <c r="MEM2" s="230"/>
      <c r="MEN2" s="231"/>
      <c r="MEO2" s="229" t="s">
        <v>13328</v>
      </c>
      <c r="MEP2" s="230"/>
      <c r="MEQ2" s="230"/>
      <c r="MER2" s="231"/>
      <c r="MES2" s="229" t="s">
        <v>13328</v>
      </c>
      <c r="MET2" s="230"/>
      <c r="MEU2" s="230"/>
      <c r="MEV2" s="231"/>
      <c r="MEW2" s="229" t="s">
        <v>13328</v>
      </c>
      <c r="MEX2" s="230"/>
      <c r="MEY2" s="230"/>
      <c r="MEZ2" s="231"/>
      <c r="MFA2" s="229" t="s">
        <v>13328</v>
      </c>
      <c r="MFB2" s="230"/>
      <c r="MFC2" s="230"/>
      <c r="MFD2" s="231"/>
      <c r="MFE2" s="229" t="s">
        <v>13328</v>
      </c>
      <c r="MFF2" s="230"/>
      <c r="MFG2" s="230"/>
      <c r="MFH2" s="231"/>
      <c r="MFI2" s="229" t="s">
        <v>13328</v>
      </c>
      <c r="MFJ2" s="230"/>
      <c r="MFK2" s="230"/>
      <c r="MFL2" s="231"/>
      <c r="MFM2" s="229" t="s">
        <v>13328</v>
      </c>
      <c r="MFN2" s="230"/>
      <c r="MFO2" s="230"/>
      <c r="MFP2" s="231"/>
      <c r="MFQ2" s="229" t="s">
        <v>13328</v>
      </c>
      <c r="MFR2" s="230"/>
      <c r="MFS2" s="230"/>
      <c r="MFT2" s="231"/>
      <c r="MFU2" s="229" t="s">
        <v>13328</v>
      </c>
      <c r="MFV2" s="230"/>
      <c r="MFW2" s="230"/>
      <c r="MFX2" s="231"/>
      <c r="MFY2" s="229" t="s">
        <v>13328</v>
      </c>
      <c r="MFZ2" s="230"/>
      <c r="MGA2" s="230"/>
      <c r="MGB2" s="231"/>
      <c r="MGC2" s="229" t="s">
        <v>13328</v>
      </c>
      <c r="MGD2" s="230"/>
      <c r="MGE2" s="230"/>
      <c r="MGF2" s="231"/>
      <c r="MGG2" s="229" t="s">
        <v>13328</v>
      </c>
      <c r="MGH2" s="230"/>
      <c r="MGI2" s="230"/>
      <c r="MGJ2" s="231"/>
      <c r="MGK2" s="229" t="s">
        <v>13328</v>
      </c>
      <c r="MGL2" s="230"/>
      <c r="MGM2" s="230"/>
      <c r="MGN2" s="231"/>
      <c r="MGO2" s="229" t="s">
        <v>13328</v>
      </c>
      <c r="MGP2" s="230"/>
      <c r="MGQ2" s="230"/>
      <c r="MGR2" s="231"/>
      <c r="MGS2" s="229" t="s">
        <v>13328</v>
      </c>
      <c r="MGT2" s="230"/>
      <c r="MGU2" s="230"/>
      <c r="MGV2" s="231"/>
      <c r="MGW2" s="229" t="s">
        <v>13328</v>
      </c>
      <c r="MGX2" s="230"/>
      <c r="MGY2" s="230"/>
      <c r="MGZ2" s="231"/>
      <c r="MHA2" s="229" t="s">
        <v>13328</v>
      </c>
      <c r="MHB2" s="230"/>
      <c r="MHC2" s="230"/>
      <c r="MHD2" s="231"/>
      <c r="MHE2" s="229" t="s">
        <v>13328</v>
      </c>
      <c r="MHF2" s="230"/>
      <c r="MHG2" s="230"/>
      <c r="MHH2" s="231"/>
      <c r="MHI2" s="229" t="s">
        <v>13328</v>
      </c>
      <c r="MHJ2" s="230"/>
      <c r="MHK2" s="230"/>
      <c r="MHL2" s="231"/>
      <c r="MHM2" s="229" t="s">
        <v>13328</v>
      </c>
      <c r="MHN2" s="230"/>
      <c r="MHO2" s="230"/>
      <c r="MHP2" s="231"/>
      <c r="MHQ2" s="229" t="s">
        <v>13328</v>
      </c>
      <c r="MHR2" s="230"/>
      <c r="MHS2" s="230"/>
      <c r="MHT2" s="231"/>
      <c r="MHU2" s="229" t="s">
        <v>13328</v>
      </c>
      <c r="MHV2" s="230"/>
      <c r="MHW2" s="230"/>
      <c r="MHX2" s="231"/>
      <c r="MHY2" s="229" t="s">
        <v>13328</v>
      </c>
      <c r="MHZ2" s="230"/>
      <c r="MIA2" s="230"/>
      <c r="MIB2" s="231"/>
      <c r="MIC2" s="229" t="s">
        <v>13328</v>
      </c>
      <c r="MID2" s="230"/>
      <c r="MIE2" s="230"/>
      <c r="MIF2" s="231"/>
      <c r="MIG2" s="229" t="s">
        <v>13328</v>
      </c>
      <c r="MIH2" s="230"/>
      <c r="MII2" s="230"/>
      <c r="MIJ2" s="231"/>
      <c r="MIK2" s="229" t="s">
        <v>13328</v>
      </c>
      <c r="MIL2" s="230"/>
      <c r="MIM2" s="230"/>
      <c r="MIN2" s="231"/>
      <c r="MIO2" s="229" t="s">
        <v>13328</v>
      </c>
      <c r="MIP2" s="230"/>
      <c r="MIQ2" s="230"/>
      <c r="MIR2" s="231"/>
      <c r="MIS2" s="229" t="s">
        <v>13328</v>
      </c>
      <c r="MIT2" s="230"/>
      <c r="MIU2" s="230"/>
      <c r="MIV2" s="231"/>
      <c r="MIW2" s="229" t="s">
        <v>13328</v>
      </c>
      <c r="MIX2" s="230"/>
      <c r="MIY2" s="230"/>
      <c r="MIZ2" s="231"/>
      <c r="MJA2" s="229" t="s">
        <v>13328</v>
      </c>
      <c r="MJB2" s="230"/>
      <c r="MJC2" s="230"/>
      <c r="MJD2" s="231"/>
      <c r="MJE2" s="229" t="s">
        <v>13328</v>
      </c>
      <c r="MJF2" s="230"/>
      <c r="MJG2" s="230"/>
      <c r="MJH2" s="231"/>
      <c r="MJI2" s="229" t="s">
        <v>13328</v>
      </c>
      <c r="MJJ2" s="230"/>
      <c r="MJK2" s="230"/>
      <c r="MJL2" s="231"/>
      <c r="MJM2" s="229" t="s">
        <v>13328</v>
      </c>
      <c r="MJN2" s="230"/>
      <c r="MJO2" s="230"/>
      <c r="MJP2" s="231"/>
      <c r="MJQ2" s="229" t="s">
        <v>13328</v>
      </c>
      <c r="MJR2" s="230"/>
      <c r="MJS2" s="230"/>
      <c r="MJT2" s="231"/>
      <c r="MJU2" s="229" t="s">
        <v>13328</v>
      </c>
      <c r="MJV2" s="230"/>
      <c r="MJW2" s="230"/>
      <c r="MJX2" s="231"/>
      <c r="MJY2" s="229" t="s">
        <v>13328</v>
      </c>
      <c r="MJZ2" s="230"/>
      <c r="MKA2" s="230"/>
      <c r="MKB2" s="231"/>
      <c r="MKC2" s="229" t="s">
        <v>13328</v>
      </c>
      <c r="MKD2" s="230"/>
      <c r="MKE2" s="230"/>
      <c r="MKF2" s="231"/>
      <c r="MKG2" s="229" t="s">
        <v>13328</v>
      </c>
      <c r="MKH2" s="230"/>
      <c r="MKI2" s="230"/>
      <c r="MKJ2" s="231"/>
      <c r="MKK2" s="229" t="s">
        <v>13328</v>
      </c>
      <c r="MKL2" s="230"/>
      <c r="MKM2" s="230"/>
      <c r="MKN2" s="231"/>
      <c r="MKO2" s="229" t="s">
        <v>13328</v>
      </c>
      <c r="MKP2" s="230"/>
      <c r="MKQ2" s="230"/>
      <c r="MKR2" s="231"/>
      <c r="MKS2" s="229" t="s">
        <v>13328</v>
      </c>
      <c r="MKT2" s="230"/>
      <c r="MKU2" s="230"/>
      <c r="MKV2" s="231"/>
      <c r="MKW2" s="229" t="s">
        <v>13328</v>
      </c>
      <c r="MKX2" s="230"/>
      <c r="MKY2" s="230"/>
      <c r="MKZ2" s="231"/>
      <c r="MLA2" s="229" t="s">
        <v>13328</v>
      </c>
      <c r="MLB2" s="230"/>
      <c r="MLC2" s="230"/>
      <c r="MLD2" s="231"/>
      <c r="MLE2" s="229" t="s">
        <v>13328</v>
      </c>
      <c r="MLF2" s="230"/>
      <c r="MLG2" s="230"/>
      <c r="MLH2" s="231"/>
      <c r="MLI2" s="229" t="s">
        <v>13328</v>
      </c>
      <c r="MLJ2" s="230"/>
      <c r="MLK2" s="230"/>
      <c r="MLL2" s="231"/>
      <c r="MLM2" s="229" t="s">
        <v>13328</v>
      </c>
      <c r="MLN2" s="230"/>
      <c r="MLO2" s="230"/>
      <c r="MLP2" s="231"/>
      <c r="MLQ2" s="229" t="s">
        <v>13328</v>
      </c>
      <c r="MLR2" s="230"/>
      <c r="MLS2" s="230"/>
      <c r="MLT2" s="231"/>
      <c r="MLU2" s="229" t="s">
        <v>13328</v>
      </c>
      <c r="MLV2" s="230"/>
      <c r="MLW2" s="230"/>
      <c r="MLX2" s="231"/>
      <c r="MLY2" s="229" t="s">
        <v>13328</v>
      </c>
      <c r="MLZ2" s="230"/>
      <c r="MMA2" s="230"/>
      <c r="MMB2" s="231"/>
      <c r="MMC2" s="229" t="s">
        <v>13328</v>
      </c>
      <c r="MMD2" s="230"/>
      <c r="MME2" s="230"/>
      <c r="MMF2" s="231"/>
      <c r="MMG2" s="229" t="s">
        <v>13328</v>
      </c>
      <c r="MMH2" s="230"/>
      <c r="MMI2" s="230"/>
      <c r="MMJ2" s="231"/>
      <c r="MMK2" s="229" t="s">
        <v>13328</v>
      </c>
      <c r="MML2" s="230"/>
      <c r="MMM2" s="230"/>
      <c r="MMN2" s="231"/>
      <c r="MMO2" s="229" t="s">
        <v>13328</v>
      </c>
      <c r="MMP2" s="230"/>
      <c r="MMQ2" s="230"/>
      <c r="MMR2" s="231"/>
      <c r="MMS2" s="229" t="s">
        <v>13328</v>
      </c>
      <c r="MMT2" s="230"/>
      <c r="MMU2" s="230"/>
      <c r="MMV2" s="231"/>
      <c r="MMW2" s="229" t="s">
        <v>13328</v>
      </c>
      <c r="MMX2" s="230"/>
      <c r="MMY2" s="230"/>
      <c r="MMZ2" s="231"/>
      <c r="MNA2" s="229" t="s">
        <v>13328</v>
      </c>
      <c r="MNB2" s="230"/>
      <c r="MNC2" s="230"/>
      <c r="MND2" s="231"/>
      <c r="MNE2" s="229" t="s">
        <v>13328</v>
      </c>
      <c r="MNF2" s="230"/>
      <c r="MNG2" s="230"/>
      <c r="MNH2" s="231"/>
      <c r="MNI2" s="229" t="s">
        <v>13328</v>
      </c>
      <c r="MNJ2" s="230"/>
      <c r="MNK2" s="230"/>
      <c r="MNL2" s="231"/>
      <c r="MNM2" s="229" t="s">
        <v>13328</v>
      </c>
      <c r="MNN2" s="230"/>
      <c r="MNO2" s="230"/>
      <c r="MNP2" s="231"/>
      <c r="MNQ2" s="229" t="s">
        <v>13328</v>
      </c>
      <c r="MNR2" s="230"/>
      <c r="MNS2" s="230"/>
      <c r="MNT2" s="231"/>
      <c r="MNU2" s="229" t="s">
        <v>13328</v>
      </c>
      <c r="MNV2" s="230"/>
      <c r="MNW2" s="230"/>
      <c r="MNX2" s="231"/>
      <c r="MNY2" s="229" t="s">
        <v>13328</v>
      </c>
      <c r="MNZ2" s="230"/>
      <c r="MOA2" s="230"/>
      <c r="MOB2" s="231"/>
      <c r="MOC2" s="229" t="s">
        <v>13328</v>
      </c>
      <c r="MOD2" s="230"/>
      <c r="MOE2" s="230"/>
      <c r="MOF2" s="231"/>
      <c r="MOG2" s="229" t="s">
        <v>13328</v>
      </c>
      <c r="MOH2" s="230"/>
      <c r="MOI2" s="230"/>
      <c r="MOJ2" s="231"/>
      <c r="MOK2" s="229" t="s">
        <v>13328</v>
      </c>
      <c r="MOL2" s="230"/>
      <c r="MOM2" s="230"/>
      <c r="MON2" s="231"/>
      <c r="MOO2" s="229" t="s">
        <v>13328</v>
      </c>
      <c r="MOP2" s="230"/>
      <c r="MOQ2" s="230"/>
      <c r="MOR2" s="231"/>
      <c r="MOS2" s="229" t="s">
        <v>13328</v>
      </c>
      <c r="MOT2" s="230"/>
      <c r="MOU2" s="230"/>
      <c r="MOV2" s="231"/>
      <c r="MOW2" s="229" t="s">
        <v>13328</v>
      </c>
      <c r="MOX2" s="230"/>
      <c r="MOY2" s="230"/>
      <c r="MOZ2" s="231"/>
      <c r="MPA2" s="229" t="s">
        <v>13328</v>
      </c>
      <c r="MPB2" s="230"/>
      <c r="MPC2" s="230"/>
      <c r="MPD2" s="231"/>
      <c r="MPE2" s="229" t="s">
        <v>13328</v>
      </c>
      <c r="MPF2" s="230"/>
      <c r="MPG2" s="230"/>
      <c r="MPH2" s="231"/>
      <c r="MPI2" s="229" t="s">
        <v>13328</v>
      </c>
      <c r="MPJ2" s="230"/>
      <c r="MPK2" s="230"/>
      <c r="MPL2" s="231"/>
      <c r="MPM2" s="229" t="s">
        <v>13328</v>
      </c>
      <c r="MPN2" s="230"/>
      <c r="MPO2" s="230"/>
      <c r="MPP2" s="231"/>
      <c r="MPQ2" s="229" t="s">
        <v>13328</v>
      </c>
      <c r="MPR2" s="230"/>
      <c r="MPS2" s="230"/>
      <c r="MPT2" s="231"/>
      <c r="MPU2" s="229" t="s">
        <v>13328</v>
      </c>
      <c r="MPV2" s="230"/>
      <c r="MPW2" s="230"/>
      <c r="MPX2" s="231"/>
      <c r="MPY2" s="229" t="s">
        <v>13328</v>
      </c>
      <c r="MPZ2" s="230"/>
      <c r="MQA2" s="230"/>
      <c r="MQB2" s="231"/>
      <c r="MQC2" s="229" t="s">
        <v>13328</v>
      </c>
      <c r="MQD2" s="230"/>
      <c r="MQE2" s="230"/>
      <c r="MQF2" s="231"/>
      <c r="MQG2" s="229" t="s">
        <v>13328</v>
      </c>
      <c r="MQH2" s="230"/>
      <c r="MQI2" s="230"/>
      <c r="MQJ2" s="231"/>
      <c r="MQK2" s="229" t="s">
        <v>13328</v>
      </c>
      <c r="MQL2" s="230"/>
      <c r="MQM2" s="230"/>
      <c r="MQN2" s="231"/>
      <c r="MQO2" s="229" t="s">
        <v>13328</v>
      </c>
      <c r="MQP2" s="230"/>
      <c r="MQQ2" s="230"/>
      <c r="MQR2" s="231"/>
      <c r="MQS2" s="229" t="s">
        <v>13328</v>
      </c>
      <c r="MQT2" s="230"/>
      <c r="MQU2" s="230"/>
      <c r="MQV2" s="231"/>
      <c r="MQW2" s="229" t="s">
        <v>13328</v>
      </c>
      <c r="MQX2" s="230"/>
      <c r="MQY2" s="230"/>
      <c r="MQZ2" s="231"/>
      <c r="MRA2" s="229" t="s">
        <v>13328</v>
      </c>
      <c r="MRB2" s="230"/>
      <c r="MRC2" s="230"/>
      <c r="MRD2" s="231"/>
      <c r="MRE2" s="229" t="s">
        <v>13328</v>
      </c>
      <c r="MRF2" s="230"/>
      <c r="MRG2" s="230"/>
      <c r="MRH2" s="231"/>
      <c r="MRI2" s="229" t="s">
        <v>13328</v>
      </c>
      <c r="MRJ2" s="230"/>
      <c r="MRK2" s="230"/>
      <c r="MRL2" s="231"/>
      <c r="MRM2" s="229" t="s">
        <v>13328</v>
      </c>
      <c r="MRN2" s="230"/>
      <c r="MRO2" s="230"/>
      <c r="MRP2" s="231"/>
      <c r="MRQ2" s="229" t="s">
        <v>13328</v>
      </c>
      <c r="MRR2" s="230"/>
      <c r="MRS2" s="230"/>
      <c r="MRT2" s="231"/>
      <c r="MRU2" s="229" t="s">
        <v>13328</v>
      </c>
      <c r="MRV2" s="230"/>
      <c r="MRW2" s="230"/>
      <c r="MRX2" s="231"/>
      <c r="MRY2" s="229" t="s">
        <v>13328</v>
      </c>
      <c r="MRZ2" s="230"/>
      <c r="MSA2" s="230"/>
      <c r="MSB2" s="231"/>
      <c r="MSC2" s="229" t="s">
        <v>13328</v>
      </c>
      <c r="MSD2" s="230"/>
      <c r="MSE2" s="230"/>
      <c r="MSF2" s="231"/>
      <c r="MSG2" s="229" t="s">
        <v>13328</v>
      </c>
      <c r="MSH2" s="230"/>
      <c r="MSI2" s="230"/>
      <c r="MSJ2" s="231"/>
      <c r="MSK2" s="229" t="s">
        <v>13328</v>
      </c>
      <c r="MSL2" s="230"/>
      <c r="MSM2" s="230"/>
      <c r="MSN2" s="231"/>
      <c r="MSO2" s="229" t="s">
        <v>13328</v>
      </c>
      <c r="MSP2" s="230"/>
      <c r="MSQ2" s="230"/>
      <c r="MSR2" s="231"/>
      <c r="MSS2" s="229" t="s">
        <v>13328</v>
      </c>
      <c r="MST2" s="230"/>
      <c r="MSU2" s="230"/>
      <c r="MSV2" s="231"/>
      <c r="MSW2" s="229" t="s">
        <v>13328</v>
      </c>
      <c r="MSX2" s="230"/>
      <c r="MSY2" s="230"/>
      <c r="MSZ2" s="231"/>
      <c r="MTA2" s="229" t="s">
        <v>13328</v>
      </c>
      <c r="MTB2" s="230"/>
      <c r="MTC2" s="230"/>
      <c r="MTD2" s="231"/>
      <c r="MTE2" s="229" t="s">
        <v>13328</v>
      </c>
      <c r="MTF2" s="230"/>
      <c r="MTG2" s="230"/>
      <c r="MTH2" s="231"/>
      <c r="MTI2" s="229" t="s">
        <v>13328</v>
      </c>
      <c r="MTJ2" s="230"/>
      <c r="MTK2" s="230"/>
      <c r="MTL2" s="231"/>
      <c r="MTM2" s="229" t="s">
        <v>13328</v>
      </c>
      <c r="MTN2" s="230"/>
      <c r="MTO2" s="230"/>
      <c r="MTP2" s="231"/>
      <c r="MTQ2" s="229" t="s">
        <v>13328</v>
      </c>
      <c r="MTR2" s="230"/>
      <c r="MTS2" s="230"/>
      <c r="MTT2" s="231"/>
      <c r="MTU2" s="229" t="s">
        <v>13328</v>
      </c>
      <c r="MTV2" s="230"/>
      <c r="MTW2" s="230"/>
      <c r="MTX2" s="231"/>
      <c r="MTY2" s="229" t="s">
        <v>13328</v>
      </c>
      <c r="MTZ2" s="230"/>
      <c r="MUA2" s="230"/>
      <c r="MUB2" s="231"/>
      <c r="MUC2" s="229" t="s">
        <v>13328</v>
      </c>
      <c r="MUD2" s="230"/>
      <c r="MUE2" s="230"/>
      <c r="MUF2" s="231"/>
      <c r="MUG2" s="229" t="s">
        <v>13328</v>
      </c>
      <c r="MUH2" s="230"/>
      <c r="MUI2" s="230"/>
      <c r="MUJ2" s="231"/>
      <c r="MUK2" s="229" t="s">
        <v>13328</v>
      </c>
      <c r="MUL2" s="230"/>
      <c r="MUM2" s="230"/>
      <c r="MUN2" s="231"/>
      <c r="MUO2" s="229" t="s">
        <v>13328</v>
      </c>
      <c r="MUP2" s="230"/>
      <c r="MUQ2" s="230"/>
      <c r="MUR2" s="231"/>
      <c r="MUS2" s="229" t="s">
        <v>13328</v>
      </c>
      <c r="MUT2" s="230"/>
      <c r="MUU2" s="230"/>
      <c r="MUV2" s="231"/>
      <c r="MUW2" s="229" t="s">
        <v>13328</v>
      </c>
      <c r="MUX2" s="230"/>
      <c r="MUY2" s="230"/>
      <c r="MUZ2" s="231"/>
      <c r="MVA2" s="229" t="s">
        <v>13328</v>
      </c>
      <c r="MVB2" s="230"/>
      <c r="MVC2" s="230"/>
      <c r="MVD2" s="231"/>
      <c r="MVE2" s="229" t="s">
        <v>13328</v>
      </c>
      <c r="MVF2" s="230"/>
      <c r="MVG2" s="230"/>
      <c r="MVH2" s="231"/>
      <c r="MVI2" s="229" t="s">
        <v>13328</v>
      </c>
      <c r="MVJ2" s="230"/>
      <c r="MVK2" s="230"/>
      <c r="MVL2" s="231"/>
      <c r="MVM2" s="229" t="s">
        <v>13328</v>
      </c>
      <c r="MVN2" s="230"/>
      <c r="MVO2" s="230"/>
      <c r="MVP2" s="231"/>
      <c r="MVQ2" s="229" t="s">
        <v>13328</v>
      </c>
      <c r="MVR2" s="230"/>
      <c r="MVS2" s="230"/>
      <c r="MVT2" s="231"/>
      <c r="MVU2" s="229" t="s">
        <v>13328</v>
      </c>
      <c r="MVV2" s="230"/>
      <c r="MVW2" s="230"/>
      <c r="MVX2" s="231"/>
      <c r="MVY2" s="229" t="s">
        <v>13328</v>
      </c>
      <c r="MVZ2" s="230"/>
      <c r="MWA2" s="230"/>
      <c r="MWB2" s="231"/>
      <c r="MWC2" s="229" t="s">
        <v>13328</v>
      </c>
      <c r="MWD2" s="230"/>
      <c r="MWE2" s="230"/>
      <c r="MWF2" s="231"/>
      <c r="MWG2" s="229" t="s">
        <v>13328</v>
      </c>
      <c r="MWH2" s="230"/>
      <c r="MWI2" s="230"/>
      <c r="MWJ2" s="231"/>
      <c r="MWK2" s="229" t="s">
        <v>13328</v>
      </c>
      <c r="MWL2" s="230"/>
      <c r="MWM2" s="230"/>
      <c r="MWN2" s="231"/>
      <c r="MWO2" s="229" t="s">
        <v>13328</v>
      </c>
      <c r="MWP2" s="230"/>
      <c r="MWQ2" s="230"/>
      <c r="MWR2" s="231"/>
      <c r="MWS2" s="229" t="s">
        <v>13328</v>
      </c>
      <c r="MWT2" s="230"/>
      <c r="MWU2" s="230"/>
      <c r="MWV2" s="231"/>
      <c r="MWW2" s="229" t="s">
        <v>13328</v>
      </c>
      <c r="MWX2" s="230"/>
      <c r="MWY2" s="230"/>
      <c r="MWZ2" s="231"/>
      <c r="MXA2" s="229" t="s">
        <v>13328</v>
      </c>
      <c r="MXB2" s="230"/>
      <c r="MXC2" s="230"/>
      <c r="MXD2" s="231"/>
      <c r="MXE2" s="229" t="s">
        <v>13328</v>
      </c>
      <c r="MXF2" s="230"/>
      <c r="MXG2" s="230"/>
      <c r="MXH2" s="231"/>
      <c r="MXI2" s="229" t="s">
        <v>13328</v>
      </c>
      <c r="MXJ2" s="230"/>
      <c r="MXK2" s="230"/>
      <c r="MXL2" s="231"/>
      <c r="MXM2" s="229" t="s">
        <v>13328</v>
      </c>
      <c r="MXN2" s="230"/>
      <c r="MXO2" s="230"/>
      <c r="MXP2" s="231"/>
      <c r="MXQ2" s="229" t="s">
        <v>13328</v>
      </c>
      <c r="MXR2" s="230"/>
      <c r="MXS2" s="230"/>
      <c r="MXT2" s="231"/>
      <c r="MXU2" s="229" t="s">
        <v>13328</v>
      </c>
      <c r="MXV2" s="230"/>
      <c r="MXW2" s="230"/>
      <c r="MXX2" s="231"/>
      <c r="MXY2" s="229" t="s">
        <v>13328</v>
      </c>
      <c r="MXZ2" s="230"/>
      <c r="MYA2" s="230"/>
      <c r="MYB2" s="231"/>
      <c r="MYC2" s="229" t="s">
        <v>13328</v>
      </c>
      <c r="MYD2" s="230"/>
      <c r="MYE2" s="230"/>
      <c r="MYF2" s="231"/>
      <c r="MYG2" s="229" t="s">
        <v>13328</v>
      </c>
      <c r="MYH2" s="230"/>
      <c r="MYI2" s="230"/>
      <c r="MYJ2" s="231"/>
      <c r="MYK2" s="229" t="s">
        <v>13328</v>
      </c>
      <c r="MYL2" s="230"/>
      <c r="MYM2" s="230"/>
      <c r="MYN2" s="231"/>
      <c r="MYO2" s="229" t="s">
        <v>13328</v>
      </c>
      <c r="MYP2" s="230"/>
      <c r="MYQ2" s="230"/>
      <c r="MYR2" s="231"/>
      <c r="MYS2" s="229" t="s">
        <v>13328</v>
      </c>
      <c r="MYT2" s="230"/>
      <c r="MYU2" s="230"/>
      <c r="MYV2" s="231"/>
      <c r="MYW2" s="229" t="s">
        <v>13328</v>
      </c>
      <c r="MYX2" s="230"/>
      <c r="MYY2" s="230"/>
      <c r="MYZ2" s="231"/>
      <c r="MZA2" s="229" t="s">
        <v>13328</v>
      </c>
      <c r="MZB2" s="230"/>
      <c r="MZC2" s="230"/>
      <c r="MZD2" s="231"/>
      <c r="MZE2" s="229" t="s">
        <v>13328</v>
      </c>
      <c r="MZF2" s="230"/>
      <c r="MZG2" s="230"/>
      <c r="MZH2" s="231"/>
      <c r="MZI2" s="229" t="s">
        <v>13328</v>
      </c>
      <c r="MZJ2" s="230"/>
      <c r="MZK2" s="230"/>
      <c r="MZL2" s="231"/>
      <c r="MZM2" s="229" t="s">
        <v>13328</v>
      </c>
      <c r="MZN2" s="230"/>
      <c r="MZO2" s="230"/>
      <c r="MZP2" s="231"/>
      <c r="MZQ2" s="229" t="s">
        <v>13328</v>
      </c>
      <c r="MZR2" s="230"/>
      <c r="MZS2" s="230"/>
      <c r="MZT2" s="231"/>
      <c r="MZU2" s="229" t="s">
        <v>13328</v>
      </c>
      <c r="MZV2" s="230"/>
      <c r="MZW2" s="230"/>
      <c r="MZX2" s="231"/>
      <c r="MZY2" s="229" t="s">
        <v>13328</v>
      </c>
      <c r="MZZ2" s="230"/>
      <c r="NAA2" s="230"/>
      <c r="NAB2" s="231"/>
      <c r="NAC2" s="229" t="s">
        <v>13328</v>
      </c>
      <c r="NAD2" s="230"/>
      <c r="NAE2" s="230"/>
      <c r="NAF2" s="231"/>
      <c r="NAG2" s="229" t="s">
        <v>13328</v>
      </c>
      <c r="NAH2" s="230"/>
      <c r="NAI2" s="230"/>
      <c r="NAJ2" s="231"/>
      <c r="NAK2" s="229" t="s">
        <v>13328</v>
      </c>
      <c r="NAL2" s="230"/>
      <c r="NAM2" s="230"/>
      <c r="NAN2" s="231"/>
      <c r="NAO2" s="229" t="s">
        <v>13328</v>
      </c>
      <c r="NAP2" s="230"/>
      <c r="NAQ2" s="230"/>
      <c r="NAR2" s="231"/>
      <c r="NAS2" s="229" t="s">
        <v>13328</v>
      </c>
      <c r="NAT2" s="230"/>
      <c r="NAU2" s="230"/>
      <c r="NAV2" s="231"/>
      <c r="NAW2" s="229" t="s">
        <v>13328</v>
      </c>
      <c r="NAX2" s="230"/>
      <c r="NAY2" s="230"/>
      <c r="NAZ2" s="231"/>
      <c r="NBA2" s="229" t="s">
        <v>13328</v>
      </c>
      <c r="NBB2" s="230"/>
      <c r="NBC2" s="230"/>
      <c r="NBD2" s="231"/>
      <c r="NBE2" s="229" t="s">
        <v>13328</v>
      </c>
      <c r="NBF2" s="230"/>
      <c r="NBG2" s="230"/>
      <c r="NBH2" s="231"/>
      <c r="NBI2" s="229" t="s">
        <v>13328</v>
      </c>
      <c r="NBJ2" s="230"/>
      <c r="NBK2" s="230"/>
      <c r="NBL2" s="231"/>
      <c r="NBM2" s="229" t="s">
        <v>13328</v>
      </c>
      <c r="NBN2" s="230"/>
      <c r="NBO2" s="230"/>
      <c r="NBP2" s="231"/>
      <c r="NBQ2" s="229" t="s">
        <v>13328</v>
      </c>
      <c r="NBR2" s="230"/>
      <c r="NBS2" s="230"/>
      <c r="NBT2" s="231"/>
      <c r="NBU2" s="229" t="s">
        <v>13328</v>
      </c>
      <c r="NBV2" s="230"/>
      <c r="NBW2" s="230"/>
      <c r="NBX2" s="231"/>
      <c r="NBY2" s="229" t="s">
        <v>13328</v>
      </c>
      <c r="NBZ2" s="230"/>
      <c r="NCA2" s="230"/>
      <c r="NCB2" s="231"/>
      <c r="NCC2" s="229" t="s">
        <v>13328</v>
      </c>
      <c r="NCD2" s="230"/>
      <c r="NCE2" s="230"/>
      <c r="NCF2" s="231"/>
      <c r="NCG2" s="229" t="s">
        <v>13328</v>
      </c>
      <c r="NCH2" s="230"/>
      <c r="NCI2" s="230"/>
      <c r="NCJ2" s="231"/>
      <c r="NCK2" s="229" t="s">
        <v>13328</v>
      </c>
      <c r="NCL2" s="230"/>
      <c r="NCM2" s="230"/>
      <c r="NCN2" s="231"/>
      <c r="NCO2" s="229" t="s">
        <v>13328</v>
      </c>
      <c r="NCP2" s="230"/>
      <c r="NCQ2" s="230"/>
      <c r="NCR2" s="231"/>
      <c r="NCS2" s="229" t="s">
        <v>13328</v>
      </c>
      <c r="NCT2" s="230"/>
      <c r="NCU2" s="230"/>
      <c r="NCV2" s="231"/>
      <c r="NCW2" s="229" t="s">
        <v>13328</v>
      </c>
      <c r="NCX2" s="230"/>
      <c r="NCY2" s="230"/>
      <c r="NCZ2" s="231"/>
      <c r="NDA2" s="229" t="s">
        <v>13328</v>
      </c>
      <c r="NDB2" s="230"/>
      <c r="NDC2" s="230"/>
      <c r="NDD2" s="231"/>
      <c r="NDE2" s="229" t="s">
        <v>13328</v>
      </c>
      <c r="NDF2" s="230"/>
      <c r="NDG2" s="230"/>
      <c r="NDH2" s="231"/>
      <c r="NDI2" s="229" t="s">
        <v>13328</v>
      </c>
      <c r="NDJ2" s="230"/>
      <c r="NDK2" s="230"/>
      <c r="NDL2" s="231"/>
      <c r="NDM2" s="229" t="s">
        <v>13328</v>
      </c>
      <c r="NDN2" s="230"/>
      <c r="NDO2" s="230"/>
      <c r="NDP2" s="231"/>
      <c r="NDQ2" s="229" t="s">
        <v>13328</v>
      </c>
      <c r="NDR2" s="230"/>
      <c r="NDS2" s="230"/>
      <c r="NDT2" s="231"/>
      <c r="NDU2" s="229" t="s">
        <v>13328</v>
      </c>
      <c r="NDV2" s="230"/>
      <c r="NDW2" s="230"/>
      <c r="NDX2" s="231"/>
      <c r="NDY2" s="229" t="s">
        <v>13328</v>
      </c>
      <c r="NDZ2" s="230"/>
      <c r="NEA2" s="230"/>
      <c r="NEB2" s="231"/>
      <c r="NEC2" s="229" t="s">
        <v>13328</v>
      </c>
      <c r="NED2" s="230"/>
      <c r="NEE2" s="230"/>
      <c r="NEF2" s="231"/>
      <c r="NEG2" s="229" t="s">
        <v>13328</v>
      </c>
      <c r="NEH2" s="230"/>
      <c r="NEI2" s="230"/>
      <c r="NEJ2" s="231"/>
      <c r="NEK2" s="229" t="s">
        <v>13328</v>
      </c>
      <c r="NEL2" s="230"/>
      <c r="NEM2" s="230"/>
      <c r="NEN2" s="231"/>
      <c r="NEO2" s="229" t="s">
        <v>13328</v>
      </c>
      <c r="NEP2" s="230"/>
      <c r="NEQ2" s="230"/>
      <c r="NER2" s="231"/>
      <c r="NES2" s="229" t="s">
        <v>13328</v>
      </c>
      <c r="NET2" s="230"/>
      <c r="NEU2" s="230"/>
      <c r="NEV2" s="231"/>
      <c r="NEW2" s="229" t="s">
        <v>13328</v>
      </c>
      <c r="NEX2" s="230"/>
      <c r="NEY2" s="230"/>
      <c r="NEZ2" s="231"/>
      <c r="NFA2" s="229" t="s">
        <v>13328</v>
      </c>
      <c r="NFB2" s="230"/>
      <c r="NFC2" s="230"/>
      <c r="NFD2" s="231"/>
      <c r="NFE2" s="229" t="s">
        <v>13328</v>
      </c>
      <c r="NFF2" s="230"/>
      <c r="NFG2" s="230"/>
      <c r="NFH2" s="231"/>
      <c r="NFI2" s="229" t="s">
        <v>13328</v>
      </c>
      <c r="NFJ2" s="230"/>
      <c r="NFK2" s="230"/>
      <c r="NFL2" s="231"/>
      <c r="NFM2" s="229" t="s">
        <v>13328</v>
      </c>
      <c r="NFN2" s="230"/>
      <c r="NFO2" s="230"/>
      <c r="NFP2" s="231"/>
      <c r="NFQ2" s="229" t="s">
        <v>13328</v>
      </c>
      <c r="NFR2" s="230"/>
      <c r="NFS2" s="230"/>
      <c r="NFT2" s="231"/>
      <c r="NFU2" s="229" t="s">
        <v>13328</v>
      </c>
      <c r="NFV2" s="230"/>
      <c r="NFW2" s="230"/>
      <c r="NFX2" s="231"/>
      <c r="NFY2" s="229" t="s">
        <v>13328</v>
      </c>
      <c r="NFZ2" s="230"/>
      <c r="NGA2" s="230"/>
      <c r="NGB2" s="231"/>
      <c r="NGC2" s="229" t="s">
        <v>13328</v>
      </c>
      <c r="NGD2" s="230"/>
      <c r="NGE2" s="230"/>
      <c r="NGF2" s="231"/>
      <c r="NGG2" s="229" t="s">
        <v>13328</v>
      </c>
      <c r="NGH2" s="230"/>
      <c r="NGI2" s="230"/>
      <c r="NGJ2" s="231"/>
      <c r="NGK2" s="229" t="s">
        <v>13328</v>
      </c>
      <c r="NGL2" s="230"/>
      <c r="NGM2" s="230"/>
      <c r="NGN2" s="231"/>
      <c r="NGO2" s="229" t="s">
        <v>13328</v>
      </c>
      <c r="NGP2" s="230"/>
      <c r="NGQ2" s="230"/>
      <c r="NGR2" s="231"/>
      <c r="NGS2" s="229" t="s">
        <v>13328</v>
      </c>
      <c r="NGT2" s="230"/>
      <c r="NGU2" s="230"/>
      <c r="NGV2" s="231"/>
      <c r="NGW2" s="229" t="s">
        <v>13328</v>
      </c>
      <c r="NGX2" s="230"/>
      <c r="NGY2" s="230"/>
      <c r="NGZ2" s="231"/>
      <c r="NHA2" s="229" t="s">
        <v>13328</v>
      </c>
      <c r="NHB2" s="230"/>
      <c r="NHC2" s="230"/>
      <c r="NHD2" s="231"/>
      <c r="NHE2" s="229" t="s">
        <v>13328</v>
      </c>
      <c r="NHF2" s="230"/>
      <c r="NHG2" s="230"/>
      <c r="NHH2" s="231"/>
      <c r="NHI2" s="229" t="s">
        <v>13328</v>
      </c>
      <c r="NHJ2" s="230"/>
      <c r="NHK2" s="230"/>
      <c r="NHL2" s="231"/>
      <c r="NHM2" s="229" t="s">
        <v>13328</v>
      </c>
      <c r="NHN2" s="230"/>
      <c r="NHO2" s="230"/>
      <c r="NHP2" s="231"/>
      <c r="NHQ2" s="229" t="s">
        <v>13328</v>
      </c>
      <c r="NHR2" s="230"/>
      <c r="NHS2" s="230"/>
      <c r="NHT2" s="231"/>
      <c r="NHU2" s="229" t="s">
        <v>13328</v>
      </c>
      <c r="NHV2" s="230"/>
      <c r="NHW2" s="230"/>
      <c r="NHX2" s="231"/>
      <c r="NHY2" s="229" t="s">
        <v>13328</v>
      </c>
      <c r="NHZ2" s="230"/>
      <c r="NIA2" s="230"/>
      <c r="NIB2" s="231"/>
      <c r="NIC2" s="229" t="s">
        <v>13328</v>
      </c>
      <c r="NID2" s="230"/>
      <c r="NIE2" s="230"/>
      <c r="NIF2" s="231"/>
      <c r="NIG2" s="229" t="s">
        <v>13328</v>
      </c>
      <c r="NIH2" s="230"/>
      <c r="NII2" s="230"/>
      <c r="NIJ2" s="231"/>
      <c r="NIK2" s="229" t="s">
        <v>13328</v>
      </c>
      <c r="NIL2" s="230"/>
      <c r="NIM2" s="230"/>
      <c r="NIN2" s="231"/>
      <c r="NIO2" s="229" t="s">
        <v>13328</v>
      </c>
      <c r="NIP2" s="230"/>
      <c r="NIQ2" s="230"/>
      <c r="NIR2" s="231"/>
      <c r="NIS2" s="229" t="s">
        <v>13328</v>
      </c>
      <c r="NIT2" s="230"/>
      <c r="NIU2" s="230"/>
      <c r="NIV2" s="231"/>
      <c r="NIW2" s="229" t="s">
        <v>13328</v>
      </c>
      <c r="NIX2" s="230"/>
      <c r="NIY2" s="230"/>
      <c r="NIZ2" s="231"/>
      <c r="NJA2" s="229" t="s">
        <v>13328</v>
      </c>
      <c r="NJB2" s="230"/>
      <c r="NJC2" s="230"/>
      <c r="NJD2" s="231"/>
      <c r="NJE2" s="229" t="s">
        <v>13328</v>
      </c>
      <c r="NJF2" s="230"/>
      <c r="NJG2" s="230"/>
      <c r="NJH2" s="231"/>
      <c r="NJI2" s="229" t="s">
        <v>13328</v>
      </c>
      <c r="NJJ2" s="230"/>
      <c r="NJK2" s="230"/>
      <c r="NJL2" s="231"/>
      <c r="NJM2" s="229" t="s">
        <v>13328</v>
      </c>
      <c r="NJN2" s="230"/>
      <c r="NJO2" s="230"/>
      <c r="NJP2" s="231"/>
      <c r="NJQ2" s="229" t="s">
        <v>13328</v>
      </c>
      <c r="NJR2" s="230"/>
      <c r="NJS2" s="230"/>
      <c r="NJT2" s="231"/>
      <c r="NJU2" s="229" t="s">
        <v>13328</v>
      </c>
      <c r="NJV2" s="230"/>
      <c r="NJW2" s="230"/>
      <c r="NJX2" s="231"/>
      <c r="NJY2" s="229" t="s">
        <v>13328</v>
      </c>
      <c r="NJZ2" s="230"/>
      <c r="NKA2" s="230"/>
      <c r="NKB2" s="231"/>
      <c r="NKC2" s="229" t="s">
        <v>13328</v>
      </c>
      <c r="NKD2" s="230"/>
      <c r="NKE2" s="230"/>
      <c r="NKF2" s="231"/>
      <c r="NKG2" s="229" t="s">
        <v>13328</v>
      </c>
      <c r="NKH2" s="230"/>
      <c r="NKI2" s="230"/>
      <c r="NKJ2" s="231"/>
      <c r="NKK2" s="229" t="s">
        <v>13328</v>
      </c>
      <c r="NKL2" s="230"/>
      <c r="NKM2" s="230"/>
      <c r="NKN2" s="231"/>
      <c r="NKO2" s="229" t="s">
        <v>13328</v>
      </c>
      <c r="NKP2" s="230"/>
      <c r="NKQ2" s="230"/>
      <c r="NKR2" s="231"/>
      <c r="NKS2" s="229" t="s">
        <v>13328</v>
      </c>
      <c r="NKT2" s="230"/>
      <c r="NKU2" s="230"/>
      <c r="NKV2" s="231"/>
      <c r="NKW2" s="229" t="s">
        <v>13328</v>
      </c>
      <c r="NKX2" s="230"/>
      <c r="NKY2" s="230"/>
      <c r="NKZ2" s="231"/>
      <c r="NLA2" s="229" t="s">
        <v>13328</v>
      </c>
      <c r="NLB2" s="230"/>
      <c r="NLC2" s="230"/>
      <c r="NLD2" s="231"/>
      <c r="NLE2" s="229" t="s">
        <v>13328</v>
      </c>
      <c r="NLF2" s="230"/>
      <c r="NLG2" s="230"/>
      <c r="NLH2" s="231"/>
      <c r="NLI2" s="229" t="s">
        <v>13328</v>
      </c>
      <c r="NLJ2" s="230"/>
      <c r="NLK2" s="230"/>
      <c r="NLL2" s="231"/>
      <c r="NLM2" s="229" t="s">
        <v>13328</v>
      </c>
      <c r="NLN2" s="230"/>
      <c r="NLO2" s="230"/>
      <c r="NLP2" s="231"/>
      <c r="NLQ2" s="229" t="s">
        <v>13328</v>
      </c>
      <c r="NLR2" s="230"/>
      <c r="NLS2" s="230"/>
      <c r="NLT2" s="231"/>
      <c r="NLU2" s="229" t="s">
        <v>13328</v>
      </c>
      <c r="NLV2" s="230"/>
      <c r="NLW2" s="230"/>
      <c r="NLX2" s="231"/>
      <c r="NLY2" s="229" t="s">
        <v>13328</v>
      </c>
      <c r="NLZ2" s="230"/>
      <c r="NMA2" s="230"/>
      <c r="NMB2" s="231"/>
      <c r="NMC2" s="229" t="s">
        <v>13328</v>
      </c>
      <c r="NMD2" s="230"/>
      <c r="NME2" s="230"/>
      <c r="NMF2" s="231"/>
      <c r="NMG2" s="229" t="s">
        <v>13328</v>
      </c>
      <c r="NMH2" s="230"/>
      <c r="NMI2" s="230"/>
      <c r="NMJ2" s="231"/>
      <c r="NMK2" s="229" t="s">
        <v>13328</v>
      </c>
      <c r="NML2" s="230"/>
      <c r="NMM2" s="230"/>
      <c r="NMN2" s="231"/>
      <c r="NMO2" s="229" t="s">
        <v>13328</v>
      </c>
      <c r="NMP2" s="230"/>
      <c r="NMQ2" s="230"/>
      <c r="NMR2" s="231"/>
      <c r="NMS2" s="229" t="s">
        <v>13328</v>
      </c>
      <c r="NMT2" s="230"/>
      <c r="NMU2" s="230"/>
      <c r="NMV2" s="231"/>
      <c r="NMW2" s="229" t="s">
        <v>13328</v>
      </c>
      <c r="NMX2" s="230"/>
      <c r="NMY2" s="230"/>
      <c r="NMZ2" s="231"/>
      <c r="NNA2" s="229" t="s">
        <v>13328</v>
      </c>
      <c r="NNB2" s="230"/>
      <c r="NNC2" s="230"/>
      <c r="NND2" s="231"/>
      <c r="NNE2" s="229" t="s">
        <v>13328</v>
      </c>
      <c r="NNF2" s="230"/>
      <c r="NNG2" s="230"/>
      <c r="NNH2" s="231"/>
      <c r="NNI2" s="229" t="s">
        <v>13328</v>
      </c>
      <c r="NNJ2" s="230"/>
      <c r="NNK2" s="230"/>
      <c r="NNL2" s="231"/>
      <c r="NNM2" s="229" t="s">
        <v>13328</v>
      </c>
      <c r="NNN2" s="230"/>
      <c r="NNO2" s="230"/>
      <c r="NNP2" s="231"/>
      <c r="NNQ2" s="229" t="s">
        <v>13328</v>
      </c>
      <c r="NNR2" s="230"/>
      <c r="NNS2" s="230"/>
      <c r="NNT2" s="231"/>
      <c r="NNU2" s="229" t="s">
        <v>13328</v>
      </c>
      <c r="NNV2" s="230"/>
      <c r="NNW2" s="230"/>
      <c r="NNX2" s="231"/>
      <c r="NNY2" s="229" t="s">
        <v>13328</v>
      </c>
      <c r="NNZ2" s="230"/>
      <c r="NOA2" s="230"/>
      <c r="NOB2" s="231"/>
      <c r="NOC2" s="229" t="s">
        <v>13328</v>
      </c>
      <c r="NOD2" s="230"/>
      <c r="NOE2" s="230"/>
      <c r="NOF2" s="231"/>
      <c r="NOG2" s="229" t="s">
        <v>13328</v>
      </c>
      <c r="NOH2" s="230"/>
      <c r="NOI2" s="230"/>
      <c r="NOJ2" s="231"/>
      <c r="NOK2" s="229" t="s">
        <v>13328</v>
      </c>
      <c r="NOL2" s="230"/>
      <c r="NOM2" s="230"/>
      <c r="NON2" s="231"/>
      <c r="NOO2" s="229" t="s">
        <v>13328</v>
      </c>
      <c r="NOP2" s="230"/>
      <c r="NOQ2" s="230"/>
      <c r="NOR2" s="231"/>
      <c r="NOS2" s="229" t="s">
        <v>13328</v>
      </c>
      <c r="NOT2" s="230"/>
      <c r="NOU2" s="230"/>
      <c r="NOV2" s="231"/>
      <c r="NOW2" s="229" t="s">
        <v>13328</v>
      </c>
      <c r="NOX2" s="230"/>
      <c r="NOY2" s="230"/>
      <c r="NOZ2" s="231"/>
      <c r="NPA2" s="229" t="s">
        <v>13328</v>
      </c>
      <c r="NPB2" s="230"/>
      <c r="NPC2" s="230"/>
      <c r="NPD2" s="231"/>
      <c r="NPE2" s="229" t="s">
        <v>13328</v>
      </c>
      <c r="NPF2" s="230"/>
      <c r="NPG2" s="230"/>
      <c r="NPH2" s="231"/>
      <c r="NPI2" s="229" t="s">
        <v>13328</v>
      </c>
      <c r="NPJ2" s="230"/>
      <c r="NPK2" s="230"/>
      <c r="NPL2" s="231"/>
      <c r="NPM2" s="229" t="s">
        <v>13328</v>
      </c>
      <c r="NPN2" s="230"/>
      <c r="NPO2" s="230"/>
      <c r="NPP2" s="231"/>
      <c r="NPQ2" s="229" t="s">
        <v>13328</v>
      </c>
      <c r="NPR2" s="230"/>
      <c r="NPS2" s="230"/>
      <c r="NPT2" s="231"/>
      <c r="NPU2" s="229" t="s">
        <v>13328</v>
      </c>
      <c r="NPV2" s="230"/>
      <c r="NPW2" s="230"/>
      <c r="NPX2" s="231"/>
      <c r="NPY2" s="229" t="s">
        <v>13328</v>
      </c>
      <c r="NPZ2" s="230"/>
      <c r="NQA2" s="230"/>
      <c r="NQB2" s="231"/>
      <c r="NQC2" s="229" t="s">
        <v>13328</v>
      </c>
      <c r="NQD2" s="230"/>
      <c r="NQE2" s="230"/>
      <c r="NQF2" s="231"/>
      <c r="NQG2" s="229" t="s">
        <v>13328</v>
      </c>
      <c r="NQH2" s="230"/>
      <c r="NQI2" s="230"/>
      <c r="NQJ2" s="231"/>
      <c r="NQK2" s="229" t="s">
        <v>13328</v>
      </c>
      <c r="NQL2" s="230"/>
      <c r="NQM2" s="230"/>
      <c r="NQN2" s="231"/>
      <c r="NQO2" s="229" t="s">
        <v>13328</v>
      </c>
      <c r="NQP2" s="230"/>
      <c r="NQQ2" s="230"/>
      <c r="NQR2" s="231"/>
      <c r="NQS2" s="229" t="s">
        <v>13328</v>
      </c>
      <c r="NQT2" s="230"/>
      <c r="NQU2" s="230"/>
      <c r="NQV2" s="231"/>
      <c r="NQW2" s="229" t="s">
        <v>13328</v>
      </c>
      <c r="NQX2" s="230"/>
      <c r="NQY2" s="230"/>
      <c r="NQZ2" s="231"/>
      <c r="NRA2" s="229" t="s">
        <v>13328</v>
      </c>
      <c r="NRB2" s="230"/>
      <c r="NRC2" s="230"/>
      <c r="NRD2" s="231"/>
      <c r="NRE2" s="229" t="s">
        <v>13328</v>
      </c>
      <c r="NRF2" s="230"/>
      <c r="NRG2" s="230"/>
      <c r="NRH2" s="231"/>
      <c r="NRI2" s="229" t="s">
        <v>13328</v>
      </c>
      <c r="NRJ2" s="230"/>
      <c r="NRK2" s="230"/>
      <c r="NRL2" s="231"/>
      <c r="NRM2" s="229" t="s">
        <v>13328</v>
      </c>
      <c r="NRN2" s="230"/>
      <c r="NRO2" s="230"/>
      <c r="NRP2" s="231"/>
      <c r="NRQ2" s="229" t="s">
        <v>13328</v>
      </c>
      <c r="NRR2" s="230"/>
      <c r="NRS2" s="230"/>
      <c r="NRT2" s="231"/>
      <c r="NRU2" s="229" t="s">
        <v>13328</v>
      </c>
      <c r="NRV2" s="230"/>
      <c r="NRW2" s="230"/>
      <c r="NRX2" s="231"/>
      <c r="NRY2" s="229" t="s">
        <v>13328</v>
      </c>
      <c r="NRZ2" s="230"/>
      <c r="NSA2" s="230"/>
      <c r="NSB2" s="231"/>
      <c r="NSC2" s="229" t="s">
        <v>13328</v>
      </c>
      <c r="NSD2" s="230"/>
      <c r="NSE2" s="230"/>
      <c r="NSF2" s="231"/>
      <c r="NSG2" s="229" t="s">
        <v>13328</v>
      </c>
      <c r="NSH2" s="230"/>
      <c r="NSI2" s="230"/>
      <c r="NSJ2" s="231"/>
      <c r="NSK2" s="229" t="s">
        <v>13328</v>
      </c>
      <c r="NSL2" s="230"/>
      <c r="NSM2" s="230"/>
      <c r="NSN2" s="231"/>
      <c r="NSO2" s="229" t="s">
        <v>13328</v>
      </c>
      <c r="NSP2" s="230"/>
      <c r="NSQ2" s="230"/>
      <c r="NSR2" s="231"/>
      <c r="NSS2" s="229" t="s">
        <v>13328</v>
      </c>
      <c r="NST2" s="230"/>
      <c r="NSU2" s="230"/>
      <c r="NSV2" s="231"/>
      <c r="NSW2" s="229" t="s">
        <v>13328</v>
      </c>
      <c r="NSX2" s="230"/>
      <c r="NSY2" s="230"/>
      <c r="NSZ2" s="231"/>
      <c r="NTA2" s="229" t="s">
        <v>13328</v>
      </c>
      <c r="NTB2" s="230"/>
      <c r="NTC2" s="230"/>
      <c r="NTD2" s="231"/>
      <c r="NTE2" s="229" t="s">
        <v>13328</v>
      </c>
      <c r="NTF2" s="230"/>
      <c r="NTG2" s="230"/>
      <c r="NTH2" s="231"/>
      <c r="NTI2" s="229" t="s">
        <v>13328</v>
      </c>
      <c r="NTJ2" s="230"/>
      <c r="NTK2" s="230"/>
      <c r="NTL2" s="231"/>
      <c r="NTM2" s="229" t="s">
        <v>13328</v>
      </c>
      <c r="NTN2" s="230"/>
      <c r="NTO2" s="230"/>
      <c r="NTP2" s="231"/>
      <c r="NTQ2" s="229" t="s">
        <v>13328</v>
      </c>
      <c r="NTR2" s="230"/>
      <c r="NTS2" s="230"/>
      <c r="NTT2" s="231"/>
      <c r="NTU2" s="229" t="s">
        <v>13328</v>
      </c>
      <c r="NTV2" s="230"/>
      <c r="NTW2" s="230"/>
      <c r="NTX2" s="231"/>
      <c r="NTY2" s="229" t="s">
        <v>13328</v>
      </c>
      <c r="NTZ2" s="230"/>
      <c r="NUA2" s="230"/>
      <c r="NUB2" s="231"/>
      <c r="NUC2" s="229" t="s">
        <v>13328</v>
      </c>
      <c r="NUD2" s="230"/>
      <c r="NUE2" s="230"/>
      <c r="NUF2" s="231"/>
      <c r="NUG2" s="229" t="s">
        <v>13328</v>
      </c>
      <c r="NUH2" s="230"/>
      <c r="NUI2" s="230"/>
      <c r="NUJ2" s="231"/>
      <c r="NUK2" s="229" t="s">
        <v>13328</v>
      </c>
      <c r="NUL2" s="230"/>
      <c r="NUM2" s="230"/>
      <c r="NUN2" s="231"/>
      <c r="NUO2" s="229" t="s">
        <v>13328</v>
      </c>
      <c r="NUP2" s="230"/>
      <c r="NUQ2" s="230"/>
      <c r="NUR2" s="231"/>
      <c r="NUS2" s="229" t="s">
        <v>13328</v>
      </c>
      <c r="NUT2" s="230"/>
      <c r="NUU2" s="230"/>
      <c r="NUV2" s="231"/>
      <c r="NUW2" s="229" t="s">
        <v>13328</v>
      </c>
      <c r="NUX2" s="230"/>
      <c r="NUY2" s="230"/>
      <c r="NUZ2" s="231"/>
      <c r="NVA2" s="229" t="s">
        <v>13328</v>
      </c>
      <c r="NVB2" s="230"/>
      <c r="NVC2" s="230"/>
      <c r="NVD2" s="231"/>
      <c r="NVE2" s="229" t="s">
        <v>13328</v>
      </c>
      <c r="NVF2" s="230"/>
      <c r="NVG2" s="230"/>
      <c r="NVH2" s="231"/>
      <c r="NVI2" s="229" t="s">
        <v>13328</v>
      </c>
      <c r="NVJ2" s="230"/>
      <c r="NVK2" s="230"/>
      <c r="NVL2" s="231"/>
      <c r="NVM2" s="229" t="s">
        <v>13328</v>
      </c>
      <c r="NVN2" s="230"/>
      <c r="NVO2" s="230"/>
      <c r="NVP2" s="231"/>
      <c r="NVQ2" s="229" t="s">
        <v>13328</v>
      </c>
      <c r="NVR2" s="230"/>
      <c r="NVS2" s="230"/>
      <c r="NVT2" s="231"/>
      <c r="NVU2" s="229" t="s">
        <v>13328</v>
      </c>
      <c r="NVV2" s="230"/>
      <c r="NVW2" s="230"/>
      <c r="NVX2" s="231"/>
      <c r="NVY2" s="229" t="s">
        <v>13328</v>
      </c>
      <c r="NVZ2" s="230"/>
      <c r="NWA2" s="230"/>
      <c r="NWB2" s="231"/>
      <c r="NWC2" s="229" t="s">
        <v>13328</v>
      </c>
      <c r="NWD2" s="230"/>
      <c r="NWE2" s="230"/>
      <c r="NWF2" s="231"/>
      <c r="NWG2" s="229" t="s">
        <v>13328</v>
      </c>
      <c r="NWH2" s="230"/>
      <c r="NWI2" s="230"/>
      <c r="NWJ2" s="231"/>
      <c r="NWK2" s="229" t="s">
        <v>13328</v>
      </c>
      <c r="NWL2" s="230"/>
      <c r="NWM2" s="230"/>
      <c r="NWN2" s="231"/>
      <c r="NWO2" s="229" t="s">
        <v>13328</v>
      </c>
      <c r="NWP2" s="230"/>
      <c r="NWQ2" s="230"/>
      <c r="NWR2" s="231"/>
      <c r="NWS2" s="229" t="s">
        <v>13328</v>
      </c>
      <c r="NWT2" s="230"/>
      <c r="NWU2" s="230"/>
      <c r="NWV2" s="231"/>
      <c r="NWW2" s="229" t="s">
        <v>13328</v>
      </c>
      <c r="NWX2" s="230"/>
      <c r="NWY2" s="230"/>
      <c r="NWZ2" s="231"/>
      <c r="NXA2" s="229" t="s">
        <v>13328</v>
      </c>
      <c r="NXB2" s="230"/>
      <c r="NXC2" s="230"/>
      <c r="NXD2" s="231"/>
      <c r="NXE2" s="229" t="s">
        <v>13328</v>
      </c>
      <c r="NXF2" s="230"/>
      <c r="NXG2" s="230"/>
      <c r="NXH2" s="231"/>
      <c r="NXI2" s="229" t="s">
        <v>13328</v>
      </c>
      <c r="NXJ2" s="230"/>
      <c r="NXK2" s="230"/>
      <c r="NXL2" s="231"/>
      <c r="NXM2" s="229" t="s">
        <v>13328</v>
      </c>
      <c r="NXN2" s="230"/>
      <c r="NXO2" s="230"/>
      <c r="NXP2" s="231"/>
      <c r="NXQ2" s="229" t="s">
        <v>13328</v>
      </c>
      <c r="NXR2" s="230"/>
      <c r="NXS2" s="230"/>
      <c r="NXT2" s="231"/>
      <c r="NXU2" s="229" t="s">
        <v>13328</v>
      </c>
      <c r="NXV2" s="230"/>
      <c r="NXW2" s="230"/>
      <c r="NXX2" s="231"/>
      <c r="NXY2" s="229" t="s">
        <v>13328</v>
      </c>
      <c r="NXZ2" s="230"/>
      <c r="NYA2" s="230"/>
      <c r="NYB2" s="231"/>
      <c r="NYC2" s="229" t="s">
        <v>13328</v>
      </c>
      <c r="NYD2" s="230"/>
      <c r="NYE2" s="230"/>
      <c r="NYF2" s="231"/>
      <c r="NYG2" s="229" t="s">
        <v>13328</v>
      </c>
      <c r="NYH2" s="230"/>
      <c r="NYI2" s="230"/>
      <c r="NYJ2" s="231"/>
      <c r="NYK2" s="229" t="s">
        <v>13328</v>
      </c>
      <c r="NYL2" s="230"/>
      <c r="NYM2" s="230"/>
      <c r="NYN2" s="231"/>
      <c r="NYO2" s="229" t="s">
        <v>13328</v>
      </c>
      <c r="NYP2" s="230"/>
      <c r="NYQ2" s="230"/>
      <c r="NYR2" s="231"/>
      <c r="NYS2" s="229" t="s">
        <v>13328</v>
      </c>
      <c r="NYT2" s="230"/>
      <c r="NYU2" s="230"/>
      <c r="NYV2" s="231"/>
      <c r="NYW2" s="229" t="s">
        <v>13328</v>
      </c>
      <c r="NYX2" s="230"/>
      <c r="NYY2" s="230"/>
      <c r="NYZ2" s="231"/>
      <c r="NZA2" s="229" t="s">
        <v>13328</v>
      </c>
      <c r="NZB2" s="230"/>
      <c r="NZC2" s="230"/>
      <c r="NZD2" s="231"/>
      <c r="NZE2" s="229" t="s">
        <v>13328</v>
      </c>
      <c r="NZF2" s="230"/>
      <c r="NZG2" s="230"/>
      <c r="NZH2" s="231"/>
      <c r="NZI2" s="229" t="s">
        <v>13328</v>
      </c>
      <c r="NZJ2" s="230"/>
      <c r="NZK2" s="230"/>
      <c r="NZL2" s="231"/>
      <c r="NZM2" s="229" t="s">
        <v>13328</v>
      </c>
      <c r="NZN2" s="230"/>
      <c r="NZO2" s="230"/>
      <c r="NZP2" s="231"/>
      <c r="NZQ2" s="229" t="s">
        <v>13328</v>
      </c>
      <c r="NZR2" s="230"/>
      <c r="NZS2" s="230"/>
      <c r="NZT2" s="231"/>
      <c r="NZU2" s="229" t="s">
        <v>13328</v>
      </c>
      <c r="NZV2" s="230"/>
      <c r="NZW2" s="230"/>
      <c r="NZX2" s="231"/>
      <c r="NZY2" s="229" t="s">
        <v>13328</v>
      </c>
      <c r="NZZ2" s="230"/>
      <c r="OAA2" s="230"/>
      <c r="OAB2" s="231"/>
      <c r="OAC2" s="229" t="s">
        <v>13328</v>
      </c>
      <c r="OAD2" s="230"/>
      <c r="OAE2" s="230"/>
      <c r="OAF2" s="231"/>
      <c r="OAG2" s="229" t="s">
        <v>13328</v>
      </c>
      <c r="OAH2" s="230"/>
      <c r="OAI2" s="230"/>
      <c r="OAJ2" s="231"/>
      <c r="OAK2" s="229" t="s">
        <v>13328</v>
      </c>
      <c r="OAL2" s="230"/>
      <c r="OAM2" s="230"/>
      <c r="OAN2" s="231"/>
      <c r="OAO2" s="229" t="s">
        <v>13328</v>
      </c>
      <c r="OAP2" s="230"/>
      <c r="OAQ2" s="230"/>
      <c r="OAR2" s="231"/>
      <c r="OAS2" s="229" t="s">
        <v>13328</v>
      </c>
      <c r="OAT2" s="230"/>
      <c r="OAU2" s="230"/>
      <c r="OAV2" s="231"/>
      <c r="OAW2" s="229" t="s">
        <v>13328</v>
      </c>
      <c r="OAX2" s="230"/>
      <c r="OAY2" s="230"/>
      <c r="OAZ2" s="231"/>
      <c r="OBA2" s="229" t="s">
        <v>13328</v>
      </c>
      <c r="OBB2" s="230"/>
      <c r="OBC2" s="230"/>
      <c r="OBD2" s="231"/>
      <c r="OBE2" s="229" t="s">
        <v>13328</v>
      </c>
      <c r="OBF2" s="230"/>
      <c r="OBG2" s="230"/>
      <c r="OBH2" s="231"/>
      <c r="OBI2" s="229" t="s">
        <v>13328</v>
      </c>
      <c r="OBJ2" s="230"/>
      <c r="OBK2" s="230"/>
      <c r="OBL2" s="231"/>
      <c r="OBM2" s="229" t="s">
        <v>13328</v>
      </c>
      <c r="OBN2" s="230"/>
      <c r="OBO2" s="230"/>
      <c r="OBP2" s="231"/>
      <c r="OBQ2" s="229" t="s">
        <v>13328</v>
      </c>
      <c r="OBR2" s="230"/>
      <c r="OBS2" s="230"/>
      <c r="OBT2" s="231"/>
      <c r="OBU2" s="229" t="s">
        <v>13328</v>
      </c>
      <c r="OBV2" s="230"/>
      <c r="OBW2" s="230"/>
      <c r="OBX2" s="231"/>
      <c r="OBY2" s="229" t="s">
        <v>13328</v>
      </c>
      <c r="OBZ2" s="230"/>
      <c r="OCA2" s="230"/>
      <c r="OCB2" s="231"/>
      <c r="OCC2" s="229" t="s">
        <v>13328</v>
      </c>
      <c r="OCD2" s="230"/>
      <c r="OCE2" s="230"/>
      <c r="OCF2" s="231"/>
      <c r="OCG2" s="229" t="s">
        <v>13328</v>
      </c>
      <c r="OCH2" s="230"/>
      <c r="OCI2" s="230"/>
      <c r="OCJ2" s="231"/>
      <c r="OCK2" s="229" t="s">
        <v>13328</v>
      </c>
      <c r="OCL2" s="230"/>
      <c r="OCM2" s="230"/>
      <c r="OCN2" s="231"/>
      <c r="OCO2" s="229" t="s">
        <v>13328</v>
      </c>
      <c r="OCP2" s="230"/>
      <c r="OCQ2" s="230"/>
      <c r="OCR2" s="231"/>
      <c r="OCS2" s="229" t="s">
        <v>13328</v>
      </c>
      <c r="OCT2" s="230"/>
      <c r="OCU2" s="230"/>
      <c r="OCV2" s="231"/>
      <c r="OCW2" s="229" t="s">
        <v>13328</v>
      </c>
      <c r="OCX2" s="230"/>
      <c r="OCY2" s="230"/>
      <c r="OCZ2" s="231"/>
      <c r="ODA2" s="229" t="s">
        <v>13328</v>
      </c>
      <c r="ODB2" s="230"/>
      <c r="ODC2" s="230"/>
      <c r="ODD2" s="231"/>
      <c r="ODE2" s="229" t="s">
        <v>13328</v>
      </c>
      <c r="ODF2" s="230"/>
      <c r="ODG2" s="230"/>
      <c r="ODH2" s="231"/>
      <c r="ODI2" s="229" t="s">
        <v>13328</v>
      </c>
      <c r="ODJ2" s="230"/>
      <c r="ODK2" s="230"/>
      <c r="ODL2" s="231"/>
      <c r="ODM2" s="229" t="s">
        <v>13328</v>
      </c>
      <c r="ODN2" s="230"/>
      <c r="ODO2" s="230"/>
      <c r="ODP2" s="231"/>
      <c r="ODQ2" s="229" t="s">
        <v>13328</v>
      </c>
      <c r="ODR2" s="230"/>
      <c r="ODS2" s="230"/>
      <c r="ODT2" s="231"/>
      <c r="ODU2" s="229" t="s">
        <v>13328</v>
      </c>
      <c r="ODV2" s="230"/>
      <c r="ODW2" s="230"/>
      <c r="ODX2" s="231"/>
      <c r="ODY2" s="229" t="s">
        <v>13328</v>
      </c>
      <c r="ODZ2" s="230"/>
      <c r="OEA2" s="230"/>
      <c r="OEB2" s="231"/>
      <c r="OEC2" s="229" t="s">
        <v>13328</v>
      </c>
      <c r="OED2" s="230"/>
      <c r="OEE2" s="230"/>
      <c r="OEF2" s="231"/>
      <c r="OEG2" s="229" t="s">
        <v>13328</v>
      </c>
      <c r="OEH2" s="230"/>
      <c r="OEI2" s="230"/>
      <c r="OEJ2" s="231"/>
      <c r="OEK2" s="229" t="s">
        <v>13328</v>
      </c>
      <c r="OEL2" s="230"/>
      <c r="OEM2" s="230"/>
      <c r="OEN2" s="231"/>
      <c r="OEO2" s="229" t="s">
        <v>13328</v>
      </c>
      <c r="OEP2" s="230"/>
      <c r="OEQ2" s="230"/>
      <c r="OER2" s="231"/>
      <c r="OES2" s="229" t="s">
        <v>13328</v>
      </c>
      <c r="OET2" s="230"/>
      <c r="OEU2" s="230"/>
      <c r="OEV2" s="231"/>
      <c r="OEW2" s="229" t="s">
        <v>13328</v>
      </c>
      <c r="OEX2" s="230"/>
      <c r="OEY2" s="230"/>
      <c r="OEZ2" s="231"/>
      <c r="OFA2" s="229" t="s">
        <v>13328</v>
      </c>
      <c r="OFB2" s="230"/>
      <c r="OFC2" s="230"/>
      <c r="OFD2" s="231"/>
      <c r="OFE2" s="229" t="s">
        <v>13328</v>
      </c>
      <c r="OFF2" s="230"/>
      <c r="OFG2" s="230"/>
      <c r="OFH2" s="231"/>
      <c r="OFI2" s="229" t="s">
        <v>13328</v>
      </c>
      <c r="OFJ2" s="230"/>
      <c r="OFK2" s="230"/>
      <c r="OFL2" s="231"/>
      <c r="OFM2" s="229" t="s">
        <v>13328</v>
      </c>
      <c r="OFN2" s="230"/>
      <c r="OFO2" s="230"/>
      <c r="OFP2" s="231"/>
      <c r="OFQ2" s="229" t="s">
        <v>13328</v>
      </c>
      <c r="OFR2" s="230"/>
      <c r="OFS2" s="230"/>
      <c r="OFT2" s="231"/>
      <c r="OFU2" s="229" t="s">
        <v>13328</v>
      </c>
      <c r="OFV2" s="230"/>
      <c r="OFW2" s="230"/>
      <c r="OFX2" s="231"/>
      <c r="OFY2" s="229" t="s">
        <v>13328</v>
      </c>
      <c r="OFZ2" s="230"/>
      <c r="OGA2" s="230"/>
      <c r="OGB2" s="231"/>
      <c r="OGC2" s="229" t="s">
        <v>13328</v>
      </c>
      <c r="OGD2" s="230"/>
      <c r="OGE2" s="230"/>
      <c r="OGF2" s="231"/>
      <c r="OGG2" s="229" t="s">
        <v>13328</v>
      </c>
      <c r="OGH2" s="230"/>
      <c r="OGI2" s="230"/>
      <c r="OGJ2" s="231"/>
      <c r="OGK2" s="229" t="s">
        <v>13328</v>
      </c>
      <c r="OGL2" s="230"/>
      <c r="OGM2" s="230"/>
      <c r="OGN2" s="231"/>
      <c r="OGO2" s="229" t="s">
        <v>13328</v>
      </c>
      <c r="OGP2" s="230"/>
      <c r="OGQ2" s="230"/>
      <c r="OGR2" s="231"/>
      <c r="OGS2" s="229" t="s">
        <v>13328</v>
      </c>
      <c r="OGT2" s="230"/>
      <c r="OGU2" s="230"/>
      <c r="OGV2" s="231"/>
      <c r="OGW2" s="229" t="s">
        <v>13328</v>
      </c>
      <c r="OGX2" s="230"/>
      <c r="OGY2" s="230"/>
      <c r="OGZ2" s="231"/>
      <c r="OHA2" s="229" t="s">
        <v>13328</v>
      </c>
      <c r="OHB2" s="230"/>
      <c r="OHC2" s="230"/>
      <c r="OHD2" s="231"/>
      <c r="OHE2" s="229" t="s">
        <v>13328</v>
      </c>
      <c r="OHF2" s="230"/>
      <c r="OHG2" s="230"/>
      <c r="OHH2" s="231"/>
      <c r="OHI2" s="229" t="s">
        <v>13328</v>
      </c>
      <c r="OHJ2" s="230"/>
      <c r="OHK2" s="230"/>
      <c r="OHL2" s="231"/>
      <c r="OHM2" s="229" t="s">
        <v>13328</v>
      </c>
      <c r="OHN2" s="230"/>
      <c r="OHO2" s="230"/>
      <c r="OHP2" s="231"/>
      <c r="OHQ2" s="229" t="s">
        <v>13328</v>
      </c>
      <c r="OHR2" s="230"/>
      <c r="OHS2" s="230"/>
      <c r="OHT2" s="231"/>
      <c r="OHU2" s="229" t="s">
        <v>13328</v>
      </c>
      <c r="OHV2" s="230"/>
      <c r="OHW2" s="230"/>
      <c r="OHX2" s="231"/>
      <c r="OHY2" s="229" t="s">
        <v>13328</v>
      </c>
      <c r="OHZ2" s="230"/>
      <c r="OIA2" s="230"/>
      <c r="OIB2" s="231"/>
      <c r="OIC2" s="229" t="s">
        <v>13328</v>
      </c>
      <c r="OID2" s="230"/>
      <c r="OIE2" s="230"/>
      <c r="OIF2" s="231"/>
      <c r="OIG2" s="229" t="s">
        <v>13328</v>
      </c>
      <c r="OIH2" s="230"/>
      <c r="OII2" s="230"/>
      <c r="OIJ2" s="231"/>
      <c r="OIK2" s="229" t="s">
        <v>13328</v>
      </c>
      <c r="OIL2" s="230"/>
      <c r="OIM2" s="230"/>
      <c r="OIN2" s="231"/>
      <c r="OIO2" s="229" t="s">
        <v>13328</v>
      </c>
      <c r="OIP2" s="230"/>
      <c r="OIQ2" s="230"/>
      <c r="OIR2" s="231"/>
      <c r="OIS2" s="229" t="s">
        <v>13328</v>
      </c>
      <c r="OIT2" s="230"/>
      <c r="OIU2" s="230"/>
      <c r="OIV2" s="231"/>
      <c r="OIW2" s="229" t="s">
        <v>13328</v>
      </c>
      <c r="OIX2" s="230"/>
      <c r="OIY2" s="230"/>
      <c r="OIZ2" s="231"/>
      <c r="OJA2" s="229" t="s">
        <v>13328</v>
      </c>
      <c r="OJB2" s="230"/>
      <c r="OJC2" s="230"/>
      <c r="OJD2" s="231"/>
      <c r="OJE2" s="229" t="s">
        <v>13328</v>
      </c>
      <c r="OJF2" s="230"/>
      <c r="OJG2" s="230"/>
      <c r="OJH2" s="231"/>
      <c r="OJI2" s="229" t="s">
        <v>13328</v>
      </c>
      <c r="OJJ2" s="230"/>
      <c r="OJK2" s="230"/>
      <c r="OJL2" s="231"/>
      <c r="OJM2" s="229" t="s">
        <v>13328</v>
      </c>
      <c r="OJN2" s="230"/>
      <c r="OJO2" s="230"/>
      <c r="OJP2" s="231"/>
      <c r="OJQ2" s="229" t="s">
        <v>13328</v>
      </c>
      <c r="OJR2" s="230"/>
      <c r="OJS2" s="230"/>
      <c r="OJT2" s="231"/>
      <c r="OJU2" s="229" t="s">
        <v>13328</v>
      </c>
      <c r="OJV2" s="230"/>
      <c r="OJW2" s="230"/>
      <c r="OJX2" s="231"/>
      <c r="OJY2" s="229" t="s">
        <v>13328</v>
      </c>
      <c r="OJZ2" s="230"/>
      <c r="OKA2" s="230"/>
      <c r="OKB2" s="231"/>
      <c r="OKC2" s="229" t="s">
        <v>13328</v>
      </c>
      <c r="OKD2" s="230"/>
      <c r="OKE2" s="230"/>
      <c r="OKF2" s="231"/>
      <c r="OKG2" s="229" t="s">
        <v>13328</v>
      </c>
      <c r="OKH2" s="230"/>
      <c r="OKI2" s="230"/>
      <c r="OKJ2" s="231"/>
      <c r="OKK2" s="229" t="s">
        <v>13328</v>
      </c>
      <c r="OKL2" s="230"/>
      <c r="OKM2" s="230"/>
      <c r="OKN2" s="231"/>
      <c r="OKO2" s="229" t="s">
        <v>13328</v>
      </c>
      <c r="OKP2" s="230"/>
      <c r="OKQ2" s="230"/>
      <c r="OKR2" s="231"/>
      <c r="OKS2" s="229" t="s">
        <v>13328</v>
      </c>
      <c r="OKT2" s="230"/>
      <c r="OKU2" s="230"/>
      <c r="OKV2" s="231"/>
      <c r="OKW2" s="229" t="s">
        <v>13328</v>
      </c>
      <c r="OKX2" s="230"/>
      <c r="OKY2" s="230"/>
      <c r="OKZ2" s="231"/>
      <c r="OLA2" s="229" t="s">
        <v>13328</v>
      </c>
      <c r="OLB2" s="230"/>
      <c r="OLC2" s="230"/>
      <c r="OLD2" s="231"/>
      <c r="OLE2" s="229" t="s">
        <v>13328</v>
      </c>
      <c r="OLF2" s="230"/>
      <c r="OLG2" s="230"/>
      <c r="OLH2" s="231"/>
      <c r="OLI2" s="229" t="s">
        <v>13328</v>
      </c>
      <c r="OLJ2" s="230"/>
      <c r="OLK2" s="230"/>
      <c r="OLL2" s="231"/>
      <c r="OLM2" s="229" t="s">
        <v>13328</v>
      </c>
      <c r="OLN2" s="230"/>
      <c r="OLO2" s="230"/>
      <c r="OLP2" s="231"/>
      <c r="OLQ2" s="229" t="s">
        <v>13328</v>
      </c>
      <c r="OLR2" s="230"/>
      <c r="OLS2" s="230"/>
      <c r="OLT2" s="231"/>
      <c r="OLU2" s="229" t="s">
        <v>13328</v>
      </c>
      <c r="OLV2" s="230"/>
      <c r="OLW2" s="230"/>
      <c r="OLX2" s="231"/>
      <c r="OLY2" s="229" t="s">
        <v>13328</v>
      </c>
      <c r="OLZ2" s="230"/>
      <c r="OMA2" s="230"/>
      <c r="OMB2" s="231"/>
      <c r="OMC2" s="229" t="s">
        <v>13328</v>
      </c>
      <c r="OMD2" s="230"/>
      <c r="OME2" s="230"/>
      <c r="OMF2" s="231"/>
      <c r="OMG2" s="229" t="s">
        <v>13328</v>
      </c>
      <c r="OMH2" s="230"/>
      <c r="OMI2" s="230"/>
      <c r="OMJ2" s="231"/>
      <c r="OMK2" s="229" t="s">
        <v>13328</v>
      </c>
      <c r="OML2" s="230"/>
      <c r="OMM2" s="230"/>
      <c r="OMN2" s="231"/>
      <c r="OMO2" s="229" t="s">
        <v>13328</v>
      </c>
      <c r="OMP2" s="230"/>
      <c r="OMQ2" s="230"/>
      <c r="OMR2" s="231"/>
      <c r="OMS2" s="229" t="s">
        <v>13328</v>
      </c>
      <c r="OMT2" s="230"/>
      <c r="OMU2" s="230"/>
      <c r="OMV2" s="231"/>
      <c r="OMW2" s="229" t="s">
        <v>13328</v>
      </c>
      <c r="OMX2" s="230"/>
      <c r="OMY2" s="230"/>
      <c r="OMZ2" s="231"/>
      <c r="ONA2" s="229" t="s">
        <v>13328</v>
      </c>
      <c r="ONB2" s="230"/>
      <c r="ONC2" s="230"/>
      <c r="OND2" s="231"/>
      <c r="ONE2" s="229" t="s">
        <v>13328</v>
      </c>
      <c r="ONF2" s="230"/>
      <c r="ONG2" s="230"/>
      <c r="ONH2" s="231"/>
      <c r="ONI2" s="229" t="s">
        <v>13328</v>
      </c>
      <c r="ONJ2" s="230"/>
      <c r="ONK2" s="230"/>
      <c r="ONL2" s="231"/>
      <c r="ONM2" s="229" t="s">
        <v>13328</v>
      </c>
      <c r="ONN2" s="230"/>
      <c r="ONO2" s="230"/>
      <c r="ONP2" s="231"/>
      <c r="ONQ2" s="229" t="s">
        <v>13328</v>
      </c>
      <c r="ONR2" s="230"/>
      <c r="ONS2" s="230"/>
      <c r="ONT2" s="231"/>
      <c r="ONU2" s="229" t="s">
        <v>13328</v>
      </c>
      <c r="ONV2" s="230"/>
      <c r="ONW2" s="230"/>
      <c r="ONX2" s="231"/>
      <c r="ONY2" s="229" t="s">
        <v>13328</v>
      </c>
      <c r="ONZ2" s="230"/>
      <c r="OOA2" s="230"/>
      <c r="OOB2" s="231"/>
      <c r="OOC2" s="229" t="s">
        <v>13328</v>
      </c>
      <c r="OOD2" s="230"/>
      <c r="OOE2" s="230"/>
      <c r="OOF2" s="231"/>
      <c r="OOG2" s="229" t="s">
        <v>13328</v>
      </c>
      <c r="OOH2" s="230"/>
      <c r="OOI2" s="230"/>
      <c r="OOJ2" s="231"/>
      <c r="OOK2" s="229" t="s">
        <v>13328</v>
      </c>
      <c r="OOL2" s="230"/>
      <c r="OOM2" s="230"/>
      <c r="OON2" s="231"/>
      <c r="OOO2" s="229" t="s">
        <v>13328</v>
      </c>
      <c r="OOP2" s="230"/>
      <c r="OOQ2" s="230"/>
      <c r="OOR2" s="231"/>
      <c r="OOS2" s="229" t="s">
        <v>13328</v>
      </c>
      <c r="OOT2" s="230"/>
      <c r="OOU2" s="230"/>
      <c r="OOV2" s="231"/>
      <c r="OOW2" s="229" t="s">
        <v>13328</v>
      </c>
      <c r="OOX2" s="230"/>
      <c r="OOY2" s="230"/>
      <c r="OOZ2" s="231"/>
      <c r="OPA2" s="229" t="s">
        <v>13328</v>
      </c>
      <c r="OPB2" s="230"/>
      <c r="OPC2" s="230"/>
      <c r="OPD2" s="231"/>
      <c r="OPE2" s="229" t="s">
        <v>13328</v>
      </c>
      <c r="OPF2" s="230"/>
      <c r="OPG2" s="230"/>
      <c r="OPH2" s="231"/>
      <c r="OPI2" s="229" t="s">
        <v>13328</v>
      </c>
      <c r="OPJ2" s="230"/>
      <c r="OPK2" s="230"/>
      <c r="OPL2" s="231"/>
      <c r="OPM2" s="229" t="s">
        <v>13328</v>
      </c>
      <c r="OPN2" s="230"/>
      <c r="OPO2" s="230"/>
      <c r="OPP2" s="231"/>
      <c r="OPQ2" s="229" t="s">
        <v>13328</v>
      </c>
      <c r="OPR2" s="230"/>
      <c r="OPS2" s="230"/>
      <c r="OPT2" s="231"/>
      <c r="OPU2" s="229" t="s">
        <v>13328</v>
      </c>
      <c r="OPV2" s="230"/>
      <c r="OPW2" s="230"/>
      <c r="OPX2" s="231"/>
      <c r="OPY2" s="229" t="s">
        <v>13328</v>
      </c>
      <c r="OPZ2" s="230"/>
      <c r="OQA2" s="230"/>
      <c r="OQB2" s="231"/>
      <c r="OQC2" s="229" t="s">
        <v>13328</v>
      </c>
      <c r="OQD2" s="230"/>
      <c r="OQE2" s="230"/>
      <c r="OQF2" s="231"/>
      <c r="OQG2" s="229" t="s">
        <v>13328</v>
      </c>
      <c r="OQH2" s="230"/>
      <c r="OQI2" s="230"/>
      <c r="OQJ2" s="231"/>
      <c r="OQK2" s="229" t="s">
        <v>13328</v>
      </c>
      <c r="OQL2" s="230"/>
      <c r="OQM2" s="230"/>
      <c r="OQN2" s="231"/>
      <c r="OQO2" s="229" t="s">
        <v>13328</v>
      </c>
      <c r="OQP2" s="230"/>
      <c r="OQQ2" s="230"/>
      <c r="OQR2" s="231"/>
      <c r="OQS2" s="229" t="s">
        <v>13328</v>
      </c>
      <c r="OQT2" s="230"/>
      <c r="OQU2" s="230"/>
      <c r="OQV2" s="231"/>
      <c r="OQW2" s="229" t="s">
        <v>13328</v>
      </c>
      <c r="OQX2" s="230"/>
      <c r="OQY2" s="230"/>
      <c r="OQZ2" s="231"/>
      <c r="ORA2" s="229" t="s">
        <v>13328</v>
      </c>
      <c r="ORB2" s="230"/>
      <c r="ORC2" s="230"/>
      <c r="ORD2" s="231"/>
      <c r="ORE2" s="229" t="s">
        <v>13328</v>
      </c>
      <c r="ORF2" s="230"/>
      <c r="ORG2" s="230"/>
      <c r="ORH2" s="231"/>
      <c r="ORI2" s="229" t="s">
        <v>13328</v>
      </c>
      <c r="ORJ2" s="230"/>
      <c r="ORK2" s="230"/>
      <c r="ORL2" s="231"/>
      <c r="ORM2" s="229" t="s">
        <v>13328</v>
      </c>
      <c r="ORN2" s="230"/>
      <c r="ORO2" s="230"/>
      <c r="ORP2" s="231"/>
      <c r="ORQ2" s="229" t="s">
        <v>13328</v>
      </c>
      <c r="ORR2" s="230"/>
      <c r="ORS2" s="230"/>
      <c r="ORT2" s="231"/>
      <c r="ORU2" s="229" t="s">
        <v>13328</v>
      </c>
      <c r="ORV2" s="230"/>
      <c r="ORW2" s="230"/>
      <c r="ORX2" s="231"/>
      <c r="ORY2" s="229" t="s">
        <v>13328</v>
      </c>
      <c r="ORZ2" s="230"/>
      <c r="OSA2" s="230"/>
      <c r="OSB2" s="231"/>
      <c r="OSC2" s="229" t="s">
        <v>13328</v>
      </c>
      <c r="OSD2" s="230"/>
      <c r="OSE2" s="230"/>
      <c r="OSF2" s="231"/>
      <c r="OSG2" s="229" t="s">
        <v>13328</v>
      </c>
      <c r="OSH2" s="230"/>
      <c r="OSI2" s="230"/>
      <c r="OSJ2" s="231"/>
      <c r="OSK2" s="229" t="s">
        <v>13328</v>
      </c>
      <c r="OSL2" s="230"/>
      <c r="OSM2" s="230"/>
      <c r="OSN2" s="231"/>
      <c r="OSO2" s="229" t="s">
        <v>13328</v>
      </c>
      <c r="OSP2" s="230"/>
      <c r="OSQ2" s="230"/>
      <c r="OSR2" s="231"/>
      <c r="OSS2" s="229" t="s">
        <v>13328</v>
      </c>
      <c r="OST2" s="230"/>
      <c r="OSU2" s="230"/>
      <c r="OSV2" s="231"/>
      <c r="OSW2" s="229" t="s">
        <v>13328</v>
      </c>
      <c r="OSX2" s="230"/>
      <c r="OSY2" s="230"/>
      <c r="OSZ2" s="231"/>
      <c r="OTA2" s="229" t="s">
        <v>13328</v>
      </c>
      <c r="OTB2" s="230"/>
      <c r="OTC2" s="230"/>
      <c r="OTD2" s="231"/>
      <c r="OTE2" s="229" t="s">
        <v>13328</v>
      </c>
      <c r="OTF2" s="230"/>
      <c r="OTG2" s="230"/>
      <c r="OTH2" s="231"/>
      <c r="OTI2" s="229" t="s">
        <v>13328</v>
      </c>
      <c r="OTJ2" s="230"/>
      <c r="OTK2" s="230"/>
      <c r="OTL2" s="231"/>
      <c r="OTM2" s="229" t="s">
        <v>13328</v>
      </c>
      <c r="OTN2" s="230"/>
      <c r="OTO2" s="230"/>
      <c r="OTP2" s="231"/>
      <c r="OTQ2" s="229" t="s">
        <v>13328</v>
      </c>
      <c r="OTR2" s="230"/>
      <c r="OTS2" s="230"/>
      <c r="OTT2" s="231"/>
      <c r="OTU2" s="229" t="s">
        <v>13328</v>
      </c>
      <c r="OTV2" s="230"/>
      <c r="OTW2" s="230"/>
      <c r="OTX2" s="231"/>
      <c r="OTY2" s="229" t="s">
        <v>13328</v>
      </c>
      <c r="OTZ2" s="230"/>
      <c r="OUA2" s="230"/>
      <c r="OUB2" s="231"/>
      <c r="OUC2" s="229" t="s">
        <v>13328</v>
      </c>
      <c r="OUD2" s="230"/>
      <c r="OUE2" s="230"/>
      <c r="OUF2" s="231"/>
      <c r="OUG2" s="229" t="s">
        <v>13328</v>
      </c>
      <c r="OUH2" s="230"/>
      <c r="OUI2" s="230"/>
      <c r="OUJ2" s="231"/>
      <c r="OUK2" s="229" t="s">
        <v>13328</v>
      </c>
      <c r="OUL2" s="230"/>
      <c r="OUM2" s="230"/>
      <c r="OUN2" s="231"/>
      <c r="OUO2" s="229" t="s">
        <v>13328</v>
      </c>
      <c r="OUP2" s="230"/>
      <c r="OUQ2" s="230"/>
      <c r="OUR2" s="231"/>
      <c r="OUS2" s="229" t="s">
        <v>13328</v>
      </c>
      <c r="OUT2" s="230"/>
      <c r="OUU2" s="230"/>
      <c r="OUV2" s="231"/>
      <c r="OUW2" s="229" t="s">
        <v>13328</v>
      </c>
      <c r="OUX2" s="230"/>
      <c r="OUY2" s="230"/>
      <c r="OUZ2" s="231"/>
      <c r="OVA2" s="229" t="s">
        <v>13328</v>
      </c>
      <c r="OVB2" s="230"/>
      <c r="OVC2" s="230"/>
      <c r="OVD2" s="231"/>
      <c r="OVE2" s="229" t="s">
        <v>13328</v>
      </c>
      <c r="OVF2" s="230"/>
      <c r="OVG2" s="230"/>
      <c r="OVH2" s="231"/>
      <c r="OVI2" s="229" t="s">
        <v>13328</v>
      </c>
      <c r="OVJ2" s="230"/>
      <c r="OVK2" s="230"/>
      <c r="OVL2" s="231"/>
      <c r="OVM2" s="229" t="s">
        <v>13328</v>
      </c>
      <c r="OVN2" s="230"/>
      <c r="OVO2" s="230"/>
      <c r="OVP2" s="231"/>
      <c r="OVQ2" s="229" t="s">
        <v>13328</v>
      </c>
      <c r="OVR2" s="230"/>
      <c r="OVS2" s="230"/>
      <c r="OVT2" s="231"/>
      <c r="OVU2" s="229" t="s">
        <v>13328</v>
      </c>
      <c r="OVV2" s="230"/>
      <c r="OVW2" s="230"/>
      <c r="OVX2" s="231"/>
      <c r="OVY2" s="229" t="s">
        <v>13328</v>
      </c>
      <c r="OVZ2" s="230"/>
      <c r="OWA2" s="230"/>
      <c r="OWB2" s="231"/>
      <c r="OWC2" s="229" t="s">
        <v>13328</v>
      </c>
      <c r="OWD2" s="230"/>
      <c r="OWE2" s="230"/>
      <c r="OWF2" s="231"/>
      <c r="OWG2" s="229" t="s">
        <v>13328</v>
      </c>
      <c r="OWH2" s="230"/>
      <c r="OWI2" s="230"/>
      <c r="OWJ2" s="231"/>
      <c r="OWK2" s="229" t="s">
        <v>13328</v>
      </c>
      <c r="OWL2" s="230"/>
      <c r="OWM2" s="230"/>
      <c r="OWN2" s="231"/>
      <c r="OWO2" s="229" t="s">
        <v>13328</v>
      </c>
      <c r="OWP2" s="230"/>
      <c r="OWQ2" s="230"/>
      <c r="OWR2" s="231"/>
      <c r="OWS2" s="229" t="s">
        <v>13328</v>
      </c>
      <c r="OWT2" s="230"/>
      <c r="OWU2" s="230"/>
      <c r="OWV2" s="231"/>
      <c r="OWW2" s="229" t="s">
        <v>13328</v>
      </c>
      <c r="OWX2" s="230"/>
      <c r="OWY2" s="230"/>
      <c r="OWZ2" s="231"/>
      <c r="OXA2" s="229" t="s">
        <v>13328</v>
      </c>
      <c r="OXB2" s="230"/>
      <c r="OXC2" s="230"/>
      <c r="OXD2" s="231"/>
      <c r="OXE2" s="229" t="s">
        <v>13328</v>
      </c>
      <c r="OXF2" s="230"/>
      <c r="OXG2" s="230"/>
      <c r="OXH2" s="231"/>
      <c r="OXI2" s="229" t="s">
        <v>13328</v>
      </c>
      <c r="OXJ2" s="230"/>
      <c r="OXK2" s="230"/>
      <c r="OXL2" s="231"/>
      <c r="OXM2" s="229" t="s">
        <v>13328</v>
      </c>
      <c r="OXN2" s="230"/>
      <c r="OXO2" s="230"/>
      <c r="OXP2" s="231"/>
      <c r="OXQ2" s="229" t="s">
        <v>13328</v>
      </c>
      <c r="OXR2" s="230"/>
      <c r="OXS2" s="230"/>
      <c r="OXT2" s="231"/>
      <c r="OXU2" s="229" t="s">
        <v>13328</v>
      </c>
      <c r="OXV2" s="230"/>
      <c r="OXW2" s="230"/>
      <c r="OXX2" s="231"/>
      <c r="OXY2" s="229" t="s">
        <v>13328</v>
      </c>
      <c r="OXZ2" s="230"/>
      <c r="OYA2" s="230"/>
      <c r="OYB2" s="231"/>
      <c r="OYC2" s="229" t="s">
        <v>13328</v>
      </c>
      <c r="OYD2" s="230"/>
      <c r="OYE2" s="230"/>
      <c r="OYF2" s="231"/>
      <c r="OYG2" s="229" t="s">
        <v>13328</v>
      </c>
      <c r="OYH2" s="230"/>
      <c r="OYI2" s="230"/>
      <c r="OYJ2" s="231"/>
      <c r="OYK2" s="229" t="s">
        <v>13328</v>
      </c>
      <c r="OYL2" s="230"/>
      <c r="OYM2" s="230"/>
      <c r="OYN2" s="231"/>
      <c r="OYO2" s="229" t="s">
        <v>13328</v>
      </c>
      <c r="OYP2" s="230"/>
      <c r="OYQ2" s="230"/>
      <c r="OYR2" s="231"/>
      <c r="OYS2" s="229" t="s">
        <v>13328</v>
      </c>
      <c r="OYT2" s="230"/>
      <c r="OYU2" s="230"/>
      <c r="OYV2" s="231"/>
      <c r="OYW2" s="229" t="s">
        <v>13328</v>
      </c>
      <c r="OYX2" s="230"/>
      <c r="OYY2" s="230"/>
      <c r="OYZ2" s="231"/>
      <c r="OZA2" s="229" t="s">
        <v>13328</v>
      </c>
      <c r="OZB2" s="230"/>
      <c r="OZC2" s="230"/>
      <c r="OZD2" s="231"/>
      <c r="OZE2" s="229" t="s">
        <v>13328</v>
      </c>
      <c r="OZF2" s="230"/>
      <c r="OZG2" s="230"/>
      <c r="OZH2" s="231"/>
      <c r="OZI2" s="229" t="s">
        <v>13328</v>
      </c>
      <c r="OZJ2" s="230"/>
      <c r="OZK2" s="230"/>
      <c r="OZL2" s="231"/>
      <c r="OZM2" s="229" t="s">
        <v>13328</v>
      </c>
      <c r="OZN2" s="230"/>
      <c r="OZO2" s="230"/>
      <c r="OZP2" s="231"/>
      <c r="OZQ2" s="229" t="s">
        <v>13328</v>
      </c>
      <c r="OZR2" s="230"/>
      <c r="OZS2" s="230"/>
      <c r="OZT2" s="231"/>
      <c r="OZU2" s="229" t="s">
        <v>13328</v>
      </c>
      <c r="OZV2" s="230"/>
      <c r="OZW2" s="230"/>
      <c r="OZX2" s="231"/>
      <c r="OZY2" s="229" t="s">
        <v>13328</v>
      </c>
      <c r="OZZ2" s="230"/>
      <c r="PAA2" s="230"/>
      <c r="PAB2" s="231"/>
      <c r="PAC2" s="229" t="s">
        <v>13328</v>
      </c>
      <c r="PAD2" s="230"/>
      <c r="PAE2" s="230"/>
      <c r="PAF2" s="231"/>
      <c r="PAG2" s="229" t="s">
        <v>13328</v>
      </c>
      <c r="PAH2" s="230"/>
      <c r="PAI2" s="230"/>
      <c r="PAJ2" s="231"/>
      <c r="PAK2" s="229" t="s">
        <v>13328</v>
      </c>
      <c r="PAL2" s="230"/>
      <c r="PAM2" s="230"/>
      <c r="PAN2" s="231"/>
      <c r="PAO2" s="229" t="s">
        <v>13328</v>
      </c>
      <c r="PAP2" s="230"/>
      <c r="PAQ2" s="230"/>
      <c r="PAR2" s="231"/>
      <c r="PAS2" s="229" t="s">
        <v>13328</v>
      </c>
      <c r="PAT2" s="230"/>
      <c r="PAU2" s="230"/>
      <c r="PAV2" s="231"/>
      <c r="PAW2" s="229" t="s">
        <v>13328</v>
      </c>
      <c r="PAX2" s="230"/>
      <c r="PAY2" s="230"/>
      <c r="PAZ2" s="231"/>
      <c r="PBA2" s="229" t="s">
        <v>13328</v>
      </c>
      <c r="PBB2" s="230"/>
      <c r="PBC2" s="230"/>
      <c r="PBD2" s="231"/>
      <c r="PBE2" s="229" t="s">
        <v>13328</v>
      </c>
      <c r="PBF2" s="230"/>
      <c r="PBG2" s="230"/>
      <c r="PBH2" s="231"/>
      <c r="PBI2" s="229" t="s">
        <v>13328</v>
      </c>
      <c r="PBJ2" s="230"/>
      <c r="PBK2" s="230"/>
      <c r="PBL2" s="231"/>
      <c r="PBM2" s="229" t="s">
        <v>13328</v>
      </c>
      <c r="PBN2" s="230"/>
      <c r="PBO2" s="230"/>
      <c r="PBP2" s="231"/>
      <c r="PBQ2" s="229" t="s">
        <v>13328</v>
      </c>
      <c r="PBR2" s="230"/>
      <c r="PBS2" s="230"/>
      <c r="PBT2" s="231"/>
      <c r="PBU2" s="229" t="s">
        <v>13328</v>
      </c>
      <c r="PBV2" s="230"/>
      <c r="PBW2" s="230"/>
      <c r="PBX2" s="231"/>
      <c r="PBY2" s="229" t="s">
        <v>13328</v>
      </c>
      <c r="PBZ2" s="230"/>
      <c r="PCA2" s="230"/>
      <c r="PCB2" s="231"/>
      <c r="PCC2" s="229" t="s">
        <v>13328</v>
      </c>
      <c r="PCD2" s="230"/>
      <c r="PCE2" s="230"/>
      <c r="PCF2" s="231"/>
      <c r="PCG2" s="229" t="s">
        <v>13328</v>
      </c>
      <c r="PCH2" s="230"/>
      <c r="PCI2" s="230"/>
      <c r="PCJ2" s="231"/>
      <c r="PCK2" s="229" t="s">
        <v>13328</v>
      </c>
      <c r="PCL2" s="230"/>
      <c r="PCM2" s="230"/>
      <c r="PCN2" s="231"/>
      <c r="PCO2" s="229" t="s">
        <v>13328</v>
      </c>
      <c r="PCP2" s="230"/>
      <c r="PCQ2" s="230"/>
      <c r="PCR2" s="231"/>
      <c r="PCS2" s="229" t="s">
        <v>13328</v>
      </c>
      <c r="PCT2" s="230"/>
      <c r="PCU2" s="230"/>
      <c r="PCV2" s="231"/>
      <c r="PCW2" s="229" t="s">
        <v>13328</v>
      </c>
      <c r="PCX2" s="230"/>
      <c r="PCY2" s="230"/>
      <c r="PCZ2" s="231"/>
      <c r="PDA2" s="229" t="s">
        <v>13328</v>
      </c>
      <c r="PDB2" s="230"/>
      <c r="PDC2" s="230"/>
      <c r="PDD2" s="231"/>
      <c r="PDE2" s="229" t="s">
        <v>13328</v>
      </c>
      <c r="PDF2" s="230"/>
      <c r="PDG2" s="230"/>
      <c r="PDH2" s="231"/>
      <c r="PDI2" s="229" t="s">
        <v>13328</v>
      </c>
      <c r="PDJ2" s="230"/>
      <c r="PDK2" s="230"/>
      <c r="PDL2" s="231"/>
      <c r="PDM2" s="229" t="s">
        <v>13328</v>
      </c>
      <c r="PDN2" s="230"/>
      <c r="PDO2" s="230"/>
      <c r="PDP2" s="231"/>
      <c r="PDQ2" s="229" t="s">
        <v>13328</v>
      </c>
      <c r="PDR2" s="230"/>
      <c r="PDS2" s="230"/>
      <c r="PDT2" s="231"/>
      <c r="PDU2" s="229" t="s">
        <v>13328</v>
      </c>
      <c r="PDV2" s="230"/>
      <c r="PDW2" s="230"/>
      <c r="PDX2" s="231"/>
      <c r="PDY2" s="229" t="s">
        <v>13328</v>
      </c>
      <c r="PDZ2" s="230"/>
      <c r="PEA2" s="230"/>
      <c r="PEB2" s="231"/>
      <c r="PEC2" s="229" t="s">
        <v>13328</v>
      </c>
      <c r="PED2" s="230"/>
      <c r="PEE2" s="230"/>
      <c r="PEF2" s="231"/>
      <c r="PEG2" s="229" t="s">
        <v>13328</v>
      </c>
      <c r="PEH2" s="230"/>
      <c r="PEI2" s="230"/>
      <c r="PEJ2" s="231"/>
      <c r="PEK2" s="229" t="s">
        <v>13328</v>
      </c>
      <c r="PEL2" s="230"/>
      <c r="PEM2" s="230"/>
      <c r="PEN2" s="231"/>
      <c r="PEO2" s="229" t="s">
        <v>13328</v>
      </c>
      <c r="PEP2" s="230"/>
      <c r="PEQ2" s="230"/>
      <c r="PER2" s="231"/>
      <c r="PES2" s="229" t="s">
        <v>13328</v>
      </c>
      <c r="PET2" s="230"/>
      <c r="PEU2" s="230"/>
      <c r="PEV2" s="231"/>
      <c r="PEW2" s="229" t="s">
        <v>13328</v>
      </c>
      <c r="PEX2" s="230"/>
      <c r="PEY2" s="230"/>
      <c r="PEZ2" s="231"/>
      <c r="PFA2" s="229" t="s">
        <v>13328</v>
      </c>
      <c r="PFB2" s="230"/>
      <c r="PFC2" s="230"/>
      <c r="PFD2" s="231"/>
      <c r="PFE2" s="229" t="s">
        <v>13328</v>
      </c>
      <c r="PFF2" s="230"/>
      <c r="PFG2" s="230"/>
      <c r="PFH2" s="231"/>
      <c r="PFI2" s="229" t="s">
        <v>13328</v>
      </c>
      <c r="PFJ2" s="230"/>
      <c r="PFK2" s="230"/>
      <c r="PFL2" s="231"/>
      <c r="PFM2" s="229" t="s">
        <v>13328</v>
      </c>
      <c r="PFN2" s="230"/>
      <c r="PFO2" s="230"/>
      <c r="PFP2" s="231"/>
      <c r="PFQ2" s="229" t="s">
        <v>13328</v>
      </c>
      <c r="PFR2" s="230"/>
      <c r="PFS2" s="230"/>
      <c r="PFT2" s="231"/>
      <c r="PFU2" s="229" t="s">
        <v>13328</v>
      </c>
      <c r="PFV2" s="230"/>
      <c r="PFW2" s="230"/>
      <c r="PFX2" s="231"/>
      <c r="PFY2" s="229" t="s">
        <v>13328</v>
      </c>
      <c r="PFZ2" s="230"/>
      <c r="PGA2" s="230"/>
      <c r="PGB2" s="231"/>
      <c r="PGC2" s="229" t="s">
        <v>13328</v>
      </c>
      <c r="PGD2" s="230"/>
      <c r="PGE2" s="230"/>
      <c r="PGF2" s="231"/>
      <c r="PGG2" s="229" t="s">
        <v>13328</v>
      </c>
      <c r="PGH2" s="230"/>
      <c r="PGI2" s="230"/>
      <c r="PGJ2" s="231"/>
      <c r="PGK2" s="229" t="s">
        <v>13328</v>
      </c>
      <c r="PGL2" s="230"/>
      <c r="PGM2" s="230"/>
      <c r="PGN2" s="231"/>
      <c r="PGO2" s="229" t="s">
        <v>13328</v>
      </c>
      <c r="PGP2" s="230"/>
      <c r="PGQ2" s="230"/>
      <c r="PGR2" s="231"/>
      <c r="PGS2" s="229" t="s">
        <v>13328</v>
      </c>
      <c r="PGT2" s="230"/>
      <c r="PGU2" s="230"/>
      <c r="PGV2" s="231"/>
      <c r="PGW2" s="229" t="s">
        <v>13328</v>
      </c>
      <c r="PGX2" s="230"/>
      <c r="PGY2" s="230"/>
      <c r="PGZ2" s="231"/>
      <c r="PHA2" s="229" t="s">
        <v>13328</v>
      </c>
      <c r="PHB2" s="230"/>
      <c r="PHC2" s="230"/>
      <c r="PHD2" s="231"/>
      <c r="PHE2" s="229" t="s">
        <v>13328</v>
      </c>
      <c r="PHF2" s="230"/>
      <c r="PHG2" s="230"/>
      <c r="PHH2" s="231"/>
      <c r="PHI2" s="229" t="s">
        <v>13328</v>
      </c>
      <c r="PHJ2" s="230"/>
      <c r="PHK2" s="230"/>
      <c r="PHL2" s="231"/>
      <c r="PHM2" s="229" t="s">
        <v>13328</v>
      </c>
      <c r="PHN2" s="230"/>
      <c r="PHO2" s="230"/>
      <c r="PHP2" s="231"/>
      <c r="PHQ2" s="229" t="s">
        <v>13328</v>
      </c>
      <c r="PHR2" s="230"/>
      <c r="PHS2" s="230"/>
      <c r="PHT2" s="231"/>
      <c r="PHU2" s="229" t="s">
        <v>13328</v>
      </c>
      <c r="PHV2" s="230"/>
      <c r="PHW2" s="230"/>
      <c r="PHX2" s="231"/>
      <c r="PHY2" s="229" t="s">
        <v>13328</v>
      </c>
      <c r="PHZ2" s="230"/>
      <c r="PIA2" s="230"/>
      <c r="PIB2" s="231"/>
      <c r="PIC2" s="229" t="s">
        <v>13328</v>
      </c>
      <c r="PID2" s="230"/>
      <c r="PIE2" s="230"/>
      <c r="PIF2" s="231"/>
      <c r="PIG2" s="229" t="s">
        <v>13328</v>
      </c>
      <c r="PIH2" s="230"/>
      <c r="PII2" s="230"/>
      <c r="PIJ2" s="231"/>
      <c r="PIK2" s="229" t="s">
        <v>13328</v>
      </c>
      <c r="PIL2" s="230"/>
      <c r="PIM2" s="230"/>
      <c r="PIN2" s="231"/>
      <c r="PIO2" s="229" t="s">
        <v>13328</v>
      </c>
      <c r="PIP2" s="230"/>
      <c r="PIQ2" s="230"/>
      <c r="PIR2" s="231"/>
      <c r="PIS2" s="229" t="s">
        <v>13328</v>
      </c>
      <c r="PIT2" s="230"/>
      <c r="PIU2" s="230"/>
      <c r="PIV2" s="231"/>
      <c r="PIW2" s="229" t="s">
        <v>13328</v>
      </c>
      <c r="PIX2" s="230"/>
      <c r="PIY2" s="230"/>
      <c r="PIZ2" s="231"/>
      <c r="PJA2" s="229" t="s">
        <v>13328</v>
      </c>
      <c r="PJB2" s="230"/>
      <c r="PJC2" s="230"/>
      <c r="PJD2" s="231"/>
      <c r="PJE2" s="229" t="s">
        <v>13328</v>
      </c>
      <c r="PJF2" s="230"/>
      <c r="PJG2" s="230"/>
      <c r="PJH2" s="231"/>
      <c r="PJI2" s="229" t="s">
        <v>13328</v>
      </c>
      <c r="PJJ2" s="230"/>
      <c r="PJK2" s="230"/>
      <c r="PJL2" s="231"/>
      <c r="PJM2" s="229" t="s">
        <v>13328</v>
      </c>
      <c r="PJN2" s="230"/>
      <c r="PJO2" s="230"/>
      <c r="PJP2" s="231"/>
      <c r="PJQ2" s="229" t="s">
        <v>13328</v>
      </c>
      <c r="PJR2" s="230"/>
      <c r="PJS2" s="230"/>
      <c r="PJT2" s="231"/>
      <c r="PJU2" s="229" t="s">
        <v>13328</v>
      </c>
      <c r="PJV2" s="230"/>
      <c r="PJW2" s="230"/>
      <c r="PJX2" s="231"/>
      <c r="PJY2" s="229" t="s">
        <v>13328</v>
      </c>
      <c r="PJZ2" s="230"/>
      <c r="PKA2" s="230"/>
      <c r="PKB2" s="231"/>
      <c r="PKC2" s="229" t="s">
        <v>13328</v>
      </c>
      <c r="PKD2" s="230"/>
      <c r="PKE2" s="230"/>
      <c r="PKF2" s="231"/>
      <c r="PKG2" s="229" t="s">
        <v>13328</v>
      </c>
      <c r="PKH2" s="230"/>
      <c r="PKI2" s="230"/>
      <c r="PKJ2" s="231"/>
      <c r="PKK2" s="229" t="s">
        <v>13328</v>
      </c>
      <c r="PKL2" s="230"/>
      <c r="PKM2" s="230"/>
      <c r="PKN2" s="231"/>
      <c r="PKO2" s="229" t="s">
        <v>13328</v>
      </c>
      <c r="PKP2" s="230"/>
      <c r="PKQ2" s="230"/>
      <c r="PKR2" s="231"/>
      <c r="PKS2" s="229" t="s">
        <v>13328</v>
      </c>
      <c r="PKT2" s="230"/>
      <c r="PKU2" s="230"/>
      <c r="PKV2" s="231"/>
      <c r="PKW2" s="229" t="s">
        <v>13328</v>
      </c>
      <c r="PKX2" s="230"/>
      <c r="PKY2" s="230"/>
      <c r="PKZ2" s="231"/>
      <c r="PLA2" s="229" t="s">
        <v>13328</v>
      </c>
      <c r="PLB2" s="230"/>
      <c r="PLC2" s="230"/>
      <c r="PLD2" s="231"/>
      <c r="PLE2" s="229" t="s">
        <v>13328</v>
      </c>
      <c r="PLF2" s="230"/>
      <c r="PLG2" s="230"/>
      <c r="PLH2" s="231"/>
      <c r="PLI2" s="229" t="s">
        <v>13328</v>
      </c>
      <c r="PLJ2" s="230"/>
      <c r="PLK2" s="230"/>
      <c r="PLL2" s="231"/>
      <c r="PLM2" s="229" t="s">
        <v>13328</v>
      </c>
      <c r="PLN2" s="230"/>
      <c r="PLO2" s="230"/>
      <c r="PLP2" s="231"/>
      <c r="PLQ2" s="229" t="s">
        <v>13328</v>
      </c>
      <c r="PLR2" s="230"/>
      <c r="PLS2" s="230"/>
      <c r="PLT2" s="231"/>
      <c r="PLU2" s="229" t="s">
        <v>13328</v>
      </c>
      <c r="PLV2" s="230"/>
      <c r="PLW2" s="230"/>
      <c r="PLX2" s="231"/>
      <c r="PLY2" s="229" t="s">
        <v>13328</v>
      </c>
      <c r="PLZ2" s="230"/>
      <c r="PMA2" s="230"/>
      <c r="PMB2" s="231"/>
      <c r="PMC2" s="229" t="s">
        <v>13328</v>
      </c>
      <c r="PMD2" s="230"/>
      <c r="PME2" s="230"/>
      <c r="PMF2" s="231"/>
      <c r="PMG2" s="229" t="s">
        <v>13328</v>
      </c>
      <c r="PMH2" s="230"/>
      <c r="PMI2" s="230"/>
      <c r="PMJ2" s="231"/>
      <c r="PMK2" s="229" t="s">
        <v>13328</v>
      </c>
      <c r="PML2" s="230"/>
      <c r="PMM2" s="230"/>
      <c r="PMN2" s="231"/>
      <c r="PMO2" s="229" t="s">
        <v>13328</v>
      </c>
      <c r="PMP2" s="230"/>
      <c r="PMQ2" s="230"/>
      <c r="PMR2" s="231"/>
      <c r="PMS2" s="229" t="s">
        <v>13328</v>
      </c>
      <c r="PMT2" s="230"/>
      <c r="PMU2" s="230"/>
      <c r="PMV2" s="231"/>
      <c r="PMW2" s="229" t="s">
        <v>13328</v>
      </c>
      <c r="PMX2" s="230"/>
      <c r="PMY2" s="230"/>
      <c r="PMZ2" s="231"/>
      <c r="PNA2" s="229" t="s">
        <v>13328</v>
      </c>
      <c r="PNB2" s="230"/>
      <c r="PNC2" s="230"/>
      <c r="PND2" s="231"/>
      <c r="PNE2" s="229" t="s">
        <v>13328</v>
      </c>
      <c r="PNF2" s="230"/>
      <c r="PNG2" s="230"/>
      <c r="PNH2" s="231"/>
      <c r="PNI2" s="229" t="s">
        <v>13328</v>
      </c>
      <c r="PNJ2" s="230"/>
      <c r="PNK2" s="230"/>
      <c r="PNL2" s="231"/>
      <c r="PNM2" s="229" t="s">
        <v>13328</v>
      </c>
      <c r="PNN2" s="230"/>
      <c r="PNO2" s="230"/>
      <c r="PNP2" s="231"/>
      <c r="PNQ2" s="229" t="s">
        <v>13328</v>
      </c>
      <c r="PNR2" s="230"/>
      <c r="PNS2" s="230"/>
      <c r="PNT2" s="231"/>
      <c r="PNU2" s="229" t="s">
        <v>13328</v>
      </c>
      <c r="PNV2" s="230"/>
      <c r="PNW2" s="230"/>
      <c r="PNX2" s="231"/>
      <c r="PNY2" s="229" t="s">
        <v>13328</v>
      </c>
      <c r="PNZ2" s="230"/>
      <c r="POA2" s="230"/>
      <c r="POB2" s="231"/>
      <c r="POC2" s="229" t="s">
        <v>13328</v>
      </c>
      <c r="POD2" s="230"/>
      <c r="POE2" s="230"/>
      <c r="POF2" s="231"/>
      <c r="POG2" s="229" t="s">
        <v>13328</v>
      </c>
      <c r="POH2" s="230"/>
      <c r="POI2" s="230"/>
      <c r="POJ2" s="231"/>
      <c r="POK2" s="229" t="s">
        <v>13328</v>
      </c>
      <c r="POL2" s="230"/>
      <c r="POM2" s="230"/>
      <c r="PON2" s="231"/>
      <c r="POO2" s="229" t="s">
        <v>13328</v>
      </c>
      <c r="POP2" s="230"/>
      <c r="POQ2" s="230"/>
      <c r="POR2" s="231"/>
      <c r="POS2" s="229" t="s">
        <v>13328</v>
      </c>
      <c r="POT2" s="230"/>
      <c r="POU2" s="230"/>
      <c r="POV2" s="231"/>
      <c r="POW2" s="229" t="s">
        <v>13328</v>
      </c>
      <c r="POX2" s="230"/>
      <c r="POY2" s="230"/>
      <c r="POZ2" s="231"/>
      <c r="PPA2" s="229" t="s">
        <v>13328</v>
      </c>
      <c r="PPB2" s="230"/>
      <c r="PPC2" s="230"/>
      <c r="PPD2" s="231"/>
      <c r="PPE2" s="229" t="s">
        <v>13328</v>
      </c>
      <c r="PPF2" s="230"/>
      <c r="PPG2" s="230"/>
      <c r="PPH2" s="231"/>
      <c r="PPI2" s="229" t="s">
        <v>13328</v>
      </c>
      <c r="PPJ2" s="230"/>
      <c r="PPK2" s="230"/>
      <c r="PPL2" s="231"/>
      <c r="PPM2" s="229" t="s">
        <v>13328</v>
      </c>
      <c r="PPN2" s="230"/>
      <c r="PPO2" s="230"/>
      <c r="PPP2" s="231"/>
      <c r="PPQ2" s="229" t="s">
        <v>13328</v>
      </c>
      <c r="PPR2" s="230"/>
      <c r="PPS2" s="230"/>
      <c r="PPT2" s="231"/>
      <c r="PPU2" s="229" t="s">
        <v>13328</v>
      </c>
      <c r="PPV2" s="230"/>
      <c r="PPW2" s="230"/>
      <c r="PPX2" s="231"/>
      <c r="PPY2" s="229" t="s">
        <v>13328</v>
      </c>
      <c r="PPZ2" s="230"/>
      <c r="PQA2" s="230"/>
      <c r="PQB2" s="231"/>
      <c r="PQC2" s="229" t="s">
        <v>13328</v>
      </c>
      <c r="PQD2" s="230"/>
      <c r="PQE2" s="230"/>
      <c r="PQF2" s="231"/>
      <c r="PQG2" s="229" t="s">
        <v>13328</v>
      </c>
      <c r="PQH2" s="230"/>
      <c r="PQI2" s="230"/>
      <c r="PQJ2" s="231"/>
      <c r="PQK2" s="229" t="s">
        <v>13328</v>
      </c>
      <c r="PQL2" s="230"/>
      <c r="PQM2" s="230"/>
      <c r="PQN2" s="231"/>
      <c r="PQO2" s="229" t="s">
        <v>13328</v>
      </c>
      <c r="PQP2" s="230"/>
      <c r="PQQ2" s="230"/>
      <c r="PQR2" s="231"/>
      <c r="PQS2" s="229" t="s">
        <v>13328</v>
      </c>
      <c r="PQT2" s="230"/>
      <c r="PQU2" s="230"/>
      <c r="PQV2" s="231"/>
      <c r="PQW2" s="229" t="s">
        <v>13328</v>
      </c>
      <c r="PQX2" s="230"/>
      <c r="PQY2" s="230"/>
      <c r="PQZ2" s="231"/>
      <c r="PRA2" s="229" t="s">
        <v>13328</v>
      </c>
      <c r="PRB2" s="230"/>
      <c r="PRC2" s="230"/>
      <c r="PRD2" s="231"/>
      <c r="PRE2" s="229" t="s">
        <v>13328</v>
      </c>
      <c r="PRF2" s="230"/>
      <c r="PRG2" s="230"/>
      <c r="PRH2" s="231"/>
      <c r="PRI2" s="229" t="s">
        <v>13328</v>
      </c>
      <c r="PRJ2" s="230"/>
      <c r="PRK2" s="230"/>
      <c r="PRL2" s="231"/>
      <c r="PRM2" s="229" t="s">
        <v>13328</v>
      </c>
      <c r="PRN2" s="230"/>
      <c r="PRO2" s="230"/>
      <c r="PRP2" s="231"/>
      <c r="PRQ2" s="229" t="s">
        <v>13328</v>
      </c>
      <c r="PRR2" s="230"/>
      <c r="PRS2" s="230"/>
      <c r="PRT2" s="231"/>
      <c r="PRU2" s="229" t="s">
        <v>13328</v>
      </c>
      <c r="PRV2" s="230"/>
      <c r="PRW2" s="230"/>
      <c r="PRX2" s="231"/>
      <c r="PRY2" s="229" t="s">
        <v>13328</v>
      </c>
      <c r="PRZ2" s="230"/>
      <c r="PSA2" s="230"/>
      <c r="PSB2" s="231"/>
      <c r="PSC2" s="229" t="s">
        <v>13328</v>
      </c>
      <c r="PSD2" s="230"/>
      <c r="PSE2" s="230"/>
      <c r="PSF2" s="231"/>
      <c r="PSG2" s="229" t="s">
        <v>13328</v>
      </c>
      <c r="PSH2" s="230"/>
      <c r="PSI2" s="230"/>
      <c r="PSJ2" s="231"/>
      <c r="PSK2" s="229" t="s">
        <v>13328</v>
      </c>
      <c r="PSL2" s="230"/>
      <c r="PSM2" s="230"/>
      <c r="PSN2" s="231"/>
      <c r="PSO2" s="229" t="s">
        <v>13328</v>
      </c>
      <c r="PSP2" s="230"/>
      <c r="PSQ2" s="230"/>
      <c r="PSR2" s="231"/>
      <c r="PSS2" s="229" t="s">
        <v>13328</v>
      </c>
      <c r="PST2" s="230"/>
      <c r="PSU2" s="230"/>
      <c r="PSV2" s="231"/>
      <c r="PSW2" s="229" t="s">
        <v>13328</v>
      </c>
      <c r="PSX2" s="230"/>
      <c r="PSY2" s="230"/>
      <c r="PSZ2" s="231"/>
      <c r="PTA2" s="229" t="s">
        <v>13328</v>
      </c>
      <c r="PTB2" s="230"/>
      <c r="PTC2" s="230"/>
      <c r="PTD2" s="231"/>
      <c r="PTE2" s="229" t="s">
        <v>13328</v>
      </c>
      <c r="PTF2" s="230"/>
      <c r="PTG2" s="230"/>
      <c r="PTH2" s="231"/>
      <c r="PTI2" s="229" t="s">
        <v>13328</v>
      </c>
      <c r="PTJ2" s="230"/>
      <c r="PTK2" s="230"/>
      <c r="PTL2" s="231"/>
      <c r="PTM2" s="229" t="s">
        <v>13328</v>
      </c>
      <c r="PTN2" s="230"/>
      <c r="PTO2" s="230"/>
      <c r="PTP2" s="231"/>
      <c r="PTQ2" s="229" t="s">
        <v>13328</v>
      </c>
      <c r="PTR2" s="230"/>
      <c r="PTS2" s="230"/>
      <c r="PTT2" s="231"/>
      <c r="PTU2" s="229" t="s">
        <v>13328</v>
      </c>
      <c r="PTV2" s="230"/>
      <c r="PTW2" s="230"/>
      <c r="PTX2" s="231"/>
      <c r="PTY2" s="229" t="s">
        <v>13328</v>
      </c>
      <c r="PTZ2" s="230"/>
      <c r="PUA2" s="230"/>
      <c r="PUB2" s="231"/>
      <c r="PUC2" s="229" t="s">
        <v>13328</v>
      </c>
      <c r="PUD2" s="230"/>
      <c r="PUE2" s="230"/>
      <c r="PUF2" s="231"/>
      <c r="PUG2" s="229" t="s">
        <v>13328</v>
      </c>
      <c r="PUH2" s="230"/>
      <c r="PUI2" s="230"/>
      <c r="PUJ2" s="231"/>
      <c r="PUK2" s="229" t="s">
        <v>13328</v>
      </c>
      <c r="PUL2" s="230"/>
      <c r="PUM2" s="230"/>
      <c r="PUN2" s="231"/>
      <c r="PUO2" s="229" t="s">
        <v>13328</v>
      </c>
      <c r="PUP2" s="230"/>
      <c r="PUQ2" s="230"/>
      <c r="PUR2" s="231"/>
      <c r="PUS2" s="229" t="s">
        <v>13328</v>
      </c>
      <c r="PUT2" s="230"/>
      <c r="PUU2" s="230"/>
      <c r="PUV2" s="231"/>
      <c r="PUW2" s="229" t="s">
        <v>13328</v>
      </c>
      <c r="PUX2" s="230"/>
      <c r="PUY2" s="230"/>
      <c r="PUZ2" s="231"/>
      <c r="PVA2" s="229" t="s">
        <v>13328</v>
      </c>
      <c r="PVB2" s="230"/>
      <c r="PVC2" s="230"/>
      <c r="PVD2" s="231"/>
      <c r="PVE2" s="229" t="s">
        <v>13328</v>
      </c>
      <c r="PVF2" s="230"/>
      <c r="PVG2" s="230"/>
      <c r="PVH2" s="231"/>
      <c r="PVI2" s="229" t="s">
        <v>13328</v>
      </c>
      <c r="PVJ2" s="230"/>
      <c r="PVK2" s="230"/>
      <c r="PVL2" s="231"/>
      <c r="PVM2" s="229" t="s">
        <v>13328</v>
      </c>
      <c r="PVN2" s="230"/>
      <c r="PVO2" s="230"/>
      <c r="PVP2" s="231"/>
      <c r="PVQ2" s="229" t="s">
        <v>13328</v>
      </c>
      <c r="PVR2" s="230"/>
      <c r="PVS2" s="230"/>
      <c r="PVT2" s="231"/>
      <c r="PVU2" s="229" t="s">
        <v>13328</v>
      </c>
      <c r="PVV2" s="230"/>
      <c r="PVW2" s="230"/>
      <c r="PVX2" s="231"/>
      <c r="PVY2" s="229" t="s">
        <v>13328</v>
      </c>
      <c r="PVZ2" s="230"/>
      <c r="PWA2" s="230"/>
      <c r="PWB2" s="231"/>
      <c r="PWC2" s="229" t="s">
        <v>13328</v>
      </c>
      <c r="PWD2" s="230"/>
      <c r="PWE2" s="230"/>
      <c r="PWF2" s="231"/>
      <c r="PWG2" s="229" t="s">
        <v>13328</v>
      </c>
      <c r="PWH2" s="230"/>
      <c r="PWI2" s="230"/>
      <c r="PWJ2" s="231"/>
      <c r="PWK2" s="229" t="s">
        <v>13328</v>
      </c>
      <c r="PWL2" s="230"/>
      <c r="PWM2" s="230"/>
      <c r="PWN2" s="231"/>
      <c r="PWO2" s="229" t="s">
        <v>13328</v>
      </c>
      <c r="PWP2" s="230"/>
      <c r="PWQ2" s="230"/>
      <c r="PWR2" s="231"/>
      <c r="PWS2" s="229" t="s">
        <v>13328</v>
      </c>
      <c r="PWT2" s="230"/>
      <c r="PWU2" s="230"/>
      <c r="PWV2" s="231"/>
      <c r="PWW2" s="229" t="s">
        <v>13328</v>
      </c>
      <c r="PWX2" s="230"/>
      <c r="PWY2" s="230"/>
      <c r="PWZ2" s="231"/>
      <c r="PXA2" s="229" t="s">
        <v>13328</v>
      </c>
      <c r="PXB2" s="230"/>
      <c r="PXC2" s="230"/>
      <c r="PXD2" s="231"/>
      <c r="PXE2" s="229" t="s">
        <v>13328</v>
      </c>
      <c r="PXF2" s="230"/>
      <c r="PXG2" s="230"/>
      <c r="PXH2" s="231"/>
      <c r="PXI2" s="229" t="s">
        <v>13328</v>
      </c>
      <c r="PXJ2" s="230"/>
      <c r="PXK2" s="230"/>
      <c r="PXL2" s="231"/>
      <c r="PXM2" s="229" t="s">
        <v>13328</v>
      </c>
      <c r="PXN2" s="230"/>
      <c r="PXO2" s="230"/>
      <c r="PXP2" s="231"/>
      <c r="PXQ2" s="229" t="s">
        <v>13328</v>
      </c>
      <c r="PXR2" s="230"/>
      <c r="PXS2" s="230"/>
      <c r="PXT2" s="231"/>
      <c r="PXU2" s="229" t="s">
        <v>13328</v>
      </c>
      <c r="PXV2" s="230"/>
      <c r="PXW2" s="230"/>
      <c r="PXX2" s="231"/>
      <c r="PXY2" s="229" t="s">
        <v>13328</v>
      </c>
      <c r="PXZ2" s="230"/>
      <c r="PYA2" s="230"/>
      <c r="PYB2" s="231"/>
      <c r="PYC2" s="229" t="s">
        <v>13328</v>
      </c>
      <c r="PYD2" s="230"/>
      <c r="PYE2" s="230"/>
      <c r="PYF2" s="231"/>
      <c r="PYG2" s="229" t="s">
        <v>13328</v>
      </c>
      <c r="PYH2" s="230"/>
      <c r="PYI2" s="230"/>
      <c r="PYJ2" s="231"/>
      <c r="PYK2" s="229" t="s">
        <v>13328</v>
      </c>
      <c r="PYL2" s="230"/>
      <c r="PYM2" s="230"/>
      <c r="PYN2" s="231"/>
      <c r="PYO2" s="229" t="s">
        <v>13328</v>
      </c>
      <c r="PYP2" s="230"/>
      <c r="PYQ2" s="230"/>
      <c r="PYR2" s="231"/>
      <c r="PYS2" s="229" t="s">
        <v>13328</v>
      </c>
      <c r="PYT2" s="230"/>
      <c r="PYU2" s="230"/>
      <c r="PYV2" s="231"/>
      <c r="PYW2" s="229" t="s">
        <v>13328</v>
      </c>
      <c r="PYX2" s="230"/>
      <c r="PYY2" s="230"/>
      <c r="PYZ2" s="231"/>
      <c r="PZA2" s="229" t="s">
        <v>13328</v>
      </c>
      <c r="PZB2" s="230"/>
      <c r="PZC2" s="230"/>
      <c r="PZD2" s="231"/>
      <c r="PZE2" s="229" t="s">
        <v>13328</v>
      </c>
      <c r="PZF2" s="230"/>
      <c r="PZG2" s="230"/>
      <c r="PZH2" s="231"/>
      <c r="PZI2" s="229" t="s">
        <v>13328</v>
      </c>
      <c r="PZJ2" s="230"/>
      <c r="PZK2" s="230"/>
      <c r="PZL2" s="231"/>
      <c r="PZM2" s="229" t="s">
        <v>13328</v>
      </c>
      <c r="PZN2" s="230"/>
      <c r="PZO2" s="230"/>
      <c r="PZP2" s="231"/>
      <c r="PZQ2" s="229" t="s">
        <v>13328</v>
      </c>
      <c r="PZR2" s="230"/>
      <c r="PZS2" s="230"/>
      <c r="PZT2" s="231"/>
      <c r="PZU2" s="229" t="s">
        <v>13328</v>
      </c>
      <c r="PZV2" s="230"/>
      <c r="PZW2" s="230"/>
      <c r="PZX2" s="231"/>
      <c r="PZY2" s="229" t="s">
        <v>13328</v>
      </c>
      <c r="PZZ2" s="230"/>
      <c r="QAA2" s="230"/>
      <c r="QAB2" s="231"/>
      <c r="QAC2" s="229" t="s">
        <v>13328</v>
      </c>
      <c r="QAD2" s="230"/>
      <c r="QAE2" s="230"/>
      <c r="QAF2" s="231"/>
      <c r="QAG2" s="229" t="s">
        <v>13328</v>
      </c>
      <c r="QAH2" s="230"/>
      <c r="QAI2" s="230"/>
      <c r="QAJ2" s="231"/>
      <c r="QAK2" s="229" t="s">
        <v>13328</v>
      </c>
      <c r="QAL2" s="230"/>
      <c r="QAM2" s="230"/>
      <c r="QAN2" s="231"/>
      <c r="QAO2" s="229" t="s">
        <v>13328</v>
      </c>
      <c r="QAP2" s="230"/>
      <c r="QAQ2" s="230"/>
      <c r="QAR2" s="231"/>
      <c r="QAS2" s="229" t="s">
        <v>13328</v>
      </c>
      <c r="QAT2" s="230"/>
      <c r="QAU2" s="230"/>
      <c r="QAV2" s="231"/>
      <c r="QAW2" s="229" t="s">
        <v>13328</v>
      </c>
      <c r="QAX2" s="230"/>
      <c r="QAY2" s="230"/>
      <c r="QAZ2" s="231"/>
      <c r="QBA2" s="229" t="s">
        <v>13328</v>
      </c>
      <c r="QBB2" s="230"/>
      <c r="QBC2" s="230"/>
      <c r="QBD2" s="231"/>
      <c r="QBE2" s="229" t="s">
        <v>13328</v>
      </c>
      <c r="QBF2" s="230"/>
      <c r="QBG2" s="230"/>
      <c r="QBH2" s="231"/>
      <c r="QBI2" s="229" t="s">
        <v>13328</v>
      </c>
      <c r="QBJ2" s="230"/>
      <c r="QBK2" s="230"/>
      <c r="QBL2" s="231"/>
      <c r="QBM2" s="229" t="s">
        <v>13328</v>
      </c>
      <c r="QBN2" s="230"/>
      <c r="QBO2" s="230"/>
      <c r="QBP2" s="231"/>
      <c r="QBQ2" s="229" t="s">
        <v>13328</v>
      </c>
      <c r="QBR2" s="230"/>
      <c r="QBS2" s="230"/>
      <c r="QBT2" s="231"/>
      <c r="QBU2" s="229" t="s">
        <v>13328</v>
      </c>
      <c r="QBV2" s="230"/>
      <c r="QBW2" s="230"/>
      <c r="QBX2" s="231"/>
      <c r="QBY2" s="229" t="s">
        <v>13328</v>
      </c>
      <c r="QBZ2" s="230"/>
      <c r="QCA2" s="230"/>
      <c r="QCB2" s="231"/>
      <c r="QCC2" s="229" t="s">
        <v>13328</v>
      </c>
      <c r="QCD2" s="230"/>
      <c r="QCE2" s="230"/>
      <c r="QCF2" s="231"/>
      <c r="QCG2" s="229" t="s">
        <v>13328</v>
      </c>
      <c r="QCH2" s="230"/>
      <c r="QCI2" s="230"/>
      <c r="QCJ2" s="231"/>
      <c r="QCK2" s="229" t="s">
        <v>13328</v>
      </c>
      <c r="QCL2" s="230"/>
      <c r="QCM2" s="230"/>
      <c r="QCN2" s="231"/>
      <c r="QCO2" s="229" t="s">
        <v>13328</v>
      </c>
      <c r="QCP2" s="230"/>
      <c r="QCQ2" s="230"/>
      <c r="QCR2" s="231"/>
      <c r="QCS2" s="229" t="s">
        <v>13328</v>
      </c>
      <c r="QCT2" s="230"/>
      <c r="QCU2" s="230"/>
      <c r="QCV2" s="231"/>
      <c r="QCW2" s="229" t="s">
        <v>13328</v>
      </c>
      <c r="QCX2" s="230"/>
      <c r="QCY2" s="230"/>
      <c r="QCZ2" s="231"/>
      <c r="QDA2" s="229" t="s">
        <v>13328</v>
      </c>
      <c r="QDB2" s="230"/>
      <c r="QDC2" s="230"/>
      <c r="QDD2" s="231"/>
      <c r="QDE2" s="229" t="s">
        <v>13328</v>
      </c>
      <c r="QDF2" s="230"/>
      <c r="QDG2" s="230"/>
      <c r="QDH2" s="231"/>
      <c r="QDI2" s="229" t="s">
        <v>13328</v>
      </c>
      <c r="QDJ2" s="230"/>
      <c r="QDK2" s="230"/>
      <c r="QDL2" s="231"/>
      <c r="QDM2" s="229" t="s">
        <v>13328</v>
      </c>
      <c r="QDN2" s="230"/>
      <c r="QDO2" s="230"/>
      <c r="QDP2" s="231"/>
      <c r="QDQ2" s="229" t="s">
        <v>13328</v>
      </c>
      <c r="QDR2" s="230"/>
      <c r="QDS2" s="230"/>
      <c r="QDT2" s="231"/>
      <c r="QDU2" s="229" t="s">
        <v>13328</v>
      </c>
      <c r="QDV2" s="230"/>
      <c r="QDW2" s="230"/>
      <c r="QDX2" s="231"/>
      <c r="QDY2" s="229" t="s">
        <v>13328</v>
      </c>
      <c r="QDZ2" s="230"/>
      <c r="QEA2" s="230"/>
      <c r="QEB2" s="231"/>
      <c r="QEC2" s="229" t="s">
        <v>13328</v>
      </c>
      <c r="QED2" s="230"/>
      <c r="QEE2" s="230"/>
      <c r="QEF2" s="231"/>
      <c r="QEG2" s="229" t="s">
        <v>13328</v>
      </c>
      <c r="QEH2" s="230"/>
      <c r="QEI2" s="230"/>
      <c r="QEJ2" s="231"/>
      <c r="QEK2" s="229" t="s">
        <v>13328</v>
      </c>
      <c r="QEL2" s="230"/>
      <c r="QEM2" s="230"/>
      <c r="QEN2" s="231"/>
      <c r="QEO2" s="229" t="s">
        <v>13328</v>
      </c>
      <c r="QEP2" s="230"/>
      <c r="QEQ2" s="230"/>
      <c r="QER2" s="231"/>
      <c r="QES2" s="229" t="s">
        <v>13328</v>
      </c>
      <c r="QET2" s="230"/>
      <c r="QEU2" s="230"/>
      <c r="QEV2" s="231"/>
      <c r="QEW2" s="229" t="s">
        <v>13328</v>
      </c>
      <c r="QEX2" s="230"/>
      <c r="QEY2" s="230"/>
      <c r="QEZ2" s="231"/>
      <c r="QFA2" s="229" t="s">
        <v>13328</v>
      </c>
      <c r="QFB2" s="230"/>
      <c r="QFC2" s="230"/>
      <c r="QFD2" s="231"/>
      <c r="QFE2" s="229" t="s">
        <v>13328</v>
      </c>
      <c r="QFF2" s="230"/>
      <c r="QFG2" s="230"/>
      <c r="QFH2" s="231"/>
      <c r="QFI2" s="229" t="s">
        <v>13328</v>
      </c>
      <c r="QFJ2" s="230"/>
      <c r="QFK2" s="230"/>
      <c r="QFL2" s="231"/>
      <c r="QFM2" s="229" t="s">
        <v>13328</v>
      </c>
      <c r="QFN2" s="230"/>
      <c r="QFO2" s="230"/>
      <c r="QFP2" s="231"/>
      <c r="QFQ2" s="229" t="s">
        <v>13328</v>
      </c>
      <c r="QFR2" s="230"/>
      <c r="QFS2" s="230"/>
      <c r="QFT2" s="231"/>
      <c r="QFU2" s="229" t="s">
        <v>13328</v>
      </c>
      <c r="QFV2" s="230"/>
      <c r="QFW2" s="230"/>
      <c r="QFX2" s="231"/>
      <c r="QFY2" s="229" t="s">
        <v>13328</v>
      </c>
      <c r="QFZ2" s="230"/>
      <c r="QGA2" s="230"/>
      <c r="QGB2" s="231"/>
      <c r="QGC2" s="229" t="s">
        <v>13328</v>
      </c>
      <c r="QGD2" s="230"/>
      <c r="QGE2" s="230"/>
      <c r="QGF2" s="231"/>
      <c r="QGG2" s="229" t="s">
        <v>13328</v>
      </c>
      <c r="QGH2" s="230"/>
      <c r="QGI2" s="230"/>
      <c r="QGJ2" s="231"/>
      <c r="QGK2" s="229" t="s">
        <v>13328</v>
      </c>
      <c r="QGL2" s="230"/>
      <c r="QGM2" s="230"/>
      <c r="QGN2" s="231"/>
      <c r="QGO2" s="229" t="s">
        <v>13328</v>
      </c>
      <c r="QGP2" s="230"/>
      <c r="QGQ2" s="230"/>
      <c r="QGR2" s="231"/>
      <c r="QGS2" s="229" t="s">
        <v>13328</v>
      </c>
      <c r="QGT2" s="230"/>
      <c r="QGU2" s="230"/>
      <c r="QGV2" s="231"/>
      <c r="QGW2" s="229" t="s">
        <v>13328</v>
      </c>
      <c r="QGX2" s="230"/>
      <c r="QGY2" s="230"/>
      <c r="QGZ2" s="231"/>
      <c r="QHA2" s="229" t="s">
        <v>13328</v>
      </c>
      <c r="QHB2" s="230"/>
      <c r="QHC2" s="230"/>
      <c r="QHD2" s="231"/>
      <c r="QHE2" s="229" t="s">
        <v>13328</v>
      </c>
      <c r="QHF2" s="230"/>
      <c r="QHG2" s="230"/>
      <c r="QHH2" s="231"/>
      <c r="QHI2" s="229" t="s">
        <v>13328</v>
      </c>
      <c r="QHJ2" s="230"/>
      <c r="QHK2" s="230"/>
      <c r="QHL2" s="231"/>
      <c r="QHM2" s="229" t="s">
        <v>13328</v>
      </c>
      <c r="QHN2" s="230"/>
      <c r="QHO2" s="230"/>
      <c r="QHP2" s="231"/>
      <c r="QHQ2" s="229" t="s">
        <v>13328</v>
      </c>
      <c r="QHR2" s="230"/>
      <c r="QHS2" s="230"/>
      <c r="QHT2" s="231"/>
      <c r="QHU2" s="229" t="s">
        <v>13328</v>
      </c>
      <c r="QHV2" s="230"/>
      <c r="QHW2" s="230"/>
      <c r="QHX2" s="231"/>
      <c r="QHY2" s="229" t="s">
        <v>13328</v>
      </c>
      <c r="QHZ2" s="230"/>
      <c r="QIA2" s="230"/>
      <c r="QIB2" s="231"/>
      <c r="QIC2" s="229" t="s">
        <v>13328</v>
      </c>
      <c r="QID2" s="230"/>
      <c r="QIE2" s="230"/>
      <c r="QIF2" s="231"/>
      <c r="QIG2" s="229" t="s">
        <v>13328</v>
      </c>
      <c r="QIH2" s="230"/>
      <c r="QII2" s="230"/>
      <c r="QIJ2" s="231"/>
      <c r="QIK2" s="229" t="s">
        <v>13328</v>
      </c>
      <c r="QIL2" s="230"/>
      <c r="QIM2" s="230"/>
      <c r="QIN2" s="231"/>
      <c r="QIO2" s="229" t="s">
        <v>13328</v>
      </c>
      <c r="QIP2" s="230"/>
      <c r="QIQ2" s="230"/>
      <c r="QIR2" s="231"/>
      <c r="QIS2" s="229" t="s">
        <v>13328</v>
      </c>
      <c r="QIT2" s="230"/>
      <c r="QIU2" s="230"/>
      <c r="QIV2" s="231"/>
      <c r="QIW2" s="229" t="s">
        <v>13328</v>
      </c>
      <c r="QIX2" s="230"/>
      <c r="QIY2" s="230"/>
      <c r="QIZ2" s="231"/>
      <c r="QJA2" s="229" t="s">
        <v>13328</v>
      </c>
      <c r="QJB2" s="230"/>
      <c r="QJC2" s="230"/>
      <c r="QJD2" s="231"/>
      <c r="QJE2" s="229" t="s">
        <v>13328</v>
      </c>
      <c r="QJF2" s="230"/>
      <c r="QJG2" s="230"/>
      <c r="QJH2" s="231"/>
      <c r="QJI2" s="229" t="s">
        <v>13328</v>
      </c>
      <c r="QJJ2" s="230"/>
      <c r="QJK2" s="230"/>
      <c r="QJL2" s="231"/>
      <c r="QJM2" s="229" t="s">
        <v>13328</v>
      </c>
      <c r="QJN2" s="230"/>
      <c r="QJO2" s="230"/>
      <c r="QJP2" s="231"/>
      <c r="QJQ2" s="229" t="s">
        <v>13328</v>
      </c>
      <c r="QJR2" s="230"/>
      <c r="QJS2" s="230"/>
      <c r="QJT2" s="231"/>
      <c r="QJU2" s="229" t="s">
        <v>13328</v>
      </c>
      <c r="QJV2" s="230"/>
      <c r="QJW2" s="230"/>
      <c r="QJX2" s="231"/>
      <c r="QJY2" s="229" t="s">
        <v>13328</v>
      </c>
      <c r="QJZ2" s="230"/>
      <c r="QKA2" s="230"/>
      <c r="QKB2" s="231"/>
      <c r="QKC2" s="229" t="s">
        <v>13328</v>
      </c>
      <c r="QKD2" s="230"/>
      <c r="QKE2" s="230"/>
      <c r="QKF2" s="231"/>
      <c r="QKG2" s="229" t="s">
        <v>13328</v>
      </c>
      <c r="QKH2" s="230"/>
      <c r="QKI2" s="230"/>
      <c r="QKJ2" s="231"/>
      <c r="QKK2" s="229" t="s">
        <v>13328</v>
      </c>
      <c r="QKL2" s="230"/>
      <c r="QKM2" s="230"/>
      <c r="QKN2" s="231"/>
      <c r="QKO2" s="229" t="s">
        <v>13328</v>
      </c>
      <c r="QKP2" s="230"/>
      <c r="QKQ2" s="230"/>
      <c r="QKR2" s="231"/>
      <c r="QKS2" s="229" t="s">
        <v>13328</v>
      </c>
      <c r="QKT2" s="230"/>
      <c r="QKU2" s="230"/>
      <c r="QKV2" s="231"/>
      <c r="QKW2" s="229" t="s">
        <v>13328</v>
      </c>
      <c r="QKX2" s="230"/>
      <c r="QKY2" s="230"/>
      <c r="QKZ2" s="231"/>
      <c r="QLA2" s="229" t="s">
        <v>13328</v>
      </c>
      <c r="QLB2" s="230"/>
      <c r="QLC2" s="230"/>
      <c r="QLD2" s="231"/>
      <c r="QLE2" s="229" t="s">
        <v>13328</v>
      </c>
      <c r="QLF2" s="230"/>
      <c r="QLG2" s="230"/>
      <c r="QLH2" s="231"/>
      <c r="QLI2" s="229" t="s">
        <v>13328</v>
      </c>
      <c r="QLJ2" s="230"/>
      <c r="QLK2" s="230"/>
      <c r="QLL2" s="231"/>
      <c r="QLM2" s="229" t="s">
        <v>13328</v>
      </c>
      <c r="QLN2" s="230"/>
      <c r="QLO2" s="230"/>
      <c r="QLP2" s="231"/>
      <c r="QLQ2" s="229" t="s">
        <v>13328</v>
      </c>
      <c r="QLR2" s="230"/>
      <c r="QLS2" s="230"/>
      <c r="QLT2" s="231"/>
      <c r="QLU2" s="229" t="s">
        <v>13328</v>
      </c>
      <c r="QLV2" s="230"/>
      <c r="QLW2" s="230"/>
      <c r="QLX2" s="231"/>
      <c r="QLY2" s="229" t="s">
        <v>13328</v>
      </c>
      <c r="QLZ2" s="230"/>
      <c r="QMA2" s="230"/>
      <c r="QMB2" s="231"/>
      <c r="QMC2" s="229" t="s">
        <v>13328</v>
      </c>
      <c r="QMD2" s="230"/>
      <c r="QME2" s="230"/>
      <c r="QMF2" s="231"/>
      <c r="QMG2" s="229" t="s">
        <v>13328</v>
      </c>
      <c r="QMH2" s="230"/>
      <c r="QMI2" s="230"/>
      <c r="QMJ2" s="231"/>
      <c r="QMK2" s="229" t="s">
        <v>13328</v>
      </c>
      <c r="QML2" s="230"/>
      <c r="QMM2" s="230"/>
      <c r="QMN2" s="231"/>
      <c r="QMO2" s="229" t="s">
        <v>13328</v>
      </c>
      <c r="QMP2" s="230"/>
      <c r="QMQ2" s="230"/>
      <c r="QMR2" s="231"/>
      <c r="QMS2" s="229" t="s">
        <v>13328</v>
      </c>
      <c r="QMT2" s="230"/>
      <c r="QMU2" s="230"/>
      <c r="QMV2" s="231"/>
      <c r="QMW2" s="229" t="s">
        <v>13328</v>
      </c>
      <c r="QMX2" s="230"/>
      <c r="QMY2" s="230"/>
      <c r="QMZ2" s="231"/>
      <c r="QNA2" s="229" t="s">
        <v>13328</v>
      </c>
      <c r="QNB2" s="230"/>
      <c r="QNC2" s="230"/>
      <c r="QND2" s="231"/>
      <c r="QNE2" s="229" t="s">
        <v>13328</v>
      </c>
      <c r="QNF2" s="230"/>
      <c r="QNG2" s="230"/>
      <c r="QNH2" s="231"/>
      <c r="QNI2" s="229" t="s">
        <v>13328</v>
      </c>
      <c r="QNJ2" s="230"/>
      <c r="QNK2" s="230"/>
      <c r="QNL2" s="231"/>
      <c r="QNM2" s="229" t="s">
        <v>13328</v>
      </c>
      <c r="QNN2" s="230"/>
      <c r="QNO2" s="230"/>
      <c r="QNP2" s="231"/>
      <c r="QNQ2" s="229" t="s">
        <v>13328</v>
      </c>
      <c r="QNR2" s="230"/>
      <c r="QNS2" s="230"/>
      <c r="QNT2" s="231"/>
      <c r="QNU2" s="229" t="s">
        <v>13328</v>
      </c>
      <c r="QNV2" s="230"/>
      <c r="QNW2" s="230"/>
      <c r="QNX2" s="231"/>
      <c r="QNY2" s="229" t="s">
        <v>13328</v>
      </c>
      <c r="QNZ2" s="230"/>
      <c r="QOA2" s="230"/>
      <c r="QOB2" s="231"/>
      <c r="QOC2" s="229" t="s">
        <v>13328</v>
      </c>
      <c r="QOD2" s="230"/>
      <c r="QOE2" s="230"/>
      <c r="QOF2" s="231"/>
      <c r="QOG2" s="229" t="s">
        <v>13328</v>
      </c>
      <c r="QOH2" s="230"/>
      <c r="QOI2" s="230"/>
      <c r="QOJ2" s="231"/>
      <c r="QOK2" s="229" t="s">
        <v>13328</v>
      </c>
      <c r="QOL2" s="230"/>
      <c r="QOM2" s="230"/>
      <c r="QON2" s="231"/>
      <c r="QOO2" s="229" t="s">
        <v>13328</v>
      </c>
      <c r="QOP2" s="230"/>
      <c r="QOQ2" s="230"/>
      <c r="QOR2" s="231"/>
      <c r="QOS2" s="229" t="s">
        <v>13328</v>
      </c>
      <c r="QOT2" s="230"/>
      <c r="QOU2" s="230"/>
      <c r="QOV2" s="231"/>
      <c r="QOW2" s="229" t="s">
        <v>13328</v>
      </c>
      <c r="QOX2" s="230"/>
      <c r="QOY2" s="230"/>
      <c r="QOZ2" s="231"/>
      <c r="QPA2" s="229" t="s">
        <v>13328</v>
      </c>
      <c r="QPB2" s="230"/>
      <c r="QPC2" s="230"/>
      <c r="QPD2" s="231"/>
      <c r="QPE2" s="229" t="s">
        <v>13328</v>
      </c>
      <c r="QPF2" s="230"/>
      <c r="QPG2" s="230"/>
      <c r="QPH2" s="231"/>
      <c r="QPI2" s="229" t="s">
        <v>13328</v>
      </c>
      <c r="QPJ2" s="230"/>
      <c r="QPK2" s="230"/>
      <c r="QPL2" s="231"/>
      <c r="QPM2" s="229" t="s">
        <v>13328</v>
      </c>
      <c r="QPN2" s="230"/>
      <c r="QPO2" s="230"/>
      <c r="QPP2" s="231"/>
      <c r="QPQ2" s="229" t="s">
        <v>13328</v>
      </c>
      <c r="QPR2" s="230"/>
      <c r="QPS2" s="230"/>
      <c r="QPT2" s="231"/>
      <c r="QPU2" s="229" t="s">
        <v>13328</v>
      </c>
      <c r="QPV2" s="230"/>
      <c r="QPW2" s="230"/>
      <c r="QPX2" s="231"/>
      <c r="QPY2" s="229" t="s">
        <v>13328</v>
      </c>
      <c r="QPZ2" s="230"/>
      <c r="QQA2" s="230"/>
      <c r="QQB2" s="231"/>
      <c r="QQC2" s="229" t="s">
        <v>13328</v>
      </c>
      <c r="QQD2" s="230"/>
      <c r="QQE2" s="230"/>
      <c r="QQF2" s="231"/>
      <c r="QQG2" s="229" t="s">
        <v>13328</v>
      </c>
      <c r="QQH2" s="230"/>
      <c r="QQI2" s="230"/>
      <c r="QQJ2" s="231"/>
      <c r="QQK2" s="229" t="s">
        <v>13328</v>
      </c>
      <c r="QQL2" s="230"/>
      <c r="QQM2" s="230"/>
      <c r="QQN2" s="231"/>
      <c r="QQO2" s="229" t="s">
        <v>13328</v>
      </c>
      <c r="QQP2" s="230"/>
      <c r="QQQ2" s="230"/>
      <c r="QQR2" s="231"/>
      <c r="QQS2" s="229" t="s">
        <v>13328</v>
      </c>
      <c r="QQT2" s="230"/>
      <c r="QQU2" s="230"/>
      <c r="QQV2" s="231"/>
      <c r="QQW2" s="229" t="s">
        <v>13328</v>
      </c>
      <c r="QQX2" s="230"/>
      <c r="QQY2" s="230"/>
      <c r="QQZ2" s="231"/>
      <c r="QRA2" s="229" t="s">
        <v>13328</v>
      </c>
      <c r="QRB2" s="230"/>
      <c r="QRC2" s="230"/>
      <c r="QRD2" s="231"/>
      <c r="QRE2" s="229" t="s">
        <v>13328</v>
      </c>
      <c r="QRF2" s="230"/>
      <c r="QRG2" s="230"/>
      <c r="QRH2" s="231"/>
      <c r="QRI2" s="229" t="s">
        <v>13328</v>
      </c>
      <c r="QRJ2" s="230"/>
      <c r="QRK2" s="230"/>
      <c r="QRL2" s="231"/>
      <c r="QRM2" s="229" t="s">
        <v>13328</v>
      </c>
      <c r="QRN2" s="230"/>
      <c r="QRO2" s="230"/>
      <c r="QRP2" s="231"/>
      <c r="QRQ2" s="229" t="s">
        <v>13328</v>
      </c>
      <c r="QRR2" s="230"/>
      <c r="QRS2" s="230"/>
      <c r="QRT2" s="231"/>
      <c r="QRU2" s="229" t="s">
        <v>13328</v>
      </c>
      <c r="QRV2" s="230"/>
      <c r="QRW2" s="230"/>
      <c r="QRX2" s="231"/>
      <c r="QRY2" s="229" t="s">
        <v>13328</v>
      </c>
      <c r="QRZ2" s="230"/>
      <c r="QSA2" s="230"/>
      <c r="QSB2" s="231"/>
      <c r="QSC2" s="229" t="s">
        <v>13328</v>
      </c>
      <c r="QSD2" s="230"/>
      <c r="QSE2" s="230"/>
      <c r="QSF2" s="231"/>
      <c r="QSG2" s="229" t="s">
        <v>13328</v>
      </c>
      <c r="QSH2" s="230"/>
      <c r="QSI2" s="230"/>
      <c r="QSJ2" s="231"/>
      <c r="QSK2" s="229" t="s">
        <v>13328</v>
      </c>
      <c r="QSL2" s="230"/>
      <c r="QSM2" s="230"/>
      <c r="QSN2" s="231"/>
      <c r="QSO2" s="229" t="s">
        <v>13328</v>
      </c>
      <c r="QSP2" s="230"/>
      <c r="QSQ2" s="230"/>
      <c r="QSR2" s="231"/>
      <c r="QSS2" s="229" t="s">
        <v>13328</v>
      </c>
      <c r="QST2" s="230"/>
      <c r="QSU2" s="230"/>
      <c r="QSV2" s="231"/>
      <c r="QSW2" s="229" t="s">
        <v>13328</v>
      </c>
      <c r="QSX2" s="230"/>
      <c r="QSY2" s="230"/>
      <c r="QSZ2" s="231"/>
      <c r="QTA2" s="229" t="s">
        <v>13328</v>
      </c>
      <c r="QTB2" s="230"/>
      <c r="QTC2" s="230"/>
      <c r="QTD2" s="231"/>
      <c r="QTE2" s="229" t="s">
        <v>13328</v>
      </c>
      <c r="QTF2" s="230"/>
      <c r="QTG2" s="230"/>
      <c r="QTH2" s="231"/>
      <c r="QTI2" s="229" t="s">
        <v>13328</v>
      </c>
      <c r="QTJ2" s="230"/>
      <c r="QTK2" s="230"/>
      <c r="QTL2" s="231"/>
      <c r="QTM2" s="229" t="s">
        <v>13328</v>
      </c>
      <c r="QTN2" s="230"/>
      <c r="QTO2" s="230"/>
      <c r="QTP2" s="231"/>
      <c r="QTQ2" s="229" t="s">
        <v>13328</v>
      </c>
      <c r="QTR2" s="230"/>
      <c r="QTS2" s="230"/>
      <c r="QTT2" s="231"/>
      <c r="QTU2" s="229" t="s">
        <v>13328</v>
      </c>
      <c r="QTV2" s="230"/>
      <c r="QTW2" s="230"/>
      <c r="QTX2" s="231"/>
      <c r="QTY2" s="229" t="s">
        <v>13328</v>
      </c>
      <c r="QTZ2" s="230"/>
      <c r="QUA2" s="230"/>
      <c r="QUB2" s="231"/>
      <c r="QUC2" s="229" t="s">
        <v>13328</v>
      </c>
      <c r="QUD2" s="230"/>
      <c r="QUE2" s="230"/>
      <c r="QUF2" s="231"/>
      <c r="QUG2" s="229" t="s">
        <v>13328</v>
      </c>
      <c r="QUH2" s="230"/>
      <c r="QUI2" s="230"/>
      <c r="QUJ2" s="231"/>
      <c r="QUK2" s="229" t="s">
        <v>13328</v>
      </c>
      <c r="QUL2" s="230"/>
      <c r="QUM2" s="230"/>
      <c r="QUN2" s="231"/>
      <c r="QUO2" s="229" t="s">
        <v>13328</v>
      </c>
      <c r="QUP2" s="230"/>
      <c r="QUQ2" s="230"/>
      <c r="QUR2" s="231"/>
      <c r="QUS2" s="229" t="s">
        <v>13328</v>
      </c>
      <c r="QUT2" s="230"/>
      <c r="QUU2" s="230"/>
      <c r="QUV2" s="231"/>
      <c r="QUW2" s="229" t="s">
        <v>13328</v>
      </c>
      <c r="QUX2" s="230"/>
      <c r="QUY2" s="230"/>
      <c r="QUZ2" s="231"/>
      <c r="QVA2" s="229" t="s">
        <v>13328</v>
      </c>
      <c r="QVB2" s="230"/>
      <c r="QVC2" s="230"/>
      <c r="QVD2" s="231"/>
      <c r="QVE2" s="229" t="s">
        <v>13328</v>
      </c>
      <c r="QVF2" s="230"/>
      <c r="QVG2" s="230"/>
      <c r="QVH2" s="231"/>
      <c r="QVI2" s="229" t="s">
        <v>13328</v>
      </c>
      <c r="QVJ2" s="230"/>
      <c r="QVK2" s="230"/>
      <c r="QVL2" s="231"/>
      <c r="QVM2" s="229" t="s">
        <v>13328</v>
      </c>
      <c r="QVN2" s="230"/>
      <c r="QVO2" s="230"/>
      <c r="QVP2" s="231"/>
      <c r="QVQ2" s="229" t="s">
        <v>13328</v>
      </c>
      <c r="QVR2" s="230"/>
      <c r="QVS2" s="230"/>
      <c r="QVT2" s="231"/>
      <c r="QVU2" s="229" t="s">
        <v>13328</v>
      </c>
      <c r="QVV2" s="230"/>
      <c r="QVW2" s="230"/>
      <c r="QVX2" s="231"/>
      <c r="QVY2" s="229" t="s">
        <v>13328</v>
      </c>
      <c r="QVZ2" s="230"/>
      <c r="QWA2" s="230"/>
      <c r="QWB2" s="231"/>
      <c r="QWC2" s="229" t="s">
        <v>13328</v>
      </c>
      <c r="QWD2" s="230"/>
      <c r="QWE2" s="230"/>
      <c r="QWF2" s="231"/>
      <c r="QWG2" s="229" t="s">
        <v>13328</v>
      </c>
      <c r="QWH2" s="230"/>
      <c r="QWI2" s="230"/>
      <c r="QWJ2" s="231"/>
      <c r="QWK2" s="229" t="s">
        <v>13328</v>
      </c>
      <c r="QWL2" s="230"/>
      <c r="QWM2" s="230"/>
      <c r="QWN2" s="231"/>
      <c r="QWO2" s="229" t="s">
        <v>13328</v>
      </c>
      <c r="QWP2" s="230"/>
      <c r="QWQ2" s="230"/>
      <c r="QWR2" s="231"/>
      <c r="QWS2" s="229" t="s">
        <v>13328</v>
      </c>
      <c r="QWT2" s="230"/>
      <c r="QWU2" s="230"/>
      <c r="QWV2" s="231"/>
      <c r="QWW2" s="229" t="s">
        <v>13328</v>
      </c>
      <c r="QWX2" s="230"/>
      <c r="QWY2" s="230"/>
      <c r="QWZ2" s="231"/>
      <c r="QXA2" s="229" t="s">
        <v>13328</v>
      </c>
      <c r="QXB2" s="230"/>
      <c r="QXC2" s="230"/>
      <c r="QXD2" s="231"/>
      <c r="QXE2" s="229" t="s">
        <v>13328</v>
      </c>
      <c r="QXF2" s="230"/>
      <c r="QXG2" s="230"/>
      <c r="QXH2" s="231"/>
      <c r="QXI2" s="229" t="s">
        <v>13328</v>
      </c>
      <c r="QXJ2" s="230"/>
      <c r="QXK2" s="230"/>
      <c r="QXL2" s="231"/>
      <c r="QXM2" s="229" t="s">
        <v>13328</v>
      </c>
      <c r="QXN2" s="230"/>
      <c r="QXO2" s="230"/>
      <c r="QXP2" s="231"/>
      <c r="QXQ2" s="229" t="s">
        <v>13328</v>
      </c>
      <c r="QXR2" s="230"/>
      <c r="QXS2" s="230"/>
      <c r="QXT2" s="231"/>
      <c r="QXU2" s="229" t="s">
        <v>13328</v>
      </c>
      <c r="QXV2" s="230"/>
      <c r="QXW2" s="230"/>
      <c r="QXX2" s="231"/>
      <c r="QXY2" s="229" t="s">
        <v>13328</v>
      </c>
      <c r="QXZ2" s="230"/>
      <c r="QYA2" s="230"/>
      <c r="QYB2" s="231"/>
      <c r="QYC2" s="229" t="s">
        <v>13328</v>
      </c>
      <c r="QYD2" s="230"/>
      <c r="QYE2" s="230"/>
      <c r="QYF2" s="231"/>
      <c r="QYG2" s="229" t="s">
        <v>13328</v>
      </c>
      <c r="QYH2" s="230"/>
      <c r="QYI2" s="230"/>
      <c r="QYJ2" s="231"/>
      <c r="QYK2" s="229" t="s">
        <v>13328</v>
      </c>
      <c r="QYL2" s="230"/>
      <c r="QYM2" s="230"/>
      <c r="QYN2" s="231"/>
      <c r="QYO2" s="229" t="s">
        <v>13328</v>
      </c>
      <c r="QYP2" s="230"/>
      <c r="QYQ2" s="230"/>
      <c r="QYR2" s="231"/>
      <c r="QYS2" s="229" t="s">
        <v>13328</v>
      </c>
      <c r="QYT2" s="230"/>
      <c r="QYU2" s="230"/>
      <c r="QYV2" s="231"/>
      <c r="QYW2" s="229" t="s">
        <v>13328</v>
      </c>
      <c r="QYX2" s="230"/>
      <c r="QYY2" s="230"/>
      <c r="QYZ2" s="231"/>
      <c r="QZA2" s="229" t="s">
        <v>13328</v>
      </c>
      <c r="QZB2" s="230"/>
      <c r="QZC2" s="230"/>
      <c r="QZD2" s="231"/>
      <c r="QZE2" s="229" t="s">
        <v>13328</v>
      </c>
      <c r="QZF2" s="230"/>
      <c r="QZG2" s="230"/>
      <c r="QZH2" s="231"/>
      <c r="QZI2" s="229" t="s">
        <v>13328</v>
      </c>
      <c r="QZJ2" s="230"/>
      <c r="QZK2" s="230"/>
      <c r="QZL2" s="231"/>
      <c r="QZM2" s="229" t="s">
        <v>13328</v>
      </c>
      <c r="QZN2" s="230"/>
      <c r="QZO2" s="230"/>
      <c r="QZP2" s="231"/>
      <c r="QZQ2" s="229" t="s">
        <v>13328</v>
      </c>
      <c r="QZR2" s="230"/>
      <c r="QZS2" s="230"/>
      <c r="QZT2" s="231"/>
      <c r="QZU2" s="229" t="s">
        <v>13328</v>
      </c>
      <c r="QZV2" s="230"/>
      <c r="QZW2" s="230"/>
      <c r="QZX2" s="231"/>
      <c r="QZY2" s="229" t="s">
        <v>13328</v>
      </c>
      <c r="QZZ2" s="230"/>
      <c r="RAA2" s="230"/>
      <c r="RAB2" s="231"/>
      <c r="RAC2" s="229" t="s">
        <v>13328</v>
      </c>
      <c r="RAD2" s="230"/>
      <c r="RAE2" s="230"/>
      <c r="RAF2" s="231"/>
      <c r="RAG2" s="229" t="s">
        <v>13328</v>
      </c>
      <c r="RAH2" s="230"/>
      <c r="RAI2" s="230"/>
      <c r="RAJ2" s="231"/>
      <c r="RAK2" s="229" t="s">
        <v>13328</v>
      </c>
      <c r="RAL2" s="230"/>
      <c r="RAM2" s="230"/>
      <c r="RAN2" s="231"/>
      <c r="RAO2" s="229" t="s">
        <v>13328</v>
      </c>
      <c r="RAP2" s="230"/>
      <c r="RAQ2" s="230"/>
      <c r="RAR2" s="231"/>
      <c r="RAS2" s="229" t="s">
        <v>13328</v>
      </c>
      <c r="RAT2" s="230"/>
      <c r="RAU2" s="230"/>
      <c r="RAV2" s="231"/>
      <c r="RAW2" s="229" t="s">
        <v>13328</v>
      </c>
      <c r="RAX2" s="230"/>
      <c r="RAY2" s="230"/>
      <c r="RAZ2" s="231"/>
      <c r="RBA2" s="229" t="s">
        <v>13328</v>
      </c>
      <c r="RBB2" s="230"/>
      <c r="RBC2" s="230"/>
      <c r="RBD2" s="231"/>
      <c r="RBE2" s="229" t="s">
        <v>13328</v>
      </c>
      <c r="RBF2" s="230"/>
      <c r="RBG2" s="230"/>
      <c r="RBH2" s="231"/>
      <c r="RBI2" s="229" t="s">
        <v>13328</v>
      </c>
      <c r="RBJ2" s="230"/>
      <c r="RBK2" s="230"/>
      <c r="RBL2" s="231"/>
      <c r="RBM2" s="229" t="s">
        <v>13328</v>
      </c>
      <c r="RBN2" s="230"/>
      <c r="RBO2" s="230"/>
      <c r="RBP2" s="231"/>
      <c r="RBQ2" s="229" t="s">
        <v>13328</v>
      </c>
      <c r="RBR2" s="230"/>
      <c r="RBS2" s="230"/>
      <c r="RBT2" s="231"/>
      <c r="RBU2" s="229" t="s">
        <v>13328</v>
      </c>
      <c r="RBV2" s="230"/>
      <c r="RBW2" s="230"/>
      <c r="RBX2" s="231"/>
      <c r="RBY2" s="229" t="s">
        <v>13328</v>
      </c>
      <c r="RBZ2" s="230"/>
      <c r="RCA2" s="230"/>
      <c r="RCB2" s="231"/>
      <c r="RCC2" s="229" t="s">
        <v>13328</v>
      </c>
      <c r="RCD2" s="230"/>
      <c r="RCE2" s="230"/>
      <c r="RCF2" s="231"/>
      <c r="RCG2" s="229" t="s">
        <v>13328</v>
      </c>
      <c r="RCH2" s="230"/>
      <c r="RCI2" s="230"/>
      <c r="RCJ2" s="231"/>
      <c r="RCK2" s="229" t="s">
        <v>13328</v>
      </c>
      <c r="RCL2" s="230"/>
      <c r="RCM2" s="230"/>
      <c r="RCN2" s="231"/>
      <c r="RCO2" s="229" t="s">
        <v>13328</v>
      </c>
      <c r="RCP2" s="230"/>
      <c r="RCQ2" s="230"/>
      <c r="RCR2" s="231"/>
      <c r="RCS2" s="229" t="s">
        <v>13328</v>
      </c>
      <c r="RCT2" s="230"/>
      <c r="RCU2" s="230"/>
      <c r="RCV2" s="231"/>
      <c r="RCW2" s="229" t="s">
        <v>13328</v>
      </c>
      <c r="RCX2" s="230"/>
      <c r="RCY2" s="230"/>
      <c r="RCZ2" s="231"/>
      <c r="RDA2" s="229" t="s">
        <v>13328</v>
      </c>
      <c r="RDB2" s="230"/>
      <c r="RDC2" s="230"/>
      <c r="RDD2" s="231"/>
      <c r="RDE2" s="229" t="s">
        <v>13328</v>
      </c>
      <c r="RDF2" s="230"/>
      <c r="RDG2" s="230"/>
      <c r="RDH2" s="231"/>
      <c r="RDI2" s="229" t="s">
        <v>13328</v>
      </c>
      <c r="RDJ2" s="230"/>
      <c r="RDK2" s="230"/>
      <c r="RDL2" s="231"/>
      <c r="RDM2" s="229" t="s">
        <v>13328</v>
      </c>
      <c r="RDN2" s="230"/>
      <c r="RDO2" s="230"/>
      <c r="RDP2" s="231"/>
      <c r="RDQ2" s="229" t="s">
        <v>13328</v>
      </c>
      <c r="RDR2" s="230"/>
      <c r="RDS2" s="230"/>
      <c r="RDT2" s="231"/>
      <c r="RDU2" s="229" t="s">
        <v>13328</v>
      </c>
      <c r="RDV2" s="230"/>
      <c r="RDW2" s="230"/>
      <c r="RDX2" s="231"/>
      <c r="RDY2" s="229" t="s">
        <v>13328</v>
      </c>
      <c r="RDZ2" s="230"/>
      <c r="REA2" s="230"/>
      <c r="REB2" s="231"/>
      <c r="REC2" s="229" t="s">
        <v>13328</v>
      </c>
      <c r="RED2" s="230"/>
      <c r="REE2" s="230"/>
      <c r="REF2" s="231"/>
      <c r="REG2" s="229" t="s">
        <v>13328</v>
      </c>
      <c r="REH2" s="230"/>
      <c r="REI2" s="230"/>
      <c r="REJ2" s="231"/>
      <c r="REK2" s="229" t="s">
        <v>13328</v>
      </c>
      <c r="REL2" s="230"/>
      <c r="REM2" s="230"/>
      <c r="REN2" s="231"/>
      <c r="REO2" s="229" t="s">
        <v>13328</v>
      </c>
      <c r="REP2" s="230"/>
      <c r="REQ2" s="230"/>
      <c r="RER2" s="231"/>
      <c r="RES2" s="229" t="s">
        <v>13328</v>
      </c>
      <c r="RET2" s="230"/>
      <c r="REU2" s="230"/>
      <c r="REV2" s="231"/>
      <c r="REW2" s="229" t="s">
        <v>13328</v>
      </c>
      <c r="REX2" s="230"/>
      <c r="REY2" s="230"/>
      <c r="REZ2" s="231"/>
      <c r="RFA2" s="229" t="s">
        <v>13328</v>
      </c>
      <c r="RFB2" s="230"/>
      <c r="RFC2" s="230"/>
      <c r="RFD2" s="231"/>
      <c r="RFE2" s="229" t="s">
        <v>13328</v>
      </c>
      <c r="RFF2" s="230"/>
      <c r="RFG2" s="230"/>
      <c r="RFH2" s="231"/>
      <c r="RFI2" s="229" t="s">
        <v>13328</v>
      </c>
      <c r="RFJ2" s="230"/>
      <c r="RFK2" s="230"/>
      <c r="RFL2" s="231"/>
      <c r="RFM2" s="229" t="s">
        <v>13328</v>
      </c>
      <c r="RFN2" s="230"/>
      <c r="RFO2" s="230"/>
      <c r="RFP2" s="231"/>
      <c r="RFQ2" s="229" t="s">
        <v>13328</v>
      </c>
      <c r="RFR2" s="230"/>
      <c r="RFS2" s="230"/>
      <c r="RFT2" s="231"/>
      <c r="RFU2" s="229" t="s">
        <v>13328</v>
      </c>
      <c r="RFV2" s="230"/>
      <c r="RFW2" s="230"/>
      <c r="RFX2" s="231"/>
      <c r="RFY2" s="229" t="s">
        <v>13328</v>
      </c>
      <c r="RFZ2" s="230"/>
      <c r="RGA2" s="230"/>
      <c r="RGB2" s="231"/>
      <c r="RGC2" s="229" t="s">
        <v>13328</v>
      </c>
      <c r="RGD2" s="230"/>
      <c r="RGE2" s="230"/>
      <c r="RGF2" s="231"/>
      <c r="RGG2" s="229" t="s">
        <v>13328</v>
      </c>
      <c r="RGH2" s="230"/>
      <c r="RGI2" s="230"/>
      <c r="RGJ2" s="231"/>
      <c r="RGK2" s="229" t="s">
        <v>13328</v>
      </c>
      <c r="RGL2" s="230"/>
      <c r="RGM2" s="230"/>
      <c r="RGN2" s="231"/>
      <c r="RGO2" s="229" t="s">
        <v>13328</v>
      </c>
      <c r="RGP2" s="230"/>
      <c r="RGQ2" s="230"/>
      <c r="RGR2" s="231"/>
      <c r="RGS2" s="229" t="s">
        <v>13328</v>
      </c>
      <c r="RGT2" s="230"/>
      <c r="RGU2" s="230"/>
      <c r="RGV2" s="231"/>
      <c r="RGW2" s="229" t="s">
        <v>13328</v>
      </c>
      <c r="RGX2" s="230"/>
      <c r="RGY2" s="230"/>
      <c r="RGZ2" s="231"/>
      <c r="RHA2" s="229" t="s">
        <v>13328</v>
      </c>
      <c r="RHB2" s="230"/>
      <c r="RHC2" s="230"/>
      <c r="RHD2" s="231"/>
      <c r="RHE2" s="229" t="s">
        <v>13328</v>
      </c>
      <c r="RHF2" s="230"/>
      <c r="RHG2" s="230"/>
      <c r="RHH2" s="231"/>
      <c r="RHI2" s="229" t="s">
        <v>13328</v>
      </c>
      <c r="RHJ2" s="230"/>
      <c r="RHK2" s="230"/>
      <c r="RHL2" s="231"/>
      <c r="RHM2" s="229" t="s">
        <v>13328</v>
      </c>
      <c r="RHN2" s="230"/>
      <c r="RHO2" s="230"/>
      <c r="RHP2" s="231"/>
      <c r="RHQ2" s="229" t="s">
        <v>13328</v>
      </c>
      <c r="RHR2" s="230"/>
      <c r="RHS2" s="230"/>
      <c r="RHT2" s="231"/>
      <c r="RHU2" s="229" t="s">
        <v>13328</v>
      </c>
      <c r="RHV2" s="230"/>
      <c r="RHW2" s="230"/>
      <c r="RHX2" s="231"/>
      <c r="RHY2" s="229" t="s">
        <v>13328</v>
      </c>
      <c r="RHZ2" s="230"/>
      <c r="RIA2" s="230"/>
      <c r="RIB2" s="231"/>
      <c r="RIC2" s="229" t="s">
        <v>13328</v>
      </c>
      <c r="RID2" s="230"/>
      <c r="RIE2" s="230"/>
      <c r="RIF2" s="231"/>
      <c r="RIG2" s="229" t="s">
        <v>13328</v>
      </c>
      <c r="RIH2" s="230"/>
      <c r="RII2" s="230"/>
      <c r="RIJ2" s="231"/>
      <c r="RIK2" s="229" t="s">
        <v>13328</v>
      </c>
      <c r="RIL2" s="230"/>
      <c r="RIM2" s="230"/>
      <c r="RIN2" s="231"/>
      <c r="RIO2" s="229" t="s">
        <v>13328</v>
      </c>
      <c r="RIP2" s="230"/>
      <c r="RIQ2" s="230"/>
      <c r="RIR2" s="231"/>
      <c r="RIS2" s="229" t="s">
        <v>13328</v>
      </c>
      <c r="RIT2" s="230"/>
      <c r="RIU2" s="230"/>
      <c r="RIV2" s="231"/>
      <c r="RIW2" s="229" t="s">
        <v>13328</v>
      </c>
      <c r="RIX2" s="230"/>
      <c r="RIY2" s="230"/>
      <c r="RIZ2" s="231"/>
      <c r="RJA2" s="229" t="s">
        <v>13328</v>
      </c>
      <c r="RJB2" s="230"/>
      <c r="RJC2" s="230"/>
      <c r="RJD2" s="231"/>
      <c r="RJE2" s="229" t="s">
        <v>13328</v>
      </c>
      <c r="RJF2" s="230"/>
      <c r="RJG2" s="230"/>
      <c r="RJH2" s="231"/>
      <c r="RJI2" s="229" t="s">
        <v>13328</v>
      </c>
      <c r="RJJ2" s="230"/>
      <c r="RJK2" s="230"/>
      <c r="RJL2" s="231"/>
      <c r="RJM2" s="229" t="s">
        <v>13328</v>
      </c>
      <c r="RJN2" s="230"/>
      <c r="RJO2" s="230"/>
      <c r="RJP2" s="231"/>
      <c r="RJQ2" s="229" t="s">
        <v>13328</v>
      </c>
      <c r="RJR2" s="230"/>
      <c r="RJS2" s="230"/>
      <c r="RJT2" s="231"/>
      <c r="RJU2" s="229" t="s">
        <v>13328</v>
      </c>
      <c r="RJV2" s="230"/>
      <c r="RJW2" s="230"/>
      <c r="RJX2" s="231"/>
      <c r="RJY2" s="229" t="s">
        <v>13328</v>
      </c>
      <c r="RJZ2" s="230"/>
      <c r="RKA2" s="230"/>
      <c r="RKB2" s="231"/>
      <c r="RKC2" s="229" t="s">
        <v>13328</v>
      </c>
      <c r="RKD2" s="230"/>
      <c r="RKE2" s="230"/>
      <c r="RKF2" s="231"/>
      <c r="RKG2" s="229" t="s">
        <v>13328</v>
      </c>
      <c r="RKH2" s="230"/>
      <c r="RKI2" s="230"/>
      <c r="RKJ2" s="231"/>
      <c r="RKK2" s="229" t="s">
        <v>13328</v>
      </c>
      <c r="RKL2" s="230"/>
      <c r="RKM2" s="230"/>
      <c r="RKN2" s="231"/>
      <c r="RKO2" s="229" t="s">
        <v>13328</v>
      </c>
      <c r="RKP2" s="230"/>
      <c r="RKQ2" s="230"/>
      <c r="RKR2" s="231"/>
      <c r="RKS2" s="229" t="s">
        <v>13328</v>
      </c>
      <c r="RKT2" s="230"/>
      <c r="RKU2" s="230"/>
      <c r="RKV2" s="231"/>
      <c r="RKW2" s="229" t="s">
        <v>13328</v>
      </c>
      <c r="RKX2" s="230"/>
      <c r="RKY2" s="230"/>
      <c r="RKZ2" s="231"/>
      <c r="RLA2" s="229" t="s">
        <v>13328</v>
      </c>
      <c r="RLB2" s="230"/>
      <c r="RLC2" s="230"/>
      <c r="RLD2" s="231"/>
      <c r="RLE2" s="229" t="s">
        <v>13328</v>
      </c>
      <c r="RLF2" s="230"/>
      <c r="RLG2" s="230"/>
      <c r="RLH2" s="231"/>
      <c r="RLI2" s="229" t="s">
        <v>13328</v>
      </c>
      <c r="RLJ2" s="230"/>
      <c r="RLK2" s="230"/>
      <c r="RLL2" s="231"/>
      <c r="RLM2" s="229" t="s">
        <v>13328</v>
      </c>
      <c r="RLN2" s="230"/>
      <c r="RLO2" s="230"/>
      <c r="RLP2" s="231"/>
      <c r="RLQ2" s="229" t="s">
        <v>13328</v>
      </c>
      <c r="RLR2" s="230"/>
      <c r="RLS2" s="230"/>
      <c r="RLT2" s="231"/>
      <c r="RLU2" s="229" t="s">
        <v>13328</v>
      </c>
      <c r="RLV2" s="230"/>
      <c r="RLW2" s="230"/>
      <c r="RLX2" s="231"/>
      <c r="RLY2" s="229" t="s">
        <v>13328</v>
      </c>
      <c r="RLZ2" s="230"/>
      <c r="RMA2" s="230"/>
      <c r="RMB2" s="231"/>
      <c r="RMC2" s="229" t="s">
        <v>13328</v>
      </c>
      <c r="RMD2" s="230"/>
      <c r="RME2" s="230"/>
      <c r="RMF2" s="231"/>
      <c r="RMG2" s="229" t="s">
        <v>13328</v>
      </c>
      <c r="RMH2" s="230"/>
      <c r="RMI2" s="230"/>
      <c r="RMJ2" s="231"/>
      <c r="RMK2" s="229" t="s">
        <v>13328</v>
      </c>
      <c r="RML2" s="230"/>
      <c r="RMM2" s="230"/>
      <c r="RMN2" s="231"/>
      <c r="RMO2" s="229" t="s">
        <v>13328</v>
      </c>
      <c r="RMP2" s="230"/>
      <c r="RMQ2" s="230"/>
      <c r="RMR2" s="231"/>
      <c r="RMS2" s="229" t="s">
        <v>13328</v>
      </c>
      <c r="RMT2" s="230"/>
      <c r="RMU2" s="230"/>
      <c r="RMV2" s="231"/>
      <c r="RMW2" s="229" t="s">
        <v>13328</v>
      </c>
      <c r="RMX2" s="230"/>
      <c r="RMY2" s="230"/>
      <c r="RMZ2" s="231"/>
      <c r="RNA2" s="229" t="s">
        <v>13328</v>
      </c>
      <c r="RNB2" s="230"/>
      <c r="RNC2" s="230"/>
      <c r="RND2" s="231"/>
      <c r="RNE2" s="229" t="s">
        <v>13328</v>
      </c>
      <c r="RNF2" s="230"/>
      <c r="RNG2" s="230"/>
      <c r="RNH2" s="231"/>
      <c r="RNI2" s="229" t="s">
        <v>13328</v>
      </c>
      <c r="RNJ2" s="230"/>
      <c r="RNK2" s="230"/>
      <c r="RNL2" s="231"/>
      <c r="RNM2" s="229" t="s">
        <v>13328</v>
      </c>
      <c r="RNN2" s="230"/>
      <c r="RNO2" s="230"/>
      <c r="RNP2" s="231"/>
      <c r="RNQ2" s="229" t="s">
        <v>13328</v>
      </c>
      <c r="RNR2" s="230"/>
      <c r="RNS2" s="230"/>
      <c r="RNT2" s="231"/>
      <c r="RNU2" s="229" t="s">
        <v>13328</v>
      </c>
      <c r="RNV2" s="230"/>
      <c r="RNW2" s="230"/>
      <c r="RNX2" s="231"/>
      <c r="RNY2" s="229" t="s">
        <v>13328</v>
      </c>
      <c r="RNZ2" s="230"/>
      <c r="ROA2" s="230"/>
      <c r="ROB2" s="231"/>
      <c r="ROC2" s="229" t="s">
        <v>13328</v>
      </c>
      <c r="ROD2" s="230"/>
      <c r="ROE2" s="230"/>
      <c r="ROF2" s="231"/>
      <c r="ROG2" s="229" t="s">
        <v>13328</v>
      </c>
      <c r="ROH2" s="230"/>
      <c r="ROI2" s="230"/>
      <c r="ROJ2" s="231"/>
      <c r="ROK2" s="229" t="s">
        <v>13328</v>
      </c>
      <c r="ROL2" s="230"/>
      <c r="ROM2" s="230"/>
      <c r="RON2" s="231"/>
      <c r="ROO2" s="229" t="s">
        <v>13328</v>
      </c>
      <c r="ROP2" s="230"/>
      <c r="ROQ2" s="230"/>
      <c r="ROR2" s="231"/>
      <c r="ROS2" s="229" t="s">
        <v>13328</v>
      </c>
      <c r="ROT2" s="230"/>
      <c r="ROU2" s="230"/>
      <c r="ROV2" s="231"/>
      <c r="ROW2" s="229" t="s">
        <v>13328</v>
      </c>
      <c r="ROX2" s="230"/>
      <c r="ROY2" s="230"/>
      <c r="ROZ2" s="231"/>
      <c r="RPA2" s="229" t="s">
        <v>13328</v>
      </c>
      <c r="RPB2" s="230"/>
      <c r="RPC2" s="230"/>
      <c r="RPD2" s="231"/>
      <c r="RPE2" s="229" t="s">
        <v>13328</v>
      </c>
      <c r="RPF2" s="230"/>
      <c r="RPG2" s="230"/>
      <c r="RPH2" s="231"/>
      <c r="RPI2" s="229" t="s">
        <v>13328</v>
      </c>
      <c r="RPJ2" s="230"/>
      <c r="RPK2" s="230"/>
      <c r="RPL2" s="231"/>
      <c r="RPM2" s="229" t="s">
        <v>13328</v>
      </c>
      <c r="RPN2" s="230"/>
      <c r="RPO2" s="230"/>
      <c r="RPP2" s="231"/>
      <c r="RPQ2" s="229" t="s">
        <v>13328</v>
      </c>
      <c r="RPR2" s="230"/>
      <c r="RPS2" s="230"/>
      <c r="RPT2" s="231"/>
      <c r="RPU2" s="229" t="s">
        <v>13328</v>
      </c>
      <c r="RPV2" s="230"/>
      <c r="RPW2" s="230"/>
      <c r="RPX2" s="231"/>
      <c r="RPY2" s="229" t="s">
        <v>13328</v>
      </c>
      <c r="RPZ2" s="230"/>
      <c r="RQA2" s="230"/>
      <c r="RQB2" s="231"/>
      <c r="RQC2" s="229" t="s">
        <v>13328</v>
      </c>
      <c r="RQD2" s="230"/>
      <c r="RQE2" s="230"/>
      <c r="RQF2" s="231"/>
      <c r="RQG2" s="229" t="s">
        <v>13328</v>
      </c>
      <c r="RQH2" s="230"/>
      <c r="RQI2" s="230"/>
      <c r="RQJ2" s="231"/>
      <c r="RQK2" s="229" t="s">
        <v>13328</v>
      </c>
      <c r="RQL2" s="230"/>
      <c r="RQM2" s="230"/>
      <c r="RQN2" s="231"/>
      <c r="RQO2" s="229" t="s">
        <v>13328</v>
      </c>
      <c r="RQP2" s="230"/>
      <c r="RQQ2" s="230"/>
      <c r="RQR2" s="231"/>
      <c r="RQS2" s="229" t="s">
        <v>13328</v>
      </c>
      <c r="RQT2" s="230"/>
      <c r="RQU2" s="230"/>
      <c r="RQV2" s="231"/>
      <c r="RQW2" s="229" t="s">
        <v>13328</v>
      </c>
      <c r="RQX2" s="230"/>
      <c r="RQY2" s="230"/>
      <c r="RQZ2" s="231"/>
      <c r="RRA2" s="229" t="s">
        <v>13328</v>
      </c>
      <c r="RRB2" s="230"/>
      <c r="RRC2" s="230"/>
      <c r="RRD2" s="231"/>
      <c r="RRE2" s="229" t="s">
        <v>13328</v>
      </c>
      <c r="RRF2" s="230"/>
      <c r="RRG2" s="230"/>
      <c r="RRH2" s="231"/>
      <c r="RRI2" s="229" t="s">
        <v>13328</v>
      </c>
      <c r="RRJ2" s="230"/>
      <c r="RRK2" s="230"/>
      <c r="RRL2" s="231"/>
      <c r="RRM2" s="229" t="s">
        <v>13328</v>
      </c>
      <c r="RRN2" s="230"/>
      <c r="RRO2" s="230"/>
      <c r="RRP2" s="231"/>
      <c r="RRQ2" s="229" t="s">
        <v>13328</v>
      </c>
      <c r="RRR2" s="230"/>
      <c r="RRS2" s="230"/>
      <c r="RRT2" s="231"/>
      <c r="RRU2" s="229" t="s">
        <v>13328</v>
      </c>
      <c r="RRV2" s="230"/>
      <c r="RRW2" s="230"/>
      <c r="RRX2" s="231"/>
      <c r="RRY2" s="229" t="s">
        <v>13328</v>
      </c>
      <c r="RRZ2" s="230"/>
      <c r="RSA2" s="230"/>
      <c r="RSB2" s="231"/>
      <c r="RSC2" s="229" t="s">
        <v>13328</v>
      </c>
      <c r="RSD2" s="230"/>
      <c r="RSE2" s="230"/>
      <c r="RSF2" s="231"/>
      <c r="RSG2" s="229" t="s">
        <v>13328</v>
      </c>
      <c r="RSH2" s="230"/>
      <c r="RSI2" s="230"/>
      <c r="RSJ2" s="231"/>
      <c r="RSK2" s="229" t="s">
        <v>13328</v>
      </c>
      <c r="RSL2" s="230"/>
      <c r="RSM2" s="230"/>
      <c r="RSN2" s="231"/>
      <c r="RSO2" s="229" t="s">
        <v>13328</v>
      </c>
      <c r="RSP2" s="230"/>
      <c r="RSQ2" s="230"/>
      <c r="RSR2" s="231"/>
      <c r="RSS2" s="229" t="s">
        <v>13328</v>
      </c>
      <c r="RST2" s="230"/>
      <c r="RSU2" s="230"/>
      <c r="RSV2" s="231"/>
      <c r="RSW2" s="229" t="s">
        <v>13328</v>
      </c>
      <c r="RSX2" s="230"/>
      <c r="RSY2" s="230"/>
      <c r="RSZ2" s="231"/>
      <c r="RTA2" s="229" t="s">
        <v>13328</v>
      </c>
      <c r="RTB2" s="230"/>
      <c r="RTC2" s="230"/>
      <c r="RTD2" s="231"/>
      <c r="RTE2" s="229" t="s">
        <v>13328</v>
      </c>
      <c r="RTF2" s="230"/>
      <c r="RTG2" s="230"/>
      <c r="RTH2" s="231"/>
      <c r="RTI2" s="229" t="s">
        <v>13328</v>
      </c>
      <c r="RTJ2" s="230"/>
      <c r="RTK2" s="230"/>
      <c r="RTL2" s="231"/>
      <c r="RTM2" s="229" t="s">
        <v>13328</v>
      </c>
      <c r="RTN2" s="230"/>
      <c r="RTO2" s="230"/>
      <c r="RTP2" s="231"/>
      <c r="RTQ2" s="229" t="s">
        <v>13328</v>
      </c>
      <c r="RTR2" s="230"/>
      <c r="RTS2" s="230"/>
      <c r="RTT2" s="231"/>
      <c r="RTU2" s="229" t="s">
        <v>13328</v>
      </c>
      <c r="RTV2" s="230"/>
      <c r="RTW2" s="230"/>
      <c r="RTX2" s="231"/>
      <c r="RTY2" s="229" t="s">
        <v>13328</v>
      </c>
      <c r="RTZ2" s="230"/>
      <c r="RUA2" s="230"/>
      <c r="RUB2" s="231"/>
      <c r="RUC2" s="229" t="s">
        <v>13328</v>
      </c>
      <c r="RUD2" s="230"/>
      <c r="RUE2" s="230"/>
      <c r="RUF2" s="231"/>
      <c r="RUG2" s="229" t="s">
        <v>13328</v>
      </c>
      <c r="RUH2" s="230"/>
      <c r="RUI2" s="230"/>
      <c r="RUJ2" s="231"/>
      <c r="RUK2" s="229" t="s">
        <v>13328</v>
      </c>
      <c r="RUL2" s="230"/>
      <c r="RUM2" s="230"/>
      <c r="RUN2" s="231"/>
      <c r="RUO2" s="229" t="s">
        <v>13328</v>
      </c>
      <c r="RUP2" s="230"/>
      <c r="RUQ2" s="230"/>
      <c r="RUR2" s="231"/>
      <c r="RUS2" s="229" t="s">
        <v>13328</v>
      </c>
      <c r="RUT2" s="230"/>
      <c r="RUU2" s="230"/>
      <c r="RUV2" s="231"/>
      <c r="RUW2" s="229" t="s">
        <v>13328</v>
      </c>
      <c r="RUX2" s="230"/>
      <c r="RUY2" s="230"/>
      <c r="RUZ2" s="231"/>
      <c r="RVA2" s="229" t="s">
        <v>13328</v>
      </c>
      <c r="RVB2" s="230"/>
      <c r="RVC2" s="230"/>
      <c r="RVD2" s="231"/>
      <c r="RVE2" s="229" t="s">
        <v>13328</v>
      </c>
      <c r="RVF2" s="230"/>
      <c r="RVG2" s="230"/>
      <c r="RVH2" s="231"/>
      <c r="RVI2" s="229" t="s">
        <v>13328</v>
      </c>
      <c r="RVJ2" s="230"/>
      <c r="RVK2" s="230"/>
      <c r="RVL2" s="231"/>
      <c r="RVM2" s="229" t="s">
        <v>13328</v>
      </c>
      <c r="RVN2" s="230"/>
      <c r="RVO2" s="230"/>
      <c r="RVP2" s="231"/>
      <c r="RVQ2" s="229" t="s">
        <v>13328</v>
      </c>
      <c r="RVR2" s="230"/>
      <c r="RVS2" s="230"/>
      <c r="RVT2" s="231"/>
      <c r="RVU2" s="229" t="s">
        <v>13328</v>
      </c>
      <c r="RVV2" s="230"/>
      <c r="RVW2" s="230"/>
      <c r="RVX2" s="231"/>
      <c r="RVY2" s="229" t="s">
        <v>13328</v>
      </c>
      <c r="RVZ2" s="230"/>
      <c r="RWA2" s="230"/>
      <c r="RWB2" s="231"/>
      <c r="RWC2" s="229" t="s">
        <v>13328</v>
      </c>
      <c r="RWD2" s="230"/>
      <c r="RWE2" s="230"/>
      <c r="RWF2" s="231"/>
      <c r="RWG2" s="229" t="s">
        <v>13328</v>
      </c>
      <c r="RWH2" s="230"/>
      <c r="RWI2" s="230"/>
      <c r="RWJ2" s="231"/>
      <c r="RWK2" s="229" t="s">
        <v>13328</v>
      </c>
      <c r="RWL2" s="230"/>
      <c r="RWM2" s="230"/>
      <c r="RWN2" s="231"/>
      <c r="RWO2" s="229" t="s">
        <v>13328</v>
      </c>
      <c r="RWP2" s="230"/>
      <c r="RWQ2" s="230"/>
      <c r="RWR2" s="231"/>
      <c r="RWS2" s="229" t="s">
        <v>13328</v>
      </c>
      <c r="RWT2" s="230"/>
      <c r="RWU2" s="230"/>
      <c r="RWV2" s="231"/>
      <c r="RWW2" s="229" t="s">
        <v>13328</v>
      </c>
      <c r="RWX2" s="230"/>
      <c r="RWY2" s="230"/>
      <c r="RWZ2" s="231"/>
      <c r="RXA2" s="229" t="s">
        <v>13328</v>
      </c>
      <c r="RXB2" s="230"/>
      <c r="RXC2" s="230"/>
      <c r="RXD2" s="231"/>
      <c r="RXE2" s="229" t="s">
        <v>13328</v>
      </c>
      <c r="RXF2" s="230"/>
      <c r="RXG2" s="230"/>
      <c r="RXH2" s="231"/>
      <c r="RXI2" s="229" t="s">
        <v>13328</v>
      </c>
      <c r="RXJ2" s="230"/>
      <c r="RXK2" s="230"/>
      <c r="RXL2" s="231"/>
      <c r="RXM2" s="229" t="s">
        <v>13328</v>
      </c>
      <c r="RXN2" s="230"/>
      <c r="RXO2" s="230"/>
      <c r="RXP2" s="231"/>
      <c r="RXQ2" s="229" t="s">
        <v>13328</v>
      </c>
      <c r="RXR2" s="230"/>
      <c r="RXS2" s="230"/>
      <c r="RXT2" s="231"/>
      <c r="RXU2" s="229" t="s">
        <v>13328</v>
      </c>
      <c r="RXV2" s="230"/>
      <c r="RXW2" s="230"/>
      <c r="RXX2" s="231"/>
      <c r="RXY2" s="229" t="s">
        <v>13328</v>
      </c>
      <c r="RXZ2" s="230"/>
      <c r="RYA2" s="230"/>
      <c r="RYB2" s="231"/>
      <c r="RYC2" s="229" t="s">
        <v>13328</v>
      </c>
      <c r="RYD2" s="230"/>
      <c r="RYE2" s="230"/>
      <c r="RYF2" s="231"/>
      <c r="RYG2" s="229" t="s">
        <v>13328</v>
      </c>
      <c r="RYH2" s="230"/>
      <c r="RYI2" s="230"/>
      <c r="RYJ2" s="231"/>
      <c r="RYK2" s="229" t="s">
        <v>13328</v>
      </c>
      <c r="RYL2" s="230"/>
      <c r="RYM2" s="230"/>
      <c r="RYN2" s="231"/>
      <c r="RYO2" s="229" t="s">
        <v>13328</v>
      </c>
      <c r="RYP2" s="230"/>
      <c r="RYQ2" s="230"/>
      <c r="RYR2" s="231"/>
      <c r="RYS2" s="229" t="s">
        <v>13328</v>
      </c>
      <c r="RYT2" s="230"/>
      <c r="RYU2" s="230"/>
      <c r="RYV2" s="231"/>
      <c r="RYW2" s="229" t="s">
        <v>13328</v>
      </c>
      <c r="RYX2" s="230"/>
      <c r="RYY2" s="230"/>
      <c r="RYZ2" s="231"/>
      <c r="RZA2" s="229" t="s">
        <v>13328</v>
      </c>
      <c r="RZB2" s="230"/>
      <c r="RZC2" s="230"/>
      <c r="RZD2" s="231"/>
      <c r="RZE2" s="229" t="s">
        <v>13328</v>
      </c>
      <c r="RZF2" s="230"/>
      <c r="RZG2" s="230"/>
      <c r="RZH2" s="231"/>
      <c r="RZI2" s="229" t="s">
        <v>13328</v>
      </c>
      <c r="RZJ2" s="230"/>
      <c r="RZK2" s="230"/>
      <c r="RZL2" s="231"/>
      <c r="RZM2" s="229" t="s">
        <v>13328</v>
      </c>
      <c r="RZN2" s="230"/>
      <c r="RZO2" s="230"/>
      <c r="RZP2" s="231"/>
      <c r="RZQ2" s="229" t="s">
        <v>13328</v>
      </c>
      <c r="RZR2" s="230"/>
      <c r="RZS2" s="230"/>
      <c r="RZT2" s="231"/>
      <c r="RZU2" s="229" t="s">
        <v>13328</v>
      </c>
      <c r="RZV2" s="230"/>
      <c r="RZW2" s="230"/>
      <c r="RZX2" s="231"/>
      <c r="RZY2" s="229" t="s">
        <v>13328</v>
      </c>
      <c r="RZZ2" s="230"/>
      <c r="SAA2" s="230"/>
      <c r="SAB2" s="231"/>
      <c r="SAC2" s="229" t="s">
        <v>13328</v>
      </c>
      <c r="SAD2" s="230"/>
      <c r="SAE2" s="230"/>
      <c r="SAF2" s="231"/>
      <c r="SAG2" s="229" t="s">
        <v>13328</v>
      </c>
      <c r="SAH2" s="230"/>
      <c r="SAI2" s="230"/>
      <c r="SAJ2" s="231"/>
      <c r="SAK2" s="229" t="s">
        <v>13328</v>
      </c>
      <c r="SAL2" s="230"/>
      <c r="SAM2" s="230"/>
      <c r="SAN2" s="231"/>
      <c r="SAO2" s="229" t="s">
        <v>13328</v>
      </c>
      <c r="SAP2" s="230"/>
      <c r="SAQ2" s="230"/>
      <c r="SAR2" s="231"/>
      <c r="SAS2" s="229" t="s">
        <v>13328</v>
      </c>
      <c r="SAT2" s="230"/>
      <c r="SAU2" s="230"/>
      <c r="SAV2" s="231"/>
      <c r="SAW2" s="229" t="s">
        <v>13328</v>
      </c>
      <c r="SAX2" s="230"/>
      <c r="SAY2" s="230"/>
      <c r="SAZ2" s="231"/>
      <c r="SBA2" s="229" t="s">
        <v>13328</v>
      </c>
      <c r="SBB2" s="230"/>
      <c r="SBC2" s="230"/>
      <c r="SBD2" s="231"/>
      <c r="SBE2" s="229" t="s">
        <v>13328</v>
      </c>
      <c r="SBF2" s="230"/>
      <c r="SBG2" s="230"/>
      <c r="SBH2" s="231"/>
      <c r="SBI2" s="229" t="s">
        <v>13328</v>
      </c>
      <c r="SBJ2" s="230"/>
      <c r="SBK2" s="230"/>
      <c r="SBL2" s="231"/>
      <c r="SBM2" s="229" t="s">
        <v>13328</v>
      </c>
      <c r="SBN2" s="230"/>
      <c r="SBO2" s="230"/>
      <c r="SBP2" s="231"/>
      <c r="SBQ2" s="229" t="s">
        <v>13328</v>
      </c>
      <c r="SBR2" s="230"/>
      <c r="SBS2" s="230"/>
      <c r="SBT2" s="231"/>
      <c r="SBU2" s="229" t="s">
        <v>13328</v>
      </c>
      <c r="SBV2" s="230"/>
      <c r="SBW2" s="230"/>
      <c r="SBX2" s="231"/>
      <c r="SBY2" s="229" t="s">
        <v>13328</v>
      </c>
      <c r="SBZ2" s="230"/>
      <c r="SCA2" s="230"/>
      <c r="SCB2" s="231"/>
      <c r="SCC2" s="229" t="s">
        <v>13328</v>
      </c>
      <c r="SCD2" s="230"/>
      <c r="SCE2" s="230"/>
      <c r="SCF2" s="231"/>
      <c r="SCG2" s="229" t="s">
        <v>13328</v>
      </c>
      <c r="SCH2" s="230"/>
      <c r="SCI2" s="230"/>
      <c r="SCJ2" s="231"/>
      <c r="SCK2" s="229" t="s">
        <v>13328</v>
      </c>
      <c r="SCL2" s="230"/>
      <c r="SCM2" s="230"/>
      <c r="SCN2" s="231"/>
      <c r="SCO2" s="229" t="s">
        <v>13328</v>
      </c>
      <c r="SCP2" s="230"/>
      <c r="SCQ2" s="230"/>
      <c r="SCR2" s="231"/>
      <c r="SCS2" s="229" t="s">
        <v>13328</v>
      </c>
      <c r="SCT2" s="230"/>
      <c r="SCU2" s="230"/>
      <c r="SCV2" s="231"/>
      <c r="SCW2" s="229" t="s">
        <v>13328</v>
      </c>
      <c r="SCX2" s="230"/>
      <c r="SCY2" s="230"/>
      <c r="SCZ2" s="231"/>
      <c r="SDA2" s="229" t="s">
        <v>13328</v>
      </c>
      <c r="SDB2" s="230"/>
      <c r="SDC2" s="230"/>
      <c r="SDD2" s="231"/>
      <c r="SDE2" s="229" t="s">
        <v>13328</v>
      </c>
      <c r="SDF2" s="230"/>
      <c r="SDG2" s="230"/>
      <c r="SDH2" s="231"/>
      <c r="SDI2" s="229" t="s">
        <v>13328</v>
      </c>
      <c r="SDJ2" s="230"/>
      <c r="SDK2" s="230"/>
      <c r="SDL2" s="231"/>
      <c r="SDM2" s="229" t="s">
        <v>13328</v>
      </c>
      <c r="SDN2" s="230"/>
      <c r="SDO2" s="230"/>
      <c r="SDP2" s="231"/>
      <c r="SDQ2" s="229" t="s">
        <v>13328</v>
      </c>
      <c r="SDR2" s="230"/>
      <c r="SDS2" s="230"/>
      <c r="SDT2" s="231"/>
      <c r="SDU2" s="229" t="s">
        <v>13328</v>
      </c>
      <c r="SDV2" s="230"/>
      <c r="SDW2" s="230"/>
      <c r="SDX2" s="231"/>
      <c r="SDY2" s="229" t="s">
        <v>13328</v>
      </c>
      <c r="SDZ2" s="230"/>
      <c r="SEA2" s="230"/>
      <c r="SEB2" s="231"/>
      <c r="SEC2" s="229" t="s">
        <v>13328</v>
      </c>
      <c r="SED2" s="230"/>
      <c r="SEE2" s="230"/>
      <c r="SEF2" s="231"/>
      <c r="SEG2" s="229" t="s">
        <v>13328</v>
      </c>
      <c r="SEH2" s="230"/>
      <c r="SEI2" s="230"/>
      <c r="SEJ2" s="231"/>
      <c r="SEK2" s="229" t="s">
        <v>13328</v>
      </c>
      <c r="SEL2" s="230"/>
      <c r="SEM2" s="230"/>
      <c r="SEN2" s="231"/>
      <c r="SEO2" s="229" t="s">
        <v>13328</v>
      </c>
      <c r="SEP2" s="230"/>
      <c r="SEQ2" s="230"/>
      <c r="SER2" s="231"/>
      <c r="SES2" s="229" t="s">
        <v>13328</v>
      </c>
      <c r="SET2" s="230"/>
      <c r="SEU2" s="230"/>
      <c r="SEV2" s="231"/>
      <c r="SEW2" s="229" t="s">
        <v>13328</v>
      </c>
      <c r="SEX2" s="230"/>
      <c r="SEY2" s="230"/>
      <c r="SEZ2" s="231"/>
      <c r="SFA2" s="229" t="s">
        <v>13328</v>
      </c>
      <c r="SFB2" s="230"/>
      <c r="SFC2" s="230"/>
      <c r="SFD2" s="231"/>
      <c r="SFE2" s="229" t="s">
        <v>13328</v>
      </c>
      <c r="SFF2" s="230"/>
      <c r="SFG2" s="230"/>
      <c r="SFH2" s="231"/>
      <c r="SFI2" s="229" t="s">
        <v>13328</v>
      </c>
      <c r="SFJ2" s="230"/>
      <c r="SFK2" s="230"/>
      <c r="SFL2" s="231"/>
      <c r="SFM2" s="229" t="s">
        <v>13328</v>
      </c>
      <c r="SFN2" s="230"/>
      <c r="SFO2" s="230"/>
      <c r="SFP2" s="231"/>
      <c r="SFQ2" s="229" t="s">
        <v>13328</v>
      </c>
      <c r="SFR2" s="230"/>
      <c r="SFS2" s="230"/>
      <c r="SFT2" s="231"/>
      <c r="SFU2" s="229" t="s">
        <v>13328</v>
      </c>
      <c r="SFV2" s="230"/>
      <c r="SFW2" s="230"/>
      <c r="SFX2" s="231"/>
      <c r="SFY2" s="229" t="s">
        <v>13328</v>
      </c>
      <c r="SFZ2" s="230"/>
      <c r="SGA2" s="230"/>
      <c r="SGB2" s="231"/>
      <c r="SGC2" s="229" t="s">
        <v>13328</v>
      </c>
      <c r="SGD2" s="230"/>
      <c r="SGE2" s="230"/>
      <c r="SGF2" s="231"/>
      <c r="SGG2" s="229" t="s">
        <v>13328</v>
      </c>
      <c r="SGH2" s="230"/>
      <c r="SGI2" s="230"/>
      <c r="SGJ2" s="231"/>
      <c r="SGK2" s="229" t="s">
        <v>13328</v>
      </c>
      <c r="SGL2" s="230"/>
      <c r="SGM2" s="230"/>
      <c r="SGN2" s="231"/>
      <c r="SGO2" s="229" t="s">
        <v>13328</v>
      </c>
      <c r="SGP2" s="230"/>
      <c r="SGQ2" s="230"/>
      <c r="SGR2" s="231"/>
      <c r="SGS2" s="229" t="s">
        <v>13328</v>
      </c>
      <c r="SGT2" s="230"/>
      <c r="SGU2" s="230"/>
      <c r="SGV2" s="231"/>
      <c r="SGW2" s="229" t="s">
        <v>13328</v>
      </c>
      <c r="SGX2" s="230"/>
      <c r="SGY2" s="230"/>
      <c r="SGZ2" s="231"/>
      <c r="SHA2" s="229" t="s">
        <v>13328</v>
      </c>
      <c r="SHB2" s="230"/>
      <c r="SHC2" s="230"/>
      <c r="SHD2" s="231"/>
      <c r="SHE2" s="229" t="s">
        <v>13328</v>
      </c>
      <c r="SHF2" s="230"/>
      <c r="SHG2" s="230"/>
      <c r="SHH2" s="231"/>
      <c r="SHI2" s="229" t="s">
        <v>13328</v>
      </c>
      <c r="SHJ2" s="230"/>
      <c r="SHK2" s="230"/>
      <c r="SHL2" s="231"/>
      <c r="SHM2" s="229" t="s">
        <v>13328</v>
      </c>
      <c r="SHN2" s="230"/>
      <c r="SHO2" s="230"/>
      <c r="SHP2" s="231"/>
      <c r="SHQ2" s="229" t="s">
        <v>13328</v>
      </c>
      <c r="SHR2" s="230"/>
      <c r="SHS2" s="230"/>
      <c r="SHT2" s="231"/>
      <c r="SHU2" s="229" t="s">
        <v>13328</v>
      </c>
      <c r="SHV2" s="230"/>
      <c r="SHW2" s="230"/>
      <c r="SHX2" s="231"/>
      <c r="SHY2" s="229" t="s">
        <v>13328</v>
      </c>
      <c r="SHZ2" s="230"/>
      <c r="SIA2" s="230"/>
      <c r="SIB2" s="231"/>
      <c r="SIC2" s="229" t="s">
        <v>13328</v>
      </c>
      <c r="SID2" s="230"/>
      <c r="SIE2" s="230"/>
      <c r="SIF2" s="231"/>
      <c r="SIG2" s="229" t="s">
        <v>13328</v>
      </c>
      <c r="SIH2" s="230"/>
      <c r="SII2" s="230"/>
      <c r="SIJ2" s="231"/>
      <c r="SIK2" s="229" t="s">
        <v>13328</v>
      </c>
      <c r="SIL2" s="230"/>
      <c r="SIM2" s="230"/>
      <c r="SIN2" s="231"/>
      <c r="SIO2" s="229" t="s">
        <v>13328</v>
      </c>
      <c r="SIP2" s="230"/>
      <c r="SIQ2" s="230"/>
      <c r="SIR2" s="231"/>
      <c r="SIS2" s="229" t="s">
        <v>13328</v>
      </c>
      <c r="SIT2" s="230"/>
      <c r="SIU2" s="230"/>
      <c r="SIV2" s="231"/>
      <c r="SIW2" s="229" t="s">
        <v>13328</v>
      </c>
      <c r="SIX2" s="230"/>
      <c r="SIY2" s="230"/>
      <c r="SIZ2" s="231"/>
      <c r="SJA2" s="229" t="s">
        <v>13328</v>
      </c>
      <c r="SJB2" s="230"/>
      <c r="SJC2" s="230"/>
      <c r="SJD2" s="231"/>
      <c r="SJE2" s="229" t="s">
        <v>13328</v>
      </c>
      <c r="SJF2" s="230"/>
      <c r="SJG2" s="230"/>
      <c r="SJH2" s="231"/>
      <c r="SJI2" s="229" t="s">
        <v>13328</v>
      </c>
      <c r="SJJ2" s="230"/>
      <c r="SJK2" s="230"/>
      <c r="SJL2" s="231"/>
      <c r="SJM2" s="229" t="s">
        <v>13328</v>
      </c>
      <c r="SJN2" s="230"/>
      <c r="SJO2" s="230"/>
      <c r="SJP2" s="231"/>
      <c r="SJQ2" s="229" t="s">
        <v>13328</v>
      </c>
      <c r="SJR2" s="230"/>
      <c r="SJS2" s="230"/>
      <c r="SJT2" s="231"/>
      <c r="SJU2" s="229" t="s">
        <v>13328</v>
      </c>
      <c r="SJV2" s="230"/>
      <c r="SJW2" s="230"/>
      <c r="SJX2" s="231"/>
      <c r="SJY2" s="229" t="s">
        <v>13328</v>
      </c>
      <c r="SJZ2" s="230"/>
      <c r="SKA2" s="230"/>
      <c r="SKB2" s="231"/>
      <c r="SKC2" s="229" t="s">
        <v>13328</v>
      </c>
      <c r="SKD2" s="230"/>
      <c r="SKE2" s="230"/>
      <c r="SKF2" s="231"/>
      <c r="SKG2" s="229" t="s">
        <v>13328</v>
      </c>
      <c r="SKH2" s="230"/>
      <c r="SKI2" s="230"/>
      <c r="SKJ2" s="231"/>
      <c r="SKK2" s="229" t="s">
        <v>13328</v>
      </c>
      <c r="SKL2" s="230"/>
      <c r="SKM2" s="230"/>
      <c r="SKN2" s="231"/>
      <c r="SKO2" s="229" t="s">
        <v>13328</v>
      </c>
      <c r="SKP2" s="230"/>
      <c r="SKQ2" s="230"/>
      <c r="SKR2" s="231"/>
      <c r="SKS2" s="229" t="s">
        <v>13328</v>
      </c>
      <c r="SKT2" s="230"/>
      <c r="SKU2" s="230"/>
      <c r="SKV2" s="231"/>
      <c r="SKW2" s="229" t="s">
        <v>13328</v>
      </c>
      <c r="SKX2" s="230"/>
      <c r="SKY2" s="230"/>
      <c r="SKZ2" s="231"/>
      <c r="SLA2" s="229" t="s">
        <v>13328</v>
      </c>
      <c r="SLB2" s="230"/>
      <c r="SLC2" s="230"/>
      <c r="SLD2" s="231"/>
      <c r="SLE2" s="229" t="s">
        <v>13328</v>
      </c>
      <c r="SLF2" s="230"/>
      <c r="SLG2" s="230"/>
      <c r="SLH2" s="231"/>
      <c r="SLI2" s="229" t="s">
        <v>13328</v>
      </c>
      <c r="SLJ2" s="230"/>
      <c r="SLK2" s="230"/>
      <c r="SLL2" s="231"/>
      <c r="SLM2" s="229" t="s">
        <v>13328</v>
      </c>
      <c r="SLN2" s="230"/>
      <c r="SLO2" s="230"/>
      <c r="SLP2" s="231"/>
      <c r="SLQ2" s="229" t="s">
        <v>13328</v>
      </c>
      <c r="SLR2" s="230"/>
      <c r="SLS2" s="230"/>
      <c r="SLT2" s="231"/>
      <c r="SLU2" s="229" t="s">
        <v>13328</v>
      </c>
      <c r="SLV2" s="230"/>
      <c r="SLW2" s="230"/>
      <c r="SLX2" s="231"/>
      <c r="SLY2" s="229" t="s">
        <v>13328</v>
      </c>
      <c r="SLZ2" s="230"/>
      <c r="SMA2" s="230"/>
      <c r="SMB2" s="231"/>
      <c r="SMC2" s="229" t="s">
        <v>13328</v>
      </c>
      <c r="SMD2" s="230"/>
      <c r="SME2" s="230"/>
      <c r="SMF2" s="231"/>
      <c r="SMG2" s="229" t="s">
        <v>13328</v>
      </c>
      <c r="SMH2" s="230"/>
      <c r="SMI2" s="230"/>
      <c r="SMJ2" s="231"/>
      <c r="SMK2" s="229" t="s">
        <v>13328</v>
      </c>
      <c r="SML2" s="230"/>
      <c r="SMM2" s="230"/>
      <c r="SMN2" s="231"/>
      <c r="SMO2" s="229" t="s">
        <v>13328</v>
      </c>
      <c r="SMP2" s="230"/>
      <c r="SMQ2" s="230"/>
      <c r="SMR2" s="231"/>
      <c r="SMS2" s="229" t="s">
        <v>13328</v>
      </c>
      <c r="SMT2" s="230"/>
      <c r="SMU2" s="230"/>
      <c r="SMV2" s="231"/>
      <c r="SMW2" s="229" t="s">
        <v>13328</v>
      </c>
      <c r="SMX2" s="230"/>
      <c r="SMY2" s="230"/>
      <c r="SMZ2" s="231"/>
      <c r="SNA2" s="229" t="s">
        <v>13328</v>
      </c>
      <c r="SNB2" s="230"/>
      <c r="SNC2" s="230"/>
      <c r="SND2" s="231"/>
      <c r="SNE2" s="229" t="s">
        <v>13328</v>
      </c>
      <c r="SNF2" s="230"/>
      <c r="SNG2" s="230"/>
      <c r="SNH2" s="231"/>
      <c r="SNI2" s="229" t="s">
        <v>13328</v>
      </c>
      <c r="SNJ2" s="230"/>
      <c r="SNK2" s="230"/>
      <c r="SNL2" s="231"/>
      <c r="SNM2" s="229" t="s">
        <v>13328</v>
      </c>
      <c r="SNN2" s="230"/>
      <c r="SNO2" s="230"/>
      <c r="SNP2" s="231"/>
      <c r="SNQ2" s="229" t="s">
        <v>13328</v>
      </c>
      <c r="SNR2" s="230"/>
      <c r="SNS2" s="230"/>
      <c r="SNT2" s="231"/>
      <c r="SNU2" s="229" t="s">
        <v>13328</v>
      </c>
      <c r="SNV2" s="230"/>
      <c r="SNW2" s="230"/>
      <c r="SNX2" s="231"/>
      <c r="SNY2" s="229" t="s">
        <v>13328</v>
      </c>
      <c r="SNZ2" s="230"/>
      <c r="SOA2" s="230"/>
      <c r="SOB2" s="231"/>
      <c r="SOC2" s="229" t="s">
        <v>13328</v>
      </c>
      <c r="SOD2" s="230"/>
      <c r="SOE2" s="230"/>
      <c r="SOF2" s="231"/>
      <c r="SOG2" s="229" t="s">
        <v>13328</v>
      </c>
      <c r="SOH2" s="230"/>
      <c r="SOI2" s="230"/>
      <c r="SOJ2" s="231"/>
      <c r="SOK2" s="229" t="s">
        <v>13328</v>
      </c>
      <c r="SOL2" s="230"/>
      <c r="SOM2" s="230"/>
      <c r="SON2" s="231"/>
      <c r="SOO2" s="229" t="s">
        <v>13328</v>
      </c>
      <c r="SOP2" s="230"/>
      <c r="SOQ2" s="230"/>
      <c r="SOR2" s="231"/>
      <c r="SOS2" s="229" t="s">
        <v>13328</v>
      </c>
      <c r="SOT2" s="230"/>
      <c r="SOU2" s="230"/>
      <c r="SOV2" s="231"/>
      <c r="SOW2" s="229" t="s">
        <v>13328</v>
      </c>
      <c r="SOX2" s="230"/>
      <c r="SOY2" s="230"/>
      <c r="SOZ2" s="231"/>
      <c r="SPA2" s="229" t="s">
        <v>13328</v>
      </c>
      <c r="SPB2" s="230"/>
      <c r="SPC2" s="230"/>
      <c r="SPD2" s="231"/>
      <c r="SPE2" s="229" t="s">
        <v>13328</v>
      </c>
      <c r="SPF2" s="230"/>
      <c r="SPG2" s="230"/>
      <c r="SPH2" s="231"/>
      <c r="SPI2" s="229" t="s">
        <v>13328</v>
      </c>
      <c r="SPJ2" s="230"/>
      <c r="SPK2" s="230"/>
      <c r="SPL2" s="231"/>
      <c r="SPM2" s="229" t="s">
        <v>13328</v>
      </c>
      <c r="SPN2" s="230"/>
      <c r="SPO2" s="230"/>
      <c r="SPP2" s="231"/>
      <c r="SPQ2" s="229" t="s">
        <v>13328</v>
      </c>
      <c r="SPR2" s="230"/>
      <c r="SPS2" s="230"/>
      <c r="SPT2" s="231"/>
      <c r="SPU2" s="229" t="s">
        <v>13328</v>
      </c>
      <c r="SPV2" s="230"/>
      <c r="SPW2" s="230"/>
      <c r="SPX2" s="231"/>
      <c r="SPY2" s="229" t="s">
        <v>13328</v>
      </c>
      <c r="SPZ2" s="230"/>
      <c r="SQA2" s="230"/>
      <c r="SQB2" s="231"/>
      <c r="SQC2" s="229" t="s">
        <v>13328</v>
      </c>
      <c r="SQD2" s="230"/>
      <c r="SQE2" s="230"/>
      <c r="SQF2" s="231"/>
      <c r="SQG2" s="229" t="s">
        <v>13328</v>
      </c>
      <c r="SQH2" s="230"/>
      <c r="SQI2" s="230"/>
      <c r="SQJ2" s="231"/>
      <c r="SQK2" s="229" t="s">
        <v>13328</v>
      </c>
      <c r="SQL2" s="230"/>
      <c r="SQM2" s="230"/>
      <c r="SQN2" s="231"/>
      <c r="SQO2" s="229" t="s">
        <v>13328</v>
      </c>
      <c r="SQP2" s="230"/>
      <c r="SQQ2" s="230"/>
      <c r="SQR2" s="231"/>
      <c r="SQS2" s="229" t="s">
        <v>13328</v>
      </c>
      <c r="SQT2" s="230"/>
      <c r="SQU2" s="230"/>
      <c r="SQV2" s="231"/>
      <c r="SQW2" s="229" t="s">
        <v>13328</v>
      </c>
      <c r="SQX2" s="230"/>
      <c r="SQY2" s="230"/>
      <c r="SQZ2" s="231"/>
      <c r="SRA2" s="229" t="s">
        <v>13328</v>
      </c>
      <c r="SRB2" s="230"/>
      <c r="SRC2" s="230"/>
      <c r="SRD2" s="231"/>
      <c r="SRE2" s="229" t="s">
        <v>13328</v>
      </c>
      <c r="SRF2" s="230"/>
      <c r="SRG2" s="230"/>
      <c r="SRH2" s="231"/>
      <c r="SRI2" s="229" t="s">
        <v>13328</v>
      </c>
      <c r="SRJ2" s="230"/>
      <c r="SRK2" s="230"/>
      <c r="SRL2" s="231"/>
      <c r="SRM2" s="229" t="s">
        <v>13328</v>
      </c>
      <c r="SRN2" s="230"/>
      <c r="SRO2" s="230"/>
      <c r="SRP2" s="231"/>
      <c r="SRQ2" s="229" t="s">
        <v>13328</v>
      </c>
      <c r="SRR2" s="230"/>
      <c r="SRS2" s="230"/>
      <c r="SRT2" s="231"/>
      <c r="SRU2" s="229" t="s">
        <v>13328</v>
      </c>
      <c r="SRV2" s="230"/>
      <c r="SRW2" s="230"/>
      <c r="SRX2" s="231"/>
      <c r="SRY2" s="229" t="s">
        <v>13328</v>
      </c>
      <c r="SRZ2" s="230"/>
      <c r="SSA2" s="230"/>
      <c r="SSB2" s="231"/>
      <c r="SSC2" s="229" t="s">
        <v>13328</v>
      </c>
      <c r="SSD2" s="230"/>
      <c r="SSE2" s="230"/>
      <c r="SSF2" s="231"/>
      <c r="SSG2" s="229" t="s">
        <v>13328</v>
      </c>
      <c r="SSH2" s="230"/>
      <c r="SSI2" s="230"/>
      <c r="SSJ2" s="231"/>
      <c r="SSK2" s="229" t="s">
        <v>13328</v>
      </c>
      <c r="SSL2" s="230"/>
      <c r="SSM2" s="230"/>
      <c r="SSN2" s="231"/>
      <c r="SSO2" s="229" t="s">
        <v>13328</v>
      </c>
      <c r="SSP2" s="230"/>
      <c r="SSQ2" s="230"/>
      <c r="SSR2" s="231"/>
      <c r="SSS2" s="229" t="s">
        <v>13328</v>
      </c>
      <c r="SST2" s="230"/>
      <c r="SSU2" s="230"/>
      <c r="SSV2" s="231"/>
      <c r="SSW2" s="229" t="s">
        <v>13328</v>
      </c>
      <c r="SSX2" s="230"/>
      <c r="SSY2" s="230"/>
      <c r="SSZ2" s="231"/>
      <c r="STA2" s="229" t="s">
        <v>13328</v>
      </c>
      <c r="STB2" s="230"/>
      <c r="STC2" s="230"/>
      <c r="STD2" s="231"/>
      <c r="STE2" s="229" t="s">
        <v>13328</v>
      </c>
      <c r="STF2" s="230"/>
      <c r="STG2" s="230"/>
      <c r="STH2" s="231"/>
      <c r="STI2" s="229" t="s">
        <v>13328</v>
      </c>
      <c r="STJ2" s="230"/>
      <c r="STK2" s="230"/>
      <c r="STL2" s="231"/>
      <c r="STM2" s="229" t="s">
        <v>13328</v>
      </c>
      <c r="STN2" s="230"/>
      <c r="STO2" s="230"/>
      <c r="STP2" s="231"/>
      <c r="STQ2" s="229" t="s">
        <v>13328</v>
      </c>
      <c r="STR2" s="230"/>
      <c r="STS2" s="230"/>
      <c r="STT2" s="231"/>
      <c r="STU2" s="229" t="s">
        <v>13328</v>
      </c>
      <c r="STV2" s="230"/>
      <c r="STW2" s="230"/>
      <c r="STX2" s="231"/>
      <c r="STY2" s="229" t="s">
        <v>13328</v>
      </c>
      <c r="STZ2" s="230"/>
      <c r="SUA2" s="230"/>
      <c r="SUB2" s="231"/>
      <c r="SUC2" s="229" t="s">
        <v>13328</v>
      </c>
      <c r="SUD2" s="230"/>
      <c r="SUE2" s="230"/>
      <c r="SUF2" s="231"/>
      <c r="SUG2" s="229" t="s">
        <v>13328</v>
      </c>
      <c r="SUH2" s="230"/>
      <c r="SUI2" s="230"/>
      <c r="SUJ2" s="231"/>
      <c r="SUK2" s="229" t="s">
        <v>13328</v>
      </c>
      <c r="SUL2" s="230"/>
      <c r="SUM2" s="230"/>
      <c r="SUN2" s="231"/>
      <c r="SUO2" s="229" t="s">
        <v>13328</v>
      </c>
      <c r="SUP2" s="230"/>
      <c r="SUQ2" s="230"/>
      <c r="SUR2" s="231"/>
      <c r="SUS2" s="229" t="s">
        <v>13328</v>
      </c>
      <c r="SUT2" s="230"/>
      <c r="SUU2" s="230"/>
      <c r="SUV2" s="231"/>
      <c r="SUW2" s="229" t="s">
        <v>13328</v>
      </c>
      <c r="SUX2" s="230"/>
      <c r="SUY2" s="230"/>
      <c r="SUZ2" s="231"/>
      <c r="SVA2" s="229" t="s">
        <v>13328</v>
      </c>
      <c r="SVB2" s="230"/>
      <c r="SVC2" s="230"/>
      <c r="SVD2" s="231"/>
      <c r="SVE2" s="229" t="s">
        <v>13328</v>
      </c>
      <c r="SVF2" s="230"/>
      <c r="SVG2" s="230"/>
      <c r="SVH2" s="231"/>
      <c r="SVI2" s="229" t="s">
        <v>13328</v>
      </c>
      <c r="SVJ2" s="230"/>
      <c r="SVK2" s="230"/>
      <c r="SVL2" s="231"/>
      <c r="SVM2" s="229" t="s">
        <v>13328</v>
      </c>
      <c r="SVN2" s="230"/>
      <c r="SVO2" s="230"/>
      <c r="SVP2" s="231"/>
      <c r="SVQ2" s="229" t="s">
        <v>13328</v>
      </c>
      <c r="SVR2" s="230"/>
      <c r="SVS2" s="230"/>
      <c r="SVT2" s="231"/>
      <c r="SVU2" s="229" t="s">
        <v>13328</v>
      </c>
      <c r="SVV2" s="230"/>
      <c r="SVW2" s="230"/>
      <c r="SVX2" s="231"/>
      <c r="SVY2" s="229" t="s">
        <v>13328</v>
      </c>
      <c r="SVZ2" s="230"/>
      <c r="SWA2" s="230"/>
      <c r="SWB2" s="231"/>
      <c r="SWC2" s="229" t="s">
        <v>13328</v>
      </c>
      <c r="SWD2" s="230"/>
      <c r="SWE2" s="230"/>
      <c r="SWF2" s="231"/>
      <c r="SWG2" s="229" t="s">
        <v>13328</v>
      </c>
      <c r="SWH2" s="230"/>
      <c r="SWI2" s="230"/>
      <c r="SWJ2" s="231"/>
      <c r="SWK2" s="229" t="s">
        <v>13328</v>
      </c>
      <c r="SWL2" s="230"/>
      <c r="SWM2" s="230"/>
      <c r="SWN2" s="231"/>
      <c r="SWO2" s="229" t="s">
        <v>13328</v>
      </c>
      <c r="SWP2" s="230"/>
      <c r="SWQ2" s="230"/>
      <c r="SWR2" s="231"/>
      <c r="SWS2" s="229" t="s">
        <v>13328</v>
      </c>
      <c r="SWT2" s="230"/>
      <c r="SWU2" s="230"/>
      <c r="SWV2" s="231"/>
      <c r="SWW2" s="229" t="s">
        <v>13328</v>
      </c>
      <c r="SWX2" s="230"/>
      <c r="SWY2" s="230"/>
      <c r="SWZ2" s="231"/>
      <c r="SXA2" s="229" t="s">
        <v>13328</v>
      </c>
      <c r="SXB2" s="230"/>
      <c r="SXC2" s="230"/>
      <c r="SXD2" s="231"/>
      <c r="SXE2" s="229" t="s">
        <v>13328</v>
      </c>
      <c r="SXF2" s="230"/>
      <c r="SXG2" s="230"/>
      <c r="SXH2" s="231"/>
      <c r="SXI2" s="229" t="s">
        <v>13328</v>
      </c>
      <c r="SXJ2" s="230"/>
      <c r="SXK2" s="230"/>
      <c r="SXL2" s="231"/>
      <c r="SXM2" s="229" t="s">
        <v>13328</v>
      </c>
      <c r="SXN2" s="230"/>
      <c r="SXO2" s="230"/>
      <c r="SXP2" s="231"/>
      <c r="SXQ2" s="229" t="s">
        <v>13328</v>
      </c>
      <c r="SXR2" s="230"/>
      <c r="SXS2" s="230"/>
      <c r="SXT2" s="231"/>
      <c r="SXU2" s="229" t="s">
        <v>13328</v>
      </c>
      <c r="SXV2" s="230"/>
      <c r="SXW2" s="230"/>
      <c r="SXX2" s="231"/>
      <c r="SXY2" s="229" t="s">
        <v>13328</v>
      </c>
      <c r="SXZ2" s="230"/>
      <c r="SYA2" s="230"/>
      <c r="SYB2" s="231"/>
      <c r="SYC2" s="229" t="s">
        <v>13328</v>
      </c>
      <c r="SYD2" s="230"/>
      <c r="SYE2" s="230"/>
      <c r="SYF2" s="231"/>
      <c r="SYG2" s="229" t="s">
        <v>13328</v>
      </c>
      <c r="SYH2" s="230"/>
      <c r="SYI2" s="230"/>
      <c r="SYJ2" s="231"/>
      <c r="SYK2" s="229" t="s">
        <v>13328</v>
      </c>
      <c r="SYL2" s="230"/>
      <c r="SYM2" s="230"/>
      <c r="SYN2" s="231"/>
      <c r="SYO2" s="229" t="s">
        <v>13328</v>
      </c>
      <c r="SYP2" s="230"/>
      <c r="SYQ2" s="230"/>
      <c r="SYR2" s="231"/>
      <c r="SYS2" s="229" t="s">
        <v>13328</v>
      </c>
      <c r="SYT2" s="230"/>
      <c r="SYU2" s="230"/>
      <c r="SYV2" s="231"/>
      <c r="SYW2" s="229" t="s">
        <v>13328</v>
      </c>
      <c r="SYX2" s="230"/>
      <c r="SYY2" s="230"/>
      <c r="SYZ2" s="231"/>
      <c r="SZA2" s="229" t="s">
        <v>13328</v>
      </c>
      <c r="SZB2" s="230"/>
      <c r="SZC2" s="230"/>
      <c r="SZD2" s="231"/>
      <c r="SZE2" s="229" t="s">
        <v>13328</v>
      </c>
      <c r="SZF2" s="230"/>
      <c r="SZG2" s="230"/>
      <c r="SZH2" s="231"/>
      <c r="SZI2" s="229" t="s">
        <v>13328</v>
      </c>
      <c r="SZJ2" s="230"/>
      <c r="SZK2" s="230"/>
      <c r="SZL2" s="231"/>
      <c r="SZM2" s="229" t="s">
        <v>13328</v>
      </c>
      <c r="SZN2" s="230"/>
      <c r="SZO2" s="230"/>
      <c r="SZP2" s="231"/>
      <c r="SZQ2" s="229" t="s">
        <v>13328</v>
      </c>
      <c r="SZR2" s="230"/>
      <c r="SZS2" s="230"/>
      <c r="SZT2" s="231"/>
      <c r="SZU2" s="229" t="s">
        <v>13328</v>
      </c>
      <c r="SZV2" s="230"/>
      <c r="SZW2" s="230"/>
      <c r="SZX2" s="231"/>
      <c r="SZY2" s="229" t="s">
        <v>13328</v>
      </c>
      <c r="SZZ2" s="230"/>
      <c r="TAA2" s="230"/>
      <c r="TAB2" s="231"/>
      <c r="TAC2" s="229" t="s">
        <v>13328</v>
      </c>
      <c r="TAD2" s="230"/>
      <c r="TAE2" s="230"/>
      <c r="TAF2" s="231"/>
      <c r="TAG2" s="229" t="s">
        <v>13328</v>
      </c>
      <c r="TAH2" s="230"/>
      <c r="TAI2" s="230"/>
      <c r="TAJ2" s="231"/>
      <c r="TAK2" s="229" t="s">
        <v>13328</v>
      </c>
      <c r="TAL2" s="230"/>
      <c r="TAM2" s="230"/>
      <c r="TAN2" s="231"/>
      <c r="TAO2" s="229" t="s">
        <v>13328</v>
      </c>
      <c r="TAP2" s="230"/>
      <c r="TAQ2" s="230"/>
      <c r="TAR2" s="231"/>
      <c r="TAS2" s="229" t="s">
        <v>13328</v>
      </c>
      <c r="TAT2" s="230"/>
      <c r="TAU2" s="230"/>
      <c r="TAV2" s="231"/>
      <c r="TAW2" s="229" t="s">
        <v>13328</v>
      </c>
      <c r="TAX2" s="230"/>
      <c r="TAY2" s="230"/>
      <c r="TAZ2" s="231"/>
      <c r="TBA2" s="229" t="s">
        <v>13328</v>
      </c>
      <c r="TBB2" s="230"/>
      <c r="TBC2" s="230"/>
      <c r="TBD2" s="231"/>
      <c r="TBE2" s="229" t="s">
        <v>13328</v>
      </c>
      <c r="TBF2" s="230"/>
      <c r="TBG2" s="230"/>
      <c r="TBH2" s="231"/>
      <c r="TBI2" s="229" t="s">
        <v>13328</v>
      </c>
      <c r="TBJ2" s="230"/>
      <c r="TBK2" s="230"/>
      <c r="TBL2" s="231"/>
      <c r="TBM2" s="229" t="s">
        <v>13328</v>
      </c>
      <c r="TBN2" s="230"/>
      <c r="TBO2" s="230"/>
      <c r="TBP2" s="231"/>
      <c r="TBQ2" s="229" t="s">
        <v>13328</v>
      </c>
      <c r="TBR2" s="230"/>
      <c r="TBS2" s="230"/>
      <c r="TBT2" s="231"/>
      <c r="TBU2" s="229" t="s">
        <v>13328</v>
      </c>
      <c r="TBV2" s="230"/>
      <c r="TBW2" s="230"/>
      <c r="TBX2" s="231"/>
      <c r="TBY2" s="229" t="s">
        <v>13328</v>
      </c>
      <c r="TBZ2" s="230"/>
      <c r="TCA2" s="230"/>
      <c r="TCB2" s="231"/>
      <c r="TCC2" s="229" t="s">
        <v>13328</v>
      </c>
      <c r="TCD2" s="230"/>
      <c r="TCE2" s="230"/>
      <c r="TCF2" s="231"/>
      <c r="TCG2" s="229" t="s">
        <v>13328</v>
      </c>
      <c r="TCH2" s="230"/>
      <c r="TCI2" s="230"/>
      <c r="TCJ2" s="231"/>
      <c r="TCK2" s="229" t="s">
        <v>13328</v>
      </c>
      <c r="TCL2" s="230"/>
      <c r="TCM2" s="230"/>
      <c r="TCN2" s="231"/>
      <c r="TCO2" s="229" t="s">
        <v>13328</v>
      </c>
      <c r="TCP2" s="230"/>
      <c r="TCQ2" s="230"/>
      <c r="TCR2" s="231"/>
      <c r="TCS2" s="229" t="s">
        <v>13328</v>
      </c>
      <c r="TCT2" s="230"/>
      <c r="TCU2" s="230"/>
      <c r="TCV2" s="231"/>
      <c r="TCW2" s="229" t="s">
        <v>13328</v>
      </c>
      <c r="TCX2" s="230"/>
      <c r="TCY2" s="230"/>
      <c r="TCZ2" s="231"/>
      <c r="TDA2" s="229" t="s">
        <v>13328</v>
      </c>
      <c r="TDB2" s="230"/>
      <c r="TDC2" s="230"/>
      <c r="TDD2" s="231"/>
      <c r="TDE2" s="229" t="s">
        <v>13328</v>
      </c>
      <c r="TDF2" s="230"/>
      <c r="TDG2" s="230"/>
      <c r="TDH2" s="231"/>
      <c r="TDI2" s="229" t="s">
        <v>13328</v>
      </c>
      <c r="TDJ2" s="230"/>
      <c r="TDK2" s="230"/>
      <c r="TDL2" s="231"/>
      <c r="TDM2" s="229" t="s">
        <v>13328</v>
      </c>
      <c r="TDN2" s="230"/>
      <c r="TDO2" s="230"/>
      <c r="TDP2" s="231"/>
      <c r="TDQ2" s="229" t="s">
        <v>13328</v>
      </c>
      <c r="TDR2" s="230"/>
      <c r="TDS2" s="230"/>
      <c r="TDT2" s="231"/>
      <c r="TDU2" s="229" t="s">
        <v>13328</v>
      </c>
      <c r="TDV2" s="230"/>
      <c r="TDW2" s="230"/>
      <c r="TDX2" s="231"/>
      <c r="TDY2" s="229" t="s">
        <v>13328</v>
      </c>
      <c r="TDZ2" s="230"/>
      <c r="TEA2" s="230"/>
      <c r="TEB2" s="231"/>
      <c r="TEC2" s="229" t="s">
        <v>13328</v>
      </c>
      <c r="TED2" s="230"/>
      <c r="TEE2" s="230"/>
      <c r="TEF2" s="231"/>
      <c r="TEG2" s="229" t="s">
        <v>13328</v>
      </c>
      <c r="TEH2" s="230"/>
      <c r="TEI2" s="230"/>
      <c r="TEJ2" s="231"/>
      <c r="TEK2" s="229" t="s">
        <v>13328</v>
      </c>
      <c r="TEL2" s="230"/>
      <c r="TEM2" s="230"/>
      <c r="TEN2" s="231"/>
      <c r="TEO2" s="229" t="s">
        <v>13328</v>
      </c>
      <c r="TEP2" s="230"/>
      <c r="TEQ2" s="230"/>
      <c r="TER2" s="231"/>
      <c r="TES2" s="229" t="s">
        <v>13328</v>
      </c>
      <c r="TET2" s="230"/>
      <c r="TEU2" s="230"/>
      <c r="TEV2" s="231"/>
      <c r="TEW2" s="229" t="s">
        <v>13328</v>
      </c>
      <c r="TEX2" s="230"/>
      <c r="TEY2" s="230"/>
      <c r="TEZ2" s="231"/>
      <c r="TFA2" s="229" t="s">
        <v>13328</v>
      </c>
      <c r="TFB2" s="230"/>
      <c r="TFC2" s="230"/>
      <c r="TFD2" s="231"/>
      <c r="TFE2" s="229" t="s">
        <v>13328</v>
      </c>
      <c r="TFF2" s="230"/>
      <c r="TFG2" s="230"/>
      <c r="TFH2" s="231"/>
      <c r="TFI2" s="229" t="s">
        <v>13328</v>
      </c>
      <c r="TFJ2" s="230"/>
      <c r="TFK2" s="230"/>
      <c r="TFL2" s="231"/>
      <c r="TFM2" s="229" t="s">
        <v>13328</v>
      </c>
      <c r="TFN2" s="230"/>
      <c r="TFO2" s="230"/>
      <c r="TFP2" s="231"/>
      <c r="TFQ2" s="229" t="s">
        <v>13328</v>
      </c>
      <c r="TFR2" s="230"/>
      <c r="TFS2" s="230"/>
      <c r="TFT2" s="231"/>
      <c r="TFU2" s="229" t="s">
        <v>13328</v>
      </c>
      <c r="TFV2" s="230"/>
      <c r="TFW2" s="230"/>
      <c r="TFX2" s="231"/>
      <c r="TFY2" s="229" t="s">
        <v>13328</v>
      </c>
      <c r="TFZ2" s="230"/>
      <c r="TGA2" s="230"/>
      <c r="TGB2" s="231"/>
      <c r="TGC2" s="229" t="s">
        <v>13328</v>
      </c>
      <c r="TGD2" s="230"/>
      <c r="TGE2" s="230"/>
      <c r="TGF2" s="231"/>
      <c r="TGG2" s="229" t="s">
        <v>13328</v>
      </c>
      <c r="TGH2" s="230"/>
      <c r="TGI2" s="230"/>
      <c r="TGJ2" s="231"/>
      <c r="TGK2" s="229" t="s">
        <v>13328</v>
      </c>
      <c r="TGL2" s="230"/>
      <c r="TGM2" s="230"/>
      <c r="TGN2" s="231"/>
      <c r="TGO2" s="229" t="s">
        <v>13328</v>
      </c>
      <c r="TGP2" s="230"/>
      <c r="TGQ2" s="230"/>
      <c r="TGR2" s="231"/>
      <c r="TGS2" s="229" t="s">
        <v>13328</v>
      </c>
      <c r="TGT2" s="230"/>
      <c r="TGU2" s="230"/>
      <c r="TGV2" s="231"/>
      <c r="TGW2" s="229" t="s">
        <v>13328</v>
      </c>
      <c r="TGX2" s="230"/>
      <c r="TGY2" s="230"/>
      <c r="TGZ2" s="231"/>
      <c r="THA2" s="229" t="s">
        <v>13328</v>
      </c>
      <c r="THB2" s="230"/>
      <c r="THC2" s="230"/>
      <c r="THD2" s="231"/>
      <c r="THE2" s="229" t="s">
        <v>13328</v>
      </c>
      <c r="THF2" s="230"/>
      <c r="THG2" s="230"/>
      <c r="THH2" s="231"/>
      <c r="THI2" s="229" t="s">
        <v>13328</v>
      </c>
      <c r="THJ2" s="230"/>
      <c r="THK2" s="230"/>
      <c r="THL2" s="231"/>
      <c r="THM2" s="229" t="s">
        <v>13328</v>
      </c>
      <c r="THN2" s="230"/>
      <c r="THO2" s="230"/>
      <c r="THP2" s="231"/>
      <c r="THQ2" s="229" t="s">
        <v>13328</v>
      </c>
      <c r="THR2" s="230"/>
      <c r="THS2" s="230"/>
      <c r="THT2" s="231"/>
      <c r="THU2" s="229" t="s">
        <v>13328</v>
      </c>
      <c r="THV2" s="230"/>
      <c r="THW2" s="230"/>
      <c r="THX2" s="231"/>
      <c r="THY2" s="229" t="s">
        <v>13328</v>
      </c>
      <c r="THZ2" s="230"/>
      <c r="TIA2" s="230"/>
      <c r="TIB2" s="231"/>
      <c r="TIC2" s="229" t="s">
        <v>13328</v>
      </c>
      <c r="TID2" s="230"/>
      <c r="TIE2" s="230"/>
      <c r="TIF2" s="231"/>
      <c r="TIG2" s="229" t="s">
        <v>13328</v>
      </c>
      <c r="TIH2" s="230"/>
      <c r="TII2" s="230"/>
      <c r="TIJ2" s="231"/>
      <c r="TIK2" s="229" t="s">
        <v>13328</v>
      </c>
      <c r="TIL2" s="230"/>
      <c r="TIM2" s="230"/>
      <c r="TIN2" s="231"/>
      <c r="TIO2" s="229" t="s">
        <v>13328</v>
      </c>
      <c r="TIP2" s="230"/>
      <c r="TIQ2" s="230"/>
      <c r="TIR2" s="231"/>
      <c r="TIS2" s="229" t="s">
        <v>13328</v>
      </c>
      <c r="TIT2" s="230"/>
      <c r="TIU2" s="230"/>
      <c r="TIV2" s="231"/>
      <c r="TIW2" s="229" t="s">
        <v>13328</v>
      </c>
      <c r="TIX2" s="230"/>
      <c r="TIY2" s="230"/>
      <c r="TIZ2" s="231"/>
      <c r="TJA2" s="229" t="s">
        <v>13328</v>
      </c>
      <c r="TJB2" s="230"/>
      <c r="TJC2" s="230"/>
      <c r="TJD2" s="231"/>
      <c r="TJE2" s="229" t="s">
        <v>13328</v>
      </c>
      <c r="TJF2" s="230"/>
      <c r="TJG2" s="230"/>
      <c r="TJH2" s="231"/>
      <c r="TJI2" s="229" t="s">
        <v>13328</v>
      </c>
      <c r="TJJ2" s="230"/>
      <c r="TJK2" s="230"/>
      <c r="TJL2" s="231"/>
      <c r="TJM2" s="229" t="s">
        <v>13328</v>
      </c>
      <c r="TJN2" s="230"/>
      <c r="TJO2" s="230"/>
      <c r="TJP2" s="231"/>
      <c r="TJQ2" s="229" t="s">
        <v>13328</v>
      </c>
      <c r="TJR2" s="230"/>
      <c r="TJS2" s="230"/>
      <c r="TJT2" s="231"/>
      <c r="TJU2" s="229" t="s">
        <v>13328</v>
      </c>
      <c r="TJV2" s="230"/>
      <c r="TJW2" s="230"/>
      <c r="TJX2" s="231"/>
      <c r="TJY2" s="229" t="s">
        <v>13328</v>
      </c>
      <c r="TJZ2" s="230"/>
      <c r="TKA2" s="230"/>
      <c r="TKB2" s="231"/>
      <c r="TKC2" s="229" t="s">
        <v>13328</v>
      </c>
      <c r="TKD2" s="230"/>
      <c r="TKE2" s="230"/>
      <c r="TKF2" s="231"/>
      <c r="TKG2" s="229" t="s">
        <v>13328</v>
      </c>
      <c r="TKH2" s="230"/>
      <c r="TKI2" s="230"/>
      <c r="TKJ2" s="231"/>
      <c r="TKK2" s="229" t="s">
        <v>13328</v>
      </c>
      <c r="TKL2" s="230"/>
      <c r="TKM2" s="230"/>
      <c r="TKN2" s="231"/>
      <c r="TKO2" s="229" t="s">
        <v>13328</v>
      </c>
      <c r="TKP2" s="230"/>
      <c r="TKQ2" s="230"/>
      <c r="TKR2" s="231"/>
      <c r="TKS2" s="229" t="s">
        <v>13328</v>
      </c>
      <c r="TKT2" s="230"/>
      <c r="TKU2" s="230"/>
      <c r="TKV2" s="231"/>
      <c r="TKW2" s="229" t="s">
        <v>13328</v>
      </c>
      <c r="TKX2" s="230"/>
      <c r="TKY2" s="230"/>
      <c r="TKZ2" s="231"/>
      <c r="TLA2" s="229" t="s">
        <v>13328</v>
      </c>
      <c r="TLB2" s="230"/>
      <c r="TLC2" s="230"/>
      <c r="TLD2" s="231"/>
      <c r="TLE2" s="229" t="s">
        <v>13328</v>
      </c>
      <c r="TLF2" s="230"/>
      <c r="TLG2" s="230"/>
      <c r="TLH2" s="231"/>
      <c r="TLI2" s="229" t="s">
        <v>13328</v>
      </c>
      <c r="TLJ2" s="230"/>
      <c r="TLK2" s="230"/>
      <c r="TLL2" s="231"/>
      <c r="TLM2" s="229" t="s">
        <v>13328</v>
      </c>
      <c r="TLN2" s="230"/>
      <c r="TLO2" s="230"/>
      <c r="TLP2" s="231"/>
      <c r="TLQ2" s="229" t="s">
        <v>13328</v>
      </c>
      <c r="TLR2" s="230"/>
      <c r="TLS2" s="230"/>
      <c r="TLT2" s="231"/>
      <c r="TLU2" s="229" t="s">
        <v>13328</v>
      </c>
      <c r="TLV2" s="230"/>
      <c r="TLW2" s="230"/>
      <c r="TLX2" s="231"/>
      <c r="TLY2" s="229" t="s">
        <v>13328</v>
      </c>
      <c r="TLZ2" s="230"/>
      <c r="TMA2" s="230"/>
      <c r="TMB2" s="231"/>
      <c r="TMC2" s="229" t="s">
        <v>13328</v>
      </c>
      <c r="TMD2" s="230"/>
      <c r="TME2" s="230"/>
      <c r="TMF2" s="231"/>
      <c r="TMG2" s="229" t="s">
        <v>13328</v>
      </c>
      <c r="TMH2" s="230"/>
      <c r="TMI2" s="230"/>
      <c r="TMJ2" s="231"/>
      <c r="TMK2" s="229" t="s">
        <v>13328</v>
      </c>
      <c r="TML2" s="230"/>
      <c r="TMM2" s="230"/>
      <c r="TMN2" s="231"/>
      <c r="TMO2" s="229" t="s">
        <v>13328</v>
      </c>
      <c r="TMP2" s="230"/>
      <c r="TMQ2" s="230"/>
      <c r="TMR2" s="231"/>
      <c r="TMS2" s="229" t="s">
        <v>13328</v>
      </c>
      <c r="TMT2" s="230"/>
      <c r="TMU2" s="230"/>
      <c r="TMV2" s="231"/>
      <c r="TMW2" s="229" t="s">
        <v>13328</v>
      </c>
      <c r="TMX2" s="230"/>
      <c r="TMY2" s="230"/>
      <c r="TMZ2" s="231"/>
      <c r="TNA2" s="229" t="s">
        <v>13328</v>
      </c>
      <c r="TNB2" s="230"/>
      <c r="TNC2" s="230"/>
      <c r="TND2" s="231"/>
      <c r="TNE2" s="229" t="s">
        <v>13328</v>
      </c>
      <c r="TNF2" s="230"/>
      <c r="TNG2" s="230"/>
      <c r="TNH2" s="231"/>
      <c r="TNI2" s="229" t="s">
        <v>13328</v>
      </c>
      <c r="TNJ2" s="230"/>
      <c r="TNK2" s="230"/>
      <c r="TNL2" s="231"/>
      <c r="TNM2" s="229" t="s">
        <v>13328</v>
      </c>
      <c r="TNN2" s="230"/>
      <c r="TNO2" s="230"/>
      <c r="TNP2" s="231"/>
      <c r="TNQ2" s="229" t="s">
        <v>13328</v>
      </c>
      <c r="TNR2" s="230"/>
      <c r="TNS2" s="230"/>
      <c r="TNT2" s="231"/>
      <c r="TNU2" s="229" t="s">
        <v>13328</v>
      </c>
      <c r="TNV2" s="230"/>
      <c r="TNW2" s="230"/>
      <c r="TNX2" s="231"/>
      <c r="TNY2" s="229" t="s">
        <v>13328</v>
      </c>
      <c r="TNZ2" s="230"/>
      <c r="TOA2" s="230"/>
      <c r="TOB2" s="231"/>
      <c r="TOC2" s="229" t="s">
        <v>13328</v>
      </c>
      <c r="TOD2" s="230"/>
      <c r="TOE2" s="230"/>
      <c r="TOF2" s="231"/>
      <c r="TOG2" s="229" t="s">
        <v>13328</v>
      </c>
      <c r="TOH2" s="230"/>
      <c r="TOI2" s="230"/>
      <c r="TOJ2" s="231"/>
      <c r="TOK2" s="229" t="s">
        <v>13328</v>
      </c>
      <c r="TOL2" s="230"/>
      <c r="TOM2" s="230"/>
      <c r="TON2" s="231"/>
      <c r="TOO2" s="229" t="s">
        <v>13328</v>
      </c>
      <c r="TOP2" s="230"/>
      <c r="TOQ2" s="230"/>
      <c r="TOR2" s="231"/>
      <c r="TOS2" s="229" t="s">
        <v>13328</v>
      </c>
      <c r="TOT2" s="230"/>
      <c r="TOU2" s="230"/>
      <c r="TOV2" s="231"/>
      <c r="TOW2" s="229" t="s">
        <v>13328</v>
      </c>
      <c r="TOX2" s="230"/>
      <c r="TOY2" s="230"/>
      <c r="TOZ2" s="231"/>
      <c r="TPA2" s="229" t="s">
        <v>13328</v>
      </c>
      <c r="TPB2" s="230"/>
      <c r="TPC2" s="230"/>
      <c r="TPD2" s="231"/>
      <c r="TPE2" s="229" t="s">
        <v>13328</v>
      </c>
      <c r="TPF2" s="230"/>
      <c r="TPG2" s="230"/>
      <c r="TPH2" s="231"/>
      <c r="TPI2" s="229" t="s">
        <v>13328</v>
      </c>
      <c r="TPJ2" s="230"/>
      <c r="TPK2" s="230"/>
      <c r="TPL2" s="231"/>
      <c r="TPM2" s="229" t="s">
        <v>13328</v>
      </c>
      <c r="TPN2" s="230"/>
      <c r="TPO2" s="230"/>
      <c r="TPP2" s="231"/>
      <c r="TPQ2" s="229" t="s">
        <v>13328</v>
      </c>
      <c r="TPR2" s="230"/>
      <c r="TPS2" s="230"/>
      <c r="TPT2" s="231"/>
      <c r="TPU2" s="229" t="s">
        <v>13328</v>
      </c>
      <c r="TPV2" s="230"/>
      <c r="TPW2" s="230"/>
      <c r="TPX2" s="231"/>
      <c r="TPY2" s="229" t="s">
        <v>13328</v>
      </c>
      <c r="TPZ2" s="230"/>
      <c r="TQA2" s="230"/>
      <c r="TQB2" s="231"/>
      <c r="TQC2" s="229" t="s">
        <v>13328</v>
      </c>
      <c r="TQD2" s="230"/>
      <c r="TQE2" s="230"/>
      <c r="TQF2" s="231"/>
      <c r="TQG2" s="229" t="s">
        <v>13328</v>
      </c>
      <c r="TQH2" s="230"/>
      <c r="TQI2" s="230"/>
      <c r="TQJ2" s="231"/>
      <c r="TQK2" s="229" t="s">
        <v>13328</v>
      </c>
      <c r="TQL2" s="230"/>
      <c r="TQM2" s="230"/>
      <c r="TQN2" s="231"/>
      <c r="TQO2" s="229" t="s">
        <v>13328</v>
      </c>
      <c r="TQP2" s="230"/>
      <c r="TQQ2" s="230"/>
      <c r="TQR2" s="231"/>
      <c r="TQS2" s="229" t="s">
        <v>13328</v>
      </c>
      <c r="TQT2" s="230"/>
      <c r="TQU2" s="230"/>
      <c r="TQV2" s="231"/>
      <c r="TQW2" s="229" t="s">
        <v>13328</v>
      </c>
      <c r="TQX2" s="230"/>
      <c r="TQY2" s="230"/>
      <c r="TQZ2" s="231"/>
      <c r="TRA2" s="229" t="s">
        <v>13328</v>
      </c>
      <c r="TRB2" s="230"/>
      <c r="TRC2" s="230"/>
      <c r="TRD2" s="231"/>
      <c r="TRE2" s="229" t="s">
        <v>13328</v>
      </c>
      <c r="TRF2" s="230"/>
      <c r="TRG2" s="230"/>
      <c r="TRH2" s="231"/>
      <c r="TRI2" s="229" t="s">
        <v>13328</v>
      </c>
      <c r="TRJ2" s="230"/>
      <c r="TRK2" s="230"/>
      <c r="TRL2" s="231"/>
      <c r="TRM2" s="229" t="s">
        <v>13328</v>
      </c>
      <c r="TRN2" s="230"/>
      <c r="TRO2" s="230"/>
      <c r="TRP2" s="231"/>
      <c r="TRQ2" s="229" t="s">
        <v>13328</v>
      </c>
      <c r="TRR2" s="230"/>
      <c r="TRS2" s="230"/>
      <c r="TRT2" s="231"/>
      <c r="TRU2" s="229" t="s">
        <v>13328</v>
      </c>
      <c r="TRV2" s="230"/>
      <c r="TRW2" s="230"/>
      <c r="TRX2" s="231"/>
      <c r="TRY2" s="229" t="s">
        <v>13328</v>
      </c>
      <c r="TRZ2" s="230"/>
      <c r="TSA2" s="230"/>
      <c r="TSB2" s="231"/>
      <c r="TSC2" s="229" t="s">
        <v>13328</v>
      </c>
      <c r="TSD2" s="230"/>
      <c r="TSE2" s="230"/>
      <c r="TSF2" s="231"/>
      <c r="TSG2" s="229" t="s">
        <v>13328</v>
      </c>
      <c r="TSH2" s="230"/>
      <c r="TSI2" s="230"/>
      <c r="TSJ2" s="231"/>
      <c r="TSK2" s="229" t="s">
        <v>13328</v>
      </c>
      <c r="TSL2" s="230"/>
      <c r="TSM2" s="230"/>
      <c r="TSN2" s="231"/>
      <c r="TSO2" s="229" t="s">
        <v>13328</v>
      </c>
      <c r="TSP2" s="230"/>
      <c r="TSQ2" s="230"/>
      <c r="TSR2" s="231"/>
      <c r="TSS2" s="229" t="s">
        <v>13328</v>
      </c>
      <c r="TST2" s="230"/>
      <c r="TSU2" s="230"/>
      <c r="TSV2" s="231"/>
      <c r="TSW2" s="229" t="s">
        <v>13328</v>
      </c>
      <c r="TSX2" s="230"/>
      <c r="TSY2" s="230"/>
      <c r="TSZ2" s="231"/>
      <c r="TTA2" s="229" t="s">
        <v>13328</v>
      </c>
      <c r="TTB2" s="230"/>
      <c r="TTC2" s="230"/>
      <c r="TTD2" s="231"/>
      <c r="TTE2" s="229" t="s">
        <v>13328</v>
      </c>
      <c r="TTF2" s="230"/>
      <c r="TTG2" s="230"/>
      <c r="TTH2" s="231"/>
      <c r="TTI2" s="229" t="s">
        <v>13328</v>
      </c>
      <c r="TTJ2" s="230"/>
      <c r="TTK2" s="230"/>
      <c r="TTL2" s="231"/>
      <c r="TTM2" s="229" t="s">
        <v>13328</v>
      </c>
      <c r="TTN2" s="230"/>
      <c r="TTO2" s="230"/>
      <c r="TTP2" s="231"/>
      <c r="TTQ2" s="229" t="s">
        <v>13328</v>
      </c>
      <c r="TTR2" s="230"/>
      <c r="TTS2" s="230"/>
      <c r="TTT2" s="231"/>
      <c r="TTU2" s="229" t="s">
        <v>13328</v>
      </c>
      <c r="TTV2" s="230"/>
      <c r="TTW2" s="230"/>
      <c r="TTX2" s="231"/>
      <c r="TTY2" s="229" t="s">
        <v>13328</v>
      </c>
      <c r="TTZ2" s="230"/>
      <c r="TUA2" s="230"/>
      <c r="TUB2" s="231"/>
      <c r="TUC2" s="229" t="s">
        <v>13328</v>
      </c>
      <c r="TUD2" s="230"/>
      <c r="TUE2" s="230"/>
      <c r="TUF2" s="231"/>
      <c r="TUG2" s="229" t="s">
        <v>13328</v>
      </c>
      <c r="TUH2" s="230"/>
      <c r="TUI2" s="230"/>
      <c r="TUJ2" s="231"/>
      <c r="TUK2" s="229" t="s">
        <v>13328</v>
      </c>
      <c r="TUL2" s="230"/>
      <c r="TUM2" s="230"/>
      <c r="TUN2" s="231"/>
      <c r="TUO2" s="229" t="s">
        <v>13328</v>
      </c>
      <c r="TUP2" s="230"/>
      <c r="TUQ2" s="230"/>
      <c r="TUR2" s="231"/>
      <c r="TUS2" s="229" t="s">
        <v>13328</v>
      </c>
      <c r="TUT2" s="230"/>
      <c r="TUU2" s="230"/>
      <c r="TUV2" s="231"/>
      <c r="TUW2" s="229" t="s">
        <v>13328</v>
      </c>
      <c r="TUX2" s="230"/>
      <c r="TUY2" s="230"/>
      <c r="TUZ2" s="231"/>
      <c r="TVA2" s="229" t="s">
        <v>13328</v>
      </c>
      <c r="TVB2" s="230"/>
      <c r="TVC2" s="230"/>
      <c r="TVD2" s="231"/>
      <c r="TVE2" s="229" t="s">
        <v>13328</v>
      </c>
      <c r="TVF2" s="230"/>
      <c r="TVG2" s="230"/>
      <c r="TVH2" s="231"/>
      <c r="TVI2" s="229" t="s">
        <v>13328</v>
      </c>
      <c r="TVJ2" s="230"/>
      <c r="TVK2" s="230"/>
      <c r="TVL2" s="231"/>
      <c r="TVM2" s="229" t="s">
        <v>13328</v>
      </c>
      <c r="TVN2" s="230"/>
      <c r="TVO2" s="230"/>
      <c r="TVP2" s="231"/>
      <c r="TVQ2" s="229" t="s">
        <v>13328</v>
      </c>
      <c r="TVR2" s="230"/>
      <c r="TVS2" s="230"/>
      <c r="TVT2" s="231"/>
      <c r="TVU2" s="229" t="s">
        <v>13328</v>
      </c>
      <c r="TVV2" s="230"/>
      <c r="TVW2" s="230"/>
      <c r="TVX2" s="231"/>
      <c r="TVY2" s="229" t="s">
        <v>13328</v>
      </c>
      <c r="TVZ2" s="230"/>
      <c r="TWA2" s="230"/>
      <c r="TWB2" s="231"/>
      <c r="TWC2" s="229" t="s">
        <v>13328</v>
      </c>
      <c r="TWD2" s="230"/>
      <c r="TWE2" s="230"/>
      <c r="TWF2" s="231"/>
      <c r="TWG2" s="229" t="s">
        <v>13328</v>
      </c>
      <c r="TWH2" s="230"/>
      <c r="TWI2" s="230"/>
      <c r="TWJ2" s="231"/>
      <c r="TWK2" s="229" t="s">
        <v>13328</v>
      </c>
      <c r="TWL2" s="230"/>
      <c r="TWM2" s="230"/>
      <c r="TWN2" s="231"/>
      <c r="TWO2" s="229" t="s">
        <v>13328</v>
      </c>
      <c r="TWP2" s="230"/>
      <c r="TWQ2" s="230"/>
      <c r="TWR2" s="231"/>
      <c r="TWS2" s="229" t="s">
        <v>13328</v>
      </c>
      <c r="TWT2" s="230"/>
      <c r="TWU2" s="230"/>
      <c r="TWV2" s="231"/>
      <c r="TWW2" s="229" t="s">
        <v>13328</v>
      </c>
      <c r="TWX2" s="230"/>
      <c r="TWY2" s="230"/>
      <c r="TWZ2" s="231"/>
      <c r="TXA2" s="229" t="s">
        <v>13328</v>
      </c>
      <c r="TXB2" s="230"/>
      <c r="TXC2" s="230"/>
      <c r="TXD2" s="231"/>
      <c r="TXE2" s="229" t="s">
        <v>13328</v>
      </c>
      <c r="TXF2" s="230"/>
      <c r="TXG2" s="230"/>
      <c r="TXH2" s="231"/>
      <c r="TXI2" s="229" t="s">
        <v>13328</v>
      </c>
      <c r="TXJ2" s="230"/>
      <c r="TXK2" s="230"/>
      <c r="TXL2" s="231"/>
      <c r="TXM2" s="229" t="s">
        <v>13328</v>
      </c>
      <c r="TXN2" s="230"/>
      <c r="TXO2" s="230"/>
      <c r="TXP2" s="231"/>
      <c r="TXQ2" s="229" t="s">
        <v>13328</v>
      </c>
      <c r="TXR2" s="230"/>
      <c r="TXS2" s="230"/>
      <c r="TXT2" s="231"/>
      <c r="TXU2" s="229" t="s">
        <v>13328</v>
      </c>
      <c r="TXV2" s="230"/>
      <c r="TXW2" s="230"/>
      <c r="TXX2" s="231"/>
      <c r="TXY2" s="229" t="s">
        <v>13328</v>
      </c>
      <c r="TXZ2" s="230"/>
      <c r="TYA2" s="230"/>
      <c r="TYB2" s="231"/>
      <c r="TYC2" s="229" t="s">
        <v>13328</v>
      </c>
      <c r="TYD2" s="230"/>
      <c r="TYE2" s="230"/>
      <c r="TYF2" s="231"/>
      <c r="TYG2" s="229" t="s">
        <v>13328</v>
      </c>
      <c r="TYH2" s="230"/>
      <c r="TYI2" s="230"/>
      <c r="TYJ2" s="231"/>
      <c r="TYK2" s="229" t="s">
        <v>13328</v>
      </c>
      <c r="TYL2" s="230"/>
      <c r="TYM2" s="230"/>
      <c r="TYN2" s="231"/>
      <c r="TYO2" s="229" t="s">
        <v>13328</v>
      </c>
      <c r="TYP2" s="230"/>
      <c r="TYQ2" s="230"/>
      <c r="TYR2" s="231"/>
      <c r="TYS2" s="229" t="s">
        <v>13328</v>
      </c>
      <c r="TYT2" s="230"/>
      <c r="TYU2" s="230"/>
      <c r="TYV2" s="231"/>
      <c r="TYW2" s="229" t="s">
        <v>13328</v>
      </c>
      <c r="TYX2" s="230"/>
      <c r="TYY2" s="230"/>
      <c r="TYZ2" s="231"/>
      <c r="TZA2" s="229" t="s">
        <v>13328</v>
      </c>
      <c r="TZB2" s="230"/>
      <c r="TZC2" s="230"/>
      <c r="TZD2" s="231"/>
      <c r="TZE2" s="229" t="s">
        <v>13328</v>
      </c>
      <c r="TZF2" s="230"/>
      <c r="TZG2" s="230"/>
      <c r="TZH2" s="231"/>
      <c r="TZI2" s="229" t="s">
        <v>13328</v>
      </c>
      <c r="TZJ2" s="230"/>
      <c r="TZK2" s="230"/>
      <c r="TZL2" s="231"/>
      <c r="TZM2" s="229" t="s">
        <v>13328</v>
      </c>
      <c r="TZN2" s="230"/>
      <c r="TZO2" s="230"/>
      <c r="TZP2" s="231"/>
      <c r="TZQ2" s="229" t="s">
        <v>13328</v>
      </c>
      <c r="TZR2" s="230"/>
      <c r="TZS2" s="230"/>
      <c r="TZT2" s="231"/>
      <c r="TZU2" s="229" t="s">
        <v>13328</v>
      </c>
      <c r="TZV2" s="230"/>
      <c r="TZW2" s="230"/>
      <c r="TZX2" s="231"/>
      <c r="TZY2" s="229" t="s">
        <v>13328</v>
      </c>
      <c r="TZZ2" s="230"/>
      <c r="UAA2" s="230"/>
      <c r="UAB2" s="231"/>
      <c r="UAC2" s="229" t="s">
        <v>13328</v>
      </c>
      <c r="UAD2" s="230"/>
      <c r="UAE2" s="230"/>
      <c r="UAF2" s="231"/>
      <c r="UAG2" s="229" t="s">
        <v>13328</v>
      </c>
      <c r="UAH2" s="230"/>
      <c r="UAI2" s="230"/>
      <c r="UAJ2" s="231"/>
      <c r="UAK2" s="229" t="s">
        <v>13328</v>
      </c>
      <c r="UAL2" s="230"/>
      <c r="UAM2" s="230"/>
      <c r="UAN2" s="231"/>
      <c r="UAO2" s="229" t="s">
        <v>13328</v>
      </c>
      <c r="UAP2" s="230"/>
      <c r="UAQ2" s="230"/>
      <c r="UAR2" s="231"/>
      <c r="UAS2" s="229" t="s">
        <v>13328</v>
      </c>
      <c r="UAT2" s="230"/>
      <c r="UAU2" s="230"/>
      <c r="UAV2" s="231"/>
      <c r="UAW2" s="229" t="s">
        <v>13328</v>
      </c>
      <c r="UAX2" s="230"/>
      <c r="UAY2" s="230"/>
      <c r="UAZ2" s="231"/>
      <c r="UBA2" s="229" t="s">
        <v>13328</v>
      </c>
      <c r="UBB2" s="230"/>
      <c r="UBC2" s="230"/>
      <c r="UBD2" s="231"/>
      <c r="UBE2" s="229" t="s">
        <v>13328</v>
      </c>
      <c r="UBF2" s="230"/>
      <c r="UBG2" s="230"/>
      <c r="UBH2" s="231"/>
      <c r="UBI2" s="229" t="s">
        <v>13328</v>
      </c>
      <c r="UBJ2" s="230"/>
      <c r="UBK2" s="230"/>
      <c r="UBL2" s="231"/>
      <c r="UBM2" s="229" t="s">
        <v>13328</v>
      </c>
      <c r="UBN2" s="230"/>
      <c r="UBO2" s="230"/>
      <c r="UBP2" s="231"/>
      <c r="UBQ2" s="229" t="s">
        <v>13328</v>
      </c>
      <c r="UBR2" s="230"/>
      <c r="UBS2" s="230"/>
      <c r="UBT2" s="231"/>
      <c r="UBU2" s="229" t="s">
        <v>13328</v>
      </c>
      <c r="UBV2" s="230"/>
      <c r="UBW2" s="230"/>
      <c r="UBX2" s="231"/>
      <c r="UBY2" s="229" t="s">
        <v>13328</v>
      </c>
      <c r="UBZ2" s="230"/>
      <c r="UCA2" s="230"/>
      <c r="UCB2" s="231"/>
      <c r="UCC2" s="229" t="s">
        <v>13328</v>
      </c>
      <c r="UCD2" s="230"/>
      <c r="UCE2" s="230"/>
      <c r="UCF2" s="231"/>
      <c r="UCG2" s="229" t="s">
        <v>13328</v>
      </c>
      <c r="UCH2" s="230"/>
      <c r="UCI2" s="230"/>
      <c r="UCJ2" s="231"/>
      <c r="UCK2" s="229" t="s">
        <v>13328</v>
      </c>
      <c r="UCL2" s="230"/>
      <c r="UCM2" s="230"/>
      <c r="UCN2" s="231"/>
      <c r="UCO2" s="229" t="s">
        <v>13328</v>
      </c>
      <c r="UCP2" s="230"/>
      <c r="UCQ2" s="230"/>
      <c r="UCR2" s="231"/>
      <c r="UCS2" s="229" t="s">
        <v>13328</v>
      </c>
      <c r="UCT2" s="230"/>
      <c r="UCU2" s="230"/>
      <c r="UCV2" s="231"/>
      <c r="UCW2" s="229" t="s">
        <v>13328</v>
      </c>
      <c r="UCX2" s="230"/>
      <c r="UCY2" s="230"/>
      <c r="UCZ2" s="231"/>
      <c r="UDA2" s="229" t="s">
        <v>13328</v>
      </c>
      <c r="UDB2" s="230"/>
      <c r="UDC2" s="230"/>
      <c r="UDD2" s="231"/>
      <c r="UDE2" s="229" t="s">
        <v>13328</v>
      </c>
      <c r="UDF2" s="230"/>
      <c r="UDG2" s="230"/>
      <c r="UDH2" s="231"/>
      <c r="UDI2" s="229" t="s">
        <v>13328</v>
      </c>
      <c r="UDJ2" s="230"/>
      <c r="UDK2" s="230"/>
      <c r="UDL2" s="231"/>
      <c r="UDM2" s="229" t="s">
        <v>13328</v>
      </c>
      <c r="UDN2" s="230"/>
      <c r="UDO2" s="230"/>
      <c r="UDP2" s="231"/>
      <c r="UDQ2" s="229" t="s">
        <v>13328</v>
      </c>
      <c r="UDR2" s="230"/>
      <c r="UDS2" s="230"/>
      <c r="UDT2" s="231"/>
      <c r="UDU2" s="229" t="s">
        <v>13328</v>
      </c>
      <c r="UDV2" s="230"/>
      <c r="UDW2" s="230"/>
      <c r="UDX2" s="231"/>
      <c r="UDY2" s="229" t="s">
        <v>13328</v>
      </c>
      <c r="UDZ2" s="230"/>
      <c r="UEA2" s="230"/>
      <c r="UEB2" s="231"/>
      <c r="UEC2" s="229" t="s">
        <v>13328</v>
      </c>
      <c r="UED2" s="230"/>
      <c r="UEE2" s="230"/>
      <c r="UEF2" s="231"/>
      <c r="UEG2" s="229" t="s">
        <v>13328</v>
      </c>
      <c r="UEH2" s="230"/>
      <c r="UEI2" s="230"/>
      <c r="UEJ2" s="231"/>
      <c r="UEK2" s="229" t="s">
        <v>13328</v>
      </c>
      <c r="UEL2" s="230"/>
      <c r="UEM2" s="230"/>
      <c r="UEN2" s="231"/>
      <c r="UEO2" s="229" t="s">
        <v>13328</v>
      </c>
      <c r="UEP2" s="230"/>
      <c r="UEQ2" s="230"/>
      <c r="UER2" s="231"/>
      <c r="UES2" s="229" t="s">
        <v>13328</v>
      </c>
      <c r="UET2" s="230"/>
      <c r="UEU2" s="230"/>
      <c r="UEV2" s="231"/>
      <c r="UEW2" s="229" t="s">
        <v>13328</v>
      </c>
      <c r="UEX2" s="230"/>
      <c r="UEY2" s="230"/>
      <c r="UEZ2" s="231"/>
      <c r="UFA2" s="229" t="s">
        <v>13328</v>
      </c>
      <c r="UFB2" s="230"/>
      <c r="UFC2" s="230"/>
      <c r="UFD2" s="231"/>
      <c r="UFE2" s="229" t="s">
        <v>13328</v>
      </c>
      <c r="UFF2" s="230"/>
      <c r="UFG2" s="230"/>
      <c r="UFH2" s="231"/>
      <c r="UFI2" s="229" t="s">
        <v>13328</v>
      </c>
      <c r="UFJ2" s="230"/>
      <c r="UFK2" s="230"/>
      <c r="UFL2" s="231"/>
      <c r="UFM2" s="229" t="s">
        <v>13328</v>
      </c>
      <c r="UFN2" s="230"/>
      <c r="UFO2" s="230"/>
      <c r="UFP2" s="231"/>
      <c r="UFQ2" s="229" t="s">
        <v>13328</v>
      </c>
      <c r="UFR2" s="230"/>
      <c r="UFS2" s="230"/>
      <c r="UFT2" s="231"/>
      <c r="UFU2" s="229" t="s">
        <v>13328</v>
      </c>
      <c r="UFV2" s="230"/>
      <c r="UFW2" s="230"/>
      <c r="UFX2" s="231"/>
      <c r="UFY2" s="229" t="s">
        <v>13328</v>
      </c>
      <c r="UFZ2" s="230"/>
      <c r="UGA2" s="230"/>
      <c r="UGB2" s="231"/>
      <c r="UGC2" s="229" t="s">
        <v>13328</v>
      </c>
      <c r="UGD2" s="230"/>
      <c r="UGE2" s="230"/>
      <c r="UGF2" s="231"/>
      <c r="UGG2" s="229" t="s">
        <v>13328</v>
      </c>
      <c r="UGH2" s="230"/>
      <c r="UGI2" s="230"/>
      <c r="UGJ2" s="231"/>
      <c r="UGK2" s="229" t="s">
        <v>13328</v>
      </c>
      <c r="UGL2" s="230"/>
      <c r="UGM2" s="230"/>
      <c r="UGN2" s="231"/>
      <c r="UGO2" s="229" t="s">
        <v>13328</v>
      </c>
      <c r="UGP2" s="230"/>
      <c r="UGQ2" s="230"/>
      <c r="UGR2" s="231"/>
      <c r="UGS2" s="229" t="s">
        <v>13328</v>
      </c>
      <c r="UGT2" s="230"/>
      <c r="UGU2" s="230"/>
      <c r="UGV2" s="231"/>
      <c r="UGW2" s="229" t="s">
        <v>13328</v>
      </c>
      <c r="UGX2" s="230"/>
      <c r="UGY2" s="230"/>
      <c r="UGZ2" s="231"/>
      <c r="UHA2" s="229" t="s">
        <v>13328</v>
      </c>
      <c r="UHB2" s="230"/>
      <c r="UHC2" s="230"/>
      <c r="UHD2" s="231"/>
      <c r="UHE2" s="229" t="s">
        <v>13328</v>
      </c>
      <c r="UHF2" s="230"/>
      <c r="UHG2" s="230"/>
      <c r="UHH2" s="231"/>
      <c r="UHI2" s="229" t="s">
        <v>13328</v>
      </c>
      <c r="UHJ2" s="230"/>
      <c r="UHK2" s="230"/>
      <c r="UHL2" s="231"/>
      <c r="UHM2" s="229" t="s">
        <v>13328</v>
      </c>
      <c r="UHN2" s="230"/>
      <c r="UHO2" s="230"/>
      <c r="UHP2" s="231"/>
      <c r="UHQ2" s="229" t="s">
        <v>13328</v>
      </c>
      <c r="UHR2" s="230"/>
      <c r="UHS2" s="230"/>
      <c r="UHT2" s="231"/>
      <c r="UHU2" s="229" t="s">
        <v>13328</v>
      </c>
      <c r="UHV2" s="230"/>
      <c r="UHW2" s="230"/>
      <c r="UHX2" s="231"/>
      <c r="UHY2" s="229" t="s">
        <v>13328</v>
      </c>
      <c r="UHZ2" s="230"/>
      <c r="UIA2" s="230"/>
      <c r="UIB2" s="231"/>
      <c r="UIC2" s="229" t="s">
        <v>13328</v>
      </c>
      <c r="UID2" s="230"/>
      <c r="UIE2" s="230"/>
      <c r="UIF2" s="231"/>
      <c r="UIG2" s="229" t="s">
        <v>13328</v>
      </c>
      <c r="UIH2" s="230"/>
      <c r="UII2" s="230"/>
      <c r="UIJ2" s="231"/>
      <c r="UIK2" s="229" t="s">
        <v>13328</v>
      </c>
      <c r="UIL2" s="230"/>
      <c r="UIM2" s="230"/>
      <c r="UIN2" s="231"/>
      <c r="UIO2" s="229" t="s">
        <v>13328</v>
      </c>
      <c r="UIP2" s="230"/>
      <c r="UIQ2" s="230"/>
      <c r="UIR2" s="231"/>
      <c r="UIS2" s="229" t="s">
        <v>13328</v>
      </c>
      <c r="UIT2" s="230"/>
      <c r="UIU2" s="230"/>
      <c r="UIV2" s="231"/>
      <c r="UIW2" s="229" t="s">
        <v>13328</v>
      </c>
      <c r="UIX2" s="230"/>
      <c r="UIY2" s="230"/>
      <c r="UIZ2" s="231"/>
      <c r="UJA2" s="229" t="s">
        <v>13328</v>
      </c>
      <c r="UJB2" s="230"/>
      <c r="UJC2" s="230"/>
      <c r="UJD2" s="231"/>
      <c r="UJE2" s="229" t="s">
        <v>13328</v>
      </c>
      <c r="UJF2" s="230"/>
      <c r="UJG2" s="230"/>
      <c r="UJH2" s="231"/>
      <c r="UJI2" s="229" t="s">
        <v>13328</v>
      </c>
      <c r="UJJ2" s="230"/>
      <c r="UJK2" s="230"/>
      <c r="UJL2" s="231"/>
      <c r="UJM2" s="229" t="s">
        <v>13328</v>
      </c>
      <c r="UJN2" s="230"/>
      <c r="UJO2" s="230"/>
      <c r="UJP2" s="231"/>
      <c r="UJQ2" s="229" t="s">
        <v>13328</v>
      </c>
      <c r="UJR2" s="230"/>
      <c r="UJS2" s="230"/>
      <c r="UJT2" s="231"/>
      <c r="UJU2" s="229" t="s">
        <v>13328</v>
      </c>
      <c r="UJV2" s="230"/>
      <c r="UJW2" s="230"/>
      <c r="UJX2" s="231"/>
      <c r="UJY2" s="229" t="s">
        <v>13328</v>
      </c>
      <c r="UJZ2" s="230"/>
      <c r="UKA2" s="230"/>
      <c r="UKB2" s="231"/>
      <c r="UKC2" s="229" t="s">
        <v>13328</v>
      </c>
      <c r="UKD2" s="230"/>
      <c r="UKE2" s="230"/>
      <c r="UKF2" s="231"/>
      <c r="UKG2" s="229" t="s">
        <v>13328</v>
      </c>
      <c r="UKH2" s="230"/>
      <c r="UKI2" s="230"/>
      <c r="UKJ2" s="231"/>
      <c r="UKK2" s="229" t="s">
        <v>13328</v>
      </c>
      <c r="UKL2" s="230"/>
      <c r="UKM2" s="230"/>
      <c r="UKN2" s="231"/>
      <c r="UKO2" s="229" t="s">
        <v>13328</v>
      </c>
      <c r="UKP2" s="230"/>
      <c r="UKQ2" s="230"/>
      <c r="UKR2" s="231"/>
      <c r="UKS2" s="229" t="s">
        <v>13328</v>
      </c>
      <c r="UKT2" s="230"/>
      <c r="UKU2" s="230"/>
      <c r="UKV2" s="231"/>
      <c r="UKW2" s="229" t="s">
        <v>13328</v>
      </c>
      <c r="UKX2" s="230"/>
      <c r="UKY2" s="230"/>
      <c r="UKZ2" s="231"/>
      <c r="ULA2" s="229" t="s">
        <v>13328</v>
      </c>
      <c r="ULB2" s="230"/>
      <c r="ULC2" s="230"/>
      <c r="ULD2" s="231"/>
      <c r="ULE2" s="229" t="s">
        <v>13328</v>
      </c>
      <c r="ULF2" s="230"/>
      <c r="ULG2" s="230"/>
      <c r="ULH2" s="231"/>
      <c r="ULI2" s="229" t="s">
        <v>13328</v>
      </c>
      <c r="ULJ2" s="230"/>
      <c r="ULK2" s="230"/>
      <c r="ULL2" s="231"/>
      <c r="ULM2" s="229" t="s">
        <v>13328</v>
      </c>
      <c r="ULN2" s="230"/>
      <c r="ULO2" s="230"/>
      <c r="ULP2" s="231"/>
      <c r="ULQ2" s="229" t="s">
        <v>13328</v>
      </c>
      <c r="ULR2" s="230"/>
      <c r="ULS2" s="230"/>
      <c r="ULT2" s="231"/>
      <c r="ULU2" s="229" t="s">
        <v>13328</v>
      </c>
      <c r="ULV2" s="230"/>
      <c r="ULW2" s="230"/>
      <c r="ULX2" s="231"/>
      <c r="ULY2" s="229" t="s">
        <v>13328</v>
      </c>
      <c r="ULZ2" s="230"/>
      <c r="UMA2" s="230"/>
      <c r="UMB2" s="231"/>
      <c r="UMC2" s="229" t="s">
        <v>13328</v>
      </c>
      <c r="UMD2" s="230"/>
      <c r="UME2" s="230"/>
      <c r="UMF2" s="231"/>
      <c r="UMG2" s="229" t="s">
        <v>13328</v>
      </c>
      <c r="UMH2" s="230"/>
      <c r="UMI2" s="230"/>
      <c r="UMJ2" s="231"/>
      <c r="UMK2" s="229" t="s">
        <v>13328</v>
      </c>
      <c r="UML2" s="230"/>
      <c r="UMM2" s="230"/>
      <c r="UMN2" s="231"/>
      <c r="UMO2" s="229" t="s">
        <v>13328</v>
      </c>
      <c r="UMP2" s="230"/>
      <c r="UMQ2" s="230"/>
      <c r="UMR2" s="231"/>
      <c r="UMS2" s="229" t="s">
        <v>13328</v>
      </c>
      <c r="UMT2" s="230"/>
      <c r="UMU2" s="230"/>
      <c r="UMV2" s="231"/>
      <c r="UMW2" s="229" t="s">
        <v>13328</v>
      </c>
      <c r="UMX2" s="230"/>
      <c r="UMY2" s="230"/>
      <c r="UMZ2" s="231"/>
      <c r="UNA2" s="229" t="s">
        <v>13328</v>
      </c>
      <c r="UNB2" s="230"/>
      <c r="UNC2" s="230"/>
      <c r="UND2" s="231"/>
      <c r="UNE2" s="229" t="s">
        <v>13328</v>
      </c>
      <c r="UNF2" s="230"/>
      <c r="UNG2" s="230"/>
      <c r="UNH2" s="231"/>
      <c r="UNI2" s="229" t="s">
        <v>13328</v>
      </c>
      <c r="UNJ2" s="230"/>
      <c r="UNK2" s="230"/>
      <c r="UNL2" s="231"/>
      <c r="UNM2" s="229" t="s">
        <v>13328</v>
      </c>
      <c r="UNN2" s="230"/>
      <c r="UNO2" s="230"/>
      <c r="UNP2" s="231"/>
      <c r="UNQ2" s="229" t="s">
        <v>13328</v>
      </c>
      <c r="UNR2" s="230"/>
      <c r="UNS2" s="230"/>
      <c r="UNT2" s="231"/>
      <c r="UNU2" s="229" t="s">
        <v>13328</v>
      </c>
      <c r="UNV2" s="230"/>
      <c r="UNW2" s="230"/>
      <c r="UNX2" s="231"/>
      <c r="UNY2" s="229" t="s">
        <v>13328</v>
      </c>
      <c r="UNZ2" s="230"/>
      <c r="UOA2" s="230"/>
      <c r="UOB2" s="231"/>
      <c r="UOC2" s="229" t="s">
        <v>13328</v>
      </c>
      <c r="UOD2" s="230"/>
      <c r="UOE2" s="230"/>
      <c r="UOF2" s="231"/>
      <c r="UOG2" s="229" t="s">
        <v>13328</v>
      </c>
      <c r="UOH2" s="230"/>
      <c r="UOI2" s="230"/>
      <c r="UOJ2" s="231"/>
      <c r="UOK2" s="229" t="s">
        <v>13328</v>
      </c>
      <c r="UOL2" s="230"/>
      <c r="UOM2" s="230"/>
      <c r="UON2" s="231"/>
      <c r="UOO2" s="229" t="s">
        <v>13328</v>
      </c>
      <c r="UOP2" s="230"/>
      <c r="UOQ2" s="230"/>
      <c r="UOR2" s="231"/>
      <c r="UOS2" s="229" t="s">
        <v>13328</v>
      </c>
      <c r="UOT2" s="230"/>
      <c r="UOU2" s="230"/>
      <c r="UOV2" s="231"/>
      <c r="UOW2" s="229" t="s">
        <v>13328</v>
      </c>
      <c r="UOX2" s="230"/>
      <c r="UOY2" s="230"/>
      <c r="UOZ2" s="231"/>
      <c r="UPA2" s="229" t="s">
        <v>13328</v>
      </c>
      <c r="UPB2" s="230"/>
      <c r="UPC2" s="230"/>
      <c r="UPD2" s="231"/>
      <c r="UPE2" s="229" t="s">
        <v>13328</v>
      </c>
      <c r="UPF2" s="230"/>
      <c r="UPG2" s="230"/>
      <c r="UPH2" s="231"/>
      <c r="UPI2" s="229" t="s">
        <v>13328</v>
      </c>
      <c r="UPJ2" s="230"/>
      <c r="UPK2" s="230"/>
      <c r="UPL2" s="231"/>
      <c r="UPM2" s="229" t="s">
        <v>13328</v>
      </c>
      <c r="UPN2" s="230"/>
      <c r="UPO2" s="230"/>
      <c r="UPP2" s="231"/>
      <c r="UPQ2" s="229" t="s">
        <v>13328</v>
      </c>
      <c r="UPR2" s="230"/>
      <c r="UPS2" s="230"/>
      <c r="UPT2" s="231"/>
      <c r="UPU2" s="229" t="s">
        <v>13328</v>
      </c>
      <c r="UPV2" s="230"/>
      <c r="UPW2" s="230"/>
      <c r="UPX2" s="231"/>
      <c r="UPY2" s="229" t="s">
        <v>13328</v>
      </c>
      <c r="UPZ2" s="230"/>
      <c r="UQA2" s="230"/>
      <c r="UQB2" s="231"/>
      <c r="UQC2" s="229" t="s">
        <v>13328</v>
      </c>
      <c r="UQD2" s="230"/>
      <c r="UQE2" s="230"/>
      <c r="UQF2" s="231"/>
      <c r="UQG2" s="229" t="s">
        <v>13328</v>
      </c>
      <c r="UQH2" s="230"/>
      <c r="UQI2" s="230"/>
      <c r="UQJ2" s="231"/>
      <c r="UQK2" s="229" t="s">
        <v>13328</v>
      </c>
      <c r="UQL2" s="230"/>
      <c r="UQM2" s="230"/>
      <c r="UQN2" s="231"/>
      <c r="UQO2" s="229" t="s">
        <v>13328</v>
      </c>
      <c r="UQP2" s="230"/>
      <c r="UQQ2" s="230"/>
      <c r="UQR2" s="231"/>
      <c r="UQS2" s="229" t="s">
        <v>13328</v>
      </c>
      <c r="UQT2" s="230"/>
      <c r="UQU2" s="230"/>
      <c r="UQV2" s="231"/>
      <c r="UQW2" s="229" t="s">
        <v>13328</v>
      </c>
      <c r="UQX2" s="230"/>
      <c r="UQY2" s="230"/>
      <c r="UQZ2" s="231"/>
      <c r="URA2" s="229" t="s">
        <v>13328</v>
      </c>
      <c r="URB2" s="230"/>
      <c r="URC2" s="230"/>
      <c r="URD2" s="231"/>
      <c r="URE2" s="229" t="s">
        <v>13328</v>
      </c>
      <c r="URF2" s="230"/>
      <c r="URG2" s="230"/>
      <c r="URH2" s="231"/>
      <c r="URI2" s="229" t="s">
        <v>13328</v>
      </c>
      <c r="URJ2" s="230"/>
      <c r="URK2" s="230"/>
      <c r="URL2" s="231"/>
      <c r="URM2" s="229" t="s">
        <v>13328</v>
      </c>
      <c r="URN2" s="230"/>
      <c r="URO2" s="230"/>
      <c r="URP2" s="231"/>
      <c r="URQ2" s="229" t="s">
        <v>13328</v>
      </c>
      <c r="URR2" s="230"/>
      <c r="URS2" s="230"/>
      <c r="URT2" s="231"/>
      <c r="URU2" s="229" t="s">
        <v>13328</v>
      </c>
      <c r="URV2" s="230"/>
      <c r="URW2" s="230"/>
      <c r="URX2" s="231"/>
      <c r="URY2" s="229" t="s">
        <v>13328</v>
      </c>
      <c r="URZ2" s="230"/>
      <c r="USA2" s="230"/>
      <c r="USB2" s="231"/>
      <c r="USC2" s="229" t="s">
        <v>13328</v>
      </c>
      <c r="USD2" s="230"/>
      <c r="USE2" s="230"/>
      <c r="USF2" s="231"/>
      <c r="USG2" s="229" t="s">
        <v>13328</v>
      </c>
      <c r="USH2" s="230"/>
      <c r="USI2" s="230"/>
      <c r="USJ2" s="231"/>
      <c r="USK2" s="229" t="s">
        <v>13328</v>
      </c>
      <c r="USL2" s="230"/>
      <c r="USM2" s="230"/>
      <c r="USN2" s="231"/>
      <c r="USO2" s="229" t="s">
        <v>13328</v>
      </c>
      <c r="USP2" s="230"/>
      <c r="USQ2" s="230"/>
      <c r="USR2" s="231"/>
      <c r="USS2" s="229" t="s">
        <v>13328</v>
      </c>
      <c r="UST2" s="230"/>
      <c r="USU2" s="230"/>
      <c r="USV2" s="231"/>
      <c r="USW2" s="229" t="s">
        <v>13328</v>
      </c>
      <c r="USX2" s="230"/>
      <c r="USY2" s="230"/>
      <c r="USZ2" s="231"/>
      <c r="UTA2" s="229" t="s">
        <v>13328</v>
      </c>
      <c r="UTB2" s="230"/>
      <c r="UTC2" s="230"/>
      <c r="UTD2" s="231"/>
      <c r="UTE2" s="229" t="s">
        <v>13328</v>
      </c>
      <c r="UTF2" s="230"/>
      <c r="UTG2" s="230"/>
      <c r="UTH2" s="231"/>
      <c r="UTI2" s="229" t="s">
        <v>13328</v>
      </c>
      <c r="UTJ2" s="230"/>
      <c r="UTK2" s="230"/>
      <c r="UTL2" s="231"/>
      <c r="UTM2" s="229" t="s">
        <v>13328</v>
      </c>
      <c r="UTN2" s="230"/>
      <c r="UTO2" s="230"/>
      <c r="UTP2" s="231"/>
      <c r="UTQ2" s="229" t="s">
        <v>13328</v>
      </c>
      <c r="UTR2" s="230"/>
      <c r="UTS2" s="230"/>
      <c r="UTT2" s="231"/>
      <c r="UTU2" s="229" t="s">
        <v>13328</v>
      </c>
      <c r="UTV2" s="230"/>
      <c r="UTW2" s="230"/>
      <c r="UTX2" s="231"/>
      <c r="UTY2" s="229" t="s">
        <v>13328</v>
      </c>
      <c r="UTZ2" s="230"/>
      <c r="UUA2" s="230"/>
      <c r="UUB2" s="231"/>
      <c r="UUC2" s="229" t="s">
        <v>13328</v>
      </c>
      <c r="UUD2" s="230"/>
      <c r="UUE2" s="230"/>
      <c r="UUF2" s="231"/>
      <c r="UUG2" s="229" t="s">
        <v>13328</v>
      </c>
      <c r="UUH2" s="230"/>
      <c r="UUI2" s="230"/>
      <c r="UUJ2" s="231"/>
      <c r="UUK2" s="229" t="s">
        <v>13328</v>
      </c>
      <c r="UUL2" s="230"/>
      <c r="UUM2" s="230"/>
      <c r="UUN2" s="231"/>
      <c r="UUO2" s="229" t="s">
        <v>13328</v>
      </c>
      <c r="UUP2" s="230"/>
      <c r="UUQ2" s="230"/>
      <c r="UUR2" s="231"/>
      <c r="UUS2" s="229" t="s">
        <v>13328</v>
      </c>
      <c r="UUT2" s="230"/>
      <c r="UUU2" s="230"/>
      <c r="UUV2" s="231"/>
      <c r="UUW2" s="229" t="s">
        <v>13328</v>
      </c>
      <c r="UUX2" s="230"/>
      <c r="UUY2" s="230"/>
      <c r="UUZ2" s="231"/>
      <c r="UVA2" s="229" t="s">
        <v>13328</v>
      </c>
      <c r="UVB2" s="230"/>
      <c r="UVC2" s="230"/>
      <c r="UVD2" s="231"/>
      <c r="UVE2" s="229" t="s">
        <v>13328</v>
      </c>
      <c r="UVF2" s="230"/>
      <c r="UVG2" s="230"/>
      <c r="UVH2" s="231"/>
      <c r="UVI2" s="229" t="s">
        <v>13328</v>
      </c>
      <c r="UVJ2" s="230"/>
      <c r="UVK2" s="230"/>
      <c r="UVL2" s="231"/>
      <c r="UVM2" s="229" t="s">
        <v>13328</v>
      </c>
      <c r="UVN2" s="230"/>
      <c r="UVO2" s="230"/>
      <c r="UVP2" s="231"/>
      <c r="UVQ2" s="229" t="s">
        <v>13328</v>
      </c>
      <c r="UVR2" s="230"/>
      <c r="UVS2" s="230"/>
      <c r="UVT2" s="231"/>
      <c r="UVU2" s="229" t="s">
        <v>13328</v>
      </c>
      <c r="UVV2" s="230"/>
      <c r="UVW2" s="230"/>
      <c r="UVX2" s="231"/>
      <c r="UVY2" s="229" t="s">
        <v>13328</v>
      </c>
      <c r="UVZ2" s="230"/>
      <c r="UWA2" s="230"/>
      <c r="UWB2" s="231"/>
      <c r="UWC2" s="229" t="s">
        <v>13328</v>
      </c>
      <c r="UWD2" s="230"/>
      <c r="UWE2" s="230"/>
      <c r="UWF2" s="231"/>
      <c r="UWG2" s="229" t="s">
        <v>13328</v>
      </c>
      <c r="UWH2" s="230"/>
      <c r="UWI2" s="230"/>
      <c r="UWJ2" s="231"/>
      <c r="UWK2" s="229" t="s">
        <v>13328</v>
      </c>
      <c r="UWL2" s="230"/>
      <c r="UWM2" s="230"/>
      <c r="UWN2" s="231"/>
      <c r="UWO2" s="229" t="s">
        <v>13328</v>
      </c>
      <c r="UWP2" s="230"/>
      <c r="UWQ2" s="230"/>
      <c r="UWR2" s="231"/>
      <c r="UWS2" s="229" t="s">
        <v>13328</v>
      </c>
      <c r="UWT2" s="230"/>
      <c r="UWU2" s="230"/>
      <c r="UWV2" s="231"/>
      <c r="UWW2" s="229" t="s">
        <v>13328</v>
      </c>
      <c r="UWX2" s="230"/>
      <c r="UWY2" s="230"/>
      <c r="UWZ2" s="231"/>
      <c r="UXA2" s="229" t="s">
        <v>13328</v>
      </c>
      <c r="UXB2" s="230"/>
      <c r="UXC2" s="230"/>
      <c r="UXD2" s="231"/>
      <c r="UXE2" s="229" t="s">
        <v>13328</v>
      </c>
      <c r="UXF2" s="230"/>
      <c r="UXG2" s="230"/>
      <c r="UXH2" s="231"/>
      <c r="UXI2" s="229" t="s">
        <v>13328</v>
      </c>
      <c r="UXJ2" s="230"/>
      <c r="UXK2" s="230"/>
      <c r="UXL2" s="231"/>
      <c r="UXM2" s="229" t="s">
        <v>13328</v>
      </c>
      <c r="UXN2" s="230"/>
      <c r="UXO2" s="230"/>
      <c r="UXP2" s="231"/>
      <c r="UXQ2" s="229" t="s">
        <v>13328</v>
      </c>
      <c r="UXR2" s="230"/>
      <c r="UXS2" s="230"/>
      <c r="UXT2" s="231"/>
      <c r="UXU2" s="229" t="s">
        <v>13328</v>
      </c>
      <c r="UXV2" s="230"/>
      <c r="UXW2" s="230"/>
      <c r="UXX2" s="231"/>
      <c r="UXY2" s="229" t="s">
        <v>13328</v>
      </c>
      <c r="UXZ2" s="230"/>
      <c r="UYA2" s="230"/>
      <c r="UYB2" s="231"/>
      <c r="UYC2" s="229" t="s">
        <v>13328</v>
      </c>
      <c r="UYD2" s="230"/>
      <c r="UYE2" s="230"/>
      <c r="UYF2" s="231"/>
      <c r="UYG2" s="229" t="s">
        <v>13328</v>
      </c>
      <c r="UYH2" s="230"/>
      <c r="UYI2" s="230"/>
      <c r="UYJ2" s="231"/>
      <c r="UYK2" s="229" t="s">
        <v>13328</v>
      </c>
      <c r="UYL2" s="230"/>
      <c r="UYM2" s="230"/>
      <c r="UYN2" s="231"/>
      <c r="UYO2" s="229" t="s">
        <v>13328</v>
      </c>
      <c r="UYP2" s="230"/>
      <c r="UYQ2" s="230"/>
      <c r="UYR2" s="231"/>
      <c r="UYS2" s="229" t="s">
        <v>13328</v>
      </c>
      <c r="UYT2" s="230"/>
      <c r="UYU2" s="230"/>
      <c r="UYV2" s="231"/>
      <c r="UYW2" s="229" t="s">
        <v>13328</v>
      </c>
      <c r="UYX2" s="230"/>
      <c r="UYY2" s="230"/>
      <c r="UYZ2" s="231"/>
      <c r="UZA2" s="229" t="s">
        <v>13328</v>
      </c>
      <c r="UZB2" s="230"/>
      <c r="UZC2" s="230"/>
      <c r="UZD2" s="231"/>
      <c r="UZE2" s="229" t="s">
        <v>13328</v>
      </c>
      <c r="UZF2" s="230"/>
      <c r="UZG2" s="230"/>
      <c r="UZH2" s="231"/>
      <c r="UZI2" s="229" t="s">
        <v>13328</v>
      </c>
      <c r="UZJ2" s="230"/>
      <c r="UZK2" s="230"/>
      <c r="UZL2" s="231"/>
      <c r="UZM2" s="229" t="s">
        <v>13328</v>
      </c>
      <c r="UZN2" s="230"/>
      <c r="UZO2" s="230"/>
      <c r="UZP2" s="231"/>
      <c r="UZQ2" s="229" t="s">
        <v>13328</v>
      </c>
      <c r="UZR2" s="230"/>
      <c r="UZS2" s="230"/>
      <c r="UZT2" s="231"/>
      <c r="UZU2" s="229" t="s">
        <v>13328</v>
      </c>
      <c r="UZV2" s="230"/>
      <c r="UZW2" s="230"/>
      <c r="UZX2" s="231"/>
      <c r="UZY2" s="229" t="s">
        <v>13328</v>
      </c>
      <c r="UZZ2" s="230"/>
      <c r="VAA2" s="230"/>
      <c r="VAB2" s="231"/>
      <c r="VAC2" s="229" t="s">
        <v>13328</v>
      </c>
      <c r="VAD2" s="230"/>
      <c r="VAE2" s="230"/>
      <c r="VAF2" s="231"/>
      <c r="VAG2" s="229" t="s">
        <v>13328</v>
      </c>
      <c r="VAH2" s="230"/>
      <c r="VAI2" s="230"/>
      <c r="VAJ2" s="231"/>
      <c r="VAK2" s="229" t="s">
        <v>13328</v>
      </c>
      <c r="VAL2" s="230"/>
      <c r="VAM2" s="230"/>
      <c r="VAN2" s="231"/>
      <c r="VAO2" s="229" t="s">
        <v>13328</v>
      </c>
      <c r="VAP2" s="230"/>
      <c r="VAQ2" s="230"/>
      <c r="VAR2" s="231"/>
      <c r="VAS2" s="229" t="s">
        <v>13328</v>
      </c>
      <c r="VAT2" s="230"/>
      <c r="VAU2" s="230"/>
      <c r="VAV2" s="231"/>
      <c r="VAW2" s="229" t="s">
        <v>13328</v>
      </c>
      <c r="VAX2" s="230"/>
      <c r="VAY2" s="230"/>
      <c r="VAZ2" s="231"/>
      <c r="VBA2" s="229" t="s">
        <v>13328</v>
      </c>
      <c r="VBB2" s="230"/>
      <c r="VBC2" s="230"/>
      <c r="VBD2" s="231"/>
      <c r="VBE2" s="229" t="s">
        <v>13328</v>
      </c>
      <c r="VBF2" s="230"/>
      <c r="VBG2" s="230"/>
      <c r="VBH2" s="231"/>
      <c r="VBI2" s="229" t="s">
        <v>13328</v>
      </c>
      <c r="VBJ2" s="230"/>
      <c r="VBK2" s="230"/>
      <c r="VBL2" s="231"/>
      <c r="VBM2" s="229" t="s">
        <v>13328</v>
      </c>
      <c r="VBN2" s="230"/>
      <c r="VBO2" s="230"/>
      <c r="VBP2" s="231"/>
      <c r="VBQ2" s="229" t="s">
        <v>13328</v>
      </c>
      <c r="VBR2" s="230"/>
      <c r="VBS2" s="230"/>
      <c r="VBT2" s="231"/>
      <c r="VBU2" s="229" t="s">
        <v>13328</v>
      </c>
      <c r="VBV2" s="230"/>
      <c r="VBW2" s="230"/>
      <c r="VBX2" s="231"/>
      <c r="VBY2" s="229" t="s">
        <v>13328</v>
      </c>
      <c r="VBZ2" s="230"/>
      <c r="VCA2" s="230"/>
      <c r="VCB2" s="231"/>
      <c r="VCC2" s="229" t="s">
        <v>13328</v>
      </c>
      <c r="VCD2" s="230"/>
      <c r="VCE2" s="230"/>
      <c r="VCF2" s="231"/>
      <c r="VCG2" s="229" t="s">
        <v>13328</v>
      </c>
      <c r="VCH2" s="230"/>
      <c r="VCI2" s="230"/>
      <c r="VCJ2" s="231"/>
      <c r="VCK2" s="229" t="s">
        <v>13328</v>
      </c>
      <c r="VCL2" s="230"/>
      <c r="VCM2" s="230"/>
      <c r="VCN2" s="231"/>
      <c r="VCO2" s="229" t="s">
        <v>13328</v>
      </c>
      <c r="VCP2" s="230"/>
      <c r="VCQ2" s="230"/>
      <c r="VCR2" s="231"/>
      <c r="VCS2" s="229" t="s">
        <v>13328</v>
      </c>
      <c r="VCT2" s="230"/>
      <c r="VCU2" s="230"/>
      <c r="VCV2" s="231"/>
      <c r="VCW2" s="229" t="s">
        <v>13328</v>
      </c>
      <c r="VCX2" s="230"/>
      <c r="VCY2" s="230"/>
      <c r="VCZ2" s="231"/>
      <c r="VDA2" s="229" t="s">
        <v>13328</v>
      </c>
      <c r="VDB2" s="230"/>
      <c r="VDC2" s="230"/>
      <c r="VDD2" s="231"/>
      <c r="VDE2" s="229" t="s">
        <v>13328</v>
      </c>
      <c r="VDF2" s="230"/>
      <c r="VDG2" s="230"/>
      <c r="VDH2" s="231"/>
      <c r="VDI2" s="229" t="s">
        <v>13328</v>
      </c>
      <c r="VDJ2" s="230"/>
      <c r="VDK2" s="230"/>
      <c r="VDL2" s="231"/>
      <c r="VDM2" s="229" t="s">
        <v>13328</v>
      </c>
      <c r="VDN2" s="230"/>
      <c r="VDO2" s="230"/>
      <c r="VDP2" s="231"/>
      <c r="VDQ2" s="229" t="s">
        <v>13328</v>
      </c>
      <c r="VDR2" s="230"/>
      <c r="VDS2" s="230"/>
      <c r="VDT2" s="231"/>
      <c r="VDU2" s="229" t="s">
        <v>13328</v>
      </c>
      <c r="VDV2" s="230"/>
      <c r="VDW2" s="230"/>
      <c r="VDX2" s="231"/>
      <c r="VDY2" s="229" t="s">
        <v>13328</v>
      </c>
      <c r="VDZ2" s="230"/>
      <c r="VEA2" s="230"/>
      <c r="VEB2" s="231"/>
      <c r="VEC2" s="229" t="s">
        <v>13328</v>
      </c>
      <c r="VED2" s="230"/>
      <c r="VEE2" s="230"/>
      <c r="VEF2" s="231"/>
      <c r="VEG2" s="229" t="s">
        <v>13328</v>
      </c>
      <c r="VEH2" s="230"/>
      <c r="VEI2" s="230"/>
      <c r="VEJ2" s="231"/>
      <c r="VEK2" s="229" t="s">
        <v>13328</v>
      </c>
      <c r="VEL2" s="230"/>
      <c r="VEM2" s="230"/>
      <c r="VEN2" s="231"/>
      <c r="VEO2" s="229" t="s">
        <v>13328</v>
      </c>
      <c r="VEP2" s="230"/>
      <c r="VEQ2" s="230"/>
      <c r="VER2" s="231"/>
      <c r="VES2" s="229" t="s">
        <v>13328</v>
      </c>
      <c r="VET2" s="230"/>
      <c r="VEU2" s="230"/>
      <c r="VEV2" s="231"/>
      <c r="VEW2" s="229" t="s">
        <v>13328</v>
      </c>
      <c r="VEX2" s="230"/>
      <c r="VEY2" s="230"/>
      <c r="VEZ2" s="231"/>
      <c r="VFA2" s="229" t="s">
        <v>13328</v>
      </c>
      <c r="VFB2" s="230"/>
      <c r="VFC2" s="230"/>
      <c r="VFD2" s="231"/>
      <c r="VFE2" s="229" t="s">
        <v>13328</v>
      </c>
      <c r="VFF2" s="230"/>
      <c r="VFG2" s="230"/>
      <c r="VFH2" s="231"/>
      <c r="VFI2" s="229" t="s">
        <v>13328</v>
      </c>
      <c r="VFJ2" s="230"/>
      <c r="VFK2" s="230"/>
      <c r="VFL2" s="231"/>
      <c r="VFM2" s="229" t="s">
        <v>13328</v>
      </c>
      <c r="VFN2" s="230"/>
      <c r="VFO2" s="230"/>
      <c r="VFP2" s="231"/>
      <c r="VFQ2" s="229" t="s">
        <v>13328</v>
      </c>
      <c r="VFR2" s="230"/>
      <c r="VFS2" s="230"/>
      <c r="VFT2" s="231"/>
      <c r="VFU2" s="229" t="s">
        <v>13328</v>
      </c>
      <c r="VFV2" s="230"/>
      <c r="VFW2" s="230"/>
      <c r="VFX2" s="231"/>
      <c r="VFY2" s="229" t="s">
        <v>13328</v>
      </c>
      <c r="VFZ2" s="230"/>
      <c r="VGA2" s="230"/>
      <c r="VGB2" s="231"/>
      <c r="VGC2" s="229" t="s">
        <v>13328</v>
      </c>
      <c r="VGD2" s="230"/>
      <c r="VGE2" s="230"/>
      <c r="VGF2" s="231"/>
      <c r="VGG2" s="229" t="s">
        <v>13328</v>
      </c>
      <c r="VGH2" s="230"/>
      <c r="VGI2" s="230"/>
      <c r="VGJ2" s="231"/>
      <c r="VGK2" s="229" t="s">
        <v>13328</v>
      </c>
      <c r="VGL2" s="230"/>
      <c r="VGM2" s="230"/>
      <c r="VGN2" s="231"/>
      <c r="VGO2" s="229" t="s">
        <v>13328</v>
      </c>
      <c r="VGP2" s="230"/>
      <c r="VGQ2" s="230"/>
      <c r="VGR2" s="231"/>
      <c r="VGS2" s="229" t="s">
        <v>13328</v>
      </c>
      <c r="VGT2" s="230"/>
      <c r="VGU2" s="230"/>
      <c r="VGV2" s="231"/>
      <c r="VGW2" s="229" t="s">
        <v>13328</v>
      </c>
      <c r="VGX2" s="230"/>
      <c r="VGY2" s="230"/>
      <c r="VGZ2" s="231"/>
      <c r="VHA2" s="229" t="s">
        <v>13328</v>
      </c>
      <c r="VHB2" s="230"/>
      <c r="VHC2" s="230"/>
      <c r="VHD2" s="231"/>
      <c r="VHE2" s="229" t="s">
        <v>13328</v>
      </c>
      <c r="VHF2" s="230"/>
      <c r="VHG2" s="230"/>
      <c r="VHH2" s="231"/>
      <c r="VHI2" s="229" t="s">
        <v>13328</v>
      </c>
      <c r="VHJ2" s="230"/>
      <c r="VHK2" s="230"/>
      <c r="VHL2" s="231"/>
      <c r="VHM2" s="229" t="s">
        <v>13328</v>
      </c>
      <c r="VHN2" s="230"/>
      <c r="VHO2" s="230"/>
      <c r="VHP2" s="231"/>
      <c r="VHQ2" s="229" t="s">
        <v>13328</v>
      </c>
      <c r="VHR2" s="230"/>
      <c r="VHS2" s="230"/>
      <c r="VHT2" s="231"/>
      <c r="VHU2" s="229" t="s">
        <v>13328</v>
      </c>
      <c r="VHV2" s="230"/>
      <c r="VHW2" s="230"/>
      <c r="VHX2" s="231"/>
      <c r="VHY2" s="229" t="s">
        <v>13328</v>
      </c>
      <c r="VHZ2" s="230"/>
      <c r="VIA2" s="230"/>
      <c r="VIB2" s="231"/>
      <c r="VIC2" s="229" t="s">
        <v>13328</v>
      </c>
      <c r="VID2" s="230"/>
      <c r="VIE2" s="230"/>
      <c r="VIF2" s="231"/>
      <c r="VIG2" s="229" t="s">
        <v>13328</v>
      </c>
      <c r="VIH2" s="230"/>
      <c r="VII2" s="230"/>
      <c r="VIJ2" s="231"/>
      <c r="VIK2" s="229" t="s">
        <v>13328</v>
      </c>
      <c r="VIL2" s="230"/>
      <c r="VIM2" s="230"/>
      <c r="VIN2" s="231"/>
      <c r="VIO2" s="229" t="s">
        <v>13328</v>
      </c>
      <c r="VIP2" s="230"/>
      <c r="VIQ2" s="230"/>
      <c r="VIR2" s="231"/>
      <c r="VIS2" s="229" t="s">
        <v>13328</v>
      </c>
      <c r="VIT2" s="230"/>
      <c r="VIU2" s="230"/>
      <c r="VIV2" s="231"/>
      <c r="VIW2" s="229" t="s">
        <v>13328</v>
      </c>
      <c r="VIX2" s="230"/>
      <c r="VIY2" s="230"/>
      <c r="VIZ2" s="231"/>
      <c r="VJA2" s="229" t="s">
        <v>13328</v>
      </c>
      <c r="VJB2" s="230"/>
      <c r="VJC2" s="230"/>
      <c r="VJD2" s="231"/>
      <c r="VJE2" s="229" t="s">
        <v>13328</v>
      </c>
      <c r="VJF2" s="230"/>
      <c r="VJG2" s="230"/>
      <c r="VJH2" s="231"/>
      <c r="VJI2" s="229" t="s">
        <v>13328</v>
      </c>
      <c r="VJJ2" s="230"/>
      <c r="VJK2" s="230"/>
      <c r="VJL2" s="231"/>
      <c r="VJM2" s="229" t="s">
        <v>13328</v>
      </c>
      <c r="VJN2" s="230"/>
      <c r="VJO2" s="230"/>
      <c r="VJP2" s="231"/>
      <c r="VJQ2" s="229" t="s">
        <v>13328</v>
      </c>
      <c r="VJR2" s="230"/>
      <c r="VJS2" s="230"/>
      <c r="VJT2" s="231"/>
      <c r="VJU2" s="229" t="s">
        <v>13328</v>
      </c>
      <c r="VJV2" s="230"/>
      <c r="VJW2" s="230"/>
      <c r="VJX2" s="231"/>
      <c r="VJY2" s="229" t="s">
        <v>13328</v>
      </c>
      <c r="VJZ2" s="230"/>
      <c r="VKA2" s="230"/>
      <c r="VKB2" s="231"/>
      <c r="VKC2" s="229" t="s">
        <v>13328</v>
      </c>
      <c r="VKD2" s="230"/>
      <c r="VKE2" s="230"/>
      <c r="VKF2" s="231"/>
      <c r="VKG2" s="229" t="s">
        <v>13328</v>
      </c>
      <c r="VKH2" s="230"/>
      <c r="VKI2" s="230"/>
      <c r="VKJ2" s="231"/>
      <c r="VKK2" s="229" t="s">
        <v>13328</v>
      </c>
      <c r="VKL2" s="230"/>
      <c r="VKM2" s="230"/>
      <c r="VKN2" s="231"/>
      <c r="VKO2" s="229" t="s">
        <v>13328</v>
      </c>
      <c r="VKP2" s="230"/>
      <c r="VKQ2" s="230"/>
      <c r="VKR2" s="231"/>
      <c r="VKS2" s="229" t="s">
        <v>13328</v>
      </c>
      <c r="VKT2" s="230"/>
      <c r="VKU2" s="230"/>
      <c r="VKV2" s="231"/>
      <c r="VKW2" s="229" t="s">
        <v>13328</v>
      </c>
      <c r="VKX2" s="230"/>
      <c r="VKY2" s="230"/>
      <c r="VKZ2" s="231"/>
      <c r="VLA2" s="229" t="s">
        <v>13328</v>
      </c>
      <c r="VLB2" s="230"/>
      <c r="VLC2" s="230"/>
      <c r="VLD2" s="231"/>
      <c r="VLE2" s="229" t="s">
        <v>13328</v>
      </c>
      <c r="VLF2" s="230"/>
      <c r="VLG2" s="230"/>
      <c r="VLH2" s="231"/>
      <c r="VLI2" s="229" t="s">
        <v>13328</v>
      </c>
      <c r="VLJ2" s="230"/>
      <c r="VLK2" s="230"/>
      <c r="VLL2" s="231"/>
      <c r="VLM2" s="229" t="s">
        <v>13328</v>
      </c>
      <c r="VLN2" s="230"/>
      <c r="VLO2" s="230"/>
      <c r="VLP2" s="231"/>
      <c r="VLQ2" s="229" t="s">
        <v>13328</v>
      </c>
      <c r="VLR2" s="230"/>
      <c r="VLS2" s="230"/>
      <c r="VLT2" s="231"/>
      <c r="VLU2" s="229" t="s">
        <v>13328</v>
      </c>
      <c r="VLV2" s="230"/>
      <c r="VLW2" s="230"/>
      <c r="VLX2" s="231"/>
      <c r="VLY2" s="229" t="s">
        <v>13328</v>
      </c>
      <c r="VLZ2" s="230"/>
      <c r="VMA2" s="230"/>
      <c r="VMB2" s="231"/>
      <c r="VMC2" s="229" t="s">
        <v>13328</v>
      </c>
      <c r="VMD2" s="230"/>
      <c r="VME2" s="230"/>
      <c r="VMF2" s="231"/>
      <c r="VMG2" s="229" t="s">
        <v>13328</v>
      </c>
      <c r="VMH2" s="230"/>
      <c r="VMI2" s="230"/>
      <c r="VMJ2" s="231"/>
      <c r="VMK2" s="229" t="s">
        <v>13328</v>
      </c>
      <c r="VML2" s="230"/>
      <c r="VMM2" s="230"/>
      <c r="VMN2" s="231"/>
      <c r="VMO2" s="229" t="s">
        <v>13328</v>
      </c>
      <c r="VMP2" s="230"/>
      <c r="VMQ2" s="230"/>
      <c r="VMR2" s="231"/>
      <c r="VMS2" s="229" t="s">
        <v>13328</v>
      </c>
      <c r="VMT2" s="230"/>
      <c r="VMU2" s="230"/>
      <c r="VMV2" s="231"/>
      <c r="VMW2" s="229" t="s">
        <v>13328</v>
      </c>
      <c r="VMX2" s="230"/>
      <c r="VMY2" s="230"/>
      <c r="VMZ2" s="231"/>
      <c r="VNA2" s="229" t="s">
        <v>13328</v>
      </c>
      <c r="VNB2" s="230"/>
      <c r="VNC2" s="230"/>
      <c r="VND2" s="231"/>
      <c r="VNE2" s="229" t="s">
        <v>13328</v>
      </c>
      <c r="VNF2" s="230"/>
      <c r="VNG2" s="230"/>
      <c r="VNH2" s="231"/>
      <c r="VNI2" s="229" t="s">
        <v>13328</v>
      </c>
      <c r="VNJ2" s="230"/>
      <c r="VNK2" s="230"/>
      <c r="VNL2" s="231"/>
      <c r="VNM2" s="229" t="s">
        <v>13328</v>
      </c>
      <c r="VNN2" s="230"/>
      <c r="VNO2" s="230"/>
      <c r="VNP2" s="231"/>
      <c r="VNQ2" s="229" t="s">
        <v>13328</v>
      </c>
      <c r="VNR2" s="230"/>
      <c r="VNS2" s="230"/>
      <c r="VNT2" s="231"/>
      <c r="VNU2" s="229" t="s">
        <v>13328</v>
      </c>
      <c r="VNV2" s="230"/>
      <c r="VNW2" s="230"/>
      <c r="VNX2" s="231"/>
      <c r="VNY2" s="229" t="s">
        <v>13328</v>
      </c>
      <c r="VNZ2" s="230"/>
      <c r="VOA2" s="230"/>
      <c r="VOB2" s="231"/>
      <c r="VOC2" s="229" t="s">
        <v>13328</v>
      </c>
      <c r="VOD2" s="230"/>
      <c r="VOE2" s="230"/>
      <c r="VOF2" s="231"/>
      <c r="VOG2" s="229" t="s">
        <v>13328</v>
      </c>
      <c r="VOH2" s="230"/>
      <c r="VOI2" s="230"/>
      <c r="VOJ2" s="231"/>
      <c r="VOK2" s="229" t="s">
        <v>13328</v>
      </c>
      <c r="VOL2" s="230"/>
      <c r="VOM2" s="230"/>
      <c r="VON2" s="231"/>
      <c r="VOO2" s="229" t="s">
        <v>13328</v>
      </c>
      <c r="VOP2" s="230"/>
      <c r="VOQ2" s="230"/>
      <c r="VOR2" s="231"/>
      <c r="VOS2" s="229" t="s">
        <v>13328</v>
      </c>
      <c r="VOT2" s="230"/>
      <c r="VOU2" s="230"/>
      <c r="VOV2" s="231"/>
      <c r="VOW2" s="229" t="s">
        <v>13328</v>
      </c>
      <c r="VOX2" s="230"/>
      <c r="VOY2" s="230"/>
      <c r="VOZ2" s="231"/>
      <c r="VPA2" s="229" t="s">
        <v>13328</v>
      </c>
      <c r="VPB2" s="230"/>
      <c r="VPC2" s="230"/>
      <c r="VPD2" s="231"/>
      <c r="VPE2" s="229" t="s">
        <v>13328</v>
      </c>
      <c r="VPF2" s="230"/>
      <c r="VPG2" s="230"/>
      <c r="VPH2" s="231"/>
      <c r="VPI2" s="229" t="s">
        <v>13328</v>
      </c>
      <c r="VPJ2" s="230"/>
      <c r="VPK2" s="230"/>
      <c r="VPL2" s="231"/>
      <c r="VPM2" s="229" t="s">
        <v>13328</v>
      </c>
      <c r="VPN2" s="230"/>
      <c r="VPO2" s="230"/>
      <c r="VPP2" s="231"/>
      <c r="VPQ2" s="229" t="s">
        <v>13328</v>
      </c>
      <c r="VPR2" s="230"/>
      <c r="VPS2" s="230"/>
      <c r="VPT2" s="231"/>
      <c r="VPU2" s="229" t="s">
        <v>13328</v>
      </c>
      <c r="VPV2" s="230"/>
      <c r="VPW2" s="230"/>
      <c r="VPX2" s="231"/>
      <c r="VPY2" s="229" t="s">
        <v>13328</v>
      </c>
      <c r="VPZ2" s="230"/>
      <c r="VQA2" s="230"/>
      <c r="VQB2" s="231"/>
      <c r="VQC2" s="229" t="s">
        <v>13328</v>
      </c>
      <c r="VQD2" s="230"/>
      <c r="VQE2" s="230"/>
      <c r="VQF2" s="231"/>
      <c r="VQG2" s="229" t="s">
        <v>13328</v>
      </c>
      <c r="VQH2" s="230"/>
      <c r="VQI2" s="230"/>
      <c r="VQJ2" s="231"/>
      <c r="VQK2" s="229" t="s">
        <v>13328</v>
      </c>
      <c r="VQL2" s="230"/>
      <c r="VQM2" s="230"/>
      <c r="VQN2" s="231"/>
      <c r="VQO2" s="229" t="s">
        <v>13328</v>
      </c>
      <c r="VQP2" s="230"/>
      <c r="VQQ2" s="230"/>
      <c r="VQR2" s="231"/>
      <c r="VQS2" s="229" t="s">
        <v>13328</v>
      </c>
      <c r="VQT2" s="230"/>
      <c r="VQU2" s="230"/>
      <c r="VQV2" s="231"/>
      <c r="VQW2" s="229" t="s">
        <v>13328</v>
      </c>
      <c r="VQX2" s="230"/>
      <c r="VQY2" s="230"/>
      <c r="VQZ2" s="231"/>
      <c r="VRA2" s="229" t="s">
        <v>13328</v>
      </c>
      <c r="VRB2" s="230"/>
      <c r="VRC2" s="230"/>
      <c r="VRD2" s="231"/>
      <c r="VRE2" s="229" t="s">
        <v>13328</v>
      </c>
      <c r="VRF2" s="230"/>
      <c r="VRG2" s="230"/>
      <c r="VRH2" s="231"/>
      <c r="VRI2" s="229" t="s">
        <v>13328</v>
      </c>
      <c r="VRJ2" s="230"/>
      <c r="VRK2" s="230"/>
      <c r="VRL2" s="231"/>
      <c r="VRM2" s="229" t="s">
        <v>13328</v>
      </c>
      <c r="VRN2" s="230"/>
      <c r="VRO2" s="230"/>
      <c r="VRP2" s="231"/>
      <c r="VRQ2" s="229" t="s">
        <v>13328</v>
      </c>
      <c r="VRR2" s="230"/>
      <c r="VRS2" s="230"/>
      <c r="VRT2" s="231"/>
      <c r="VRU2" s="229" t="s">
        <v>13328</v>
      </c>
      <c r="VRV2" s="230"/>
      <c r="VRW2" s="230"/>
      <c r="VRX2" s="231"/>
      <c r="VRY2" s="229" t="s">
        <v>13328</v>
      </c>
      <c r="VRZ2" s="230"/>
      <c r="VSA2" s="230"/>
      <c r="VSB2" s="231"/>
      <c r="VSC2" s="229" t="s">
        <v>13328</v>
      </c>
      <c r="VSD2" s="230"/>
      <c r="VSE2" s="230"/>
      <c r="VSF2" s="231"/>
      <c r="VSG2" s="229" t="s">
        <v>13328</v>
      </c>
      <c r="VSH2" s="230"/>
      <c r="VSI2" s="230"/>
      <c r="VSJ2" s="231"/>
      <c r="VSK2" s="229" t="s">
        <v>13328</v>
      </c>
      <c r="VSL2" s="230"/>
      <c r="VSM2" s="230"/>
      <c r="VSN2" s="231"/>
      <c r="VSO2" s="229" t="s">
        <v>13328</v>
      </c>
      <c r="VSP2" s="230"/>
      <c r="VSQ2" s="230"/>
      <c r="VSR2" s="231"/>
      <c r="VSS2" s="229" t="s">
        <v>13328</v>
      </c>
      <c r="VST2" s="230"/>
      <c r="VSU2" s="230"/>
      <c r="VSV2" s="231"/>
      <c r="VSW2" s="229" t="s">
        <v>13328</v>
      </c>
      <c r="VSX2" s="230"/>
      <c r="VSY2" s="230"/>
      <c r="VSZ2" s="231"/>
      <c r="VTA2" s="229" t="s">
        <v>13328</v>
      </c>
      <c r="VTB2" s="230"/>
      <c r="VTC2" s="230"/>
      <c r="VTD2" s="231"/>
      <c r="VTE2" s="229" t="s">
        <v>13328</v>
      </c>
      <c r="VTF2" s="230"/>
      <c r="VTG2" s="230"/>
      <c r="VTH2" s="231"/>
      <c r="VTI2" s="229" t="s">
        <v>13328</v>
      </c>
      <c r="VTJ2" s="230"/>
      <c r="VTK2" s="230"/>
      <c r="VTL2" s="231"/>
      <c r="VTM2" s="229" t="s">
        <v>13328</v>
      </c>
      <c r="VTN2" s="230"/>
      <c r="VTO2" s="230"/>
      <c r="VTP2" s="231"/>
      <c r="VTQ2" s="229" t="s">
        <v>13328</v>
      </c>
      <c r="VTR2" s="230"/>
      <c r="VTS2" s="230"/>
      <c r="VTT2" s="231"/>
      <c r="VTU2" s="229" t="s">
        <v>13328</v>
      </c>
      <c r="VTV2" s="230"/>
      <c r="VTW2" s="230"/>
      <c r="VTX2" s="231"/>
      <c r="VTY2" s="229" t="s">
        <v>13328</v>
      </c>
      <c r="VTZ2" s="230"/>
      <c r="VUA2" s="230"/>
      <c r="VUB2" s="231"/>
      <c r="VUC2" s="229" t="s">
        <v>13328</v>
      </c>
      <c r="VUD2" s="230"/>
      <c r="VUE2" s="230"/>
      <c r="VUF2" s="231"/>
      <c r="VUG2" s="229" t="s">
        <v>13328</v>
      </c>
      <c r="VUH2" s="230"/>
      <c r="VUI2" s="230"/>
      <c r="VUJ2" s="231"/>
      <c r="VUK2" s="229" t="s">
        <v>13328</v>
      </c>
      <c r="VUL2" s="230"/>
      <c r="VUM2" s="230"/>
      <c r="VUN2" s="231"/>
      <c r="VUO2" s="229" t="s">
        <v>13328</v>
      </c>
      <c r="VUP2" s="230"/>
      <c r="VUQ2" s="230"/>
      <c r="VUR2" s="231"/>
      <c r="VUS2" s="229" t="s">
        <v>13328</v>
      </c>
      <c r="VUT2" s="230"/>
      <c r="VUU2" s="230"/>
      <c r="VUV2" s="231"/>
      <c r="VUW2" s="229" t="s">
        <v>13328</v>
      </c>
      <c r="VUX2" s="230"/>
      <c r="VUY2" s="230"/>
      <c r="VUZ2" s="231"/>
      <c r="VVA2" s="229" t="s">
        <v>13328</v>
      </c>
      <c r="VVB2" s="230"/>
      <c r="VVC2" s="230"/>
      <c r="VVD2" s="231"/>
      <c r="VVE2" s="229" t="s">
        <v>13328</v>
      </c>
      <c r="VVF2" s="230"/>
      <c r="VVG2" s="230"/>
      <c r="VVH2" s="231"/>
      <c r="VVI2" s="229" t="s">
        <v>13328</v>
      </c>
      <c r="VVJ2" s="230"/>
      <c r="VVK2" s="230"/>
      <c r="VVL2" s="231"/>
      <c r="VVM2" s="229" t="s">
        <v>13328</v>
      </c>
      <c r="VVN2" s="230"/>
      <c r="VVO2" s="230"/>
      <c r="VVP2" s="231"/>
      <c r="VVQ2" s="229" t="s">
        <v>13328</v>
      </c>
      <c r="VVR2" s="230"/>
      <c r="VVS2" s="230"/>
      <c r="VVT2" s="231"/>
      <c r="VVU2" s="229" t="s">
        <v>13328</v>
      </c>
      <c r="VVV2" s="230"/>
      <c r="VVW2" s="230"/>
      <c r="VVX2" s="231"/>
      <c r="VVY2" s="229" t="s">
        <v>13328</v>
      </c>
      <c r="VVZ2" s="230"/>
      <c r="VWA2" s="230"/>
      <c r="VWB2" s="231"/>
      <c r="VWC2" s="229" t="s">
        <v>13328</v>
      </c>
      <c r="VWD2" s="230"/>
      <c r="VWE2" s="230"/>
      <c r="VWF2" s="231"/>
      <c r="VWG2" s="229" t="s">
        <v>13328</v>
      </c>
      <c r="VWH2" s="230"/>
      <c r="VWI2" s="230"/>
      <c r="VWJ2" s="231"/>
      <c r="VWK2" s="229" t="s">
        <v>13328</v>
      </c>
      <c r="VWL2" s="230"/>
      <c r="VWM2" s="230"/>
      <c r="VWN2" s="231"/>
      <c r="VWO2" s="229" t="s">
        <v>13328</v>
      </c>
      <c r="VWP2" s="230"/>
      <c r="VWQ2" s="230"/>
      <c r="VWR2" s="231"/>
      <c r="VWS2" s="229" t="s">
        <v>13328</v>
      </c>
      <c r="VWT2" s="230"/>
      <c r="VWU2" s="230"/>
      <c r="VWV2" s="231"/>
      <c r="VWW2" s="229" t="s">
        <v>13328</v>
      </c>
      <c r="VWX2" s="230"/>
      <c r="VWY2" s="230"/>
      <c r="VWZ2" s="231"/>
      <c r="VXA2" s="229" t="s">
        <v>13328</v>
      </c>
      <c r="VXB2" s="230"/>
      <c r="VXC2" s="230"/>
      <c r="VXD2" s="231"/>
      <c r="VXE2" s="229" t="s">
        <v>13328</v>
      </c>
      <c r="VXF2" s="230"/>
      <c r="VXG2" s="230"/>
      <c r="VXH2" s="231"/>
      <c r="VXI2" s="229" t="s">
        <v>13328</v>
      </c>
      <c r="VXJ2" s="230"/>
      <c r="VXK2" s="230"/>
      <c r="VXL2" s="231"/>
      <c r="VXM2" s="229" t="s">
        <v>13328</v>
      </c>
      <c r="VXN2" s="230"/>
      <c r="VXO2" s="230"/>
      <c r="VXP2" s="231"/>
      <c r="VXQ2" s="229" t="s">
        <v>13328</v>
      </c>
      <c r="VXR2" s="230"/>
      <c r="VXS2" s="230"/>
      <c r="VXT2" s="231"/>
      <c r="VXU2" s="229" t="s">
        <v>13328</v>
      </c>
      <c r="VXV2" s="230"/>
      <c r="VXW2" s="230"/>
      <c r="VXX2" s="231"/>
      <c r="VXY2" s="229" t="s">
        <v>13328</v>
      </c>
      <c r="VXZ2" s="230"/>
      <c r="VYA2" s="230"/>
      <c r="VYB2" s="231"/>
      <c r="VYC2" s="229" t="s">
        <v>13328</v>
      </c>
      <c r="VYD2" s="230"/>
      <c r="VYE2" s="230"/>
      <c r="VYF2" s="231"/>
      <c r="VYG2" s="229" t="s">
        <v>13328</v>
      </c>
      <c r="VYH2" s="230"/>
      <c r="VYI2" s="230"/>
      <c r="VYJ2" s="231"/>
      <c r="VYK2" s="229" t="s">
        <v>13328</v>
      </c>
      <c r="VYL2" s="230"/>
      <c r="VYM2" s="230"/>
      <c r="VYN2" s="231"/>
      <c r="VYO2" s="229" t="s">
        <v>13328</v>
      </c>
      <c r="VYP2" s="230"/>
      <c r="VYQ2" s="230"/>
      <c r="VYR2" s="231"/>
      <c r="VYS2" s="229" t="s">
        <v>13328</v>
      </c>
      <c r="VYT2" s="230"/>
      <c r="VYU2" s="230"/>
      <c r="VYV2" s="231"/>
      <c r="VYW2" s="229" t="s">
        <v>13328</v>
      </c>
      <c r="VYX2" s="230"/>
      <c r="VYY2" s="230"/>
      <c r="VYZ2" s="231"/>
      <c r="VZA2" s="229" t="s">
        <v>13328</v>
      </c>
      <c r="VZB2" s="230"/>
      <c r="VZC2" s="230"/>
      <c r="VZD2" s="231"/>
      <c r="VZE2" s="229" t="s">
        <v>13328</v>
      </c>
      <c r="VZF2" s="230"/>
      <c r="VZG2" s="230"/>
      <c r="VZH2" s="231"/>
      <c r="VZI2" s="229" t="s">
        <v>13328</v>
      </c>
      <c r="VZJ2" s="230"/>
      <c r="VZK2" s="230"/>
      <c r="VZL2" s="231"/>
      <c r="VZM2" s="229" t="s">
        <v>13328</v>
      </c>
      <c r="VZN2" s="230"/>
      <c r="VZO2" s="230"/>
      <c r="VZP2" s="231"/>
      <c r="VZQ2" s="229" t="s">
        <v>13328</v>
      </c>
      <c r="VZR2" s="230"/>
      <c r="VZS2" s="230"/>
      <c r="VZT2" s="231"/>
      <c r="VZU2" s="229" t="s">
        <v>13328</v>
      </c>
      <c r="VZV2" s="230"/>
      <c r="VZW2" s="230"/>
      <c r="VZX2" s="231"/>
      <c r="VZY2" s="229" t="s">
        <v>13328</v>
      </c>
      <c r="VZZ2" s="230"/>
      <c r="WAA2" s="230"/>
      <c r="WAB2" s="231"/>
      <c r="WAC2" s="229" t="s">
        <v>13328</v>
      </c>
      <c r="WAD2" s="230"/>
      <c r="WAE2" s="230"/>
      <c r="WAF2" s="231"/>
      <c r="WAG2" s="229" t="s">
        <v>13328</v>
      </c>
      <c r="WAH2" s="230"/>
      <c r="WAI2" s="230"/>
      <c r="WAJ2" s="231"/>
      <c r="WAK2" s="229" t="s">
        <v>13328</v>
      </c>
      <c r="WAL2" s="230"/>
      <c r="WAM2" s="230"/>
      <c r="WAN2" s="231"/>
      <c r="WAO2" s="229" t="s">
        <v>13328</v>
      </c>
      <c r="WAP2" s="230"/>
      <c r="WAQ2" s="230"/>
      <c r="WAR2" s="231"/>
      <c r="WAS2" s="229" t="s">
        <v>13328</v>
      </c>
      <c r="WAT2" s="230"/>
      <c r="WAU2" s="230"/>
      <c r="WAV2" s="231"/>
      <c r="WAW2" s="229" t="s">
        <v>13328</v>
      </c>
      <c r="WAX2" s="230"/>
      <c r="WAY2" s="230"/>
      <c r="WAZ2" s="231"/>
      <c r="WBA2" s="229" t="s">
        <v>13328</v>
      </c>
      <c r="WBB2" s="230"/>
      <c r="WBC2" s="230"/>
      <c r="WBD2" s="231"/>
      <c r="WBE2" s="229" t="s">
        <v>13328</v>
      </c>
      <c r="WBF2" s="230"/>
      <c r="WBG2" s="230"/>
      <c r="WBH2" s="231"/>
      <c r="WBI2" s="229" t="s">
        <v>13328</v>
      </c>
      <c r="WBJ2" s="230"/>
      <c r="WBK2" s="230"/>
      <c r="WBL2" s="231"/>
      <c r="WBM2" s="229" t="s">
        <v>13328</v>
      </c>
      <c r="WBN2" s="230"/>
      <c r="WBO2" s="230"/>
      <c r="WBP2" s="231"/>
      <c r="WBQ2" s="229" t="s">
        <v>13328</v>
      </c>
      <c r="WBR2" s="230"/>
      <c r="WBS2" s="230"/>
      <c r="WBT2" s="231"/>
      <c r="WBU2" s="229" t="s">
        <v>13328</v>
      </c>
      <c r="WBV2" s="230"/>
      <c r="WBW2" s="230"/>
      <c r="WBX2" s="231"/>
      <c r="WBY2" s="229" t="s">
        <v>13328</v>
      </c>
      <c r="WBZ2" s="230"/>
      <c r="WCA2" s="230"/>
      <c r="WCB2" s="231"/>
      <c r="WCC2" s="229" t="s">
        <v>13328</v>
      </c>
      <c r="WCD2" s="230"/>
      <c r="WCE2" s="230"/>
      <c r="WCF2" s="231"/>
      <c r="WCG2" s="229" t="s">
        <v>13328</v>
      </c>
      <c r="WCH2" s="230"/>
      <c r="WCI2" s="230"/>
      <c r="WCJ2" s="231"/>
      <c r="WCK2" s="229" t="s">
        <v>13328</v>
      </c>
      <c r="WCL2" s="230"/>
      <c r="WCM2" s="230"/>
      <c r="WCN2" s="231"/>
      <c r="WCO2" s="229" t="s">
        <v>13328</v>
      </c>
      <c r="WCP2" s="230"/>
      <c r="WCQ2" s="230"/>
      <c r="WCR2" s="231"/>
      <c r="WCS2" s="229" t="s">
        <v>13328</v>
      </c>
      <c r="WCT2" s="230"/>
      <c r="WCU2" s="230"/>
      <c r="WCV2" s="231"/>
      <c r="WCW2" s="229" t="s">
        <v>13328</v>
      </c>
      <c r="WCX2" s="230"/>
      <c r="WCY2" s="230"/>
      <c r="WCZ2" s="231"/>
      <c r="WDA2" s="229" t="s">
        <v>13328</v>
      </c>
      <c r="WDB2" s="230"/>
      <c r="WDC2" s="230"/>
      <c r="WDD2" s="231"/>
      <c r="WDE2" s="229" t="s">
        <v>13328</v>
      </c>
      <c r="WDF2" s="230"/>
      <c r="WDG2" s="230"/>
      <c r="WDH2" s="231"/>
      <c r="WDI2" s="229" t="s">
        <v>13328</v>
      </c>
      <c r="WDJ2" s="230"/>
      <c r="WDK2" s="230"/>
      <c r="WDL2" s="231"/>
      <c r="WDM2" s="229" t="s">
        <v>13328</v>
      </c>
      <c r="WDN2" s="230"/>
      <c r="WDO2" s="230"/>
      <c r="WDP2" s="231"/>
      <c r="WDQ2" s="229" t="s">
        <v>13328</v>
      </c>
      <c r="WDR2" s="230"/>
      <c r="WDS2" s="230"/>
      <c r="WDT2" s="231"/>
      <c r="WDU2" s="229" t="s">
        <v>13328</v>
      </c>
      <c r="WDV2" s="230"/>
      <c r="WDW2" s="230"/>
      <c r="WDX2" s="231"/>
      <c r="WDY2" s="229" t="s">
        <v>13328</v>
      </c>
      <c r="WDZ2" s="230"/>
      <c r="WEA2" s="230"/>
      <c r="WEB2" s="231"/>
      <c r="WEC2" s="229" t="s">
        <v>13328</v>
      </c>
      <c r="WED2" s="230"/>
      <c r="WEE2" s="230"/>
      <c r="WEF2" s="231"/>
      <c r="WEG2" s="229" t="s">
        <v>13328</v>
      </c>
      <c r="WEH2" s="230"/>
      <c r="WEI2" s="230"/>
      <c r="WEJ2" s="231"/>
      <c r="WEK2" s="229" t="s">
        <v>13328</v>
      </c>
      <c r="WEL2" s="230"/>
      <c r="WEM2" s="230"/>
      <c r="WEN2" s="231"/>
      <c r="WEO2" s="229" t="s">
        <v>13328</v>
      </c>
      <c r="WEP2" s="230"/>
      <c r="WEQ2" s="230"/>
      <c r="WER2" s="231"/>
      <c r="WES2" s="229" t="s">
        <v>13328</v>
      </c>
      <c r="WET2" s="230"/>
      <c r="WEU2" s="230"/>
      <c r="WEV2" s="231"/>
      <c r="WEW2" s="229" t="s">
        <v>13328</v>
      </c>
      <c r="WEX2" s="230"/>
      <c r="WEY2" s="230"/>
      <c r="WEZ2" s="231"/>
      <c r="WFA2" s="229" t="s">
        <v>13328</v>
      </c>
      <c r="WFB2" s="230"/>
      <c r="WFC2" s="230"/>
      <c r="WFD2" s="231"/>
      <c r="WFE2" s="229" t="s">
        <v>13328</v>
      </c>
      <c r="WFF2" s="230"/>
      <c r="WFG2" s="230"/>
      <c r="WFH2" s="231"/>
      <c r="WFI2" s="229" t="s">
        <v>13328</v>
      </c>
      <c r="WFJ2" s="230"/>
      <c r="WFK2" s="230"/>
      <c r="WFL2" s="231"/>
      <c r="WFM2" s="229" t="s">
        <v>13328</v>
      </c>
      <c r="WFN2" s="230"/>
      <c r="WFO2" s="230"/>
      <c r="WFP2" s="231"/>
      <c r="WFQ2" s="229" t="s">
        <v>13328</v>
      </c>
      <c r="WFR2" s="230"/>
      <c r="WFS2" s="230"/>
      <c r="WFT2" s="231"/>
      <c r="WFU2" s="229" t="s">
        <v>13328</v>
      </c>
      <c r="WFV2" s="230"/>
      <c r="WFW2" s="230"/>
      <c r="WFX2" s="231"/>
      <c r="WFY2" s="229" t="s">
        <v>13328</v>
      </c>
      <c r="WFZ2" s="230"/>
      <c r="WGA2" s="230"/>
      <c r="WGB2" s="231"/>
      <c r="WGC2" s="229" t="s">
        <v>13328</v>
      </c>
      <c r="WGD2" s="230"/>
      <c r="WGE2" s="230"/>
      <c r="WGF2" s="231"/>
      <c r="WGG2" s="229" t="s">
        <v>13328</v>
      </c>
      <c r="WGH2" s="230"/>
      <c r="WGI2" s="230"/>
      <c r="WGJ2" s="231"/>
      <c r="WGK2" s="229" t="s">
        <v>13328</v>
      </c>
      <c r="WGL2" s="230"/>
      <c r="WGM2" s="230"/>
      <c r="WGN2" s="231"/>
      <c r="WGO2" s="229" t="s">
        <v>13328</v>
      </c>
      <c r="WGP2" s="230"/>
      <c r="WGQ2" s="230"/>
      <c r="WGR2" s="231"/>
      <c r="WGS2" s="229" t="s">
        <v>13328</v>
      </c>
      <c r="WGT2" s="230"/>
      <c r="WGU2" s="230"/>
      <c r="WGV2" s="231"/>
      <c r="WGW2" s="229" t="s">
        <v>13328</v>
      </c>
      <c r="WGX2" s="230"/>
      <c r="WGY2" s="230"/>
      <c r="WGZ2" s="231"/>
      <c r="WHA2" s="229" t="s">
        <v>13328</v>
      </c>
      <c r="WHB2" s="230"/>
      <c r="WHC2" s="230"/>
      <c r="WHD2" s="231"/>
      <c r="WHE2" s="229" t="s">
        <v>13328</v>
      </c>
      <c r="WHF2" s="230"/>
      <c r="WHG2" s="230"/>
      <c r="WHH2" s="231"/>
      <c r="WHI2" s="229" t="s">
        <v>13328</v>
      </c>
      <c r="WHJ2" s="230"/>
      <c r="WHK2" s="230"/>
      <c r="WHL2" s="231"/>
      <c r="WHM2" s="229" t="s">
        <v>13328</v>
      </c>
      <c r="WHN2" s="230"/>
      <c r="WHO2" s="230"/>
      <c r="WHP2" s="231"/>
      <c r="WHQ2" s="229" t="s">
        <v>13328</v>
      </c>
      <c r="WHR2" s="230"/>
      <c r="WHS2" s="230"/>
      <c r="WHT2" s="231"/>
      <c r="WHU2" s="229" t="s">
        <v>13328</v>
      </c>
      <c r="WHV2" s="230"/>
      <c r="WHW2" s="230"/>
      <c r="WHX2" s="231"/>
      <c r="WHY2" s="229" t="s">
        <v>13328</v>
      </c>
      <c r="WHZ2" s="230"/>
      <c r="WIA2" s="230"/>
      <c r="WIB2" s="231"/>
      <c r="WIC2" s="229" t="s">
        <v>13328</v>
      </c>
      <c r="WID2" s="230"/>
      <c r="WIE2" s="230"/>
      <c r="WIF2" s="231"/>
      <c r="WIG2" s="229" t="s">
        <v>13328</v>
      </c>
      <c r="WIH2" s="230"/>
      <c r="WII2" s="230"/>
      <c r="WIJ2" s="231"/>
      <c r="WIK2" s="229" t="s">
        <v>13328</v>
      </c>
      <c r="WIL2" s="230"/>
      <c r="WIM2" s="230"/>
      <c r="WIN2" s="231"/>
      <c r="WIO2" s="229" t="s">
        <v>13328</v>
      </c>
      <c r="WIP2" s="230"/>
      <c r="WIQ2" s="230"/>
      <c r="WIR2" s="231"/>
      <c r="WIS2" s="229" t="s">
        <v>13328</v>
      </c>
      <c r="WIT2" s="230"/>
      <c r="WIU2" s="230"/>
      <c r="WIV2" s="231"/>
      <c r="WIW2" s="229" t="s">
        <v>13328</v>
      </c>
      <c r="WIX2" s="230"/>
      <c r="WIY2" s="230"/>
      <c r="WIZ2" s="231"/>
      <c r="WJA2" s="229" t="s">
        <v>13328</v>
      </c>
      <c r="WJB2" s="230"/>
      <c r="WJC2" s="230"/>
      <c r="WJD2" s="231"/>
      <c r="WJE2" s="229" t="s">
        <v>13328</v>
      </c>
      <c r="WJF2" s="230"/>
      <c r="WJG2" s="230"/>
      <c r="WJH2" s="231"/>
      <c r="WJI2" s="229" t="s">
        <v>13328</v>
      </c>
      <c r="WJJ2" s="230"/>
      <c r="WJK2" s="230"/>
      <c r="WJL2" s="231"/>
      <c r="WJM2" s="229" t="s">
        <v>13328</v>
      </c>
      <c r="WJN2" s="230"/>
      <c r="WJO2" s="230"/>
      <c r="WJP2" s="231"/>
      <c r="WJQ2" s="229" t="s">
        <v>13328</v>
      </c>
      <c r="WJR2" s="230"/>
      <c r="WJS2" s="230"/>
      <c r="WJT2" s="231"/>
      <c r="WJU2" s="229" t="s">
        <v>13328</v>
      </c>
      <c r="WJV2" s="230"/>
      <c r="WJW2" s="230"/>
      <c r="WJX2" s="231"/>
      <c r="WJY2" s="229" t="s">
        <v>13328</v>
      </c>
      <c r="WJZ2" s="230"/>
      <c r="WKA2" s="230"/>
      <c r="WKB2" s="231"/>
      <c r="WKC2" s="229" t="s">
        <v>13328</v>
      </c>
      <c r="WKD2" s="230"/>
      <c r="WKE2" s="230"/>
      <c r="WKF2" s="231"/>
      <c r="WKG2" s="229" t="s">
        <v>13328</v>
      </c>
      <c r="WKH2" s="230"/>
      <c r="WKI2" s="230"/>
      <c r="WKJ2" s="231"/>
      <c r="WKK2" s="229" t="s">
        <v>13328</v>
      </c>
      <c r="WKL2" s="230"/>
      <c r="WKM2" s="230"/>
      <c r="WKN2" s="231"/>
      <c r="WKO2" s="229" t="s">
        <v>13328</v>
      </c>
      <c r="WKP2" s="230"/>
      <c r="WKQ2" s="230"/>
      <c r="WKR2" s="231"/>
      <c r="WKS2" s="229" t="s">
        <v>13328</v>
      </c>
      <c r="WKT2" s="230"/>
      <c r="WKU2" s="230"/>
      <c r="WKV2" s="231"/>
      <c r="WKW2" s="229" t="s">
        <v>13328</v>
      </c>
      <c r="WKX2" s="230"/>
      <c r="WKY2" s="230"/>
      <c r="WKZ2" s="231"/>
      <c r="WLA2" s="229" t="s">
        <v>13328</v>
      </c>
      <c r="WLB2" s="230"/>
      <c r="WLC2" s="230"/>
      <c r="WLD2" s="231"/>
      <c r="WLE2" s="229" t="s">
        <v>13328</v>
      </c>
      <c r="WLF2" s="230"/>
      <c r="WLG2" s="230"/>
      <c r="WLH2" s="231"/>
      <c r="WLI2" s="229" t="s">
        <v>13328</v>
      </c>
      <c r="WLJ2" s="230"/>
      <c r="WLK2" s="230"/>
      <c r="WLL2" s="231"/>
      <c r="WLM2" s="229" t="s">
        <v>13328</v>
      </c>
      <c r="WLN2" s="230"/>
      <c r="WLO2" s="230"/>
      <c r="WLP2" s="231"/>
      <c r="WLQ2" s="229" t="s">
        <v>13328</v>
      </c>
      <c r="WLR2" s="230"/>
      <c r="WLS2" s="230"/>
      <c r="WLT2" s="231"/>
      <c r="WLU2" s="229" t="s">
        <v>13328</v>
      </c>
      <c r="WLV2" s="230"/>
      <c r="WLW2" s="230"/>
      <c r="WLX2" s="231"/>
      <c r="WLY2" s="229" t="s">
        <v>13328</v>
      </c>
      <c r="WLZ2" s="230"/>
      <c r="WMA2" s="230"/>
      <c r="WMB2" s="231"/>
      <c r="WMC2" s="229" t="s">
        <v>13328</v>
      </c>
      <c r="WMD2" s="230"/>
      <c r="WME2" s="230"/>
      <c r="WMF2" s="231"/>
      <c r="WMG2" s="229" t="s">
        <v>13328</v>
      </c>
      <c r="WMH2" s="230"/>
      <c r="WMI2" s="230"/>
      <c r="WMJ2" s="231"/>
      <c r="WMK2" s="229" t="s">
        <v>13328</v>
      </c>
      <c r="WML2" s="230"/>
      <c r="WMM2" s="230"/>
      <c r="WMN2" s="231"/>
      <c r="WMO2" s="229" t="s">
        <v>13328</v>
      </c>
      <c r="WMP2" s="230"/>
      <c r="WMQ2" s="230"/>
      <c r="WMR2" s="231"/>
      <c r="WMS2" s="229" t="s">
        <v>13328</v>
      </c>
      <c r="WMT2" s="230"/>
      <c r="WMU2" s="230"/>
      <c r="WMV2" s="231"/>
      <c r="WMW2" s="229" t="s">
        <v>13328</v>
      </c>
      <c r="WMX2" s="230"/>
      <c r="WMY2" s="230"/>
      <c r="WMZ2" s="231"/>
      <c r="WNA2" s="229" t="s">
        <v>13328</v>
      </c>
      <c r="WNB2" s="230"/>
      <c r="WNC2" s="230"/>
      <c r="WND2" s="231"/>
      <c r="WNE2" s="229" t="s">
        <v>13328</v>
      </c>
      <c r="WNF2" s="230"/>
      <c r="WNG2" s="230"/>
      <c r="WNH2" s="231"/>
      <c r="WNI2" s="229" t="s">
        <v>13328</v>
      </c>
      <c r="WNJ2" s="230"/>
      <c r="WNK2" s="230"/>
      <c r="WNL2" s="231"/>
      <c r="WNM2" s="229" t="s">
        <v>13328</v>
      </c>
      <c r="WNN2" s="230"/>
      <c r="WNO2" s="230"/>
      <c r="WNP2" s="231"/>
      <c r="WNQ2" s="229" t="s">
        <v>13328</v>
      </c>
      <c r="WNR2" s="230"/>
      <c r="WNS2" s="230"/>
      <c r="WNT2" s="231"/>
      <c r="WNU2" s="229" t="s">
        <v>13328</v>
      </c>
      <c r="WNV2" s="230"/>
      <c r="WNW2" s="230"/>
      <c r="WNX2" s="231"/>
      <c r="WNY2" s="229" t="s">
        <v>13328</v>
      </c>
      <c r="WNZ2" s="230"/>
      <c r="WOA2" s="230"/>
      <c r="WOB2" s="231"/>
      <c r="WOC2" s="229" t="s">
        <v>13328</v>
      </c>
      <c r="WOD2" s="230"/>
      <c r="WOE2" s="230"/>
      <c r="WOF2" s="231"/>
      <c r="WOG2" s="229" t="s">
        <v>13328</v>
      </c>
      <c r="WOH2" s="230"/>
      <c r="WOI2" s="230"/>
      <c r="WOJ2" s="231"/>
      <c r="WOK2" s="229" t="s">
        <v>13328</v>
      </c>
      <c r="WOL2" s="230"/>
      <c r="WOM2" s="230"/>
      <c r="WON2" s="231"/>
      <c r="WOO2" s="229" t="s">
        <v>13328</v>
      </c>
      <c r="WOP2" s="230"/>
      <c r="WOQ2" s="230"/>
      <c r="WOR2" s="231"/>
      <c r="WOS2" s="229" t="s">
        <v>13328</v>
      </c>
      <c r="WOT2" s="230"/>
      <c r="WOU2" s="230"/>
      <c r="WOV2" s="231"/>
      <c r="WOW2" s="229" t="s">
        <v>13328</v>
      </c>
      <c r="WOX2" s="230"/>
      <c r="WOY2" s="230"/>
      <c r="WOZ2" s="231"/>
      <c r="WPA2" s="229" t="s">
        <v>13328</v>
      </c>
      <c r="WPB2" s="230"/>
      <c r="WPC2" s="230"/>
      <c r="WPD2" s="231"/>
      <c r="WPE2" s="229" t="s">
        <v>13328</v>
      </c>
      <c r="WPF2" s="230"/>
      <c r="WPG2" s="230"/>
      <c r="WPH2" s="231"/>
      <c r="WPI2" s="229" t="s">
        <v>13328</v>
      </c>
      <c r="WPJ2" s="230"/>
      <c r="WPK2" s="230"/>
      <c r="WPL2" s="231"/>
      <c r="WPM2" s="229" t="s">
        <v>13328</v>
      </c>
      <c r="WPN2" s="230"/>
      <c r="WPO2" s="230"/>
      <c r="WPP2" s="231"/>
      <c r="WPQ2" s="229" t="s">
        <v>13328</v>
      </c>
      <c r="WPR2" s="230"/>
      <c r="WPS2" s="230"/>
      <c r="WPT2" s="231"/>
      <c r="WPU2" s="229" t="s">
        <v>13328</v>
      </c>
      <c r="WPV2" s="230"/>
      <c r="WPW2" s="230"/>
      <c r="WPX2" s="231"/>
      <c r="WPY2" s="229" t="s">
        <v>13328</v>
      </c>
      <c r="WPZ2" s="230"/>
      <c r="WQA2" s="230"/>
      <c r="WQB2" s="231"/>
      <c r="WQC2" s="229" t="s">
        <v>13328</v>
      </c>
      <c r="WQD2" s="230"/>
      <c r="WQE2" s="230"/>
      <c r="WQF2" s="231"/>
      <c r="WQG2" s="229" t="s">
        <v>13328</v>
      </c>
      <c r="WQH2" s="230"/>
      <c r="WQI2" s="230"/>
      <c r="WQJ2" s="231"/>
      <c r="WQK2" s="229" t="s">
        <v>13328</v>
      </c>
      <c r="WQL2" s="230"/>
      <c r="WQM2" s="230"/>
      <c r="WQN2" s="231"/>
      <c r="WQO2" s="229" t="s">
        <v>13328</v>
      </c>
      <c r="WQP2" s="230"/>
      <c r="WQQ2" s="230"/>
      <c r="WQR2" s="231"/>
      <c r="WQS2" s="229" t="s">
        <v>13328</v>
      </c>
      <c r="WQT2" s="230"/>
      <c r="WQU2" s="230"/>
      <c r="WQV2" s="231"/>
      <c r="WQW2" s="229" t="s">
        <v>13328</v>
      </c>
      <c r="WQX2" s="230"/>
      <c r="WQY2" s="230"/>
      <c r="WQZ2" s="231"/>
      <c r="WRA2" s="229" t="s">
        <v>13328</v>
      </c>
      <c r="WRB2" s="230"/>
      <c r="WRC2" s="230"/>
      <c r="WRD2" s="231"/>
      <c r="WRE2" s="229" t="s">
        <v>13328</v>
      </c>
      <c r="WRF2" s="230"/>
      <c r="WRG2" s="230"/>
      <c r="WRH2" s="231"/>
      <c r="WRI2" s="229" t="s">
        <v>13328</v>
      </c>
      <c r="WRJ2" s="230"/>
      <c r="WRK2" s="230"/>
      <c r="WRL2" s="231"/>
      <c r="WRM2" s="229" t="s">
        <v>13328</v>
      </c>
      <c r="WRN2" s="230"/>
      <c r="WRO2" s="230"/>
      <c r="WRP2" s="231"/>
      <c r="WRQ2" s="229" t="s">
        <v>13328</v>
      </c>
      <c r="WRR2" s="230"/>
      <c r="WRS2" s="230"/>
      <c r="WRT2" s="231"/>
      <c r="WRU2" s="229" t="s">
        <v>13328</v>
      </c>
      <c r="WRV2" s="230"/>
      <c r="WRW2" s="230"/>
      <c r="WRX2" s="231"/>
      <c r="WRY2" s="229" t="s">
        <v>13328</v>
      </c>
      <c r="WRZ2" s="230"/>
      <c r="WSA2" s="230"/>
      <c r="WSB2" s="231"/>
      <c r="WSC2" s="229" t="s">
        <v>13328</v>
      </c>
      <c r="WSD2" s="230"/>
      <c r="WSE2" s="230"/>
      <c r="WSF2" s="231"/>
      <c r="WSG2" s="229" t="s">
        <v>13328</v>
      </c>
      <c r="WSH2" s="230"/>
      <c r="WSI2" s="230"/>
      <c r="WSJ2" s="231"/>
      <c r="WSK2" s="229" t="s">
        <v>13328</v>
      </c>
      <c r="WSL2" s="230"/>
      <c r="WSM2" s="230"/>
      <c r="WSN2" s="231"/>
      <c r="WSO2" s="229" t="s">
        <v>13328</v>
      </c>
      <c r="WSP2" s="230"/>
      <c r="WSQ2" s="230"/>
      <c r="WSR2" s="231"/>
      <c r="WSS2" s="229" t="s">
        <v>13328</v>
      </c>
      <c r="WST2" s="230"/>
      <c r="WSU2" s="230"/>
      <c r="WSV2" s="231"/>
      <c r="WSW2" s="229" t="s">
        <v>13328</v>
      </c>
      <c r="WSX2" s="230"/>
      <c r="WSY2" s="230"/>
      <c r="WSZ2" s="231"/>
      <c r="WTA2" s="229" t="s">
        <v>13328</v>
      </c>
      <c r="WTB2" s="230"/>
      <c r="WTC2" s="230"/>
      <c r="WTD2" s="231"/>
      <c r="WTE2" s="229" t="s">
        <v>13328</v>
      </c>
      <c r="WTF2" s="230"/>
      <c r="WTG2" s="230"/>
      <c r="WTH2" s="231"/>
      <c r="WTI2" s="229" t="s">
        <v>13328</v>
      </c>
      <c r="WTJ2" s="230"/>
      <c r="WTK2" s="230"/>
      <c r="WTL2" s="231"/>
      <c r="WTM2" s="229" t="s">
        <v>13328</v>
      </c>
      <c r="WTN2" s="230"/>
      <c r="WTO2" s="230"/>
      <c r="WTP2" s="231"/>
      <c r="WTQ2" s="229" t="s">
        <v>13328</v>
      </c>
      <c r="WTR2" s="230"/>
      <c r="WTS2" s="230"/>
      <c r="WTT2" s="231"/>
      <c r="WTU2" s="229" t="s">
        <v>13328</v>
      </c>
      <c r="WTV2" s="230"/>
      <c r="WTW2" s="230"/>
      <c r="WTX2" s="231"/>
      <c r="WTY2" s="229" t="s">
        <v>13328</v>
      </c>
      <c r="WTZ2" s="230"/>
      <c r="WUA2" s="230"/>
      <c r="WUB2" s="231"/>
      <c r="WUC2" s="229" t="s">
        <v>13328</v>
      </c>
      <c r="WUD2" s="230"/>
      <c r="WUE2" s="230"/>
      <c r="WUF2" s="231"/>
      <c r="WUG2" s="229" t="s">
        <v>13328</v>
      </c>
      <c r="WUH2" s="230"/>
      <c r="WUI2" s="230"/>
      <c r="WUJ2" s="231"/>
      <c r="WUK2" s="229" t="s">
        <v>13328</v>
      </c>
      <c r="WUL2" s="230"/>
      <c r="WUM2" s="230"/>
      <c r="WUN2" s="231"/>
      <c r="WUO2" s="229" t="s">
        <v>13328</v>
      </c>
      <c r="WUP2" s="230"/>
      <c r="WUQ2" s="230"/>
      <c r="WUR2" s="231"/>
      <c r="WUS2" s="229" t="s">
        <v>13328</v>
      </c>
      <c r="WUT2" s="230"/>
      <c r="WUU2" s="230"/>
      <c r="WUV2" s="231"/>
      <c r="WUW2" s="229" t="s">
        <v>13328</v>
      </c>
      <c r="WUX2" s="230"/>
      <c r="WUY2" s="230"/>
      <c r="WUZ2" s="231"/>
      <c r="WVA2" s="229" t="s">
        <v>13328</v>
      </c>
      <c r="WVB2" s="230"/>
      <c r="WVC2" s="230"/>
      <c r="WVD2" s="231"/>
      <c r="WVE2" s="229" t="s">
        <v>13328</v>
      </c>
      <c r="WVF2" s="230"/>
      <c r="WVG2" s="230"/>
      <c r="WVH2" s="231"/>
      <c r="WVI2" s="229" t="s">
        <v>13328</v>
      </c>
      <c r="WVJ2" s="230"/>
      <c r="WVK2" s="230"/>
      <c r="WVL2" s="231"/>
      <c r="WVM2" s="229" t="s">
        <v>13328</v>
      </c>
      <c r="WVN2" s="230"/>
      <c r="WVO2" s="230"/>
      <c r="WVP2" s="231"/>
      <c r="WVQ2" s="229" t="s">
        <v>13328</v>
      </c>
      <c r="WVR2" s="230"/>
      <c r="WVS2" s="230"/>
      <c r="WVT2" s="231"/>
      <c r="WVU2" s="229" t="s">
        <v>13328</v>
      </c>
      <c r="WVV2" s="230"/>
      <c r="WVW2" s="230"/>
      <c r="WVX2" s="231"/>
      <c r="WVY2" s="229" t="s">
        <v>13328</v>
      </c>
      <c r="WVZ2" s="230"/>
      <c r="WWA2" s="230"/>
      <c r="WWB2" s="231"/>
      <c r="WWC2" s="229" t="s">
        <v>13328</v>
      </c>
      <c r="WWD2" s="230"/>
      <c r="WWE2" s="230"/>
      <c r="WWF2" s="231"/>
      <c r="WWG2" s="229" t="s">
        <v>13328</v>
      </c>
      <c r="WWH2" s="230"/>
      <c r="WWI2" s="230"/>
      <c r="WWJ2" s="231"/>
      <c r="WWK2" s="229" t="s">
        <v>13328</v>
      </c>
      <c r="WWL2" s="230"/>
      <c r="WWM2" s="230"/>
      <c r="WWN2" s="231"/>
      <c r="WWO2" s="229" t="s">
        <v>13328</v>
      </c>
      <c r="WWP2" s="230"/>
      <c r="WWQ2" s="230"/>
      <c r="WWR2" s="231"/>
      <c r="WWS2" s="229" t="s">
        <v>13328</v>
      </c>
      <c r="WWT2" s="230"/>
      <c r="WWU2" s="230"/>
      <c r="WWV2" s="231"/>
      <c r="WWW2" s="229" t="s">
        <v>13328</v>
      </c>
      <c r="WWX2" s="230"/>
      <c r="WWY2" s="230"/>
      <c r="WWZ2" s="231"/>
      <c r="WXA2" s="229" t="s">
        <v>13328</v>
      </c>
      <c r="WXB2" s="230"/>
      <c r="WXC2" s="230"/>
      <c r="WXD2" s="231"/>
      <c r="WXE2" s="229" t="s">
        <v>13328</v>
      </c>
      <c r="WXF2" s="230"/>
      <c r="WXG2" s="230"/>
      <c r="WXH2" s="231"/>
      <c r="WXI2" s="229" t="s">
        <v>13328</v>
      </c>
      <c r="WXJ2" s="230"/>
      <c r="WXK2" s="230"/>
      <c r="WXL2" s="231"/>
      <c r="WXM2" s="229" t="s">
        <v>13328</v>
      </c>
      <c r="WXN2" s="230"/>
      <c r="WXO2" s="230"/>
      <c r="WXP2" s="231"/>
      <c r="WXQ2" s="229" t="s">
        <v>13328</v>
      </c>
      <c r="WXR2" s="230"/>
      <c r="WXS2" s="230"/>
      <c r="WXT2" s="231"/>
      <c r="WXU2" s="229" t="s">
        <v>13328</v>
      </c>
      <c r="WXV2" s="230"/>
      <c r="WXW2" s="230"/>
      <c r="WXX2" s="231"/>
      <c r="WXY2" s="229" t="s">
        <v>13328</v>
      </c>
      <c r="WXZ2" s="230"/>
      <c r="WYA2" s="230"/>
      <c r="WYB2" s="231"/>
      <c r="WYC2" s="229" t="s">
        <v>13328</v>
      </c>
      <c r="WYD2" s="230"/>
      <c r="WYE2" s="230"/>
      <c r="WYF2" s="231"/>
      <c r="WYG2" s="229" t="s">
        <v>13328</v>
      </c>
      <c r="WYH2" s="230"/>
      <c r="WYI2" s="230"/>
      <c r="WYJ2" s="231"/>
      <c r="WYK2" s="229" t="s">
        <v>13328</v>
      </c>
      <c r="WYL2" s="230"/>
      <c r="WYM2" s="230"/>
      <c r="WYN2" s="231"/>
      <c r="WYO2" s="229" t="s">
        <v>13328</v>
      </c>
      <c r="WYP2" s="230"/>
      <c r="WYQ2" s="230"/>
      <c r="WYR2" s="231"/>
      <c r="WYS2" s="229" t="s">
        <v>13328</v>
      </c>
      <c r="WYT2" s="230"/>
      <c r="WYU2" s="230"/>
      <c r="WYV2" s="231"/>
      <c r="WYW2" s="229" t="s">
        <v>13328</v>
      </c>
      <c r="WYX2" s="230"/>
      <c r="WYY2" s="230"/>
      <c r="WYZ2" s="231"/>
      <c r="WZA2" s="229" t="s">
        <v>13328</v>
      </c>
      <c r="WZB2" s="230"/>
      <c r="WZC2" s="230"/>
      <c r="WZD2" s="231"/>
      <c r="WZE2" s="229" t="s">
        <v>13328</v>
      </c>
      <c r="WZF2" s="230"/>
      <c r="WZG2" s="230"/>
      <c r="WZH2" s="231"/>
      <c r="WZI2" s="229" t="s">
        <v>13328</v>
      </c>
      <c r="WZJ2" s="230"/>
      <c r="WZK2" s="230"/>
      <c r="WZL2" s="231"/>
      <c r="WZM2" s="229" t="s">
        <v>13328</v>
      </c>
      <c r="WZN2" s="230"/>
      <c r="WZO2" s="230"/>
      <c r="WZP2" s="231"/>
      <c r="WZQ2" s="229" t="s">
        <v>13328</v>
      </c>
      <c r="WZR2" s="230"/>
      <c r="WZS2" s="230"/>
      <c r="WZT2" s="231"/>
      <c r="WZU2" s="229" t="s">
        <v>13328</v>
      </c>
      <c r="WZV2" s="230"/>
      <c r="WZW2" s="230"/>
      <c r="WZX2" s="231"/>
      <c r="WZY2" s="229" t="s">
        <v>13328</v>
      </c>
      <c r="WZZ2" s="230"/>
      <c r="XAA2" s="230"/>
      <c r="XAB2" s="231"/>
      <c r="XAC2" s="229" t="s">
        <v>13328</v>
      </c>
      <c r="XAD2" s="230"/>
      <c r="XAE2" s="230"/>
      <c r="XAF2" s="231"/>
      <c r="XAG2" s="229" t="s">
        <v>13328</v>
      </c>
      <c r="XAH2" s="230"/>
      <c r="XAI2" s="230"/>
      <c r="XAJ2" s="231"/>
      <c r="XAK2" s="229" t="s">
        <v>13328</v>
      </c>
      <c r="XAL2" s="230"/>
      <c r="XAM2" s="230"/>
      <c r="XAN2" s="231"/>
      <c r="XAO2" s="229" t="s">
        <v>13328</v>
      </c>
      <c r="XAP2" s="230"/>
      <c r="XAQ2" s="230"/>
      <c r="XAR2" s="231"/>
      <c r="XAS2" s="229" t="s">
        <v>13328</v>
      </c>
      <c r="XAT2" s="230"/>
      <c r="XAU2" s="230"/>
      <c r="XAV2" s="231"/>
      <c r="XAW2" s="229" t="s">
        <v>13328</v>
      </c>
      <c r="XAX2" s="230"/>
      <c r="XAY2" s="230"/>
      <c r="XAZ2" s="231"/>
      <c r="XBA2" s="229" t="s">
        <v>13328</v>
      </c>
      <c r="XBB2" s="230"/>
      <c r="XBC2" s="230"/>
      <c r="XBD2" s="231"/>
      <c r="XBE2" s="229" t="s">
        <v>13328</v>
      </c>
      <c r="XBF2" s="230"/>
      <c r="XBG2" s="230"/>
      <c r="XBH2" s="231"/>
      <c r="XBI2" s="229" t="s">
        <v>13328</v>
      </c>
      <c r="XBJ2" s="230"/>
      <c r="XBK2" s="230"/>
      <c r="XBL2" s="231"/>
      <c r="XBM2" s="229" t="s">
        <v>13328</v>
      </c>
      <c r="XBN2" s="230"/>
      <c r="XBO2" s="230"/>
      <c r="XBP2" s="231"/>
      <c r="XBQ2" s="229" t="s">
        <v>13328</v>
      </c>
      <c r="XBR2" s="230"/>
      <c r="XBS2" s="230"/>
      <c r="XBT2" s="231"/>
      <c r="XBU2" s="229" t="s">
        <v>13328</v>
      </c>
      <c r="XBV2" s="230"/>
      <c r="XBW2" s="230"/>
      <c r="XBX2" s="231"/>
      <c r="XBY2" s="229" t="s">
        <v>13328</v>
      </c>
      <c r="XBZ2" s="230"/>
      <c r="XCA2" s="230"/>
      <c r="XCB2" s="231"/>
      <c r="XCC2" s="229" t="s">
        <v>13328</v>
      </c>
      <c r="XCD2" s="230"/>
      <c r="XCE2" s="230"/>
      <c r="XCF2" s="231"/>
      <c r="XCG2" s="229" t="s">
        <v>13328</v>
      </c>
      <c r="XCH2" s="230"/>
      <c r="XCI2" s="230"/>
      <c r="XCJ2" s="231"/>
      <c r="XCK2" s="229" t="s">
        <v>13328</v>
      </c>
      <c r="XCL2" s="230"/>
      <c r="XCM2" s="230"/>
      <c r="XCN2" s="231"/>
      <c r="XCO2" s="229" t="s">
        <v>13328</v>
      </c>
      <c r="XCP2" s="230"/>
      <c r="XCQ2" s="230"/>
      <c r="XCR2" s="231"/>
      <c r="XCS2" s="229" t="s">
        <v>13328</v>
      </c>
      <c r="XCT2" s="230"/>
      <c r="XCU2" s="230"/>
      <c r="XCV2" s="231"/>
      <c r="XCW2" s="229" t="s">
        <v>13328</v>
      </c>
      <c r="XCX2" s="230"/>
      <c r="XCY2" s="230"/>
      <c r="XCZ2" s="231"/>
      <c r="XDA2" s="229" t="s">
        <v>13328</v>
      </c>
      <c r="XDB2" s="230"/>
      <c r="XDC2" s="230"/>
      <c r="XDD2" s="231"/>
      <c r="XDE2" s="229" t="s">
        <v>13328</v>
      </c>
      <c r="XDF2" s="230"/>
      <c r="XDG2" s="230"/>
      <c r="XDH2" s="231"/>
      <c r="XDI2" s="229" t="s">
        <v>13328</v>
      </c>
      <c r="XDJ2" s="230"/>
      <c r="XDK2" s="230"/>
      <c r="XDL2" s="231"/>
      <c r="XDM2" s="229" t="s">
        <v>13328</v>
      </c>
      <c r="XDN2" s="230"/>
      <c r="XDO2" s="230"/>
      <c r="XDP2" s="231"/>
      <c r="XDQ2" s="229" t="s">
        <v>13328</v>
      </c>
      <c r="XDR2" s="230"/>
      <c r="XDS2" s="230"/>
      <c r="XDT2" s="231"/>
      <c r="XDU2" s="229" t="s">
        <v>13328</v>
      </c>
      <c r="XDV2" s="230"/>
      <c r="XDW2" s="230"/>
      <c r="XDX2" s="231"/>
      <c r="XDY2" s="229" t="s">
        <v>13328</v>
      </c>
      <c r="XDZ2" s="230"/>
      <c r="XEA2" s="230"/>
      <c r="XEB2" s="231"/>
      <c r="XEC2" s="229" t="s">
        <v>13328</v>
      </c>
      <c r="XED2" s="230"/>
      <c r="XEE2" s="230"/>
      <c r="XEF2" s="231"/>
      <c r="XEG2" s="229" t="s">
        <v>13328</v>
      </c>
      <c r="XEH2" s="230"/>
      <c r="XEI2" s="230"/>
      <c r="XEJ2" s="231"/>
      <c r="XEK2" s="229" t="s">
        <v>13328</v>
      </c>
      <c r="XEL2" s="230"/>
      <c r="XEM2" s="230"/>
      <c r="XEN2" s="231"/>
      <c r="XEO2" s="229" t="s">
        <v>13328</v>
      </c>
      <c r="XEP2" s="230"/>
      <c r="XEQ2" s="230"/>
      <c r="XER2" s="231"/>
      <c r="XES2" s="229" t="s">
        <v>13328</v>
      </c>
      <c r="XET2" s="230"/>
      <c r="XEU2" s="230"/>
      <c r="XEV2" s="231"/>
      <c r="XEW2" s="229" t="s">
        <v>13328</v>
      </c>
      <c r="XEX2" s="230"/>
      <c r="XEY2" s="230"/>
      <c r="XEZ2" s="231"/>
      <c r="XFA2" s="229" t="s">
        <v>13328</v>
      </c>
      <c r="XFB2" s="229"/>
      <c r="XFC2" s="229"/>
      <c r="XFD2" s="229"/>
    </row>
    <row r="3" spans="1:16384" s="7" customFormat="1" x14ac:dyDescent="0.2">
      <c r="A3" s="229" t="s">
        <v>13329</v>
      </c>
      <c r="B3" s="230"/>
      <c r="C3" s="230"/>
      <c r="D3" s="231"/>
      <c r="E3" s="229" t="s">
        <v>13329</v>
      </c>
      <c r="F3" s="230"/>
      <c r="G3" s="230"/>
      <c r="H3" s="231"/>
      <c r="I3" s="229" t="s">
        <v>13329</v>
      </c>
      <c r="J3" s="230"/>
      <c r="K3" s="230"/>
      <c r="L3" s="231"/>
      <c r="M3" s="229" t="s">
        <v>13329</v>
      </c>
      <c r="N3" s="230"/>
      <c r="O3" s="230"/>
      <c r="P3" s="231"/>
      <c r="Q3" s="229" t="s">
        <v>13329</v>
      </c>
      <c r="R3" s="230"/>
      <c r="S3" s="230"/>
      <c r="T3" s="231"/>
      <c r="U3" s="229" t="s">
        <v>13329</v>
      </c>
      <c r="V3" s="230"/>
      <c r="W3" s="230"/>
      <c r="X3" s="231"/>
      <c r="Y3" s="229" t="s">
        <v>13329</v>
      </c>
      <c r="Z3" s="230"/>
      <c r="AA3" s="230"/>
      <c r="AB3" s="231"/>
      <c r="AC3" s="229" t="s">
        <v>13329</v>
      </c>
      <c r="AD3" s="230"/>
      <c r="AE3" s="230"/>
      <c r="AF3" s="231"/>
      <c r="AG3" s="229" t="s">
        <v>13329</v>
      </c>
      <c r="AH3" s="230"/>
      <c r="AI3" s="230"/>
      <c r="AJ3" s="231"/>
      <c r="AK3" s="229" t="s">
        <v>13329</v>
      </c>
      <c r="AL3" s="230"/>
      <c r="AM3" s="230"/>
      <c r="AN3" s="231"/>
      <c r="AO3" s="229" t="s">
        <v>13329</v>
      </c>
      <c r="AP3" s="230"/>
      <c r="AQ3" s="230"/>
      <c r="AR3" s="231"/>
      <c r="AS3" s="229" t="s">
        <v>13329</v>
      </c>
      <c r="AT3" s="230"/>
      <c r="AU3" s="230"/>
      <c r="AV3" s="231"/>
      <c r="AW3" s="229" t="s">
        <v>13329</v>
      </c>
      <c r="AX3" s="230"/>
      <c r="AY3" s="230"/>
      <c r="AZ3" s="231"/>
      <c r="BA3" s="229" t="s">
        <v>13329</v>
      </c>
      <c r="BB3" s="230"/>
      <c r="BC3" s="230"/>
      <c r="BD3" s="231"/>
      <c r="BE3" s="229" t="s">
        <v>13329</v>
      </c>
      <c r="BF3" s="230"/>
      <c r="BG3" s="230"/>
      <c r="BH3" s="231"/>
      <c r="BI3" s="229" t="s">
        <v>13329</v>
      </c>
      <c r="BJ3" s="230"/>
      <c r="BK3" s="230"/>
      <c r="BL3" s="231"/>
      <c r="BM3" s="229" t="s">
        <v>13329</v>
      </c>
      <c r="BN3" s="230"/>
      <c r="BO3" s="230"/>
      <c r="BP3" s="231"/>
      <c r="BQ3" s="229" t="s">
        <v>13329</v>
      </c>
      <c r="BR3" s="230"/>
      <c r="BS3" s="230"/>
      <c r="BT3" s="231"/>
      <c r="BU3" s="229" t="s">
        <v>13329</v>
      </c>
      <c r="BV3" s="230"/>
      <c r="BW3" s="230"/>
      <c r="BX3" s="231"/>
      <c r="BY3" s="229" t="s">
        <v>13329</v>
      </c>
      <c r="BZ3" s="230"/>
      <c r="CA3" s="230"/>
      <c r="CB3" s="231"/>
      <c r="CC3" s="229" t="s">
        <v>13329</v>
      </c>
      <c r="CD3" s="230"/>
      <c r="CE3" s="230"/>
      <c r="CF3" s="231"/>
      <c r="CG3" s="229" t="s">
        <v>13329</v>
      </c>
      <c r="CH3" s="230"/>
      <c r="CI3" s="230"/>
      <c r="CJ3" s="231"/>
      <c r="CK3" s="229" t="s">
        <v>13329</v>
      </c>
      <c r="CL3" s="230"/>
      <c r="CM3" s="230"/>
      <c r="CN3" s="231"/>
      <c r="CO3" s="229" t="s">
        <v>13329</v>
      </c>
      <c r="CP3" s="230"/>
      <c r="CQ3" s="230"/>
      <c r="CR3" s="231"/>
      <c r="CS3" s="229" t="s">
        <v>13329</v>
      </c>
      <c r="CT3" s="230"/>
      <c r="CU3" s="230"/>
      <c r="CV3" s="231"/>
      <c r="CW3" s="229" t="s">
        <v>13329</v>
      </c>
      <c r="CX3" s="230"/>
      <c r="CY3" s="230"/>
      <c r="CZ3" s="231"/>
      <c r="DA3" s="229" t="s">
        <v>13329</v>
      </c>
      <c r="DB3" s="230"/>
      <c r="DC3" s="230"/>
      <c r="DD3" s="231"/>
      <c r="DE3" s="229" t="s">
        <v>13329</v>
      </c>
      <c r="DF3" s="230"/>
      <c r="DG3" s="230"/>
      <c r="DH3" s="231"/>
      <c r="DI3" s="229" t="s">
        <v>13329</v>
      </c>
      <c r="DJ3" s="230"/>
      <c r="DK3" s="230"/>
      <c r="DL3" s="231"/>
      <c r="DM3" s="229" t="s">
        <v>13329</v>
      </c>
      <c r="DN3" s="230"/>
      <c r="DO3" s="230"/>
      <c r="DP3" s="231"/>
      <c r="DQ3" s="229" t="s">
        <v>13329</v>
      </c>
      <c r="DR3" s="230"/>
      <c r="DS3" s="230"/>
      <c r="DT3" s="231"/>
      <c r="DU3" s="229" t="s">
        <v>13329</v>
      </c>
      <c r="DV3" s="230"/>
      <c r="DW3" s="230"/>
      <c r="DX3" s="231"/>
      <c r="DY3" s="229" t="s">
        <v>13329</v>
      </c>
      <c r="DZ3" s="230"/>
      <c r="EA3" s="230"/>
      <c r="EB3" s="231"/>
      <c r="EC3" s="229" t="s">
        <v>13329</v>
      </c>
      <c r="ED3" s="230"/>
      <c r="EE3" s="230"/>
      <c r="EF3" s="231"/>
      <c r="EG3" s="229" t="s">
        <v>13329</v>
      </c>
      <c r="EH3" s="230"/>
      <c r="EI3" s="230"/>
      <c r="EJ3" s="231"/>
      <c r="EK3" s="229" t="s">
        <v>13329</v>
      </c>
      <c r="EL3" s="230"/>
      <c r="EM3" s="230"/>
      <c r="EN3" s="231"/>
      <c r="EO3" s="229" t="s">
        <v>13329</v>
      </c>
      <c r="EP3" s="230"/>
      <c r="EQ3" s="230"/>
      <c r="ER3" s="231"/>
      <c r="ES3" s="229" t="s">
        <v>13329</v>
      </c>
      <c r="ET3" s="230"/>
      <c r="EU3" s="230"/>
      <c r="EV3" s="231"/>
      <c r="EW3" s="229" t="s">
        <v>13329</v>
      </c>
      <c r="EX3" s="230"/>
      <c r="EY3" s="230"/>
      <c r="EZ3" s="231"/>
      <c r="FA3" s="229" t="s">
        <v>13329</v>
      </c>
      <c r="FB3" s="230"/>
      <c r="FC3" s="230"/>
      <c r="FD3" s="231"/>
      <c r="FE3" s="229" t="s">
        <v>13329</v>
      </c>
      <c r="FF3" s="230"/>
      <c r="FG3" s="230"/>
      <c r="FH3" s="231"/>
      <c r="FI3" s="229" t="s">
        <v>13329</v>
      </c>
      <c r="FJ3" s="230"/>
      <c r="FK3" s="230"/>
      <c r="FL3" s="231"/>
      <c r="FM3" s="229" t="s">
        <v>13329</v>
      </c>
      <c r="FN3" s="230"/>
      <c r="FO3" s="230"/>
      <c r="FP3" s="231"/>
      <c r="FQ3" s="229" t="s">
        <v>13329</v>
      </c>
      <c r="FR3" s="230"/>
      <c r="FS3" s="230"/>
      <c r="FT3" s="231"/>
      <c r="FU3" s="229" t="s">
        <v>13329</v>
      </c>
      <c r="FV3" s="230"/>
      <c r="FW3" s="230"/>
      <c r="FX3" s="231"/>
      <c r="FY3" s="229" t="s">
        <v>13329</v>
      </c>
      <c r="FZ3" s="230"/>
      <c r="GA3" s="230"/>
      <c r="GB3" s="231"/>
      <c r="GC3" s="229" t="s">
        <v>13329</v>
      </c>
      <c r="GD3" s="230"/>
      <c r="GE3" s="230"/>
      <c r="GF3" s="231"/>
      <c r="GG3" s="229" t="s">
        <v>13329</v>
      </c>
      <c r="GH3" s="230"/>
      <c r="GI3" s="230"/>
      <c r="GJ3" s="231"/>
      <c r="GK3" s="229" t="s">
        <v>13329</v>
      </c>
      <c r="GL3" s="230"/>
      <c r="GM3" s="230"/>
      <c r="GN3" s="231"/>
      <c r="GO3" s="229" t="s">
        <v>13329</v>
      </c>
      <c r="GP3" s="230"/>
      <c r="GQ3" s="230"/>
      <c r="GR3" s="231"/>
      <c r="GS3" s="229" t="s">
        <v>13329</v>
      </c>
      <c r="GT3" s="230"/>
      <c r="GU3" s="230"/>
      <c r="GV3" s="231"/>
      <c r="GW3" s="229" t="s">
        <v>13329</v>
      </c>
      <c r="GX3" s="230"/>
      <c r="GY3" s="230"/>
      <c r="GZ3" s="231"/>
      <c r="HA3" s="229" t="s">
        <v>13329</v>
      </c>
      <c r="HB3" s="230"/>
      <c r="HC3" s="230"/>
      <c r="HD3" s="231"/>
      <c r="HE3" s="229" t="s">
        <v>13329</v>
      </c>
      <c r="HF3" s="230"/>
      <c r="HG3" s="230"/>
      <c r="HH3" s="231"/>
      <c r="HI3" s="229" t="s">
        <v>13329</v>
      </c>
      <c r="HJ3" s="230"/>
      <c r="HK3" s="230"/>
      <c r="HL3" s="231"/>
      <c r="HM3" s="229" t="s">
        <v>13329</v>
      </c>
      <c r="HN3" s="230"/>
      <c r="HO3" s="230"/>
      <c r="HP3" s="231"/>
      <c r="HQ3" s="229" t="s">
        <v>13329</v>
      </c>
      <c r="HR3" s="230"/>
      <c r="HS3" s="230"/>
      <c r="HT3" s="231"/>
      <c r="HU3" s="229" t="s">
        <v>13329</v>
      </c>
      <c r="HV3" s="230"/>
      <c r="HW3" s="230"/>
      <c r="HX3" s="231"/>
      <c r="HY3" s="229" t="s">
        <v>13329</v>
      </c>
      <c r="HZ3" s="230"/>
      <c r="IA3" s="230"/>
      <c r="IB3" s="231"/>
      <c r="IC3" s="229" t="s">
        <v>13329</v>
      </c>
      <c r="ID3" s="230"/>
      <c r="IE3" s="230"/>
      <c r="IF3" s="231"/>
      <c r="IG3" s="229" t="s">
        <v>13329</v>
      </c>
      <c r="IH3" s="230"/>
      <c r="II3" s="230"/>
      <c r="IJ3" s="231"/>
      <c r="IK3" s="229" t="s">
        <v>13329</v>
      </c>
      <c r="IL3" s="230"/>
      <c r="IM3" s="230"/>
      <c r="IN3" s="231"/>
      <c r="IO3" s="229" t="s">
        <v>13329</v>
      </c>
      <c r="IP3" s="230"/>
      <c r="IQ3" s="230"/>
      <c r="IR3" s="231"/>
      <c r="IS3" s="229" t="s">
        <v>13329</v>
      </c>
      <c r="IT3" s="230"/>
      <c r="IU3" s="230"/>
      <c r="IV3" s="231"/>
      <c r="IW3" s="229" t="s">
        <v>13329</v>
      </c>
      <c r="IX3" s="230"/>
      <c r="IY3" s="230"/>
      <c r="IZ3" s="231"/>
      <c r="JA3" s="229" t="s">
        <v>13329</v>
      </c>
      <c r="JB3" s="230"/>
      <c r="JC3" s="230"/>
      <c r="JD3" s="231"/>
      <c r="JE3" s="229" t="s">
        <v>13329</v>
      </c>
      <c r="JF3" s="230"/>
      <c r="JG3" s="230"/>
      <c r="JH3" s="231"/>
      <c r="JI3" s="229" t="s">
        <v>13329</v>
      </c>
      <c r="JJ3" s="230"/>
      <c r="JK3" s="230"/>
      <c r="JL3" s="231"/>
      <c r="JM3" s="229" t="s">
        <v>13329</v>
      </c>
      <c r="JN3" s="230"/>
      <c r="JO3" s="230"/>
      <c r="JP3" s="231"/>
      <c r="JQ3" s="229" t="s">
        <v>13329</v>
      </c>
      <c r="JR3" s="230"/>
      <c r="JS3" s="230"/>
      <c r="JT3" s="231"/>
      <c r="JU3" s="229" t="s">
        <v>13329</v>
      </c>
      <c r="JV3" s="230"/>
      <c r="JW3" s="230"/>
      <c r="JX3" s="231"/>
      <c r="JY3" s="229" t="s">
        <v>13329</v>
      </c>
      <c r="JZ3" s="230"/>
      <c r="KA3" s="230"/>
      <c r="KB3" s="231"/>
      <c r="KC3" s="229" t="s">
        <v>13329</v>
      </c>
      <c r="KD3" s="230"/>
      <c r="KE3" s="230"/>
      <c r="KF3" s="231"/>
      <c r="KG3" s="229" t="s">
        <v>13329</v>
      </c>
      <c r="KH3" s="230"/>
      <c r="KI3" s="230"/>
      <c r="KJ3" s="231"/>
      <c r="KK3" s="229" t="s">
        <v>13329</v>
      </c>
      <c r="KL3" s="230"/>
      <c r="KM3" s="230"/>
      <c r="KN3" s="231"/>
      <c r="KO3" s="229" t="s">
        <v>13329</v>
      </c>
      <c r="KP3" s="230"/>
      <c r="KQ3" s="230"/>
      <c r="KR3" s="231"/>
      <c r="KS3" s="229" t="s">
        <v>13329</v>
      </c>
      <c r="KT3" s="230"/>
      <c r="KU3" s="230"/>
      <c r="KV3" s="231"/>
      <c r="KW3" s="229" t="s">
        <v>13329</v>
      </c>
      <c r="KX3" s="230"/>
      <c r="KY3" s="230"/>
      <c r="KZ3" s="231"/>
      <c r="LA3" s="229" t="s">
        <v>13329</v>
      </c>
      <c r="LB3" s="230"/>
      <c r="LC3" s="230"/>
      <c r="LD3" s="231"/>
      <c r="LE3" s="229" t="s">
        <v>13329</v>
      </c>
      <c r="LF3" s="230"/>
      <c r="LG3" s="230"/>
      <c r="LH3" s="231"/>
      <c r="LI3" s="229" t="s">
        <v>13329</v>
      </c>
      <c r="LJ3" s="230"/>
      <c r="LK3" s="230"/>
      <c r="LL3" s="231"/>
      <c r="LM3" s="229" t="s">
        <v>13329</v>
      </c>
      <c r="LN3" s="230"/>
      <c r="LO3" s="230"/>
      <c r="LP3" s="231"/>
      <c r="LQ3" s="229" t="s">
        <v>13329</v>
      </c>
      <c r="LR3" s="230"/>
      <c r="LS3" s="230"/>
      <c r="LT3" s="231"/>
      <c r="LU3" s="229" t="s">
        <v>13329</v>
      </c>
      <c r="LV3" s="230"/>
      <c r="LW3" s="230"/>
      <c r="LX3" s="231"/>
      <c r="LY3" s="229" t="s">
        <v>13329</v>
      </c>
      <c r="LZ3" s="230"/>
      <c r="MA3" s="230"/>
      <c r="MB3" s="231"/>
      <c r="MC3" s="229" t="s">
        <v>13329</v>
      </c>
      <c r="MD3" s="230"/>
      <c r="ME3" s="230"/>
      <c r="MF3" s="231"/>
      <c r="MG3" s="229" t="s">
        <v>13329</v>
      </c>
      <c r="MH3" s="230"/>
      <c r="MI3" s="230"/>
      <c r="MJ3" s="231"/>
      <c r="MK3" s="229" t="s">
        <v>13329</v>
      </c>
      <c r="ML3" s="230"/>
      <c r="MM3" s="230"/>
      <c r="MN3" s="231"/>
      <c r="MO3" s="229" t="s">
        <v>13329</v>
      </c>
      <c r="MP3" s="230"/>
      <c r="MQ3" s="230"/>
      <c r="MR3" s="231"/>
      <c r="MS3" s="229" t="s">
        <v>13329</v>
      </c>
      <c r="MT3" s="230"/>
      <c r="MU3" s="230"/>
      <c r="MV3" s="231"/>
      <c r="MW3" s="229" t="s">
        <v>13329</v>
      </c>
      <c r="MX3" s="230"/>
      <c r="MY3" s="230"/>
      <c r="MZ3" s="231"/>
      <c r="NA3" s="229" t="s">
        <v>13329</v>
      </c>
      <c r="NB3" s="230"/>
      <c r="NC3" s="230"/>
      <c r="ND3" s="231"/>
      <c r="NE3" s="229" t="s">
        <v>13329</v>
      </c>
      <c r="NF3" s="230"/>
      <c r="NG3" s="230"/>
      <c r="NH3" s="231"/>
      <c r="NI3" s="229" t="s">
        <v>13329</v>
      </c>
      <c r="NJ3" s="230"/>
      <c r="NK3" s="230"/>
      <c r="NL3" s="231"/>
      <c r="NM3" s="229" t="s">
        <v>13329</v>
      </c>
      <c r="NN3" s="230"/>
      <c r="NO3" s="230"/>
      <c r="NP3" s="231"/>
      <c r="NQ3" s="229" t="s">
        <v>13329</v>
      </c>
      <c r="NR3" s="230"/>
      <c r="NS3" s="230"/>
      <c r="NT3" s="231"/>
      <c r="NU3" s="229" t="s">
        <v>13329</v>
      </c>
      <c r="NV3" s="230"/>
      <c r="NW3" s="230"/>
      <c r="NX3" s="231"/>
      <c r="NY3" s="229" t="s">
        <v>13329</v>
      </c>
      <c r="NZ3" s="230"/>
      <c r="OA3" s="230"/>
      <c r="OB3" s="231"/>
      <c r="OC3" s="229" t="s">
        <v>13329</v>
      </c>
      <c r="OD3" s="230"/>
      <c r="OE3" s="230"/>
      <c r="OF3" s="231"/>
      <c r="OG3" s="229" t="s">
        <v>13329</v>
      </c>
      <c r="OH3" s="230"/>
      <c r="OI3" s="230"/>
      <c r="OJ3" s="231"/>
      <c r="OK3" s="229" t="s">
        <v>13329</v>
      </c>
      <c r="OL3" s="230"/>
      <c r="OM3" s="230"/>
      <c r="ON3" s="231"/>
      <c r="OO3" s="229" t="s">
        <v>13329</v>
      </c>
      <c r="OP3" s="230"/>
      <c r="OQ3" s="230"/>
      <c r="OR3" s="231"/>
      <c r="OS3" s="229" t="s">
        <v>13329</v>
      </c>
      <c r="OT3" s="230"/>
      <c r="OU3" s="230"/>
      <c r="OV3" s="231"/>
      <c r="OW3" s="229" t="s">
        <v>13329</v>
      </c>
      <c r="OX3" s="230"/>
      <c r="OY3" s="230"/>
      <c r="OZ3" s="231"/>
      <c r="PA3" s="229" t="s">
        <v>13329</v>
      </c>
      <c r="PB3" s="230"/>
      <c r="PC3" s="230"/>
      <c r="PD3" s="231"/>
      <c r="PE3" s="229" t="s">
        <v>13329</v>
      </c>
      <c r="PF3" s="230"/>
      <c r="PG3" s="230"/>
      <c r="PH3" s="231"/>
      <c r="PI3" s="229" t="s">
        <v>13329</v>
      </c>
      <c r="PJ3" s="230"/>
      <c r="PK3" s="230"/>
      <c r="PL3" s="231"/>
      <c r="PM3" s="229" t="s">
        <v>13329</v>
      </c>
      <c r="PN3" s="230"/>
      <c r="PO3" s="230"/>
      <c r="PP3" s="231"/>
      <c r="PQ3" s="229" t="s">
        <v>13329</v>
      </c>
      <c r="PR3" s="230"/>
      <c r="PS3" s="230"/>
      <c r="PT3" s="231"/>
      <c r="PU3" s="229" t="s">
        <v>13329</v>
      </c>
      <c r="PV3" s="230"/>
      <c r="PW3" s="230"/>
      <c r="PX3" s="231"/>
      <c r="PY3" s="229" t="s">
        <v>13329</v>
      </c>
      <c r="PZ3" s="230"/>
      <c r="QA3" s="230"/>
      <c r="QB3" s="231"/>
      <c r="QC3" s="229" t="s">
        <v>13329</v>
      </c>
      <c r="QD3" s="230"/>
      <c r="QE3" s="230"/>
      <c r="QF3" s="231"/>
      <c r="QG3" s="229" t="s">
        <v>13329</v>
      </c>
      <c r="QH3" s="230"/>
      <c r="QI3" s="230"/>
      <c r="QJ3" s="231"/>
      <c r="QK3" s="229" t="s">
        <v>13329</v>
      </c>
      <c r="QL3" s="230"/>
      <c r="QM3" s="230"/>
      <c r="QN3" s="231"/>
      <c r="QO3" s="229" t="s">
        <v>13329</v>
      </c>
      <c r="QP3" s="230"/>
      <c r="QQ3" s="230"/>
      <c r="QR3" s="231"/>
      <c r="QS3" s="229" t="s">
        <v>13329</v>
      </c>
      <c r="QT3" s="230"/>
      <c r="QU3" s="230"/>
      <c r="QV3" s="231"/>
      <c r="QW3" s="229" t="s">
        <v>13329</v>
      </c>
      <c r="QX3" s="230"/>
      <c r="QY3" s="230"/>
      <c r="QZ3" s="231"/>
      <c r="RA3" s="229" t="s">
        <v>13329</v>
      </c>
      <c r="RB3" s="230"/>
      <c r="RC3" s="230"/>
      <c r="RD3" s="231"/>
      <c r="RE3" s="229" t="s">
        <v>13329</v>
      </c>
      <c r="RF3" s="230"/>
      <c r="RG3" s="230"/>
      <c r="RH3" s="231"/>
      <c r="RI3" s="229" t="s">
        <v>13329</v>
      </c>
      <c r="RJ3" s="230"/>
      <c r="RK3" s="230"/>
      <c r="RL3" s="231"/>
      <c r="RM3" s="229" t="s">
        <v>13329</v>
      </c>
      <c r="RN3" s="230"/>
      <c r="RO3" s="230"/>
      <c r="RP3" s="231"/>
      <c r="RQ3" s="229" t="s">
        <v>13329</v>
      </c>
      <c r="RR3" s="230"/>
      <c r="RS3" s="230"/>
      <c r="RT3" s="231"/>
      <c r="RU3" s="229" t="s">
        <v>13329</v>
      </c>
      <c r="RV3" s="230"/>
      <c r="RW3" s="230"/>
      <c r="RX3" s="231"/>
      <c r="RY3" s="229" t="s">
        <v>13329</v>
      </c>
      <c r="RZ3" s="230"/>
      <c r="SA3" s="230"/>
      <c r="SB3" s="231"/>
      <c r="SC3" s="229" t="s">
        <v>13329</v>
      </c>
      <c r="SD3" s="230"/>
      <c r="SE3" s="230"/>
      <c r="SF3" s="231"/>
      <c r="SG3" s="229" t="s">
        <v>13329</v>
      </c>
      <c r="SH3" s="230"/>
      <c r="SI3" s="230"/>
      <c r="SJ3" s="231"/>
      <c r="SK3" s="229" t="s">
        <v>13329</v>
      </c>
      <c r="SL3" s="230"/>
      <c r="SM3" s="230"/>
      <c r="SN3" s="231"/>
      <c r="SO3" s="229" t="s">
        <v>13329</v>
      </c>
      <c r="SP3" s="230"/>
      <c r="SQ3" s="230"/>
      <c r="SR3" s="231"/>
      <c r="SS3" s="229" t="s">
        <v>13329</v>
      </c>
      <c r="ST3" s="230"/>
      <c r="SU3" s="230"/>
      <c r="SV3" s="231"/>
      <c r="SW3" s="229" t="s">
        <v>13329</v>
      </c>
      <c r="SX3" s="230"/>
      <c r="SY3" s="230"/>
      <c r="SZ3" s="231"/>
      <c r="TA3" s="229" t="s">
        <v>13329</v>
      </c>
      <c r="TB3" s="230"/>
      <c r="TC3" s="230"/>
      <c r="TD3" s="231"/>
      <c r="TE3" s="229" t="s">
        <v>13329</v>
      </c>
      <c r="TF3" s="230"/>
      <c r="TG3" s="230"/>
      <c r="TH3" s="231"/>
      <c r="TI3" s="229" t="s">
        <v>13329</v>
      </c>
      <c r="TJ3" s="230"/>
      <c r="TK3" s="230"/>
      <c r="TL3" s="231"/>
      <c r="TM3" s="229" t="s">
        <v>13329</v>
      </c>
      <c r="TN3" s="230"/>
      <c r="TO3" s="230"/>
      <c r="TP3" s="231"/>
      <c r="TQ3" s="229" t="s">
        <v>13329</v>
      </c>
      <c r="TR3" s="230"/>
      <c r="TS3" s="230"/>
      <c r="TT3" s="231"/>
      <c r="TU3" s="229" t="s">
        <v>13329</v>
      </c>
      <c r="TV3" s="230"/>
      <c r="TW3" s="230"/>
      <c r="TX3" s="231"/>
      <c r="TY3" s="229" t="s">
        <v>13329</v>
      </c>
      <c r="TZ3" s="230"/>
      <c r="UA3" s="230"/>
      <c r="UB3" s="231"/>
      <c r="UC3" s="229" t="s">
        <v>13329</v>
      </c>
      <c r="UD3" s="230"/>
      <c r="UE3" s="230"/>
      <c r="UF3" s="231"/>
      <c r="UG3" s="229" t="s">
        <v>13329</v>
      </c>
      <c r="UH3" s="230"/>
      <c r="UI3" s="230"/>
      <c r="UJ3" s="231"/>
      <c r="UK3" s="229" t="s">
        <v>13329</v>
      </c>
      <c r="UL3" s="230"/>
      <c r="UM3" s="230"/>
      <c r="UN3" s="231"/>
      <c r="UO3" s="229" t="s">
        <v>13329</v>
      </c>
      <c r="UP3" s="230"/>
      <c r="UQ3" s="230"/>
      <c r="UR3" s="231"/>
      <c r="US3" s="229" t="s">
        <v>13329</v>
      </c>
      <c r="UT3" s="230"/>
      <c r="UU3" s="230"/>
      <c r="UV3" s="231"/>
      <c r="UW3" s="229" t="s">
        <v>13329</v>
      </c>
      <c r="UX3" s="230"/>
      <c r="UY3" s="230"/>
      <c r="UZ3" s="231"/>
      <c r="VA3" s="229" t="s">
        <v>13329</v>
      </c>
      <c r="VB3" s="230"/>
      <c r="VC3" s="230"/>
      <c r="VD3" s="231"/>
      <c r="VE3" s="229" t="s">
        <v>13329</v>
      </c>
      <c r="VF3" s="230"/>
      <c r="VG3" s="230"/>
      <c r="VH3" s="231"/>
      <c r="VI3" s="229" t="s">
        <v>13329</v>
      </c>
      <c r="VJ3" s="230"/>
      <c r="VK3" s="230"/>
      <c r="VL3" s="231"/>
      <c r="VM3" s="229" t="s">
        <v>13329</v>
      </c>
      <c r="VN3" s="230"/>
      <c r="VO3" s="230"/>
      <c r="VP3" s="231"/>
      <c r="VQ3" s="229" t="s">
        <v>13329</v>
      </c>
      <c r="VR3" s="230"/>
      <c r="VS3" s="230"/>
      <c r="VT3" s="231"/>
      <c r="VU3" s="229" t="s">
        <v>13329</v>
      </c>
      <c r="VV3" s="230"/>
      <c r="VW3" s="230"/>
      <c r="VX3" s="231"/>
      <c r="VY3" s="229" t="s">
        <v>13329</v>
      </c>
      <c r="VZ3" s="230"/>
      <c r="WA3" s="230"/>
      <c r="WB3" s="231"/>
      <c r="WC3" s="229" t="s">
        <v>13329</v>
      </c>
      <c r="WD3" s="230"/>
      <c r="WE3" s="230"/>
      <c r="WF3" s="231"/>
      <c r="WG3" s="229" t="s">
        <v>13329</v>
      </c>
      <c r="WH3" s="230"/>
      <c r="WI3" s="230"/>
      <c r="WJ3" s="231"/>
      <c r="WK3" s="229" t="s">
        <v>13329</v>
      </c>
      <c r="WL3" s="230"/>
      <c r="WM3" s="230"/>
      <c r="WN3" s="231"/>
      <c r="WO3" s="229" t="s">
        <v>13329</v>
      </c>
      <c r="WP3" s="230"/>
      <c r="WQ3" s="230"/>
      <c r="WR3" s="231"/>
      <c r="WS3" s="229" t="s">
        <v>13329</v>
      </c>
      <c r="WT3" s="230"/>
      <c r="WU3" s="230"/>
      <c r="WV3" s="231"/>
      <c r="WW3" s="229" t="s">
        <v>13329</v>
      </c>
      <c r="WX3" s="230"/>
      <c r="WY3" s="230"/>
      <c r="WZ3" s="231"/>
      <c r="XA3" s="229" t="s">
        <v>13329</v>
      </c>
      <c r="XB3" s="230"/>
      <c r="XC3" s="230"/>
      <c r="XD3" s="231"/>
      <c r="XE3" s="229" t="s">
        <v>13329</v>
      </c>
      <c r="XF3" s="230"/>
      <c r="XG3" s="230"/>
      <c r="XH3" s="231"/>
      <c r="XI3" s="229" t="s">
        <v>13329</v>
      </c>
      <c r="XJ3" s="230"/>
      <c r="XK3" s="230"/>
      <c r="XL3" s="231"/>
      <c r="XM3" s="229" t="s">
        <v>13329</v>
      </c>
      <c r="XN3" s="230"/>
      <c r="XO3" s="230"/>
      <c r="XP3" s="231"/>
      <c r="XQ3" s="229" t="s">
        <v>13329</v>
      </c>
      <c r="XR3" s="230"/>
      <c r="XS3" s="230"/>
      <c r="XT3" s="231"/>
      <c r="XU3" s="229" t="s">
        <v>13329</v>
      </c>
      <c r="XV3" s="230"/>
      <c r="XW3" s="230"/>
      <c r="XX3" s="231"/>
      <c r="XY3" s="229" t="s">
        <v>13329</v>
      </c>
      <c r="XZ3" s="230"/>
      <c r="YA3" s="230"/>
      <c r="YB3" s="231"/>
      <c r="YC3" s="229" t="s">
        <v>13329</v>
      </c>
      <c r="YD3" s="230"/>
      <c r="YE3" s="230"/>
      <c r="YF3" s="231"/>
      <c r="YG3" s="229" t="s">
        <v>13329</v>
      </c>
      <c r="YH3" s="230"/>
      <c r="YI3" s="230"/>
      <c r="YJ3" s="231"/>
      <c r="YK3" s="229" t="s">
        <v>13329</v>
      </c>
      <c r="YL3" s="230"/>
      <c r="YM3" s="230"/>
      <c r="YN3" s="231"/>
      <c r="YO3" s="229" t="s">
        <v>13329</v>
      </c>
      <c r="YP3" s="230"/>
      <c r="YQ3" s="230"/>
      <c r="YR3" s="231"/>
      <c r="YS3" s="229" t="s">
        <v>13329</v>
      </c>
      <c r="YT3" s="230"/>
      <c r="YU3" s="230"/>
      <c r="YV3" s="231"/>
      <c r="YW3" s="229" t="s">
        <v>13329</v>
      </c>
      <c r="YX3" s="230"/>
      <c r="YY3" s="230"/>
      <c r="YZ3" s="231"/>
      <c r="ZA3" s="229" t="s">
        <v>13329</v>
      </c>
      <c r="ZB3" s="230"/>
      <c r="ZC3" s="230"/>
      <c r="ZD3" s="231"/>
      <c r="ZE3" s="229" t="s">
        <v>13329</v>
      </c>
      <c r="ZF3" s="230"/>
      <c r="ZG3" s="230"/>
      <c r="ZH3" s="231"/>
      <c r="ZI3" s="229" t="s">
        <v>13329</v>
      </c>
      <c r="ZJ3" s="230"/>
      <c r="ZK3" s="230"/>
      <c r="ZL3" s="231"/>
      <c r="ZM3" s="229" t="s">
        <v>13329</v>
      </c>
      <c r="ZN3" s="230"/>
      <c r="ZO3" s="230"/>
      <c r="ZP3" s="231"/>
      <c r="ZQ3" s="229" t="s">
        <v>13329</v>
      </c>
      <c r="ZR3" s="230"/>
      <c r="ZS3" s="230"/>
      <c r="ZT3" s="231"/>
      <c r="ZU3" s="229" t="s">
        <v>13329</v>
      </c>
      <c r="ZV3" s="230"/>
      <c r="ZW3" s="230"/>
      <c r="ZX3" s="231"/>
      <c r="ZY3" s="229" t="s">
        <v>13329</v>
      </c>
      <c r="ZZ3" s="230"/>
      <c r="AAA3" s="230"/>
      <c r="AAB3" s="231"/>
      <c r="AAC3" s="229" t="s">
        <v>13329</v>
      </c>
      <c r="AAD3" s="230"/>
      <c r="AAE3" s="230"/>
      <c r="AAF3" s="231"/>
      <c r="AAG3" s="229" t="s">
        <v>13329</v>
      </c>
      <c r="AAH3" s="230"/>
      <c r="AAI3" s="230"/>
      <c r="AAJ3" s="231"/>
      <c r="AAK3" s="229" t="s">
        <v>13329</v>
      </c>
      <c r="AAL3" s="230"/>
      <c r="AAM3" s="230"/>
      <c r="AAN3" s="231"/>
      <c r="AAO3" s="229" t="s">
        <v>13329</v>
      </c>
      <c r="AAP3" s="230"/>
      <c r="AAQ3" s="230"/>
      <c r="AAR3" s="231"/>
      <c r="AAS3" s="229" t="s">
        <v>13329</v>
      </c>
      <c r="AAT3" s="230"/>
      <c r="AAU3" s="230"/>
      <c r="AAV3" s="231"/>
      <c r="AAW3" s="229" t="s">
        <v>13329</v>
      </c>
      <c r="AAX3" s="230"/>
      <c r="AAY3" s="230"/>
      <c r="AAZ3" s="231"/>
      <c r="ABA3" s="229" t="s">
        <v>13329</v>
      </c>
      <c r="ABB3" s="230"/>
      <c r="ABC3" s="230"/>
      <c r="ABD3" s="231"/>
      <c r="ABE3" s="229" t="s">
        <v>13329</v>
      </c>
      <c r="ABF3" s="230"/>
      <c r="ABG3" s="230"/>
      <c r="ABH3" s="231"/>
      <c r="ABI3" s="229" t="s">
        <v>13329</v>
      </c>
      <c r="ABJ3" s="230"/>
      <c r="ABK3" s="230"/>
      <c r="ABL3" s="231"/>
      <c r="ABM3" s="229" t="s">
        <v>13329</v>
      </c>
      <c r="ABN3" s="230"/>
      <c r="ABO3" s="230"/>
      <c r="ABP3" s="231"/>
      <c r="ABQ3" s="229" t="s">
        <v>13329</v>
      </c>
      <c r="ABR3" s="230"/>
      <c r="ABS3" s="230"/>
      <c r="ABT3" s="231"/>
      <c r="ABU3" s="229" t="s">
        <v>13329</v>
      </c>
      <c r="ABV3" s="230"/>
      <c r="ABW3" s="230"/>
      <c r="ABX3" s="231"/>
      <c r="ABY3" s="229" t="s">
        <v>13329</v>
      </c>
      <c r="ABZ3" s="230"/>
      <c r="ACA3" s="230"/>
      <c r="ACB3" s="231"/>
      <c r="ACC3" s="229" t="s">
        <v>13329</v>
      </c>
      <c r="ACD3" s="230"/>
      <c r="ACE3" s="230"/>
      <c r="ACF3" s="231"/>
      <c r="ACG3" s="229" t="s">
        <v>13329</v>
      </c>
      <c r="ACH3" s="230"/>
      <c r="ACI3" s="230"/>
      <c r="ACJ3" s="231"/>
      <c r="ACK3" s="229" t="s">
        <v>13329</v>
      </c>
      <c r="ACL3" s="230"/>
      <c r="ACM3" s="230"/>
      <c r="ACN3" s="231"/>
      <c r="ACO3" s="229" t="s">
        <v>13329</v>
      </c>
      <c r="ACP3" s="230"/>
      <c r="ACQ3" s="230"/>
      <c r="ACR3" s="231"/>
      <c r="ACS3" s="229" t="s">
        <v>13329</v>
      </c>
      <c r="ACT3" s="230"/>
      <c r="ACU3" s="230"/>
      <c r="ACV3" s="231"/>
      <c r="ACW3" s="229" t="s">
        <v>13329</v>
      </c>
      <c r="ACX3" s="230"/>
      <c r="ACY3" s="230"/>
      <c r="ACZ3" s="231"/>
      <c r="ADA3" s="229" t="s">
        <v>13329</v>
      </c>
      <c r="ADB3" s="230"/>
      <c r="ADC3" s="230"/>
      <c r="ADD3" s="231"/>
      <c r="ADE3" s="229" t="s">
        <v>13329</v>
      </c>
      <c r="ADF3" s="230"/>
      <c r="ADG3" s="230"/>
      <c r="ADH3" s="231"/>
      <c r="ADI3" s="229" t="s">
        <v>13329</v>
      </c>
      <c r="ADJ3" s="230"/>
      <c r="ADK3" s="230"/>
      <c r="ADL3" s="231"/>
      <c r="ADM3" s="229" t="s">
        <v>13329</v>
      </c>
      <c r="ADN3" s="230"/>
      <c r="ADO3" s="230"/>
      <c r="ADP3" s="231"/>
      <c r="ADQ3" s="229" t="s">
        <v>13329</v>
      </c>
      <c r="ADR3" s="230"/>
      <c r="ADS3" s="230"/>
      <c r="ADT3" s="231"/>
      <c r="ADU3" s="229" t="s">
        <v>13329</v>
      </c>
      <c r="ADV3" s="230"/>
      <c r="ADW3" s="230"/>
      <c r="ADX3" s="231"/>
      <c r="ADY3" s="229" t="s">
        <v>13329</v>
      </c>
      <c r="ADZ3" s="230"/>
      <c r="AEA3" s="230"/>
      <c r="AEB3" s="231"/>
      <c r="AEC3" s="229" t="s">
        <v>13329</v>
      </c>
      <c r="AED3" s="230"/>
      <c r="AEE3" s="230"/>
      <c r="AEF3" s="231"/>
      <c r="AEG3" s="229" t="s">
        <v>13329</v>
      </c>
      <c r="AEH3" s="230"/>
      <c r="AEI3" s="230"/>
      <c r="AEJ3" s="231"/>
      <c r="AEK3" s="229" t="s">
        <v>13329</v>
      </c>
      <c r="AEL3" s="230"/>
      <c r="AEM3" s="230"/>
      <c r="AEN3" s="231"/>
      <c r="AEO3" s="229" t="s">
        <v>13329</v>
      </c>
      <c r="AEP3" s="230"/>
      <c r="AEQ3" s="230"/>
      <c r="AER3" s="231"/>
      <c r="AES3" s="229" t="s">
        <v>13329</v>
      </c>
      <c r="AET3" s="230"/>
      <c r="AEU3" s="230"/>
      <c r="AEV3" s="231"/>
      <c r="AEW3" s="229" t="s">
        <v>13329</v>
      </c>
      <c r="AEX3" s="230"/>
      <c r="AEY3" s="230"/>
      <c r="AEZ3" s="231"/>
      <c r="AFA3" s="229" t="s">
        <v>13329</v>
      </c>
      <c r="AFB3" s="230"/>
      <c r="AFC3" s="230"/>
      <c r="AFD3" s="231"/>
      <c r="AFE3" s="229" t="s">
        <v>13329</v>
      </c>
      <c r="AFF3" s="230"/>
      <c r="AFG3" s="230"/>
      <c r="AFH3" s="231"/>
      <c r="AFI3" s="229" t="s">
        <v>13329</v>
      </c>
      <c r="AFJ3" s="230"/>
      <c r="AFK3" s="230"/>
      <c r="AFL3" s="231"/>
      <c r="AFM3" s="229" t="s">
        <v>13329</v>
      </c>
      <c r="AFN3" s="230"/>
      <c r="AFO3" s="230"/>
      <c r="AFP3" s="231"/>
      <c r="AFQ3" s="229" t="s">
        <v>13329</v>
      </c>
      <c r="AFR3" s="230"/>
      <c r="AFS3" s="230"/>
      <c r="AFT3" s="231"/>
      <c r="AFU3" s="229" t="s">
        <v>13329</v>
      </c>
      <c r="AFV3" s="230"/>
      <c r="AFW3" s="230"/>
      <c r="AFX3" s="231"/>
      <c r="AFY3" s="229" t="s">
        <v>13329</v>
      </c>
      <c r="AFZ3" s="230"/>
      <c r="AGA3" s="230"/>
      <c r="AGB3" s="231"/>
      <c r="AGC3" s="229" t="s">
        <v>13329</v>
      </c>
      <c r="AGD3" s="230"/>
      <c r="AGE3" s="230"/>
      <c r="AGF3" s="231"/>
      <c r="AGG3" s="229" t="s">
        <v>13329</v>
      </c>
      <c r="AGH3" s="230"/>
      <c r="AGI3" s="230"/>
      <c r="AGJ3" s="231"/>
      <c r="AGK3" s="229" t="s">
        <v>13329</v>
      </c>
      <c r="AGL3" s="230"/>
      <c r="AGM3" s="230"/>
      <c r="AGN3" s="231"/>
      <c r="AGO3" s="229" t="s">
        <v>13329</v>
      </c>
      <c r="AGP3" s="230"/>
      <c r="AGQ3" s="230"/>
      <c r="AGR3" s="231"/>
      <c r="AGS3" s="229" t="s">
        <v>13329</v>
      </c>
      <c r="AGT3" s="230"/>
      <c r="AGU3" s="230"/>
      <c r="AGV3" s="231"/>
      <c r="AGW3" s="229" t="s">
        <v>13329</v>
      </c>
      <c r="AGX3" s="230"/>
      <c r="AGY3" s="230"/>
      <c r="AGZ3" s="231"/>
      <c r="AHA3" s="229" t="s">
        <v>13329</v>
      </c>
      <c r="AHB3" s="230"/>
      <c r="AHC3" s="230"/>
      <c r="AHD3" s="231"/>
      <c r="AHE3" s="229" t="s">
        <v>13329</v>
      </c>
      <c r="AHF3" s="230"/>
      <c r="AHG3" s="230"/>
      <c r="AHH3" s="231"/>
      <c r="AHI3" s="229" t="s">
        <v>13329</v>
      </c>
      <c r="AHJ3" s="230"/>
      <c r="AHK3" s="230"/>
      <c r="AHL3" s="231"/>
      <c r="AHM3" s="229" t="s">
        <v>13329</v>
      </c>
      <c r="AHN3" s="230"/>
      <c r="AHO3" s="230"/>
      <c r="AHP3" s="231"/>
      <c r="AHQ3" s="229" t="s">
        <v>13329</v>
      </c>
      <c r="AHR3" s="230"/>
      <c r="AHS3" s="230"/>
      <c r="AHT3" s="231"/>
      <c r="AHU3" s="229" t="s">
        <v>13329</v>
      </c>
      <c r="AHV3" s="230"/>
      <c r="AHW3" s="230"/>
      <c r="AHX3" s="231"/>
      <c r="AHY3" s="229" t="s">
        <v>13329</v>
      </c>
      <c r="AHZ3" s="230"/>
      <c r="AIA3" s="230"/>
      <c r="AIB3" s="231"/>
      <c r="AIC3" s="229" t="s">
        <v>13329</v>
      </c>
      <c r="AID3" s="230"/>
      <c r="AIE3" s="230"/>
      <c r="AIF3" s="231"/>
      <c r="AIG3" s="229" t="s">
        <v>13329</v>
      </c>
      <c r="AIH3" s="230"/>
      <c r="AII3" s="230"/>
      <c r="AIJ3" s="231"/>
      <c r="AIK3" s="229" t="s">
        <v>13329</v>
      </c>
      <c r="AIL3" s="230"/>
      <c r="AIM3" s="230"/>
      <c r="AIN3" s="231"/>
      <c r="AIO3" s="229" t="s">
        <v>13329</v>
      </c>
      <c r="AIP3" s="230"/>
      <c r="AIQ3" s="230"/>
      <c r="AIR3" s="231"/>
      <c r="AIS3" s="229" t="s">
        <v>13329</v>
      </c>
      <c r="AIT3" s="230"/>
      <c r="AIU3" s="230"/>
      <c r="AIV3" s="231"/>
      <c r="AIW3" s="229" t="s">
        <v>13329</v>
      </c>
      <c r="AIX3" s="230"/>
      <c r="AIY3" s="230"/>
      <c r="AIZ3" s="231"/>
      <c r="AJA3" s="229" t="s">
        <v>13329</v>
      </c>
      <c r="AJB3" s="230"/>
      <c r="AJC3" s="230"/>
      <c r="AJD3" s="231"/>
      <c r="AJE3" s="229" t="s">
        <v>13329</v>
      </c>
      <c r="AJF3" s="230"/>
      <c r="AJG3" s="230"/>
      <c r="AJH3" s="231"/>
      <c r="AJI3" s="229" t="s">
        <v>13329</v>
      </c>
      <c r="AJJ3" s="230"/>
      <c r="AJK3" s="230"/>
      <c r="AJL3" s="231"/>
      <c r="AJM3" s="229" t="s">
        <v>13329</v>
      </c>
      <c r="AJN3" s="230"/>
      <c r="AJO3" s="230"/>
      <c r="AJP3" s="231"/>
      <c r="AJQ3" s="229" t="s">
        <v>13329</v>
      </c>
      <c r="AJR3" s="230"/>
      <c r="AJS3" s="230"/>
      <c r="AJT3" s="231"/>
      <c r="AJU3" s="229" t="s">
        <v>13329</v>
      </c>
      <c r="AJV3" s="230"/>
      <c r="AJW3" s="230"/>
      <c r="AJX3" s="231"/>
      <c r="AJY3" s="229" t="s">
        <v>13329</v>
      </c>
      <c r="AJZ3" s="230"/>
      <c r="AKA3" s="230"/>
      <c r="AKB3" s="231"/>
      <c r="AKC3" s="229" t="s">
        <v>13329</v>
      </c>
      <c r="AKD3" s="230"/>
      <c r="AKE3" s="230"/>
      <c r="AKF3" s="231"/>
      <c r="AKG3" s="229" t="s">
        <v>13329</v>
      </c>
      <c r="AKH3" s="230"/>
      <c r="AKI3" s="230"/>
      <c r="AKJ3" s="231"/>
      <c r="AKK3" s="229" t="s">
        <v>13329</v>
      </c>
      <c r="AKL3" s="230"/>
      <c r="AKM3" s="230"/>
      <c r="AKN3" s="231"/>
      <c r="AKO3" s="229" t="s">
        <v>13329</v>
      </c>
      <c r="AKP3" s="230"/>
      <c r="AKQ3" s="230"/>
      <c r="AKR3" s="231"/>
      <c r="AKS3" s="229" t="s">
        <v>13329</v>
      </c>
      <c r="AKT3" s="230"/>
      <c r="AKU3" s="230"/>
      <c r="AKV3" s="231"/>
      <c r="AKW3" s="229" t="s">
        <v>13329</v>
      </c>
      <c r="AKX3" s="230"/>
      <c r="AKY3" s="230"/>
      <c r="AKZ3" s="231"/>
      <c r="ALA3" s="229" t="s">
        <v>13329</v>
      </c>
      <c r="ALB3" s="230"/>
      <c r="ALC3" s="230"/>
      <c r="ALD3" s="231"/>
      <c r="ALE3" s="229" t="s">
        <v>13329</v>
      </c>
      <c r="ALF3" s="230"/>
      <c r="ALG3" s="230"/>
      <c r="ALH3" s="231"/>
      <c r="ALI3" s="229" t="s">
        <v>13329</v>
      </c>
      <c r="ALJ3" s="230"/>
      <c r="ALK3" s="230"/>
      <c r="ALL3" s="231"/>
      <c r="ALM3" s="229" t="s">
        <v>13329</v>
      </c>
      <c r="ALN3" s="230"/>
      <c r="ALO3" s="230"/>
      <c r="ALP3" s="231"/>
      <c r="ALQ3" s="229" t="s">
        <v>13329</v>
      </c>
      <c r="ALR3" s="230"/>
      <c r="ALS3" s="230"/>
      <c r="ALT3" s="231"/>
      <c r="ALU3" s="229" t="s">
        <v>13329</v>
      </c>
      <c r="ALV3" s="230"/>
      <c r="ALW3" s="230"/>
      <c r="ALX3" s="231"/>
      <c r="ALY3" s="229" t="s">
        <v>13329</v>
      </c>
      <c r="ALZ3" s="230"/>
      <c r="AMA3" s="230"/>
      <c r="AMB3" s="231"/>
      <c r="AMC3" s="229" t="s">
        <v>13329</v>
      </c>
      <c r="AMD3" s="230"/>
      <c r="AME3" s="230"/>
      <c r="AMF3" s="231"/>
      <c r="AMG3" s="229" t="s">
        <v>13329</v>
      </c>
      <c r="AMH3" s="230"/>
      <c r="AMI3" s="230"/>
      <c r="AMJ3" s="231"/>
      <c r="AMK3" s="229" t="s">
        <v>13329</v>
      </c>
      <c r="AML3" s="230"/>
      <c r="AMM3" s="230"/>
      <c r="AMN3" s="231"/>
      <c r="AMO3" s="229" t="s">
        <v>13329</v>
      </c>
      <c r="AMP3" s="230"/>
      <c r="AMQ3" s="230"/>
      <c r="AMR3" s="231"/>
      <c r="AMS3" s="229" t="s">
        <v>13329</v>
      </c>
      <c r="AMT3" s="230"/>
      <c r="AMU3" s="230"/>
      <c r="AMV3" s="231"/>
      <c r="AMW3" s="229" t="s">
        <v>13329</v>
      </c>
      <c r="AMX3" s="230"/>
      <c r="AMY3" s="230"/>
      <c r="AMZ3" s="231"/>
      <c r="ANA3" s="229" t="s">
        <v>13329</v>
      </c>
      <c r="ANB3" s="230"/>
      <c r="ANC3" s="230"/>
      <c r="AND3" s="231"/>
      <c r="ANE3" s="229" t="s">
        <v>13329</v>
      </c>
      <c r="ANF3" s="230"/>
      <c r="ANG3" s="230"/>
      <c r="ANH3" s="231"/>
      <c r="ANI3" s="229" t="s">
        <v>13329</v>
      </c>
      <c r="ANJ3" s="230"/>
      <c r="ANK3" s="230"/>
      <c r="ANL3" s="231"/>
      <c r="ANM3" s="229" t="s">
        <v>13329</v>
      </c>
      <c r="ANN3" s="230"/>
      <c r="ANO3" s="230"/>
      <c r="ANP3" s="231"/>
      <c r="ANQ3" s="229" t="s">
        <v>13329</v>
      </c>
      <c r="ANR3" s="230"/>
      <c r="ANS3" s="230"/>
      <c r="ANT3" s="231"/>
      <c r="ANU3" s="229" t="s">
        <v>13329</v>
      </c>
      <c r="ANV3" s="230"/>
      <c r="ANW3" s="230"/>
      <c r="ANX3" s="231"/>
      <c r="ANY3" s="229" t="s">
        <v>13329</v>
      </c>
      <c r="ANZ3" s="230"/>
      <c r="AOA3" s="230"/>
      <c r="AOB3" s="231"/>
      <c r="AOC3" s="229" t="s">
        <v>13329</v>
      </c>
      <c r="AOD3" s="230"/>
      <c r="AOE3" s="230"/>
      <c r="AOF3" s="231"/>
      <c r="AOG3" s="229" t="s">
        <v>13329</v>
      </c>
      <c r="AOH3" s="230"/>
      <c r="AOI3" s="230"/>
      <c r="AOJ3" s="231"/>
      <c r="AOK3" s="229" t="s">
        <v>13329</v>
      </c>
      <c r="AOL3" s="230"/>
      <c r="AOM3" s="230"/>
      <c r="AON3" s="231"/>
      <c r="AOO3" s="229" t="s">
        <v>13329</v>
      </c>
      <c r="AOP3" s="230"/>
      <c r="AOQ3" s="230"/>
      <c r="AOR3" s="231"/>
      <c r="AOS3" s="229" t="s">
        <v>13329</v>
      </c>
      <c r="AOT3" s="230"/>
      <c r="AOU3" s="230"/>
      <c r="AOV3" s="231"/>
      <c r="AOW3" s="229" t="s">
        <v>13329</v>
      </c>
      <c r="AOX3" s="230"/>
      <c r="AOY3" s="230"/>
      <c r="AOZ3" s="231"/>
      <c r="APA3" s="229" t="s">
        <v>13329</v>
      </c>
      <c r="APB3" s="230"/>
      <c r="APC3" s="230"/>
      <c r="APD3" s="231"/>
      <c r="APE3" s="229" t="s">
        <v>13329</v>
      </c>
      <c r="APF3" s="230"/>
      <c r="APG3" s="230"/>
      <c r="APH3" s="231"/>
      <c r="API3" s="229" t="s">
        <v>13329</v>
      </c>
      <c r="APJ3" s="230"/>
      <c r="APK3" s="230"/>
      <c r="APL3" s="231"/>
      <c r="APM3" s="229" t="s">
        <v>13329</v>
      </c>
      <c r="APN3" s="230"/>
      <c r="APO3" s="230"/>
      <c r="APP3" s="231"/>
      <c r="APQ3" s="229" t="s">
        <v>13329</v>
      </c>
      <c r="APR3" s="230"/>
      <c r="APS3" s="230"/>
      <c r="APT3" s="231"/>
      <c r="APU3" s="229" t="s">
        <v>13329</v>
      </c>
      <c r="APV3" s="230"/>
      <c r="APW3" s="230"/>
      <c r="APX3" s="231"/>
      <c r="APY3" s="229" t="s">
        <v>13329</v>
      </c>
      <c r="APZ3" s="230"/>
      <c r="AQA3" s="230"/>
      <c r="AQB3" s="231"/>
      <c r="AQC3" s="229" t="s">
        <v>13329</v>
      </c>
      <c r="AQD3" s="230"/>
      <c r="AQE3" s="230"/>
      <c r="AQF3" s="231"/>
      <c r="AQG3" s="229" t="s">
        <v>13329</v>
      </c>
      <c r="AQH3" s="230"/>
      <c r="AQI3" s="230"/>
      <c r="AQJ3" s="231"/>
      <c r="AQK3" s="229" t="s">
        <v>13329</v>
      </c>
      <c r="AQL3" s="230"/>
      <c r="AQM3" s="230"/>
      <c r="AQN3" s="231"/>
      <c r="AQO3" s="229" t="s">
        <v>13329</v>
      </c>
      <c r="AQP3" s="230"/>
      <c r="AQQ3" s="230"/>
      <c r="AQR3" s="231"/>
      <c r="AQS3" s="229" t="s">
        <v>13329</v>
      </c>
      <c r="AQT3" s="230"/>
      <c r="AQU3" s="230"/>
      <c r="AQV3" s="231"/>
      <c r="AQW3" s="229" t="s">
        <v>13329</v>
      </c>
      <c r="AQX3" s="230"/>
      <c r="AQY3" s="230"/>
      <c r="AQZ3" s="231"/>
      <c r="ARA3" s="229" t="s">
        <v>13329</v>
      </c>
      <c r="ARB3" s="230"/>
      <c r="ARC3" s="230"/>
      <c r="ARD3" s="231"/>
      <c r="ARE3" s="229" t="s">
        <v>13329</v>
      </c>
      <c r="ARF3" s="230"/>
      <c r="ARG3" s="230"/>
      <c r="ARH3" s="231"/>
      <c r="ARI3" s="229" t="s">
        <v>13329</v>
      </c>
      <c r="ARJ3" s="230"/>
      <c r="ARK3" s="230"/>
      <c r="ARL3" s="231"/>
      <c r="ARM3" s="229" t="s">
        <v>13329</v>
      </c>
      <c r="ARN3" s="230"/>
      <c r="ARO3" s="230"/>
      <c r="ARP3" s="231"/>
      <c r="ARQ3" s="229" t="s">
        <v>13329</v>
      </c>
      <c r="ARR3" s="230"/>
      <c r="ARS3" s="230"/>
      <c r="ART3" s="231"/>
      <c r="ARU3" s="229" t="s">
        <v>13329</v>
      </c>
      <c r="ARV3" s="230"/>
      <c r="ARW3" s="230"/>
      <c r="ARX3" s="231"/>
      <c r="ARY3" s="229" t="s">
        <v>13329</v>
      </c>
      <c r="ARZ3" s="230"/>
      <c r="ASA3" s="230"/>
      <c r="ASB3" s="231"/>
      <c r="ASC3" s="229" t="s">
        <v>13329</v>
      </c>
      <c r="ASD3" s="230"/>
      <c r="ASE3" s="230"/>
      <c r="ASF3" s="231"/>
      <c r="ASG3" s="229" t="s">
        <v>13329</v>
      </c>
      <c r="ASH3" s="230"/>
      <c r="ASI3" s="230"/>
      <c r="ASJ3" s="231"/>
      <c r="ASK3" s="229" t="s">
        <v>13329</v>
      </c>
      <c r="ASL3" s="230"/>
      <c r="ASM3" s="230"/>
      <c r="ASN3" s="231"/>
      <c r="ASO3" s="229" t="s">
        <v>13329</v>
      </c>
      <c r="ASP3" s="230"/>
      <c r="ASQ3" s="230"/>
      <c r="ASR3" s="231"/>
      <c r="ASS3" s="229" t="s">
        <v>13329</v>
      </c>
      <c r="AST3" s="230"/>
      <c r="ASU3" s="230"/>
      <c r="ASV3" s="231"/>
      <c r="ASW3" s="229" t="s">
        <v>13329</v>
      </c>
      <c r="ASX3" s="230"/>
      <c r="ASY3" s="230"/>
      <c r="ASZ3" s="231"/>
      <c r="ATA3" s="229" t="s">
        <v>13329</v>
      </c>
      <c r="ATB3" s="230"/>
      <c r="ATC3" s="230"/>
      <c r="ATD3" s="231"/>
      <c r="ATE3" s="229" t="s">
        <v>13329</v>
      </c>
      <c r="ATF3" s="230"/>
      <c r="ATG3" s="230"/>
      <c r="ATH3" s="231"/>
      <c r="ATI3" s="229" t="s">
        <v>13329</v>
      </c>
      <c r="ATJ3" s="230"/>
      <c r="ATK3" s="230"/>
      <c r="ATL3" s="231"/>
      <c r="ATM3" s="229" t="s">
        <v>13329</v>
      </c>
      <c r="ATN3" s="230"/>
      <c r="ATO3" s="230"/>
      <c r="ATP3" s="231"/>
      <c r="ATQ3" s="229" t="s">
        <v>13329</v>
      </c>
      <c r="ATR3" s="230"/>
      <c r="ATS3" s="230"/>
      <c r="ATT3" s="231"/>
      <c r="ATU3" s="229" t="s">
        <v>13329</v>
      </c>
      <c r="ATV3" s="230"/>
      <c r="ATW3" s="230"/>
      <c r="ATX3" s="231"/>
      <c r="ATY3" s="229" t="s">
        <v>13329</v>
      </c>
      <c r="ATZ3" s="230"/>
      <c r="AUA3" s="230"/>
      <c r="AUB3" s="231"/>
      <c r="AUC3" s="229" t="s">
        <v>13329</v>
      </c>
      <c r="AUD3" s="230"/>
      <c r="AUE3" s="230"/>
      <c r="AUF3" s="231"/>
      <c r="AUG3" s="229" t="s">
        <v>13329</v>
      </c>
      <c r="AUH3" s="230"/>
      <c r="AUI3" s="230"/>
      <c r="AUJ3" s="231"/>
      <c r="AUK3" s="229" t="s">
        <v>13329</v>
      </c>
      <c r="AUL3" s="230"/>
      <c r="AUM3" s="230"/>
      <c r="AUN3" s="231"/>
      <c r="AUO3" s="229" t="s">
        <v>13329</v>
      </c>
      <c r="AUP3" s="230"/>
      <c r="AUQ3" s="230"/>
      <c r="AUR3" s="231"/>
      <c r="AUS3" s="229" t="s">
        <v>13329</v>
      </c>
      <c r="AUT3" s="230"/>
      <c r="AUU3" s="230"/>
      <c r="AUV3" s="231"/>
      <c r="AUW3" s="229" t="s">
        <v>13329</v>
      </c>
      <c r="AUX3" s="230"/>
      <c r="AUY3" s="230"/>
      <c r="AUZ3" s="231"/>
      <c r="AVA3" s="229" t="s">
        <v>13329</v>
      </c>
      <c r="AVB3" s="230"/>
      <c r="AVC3" s="230"/>
      <c r="AVD3" s="231"/>
      <c r="AVE3" s="229" t="s">
        <v>13329</v>
      </c>
      <c r="AVF3" s="230"/>
      <c r="AVG3" s="230"/>
      <c r="AVH3" s="231"/>
      <c r="AVI3" s="229" t="s">
        <v>13329</v>
      </c>
      <c r="AVJ3" s="230"/>
      <c r="AVK3" s="230"/>
      <c r="AVL3" s="231"/>
      <c r="AVM3" s="229" t="s">
        <v>13329</v>
      </c>
      <c r="AVN3" s="230"/>
      <c r="AVO3" s="230"/>
      <c r="AVP3" s="231"/>
      <c r="AVQ3" s="229" t="s">
        <v>13329</v>
      </c>
      <c r="AVR3" s="230"/>
      <c r="AVS3" s="230"/>
      <c r="AVT3" s="231"/>
      <c r="AVU3" s="229" t="s">
        <v>13329</v>
      </c>
      <c r="AVV3" s="230"/>
      <c r="AVW3" s="230"/>
      <c r="AVX3" s="231"/>
      <c r="AVY3" s="229" t="s">
        <v>13329</v>
      </c>
      <c r="AVZ3" s="230"/>
      <c r="AWA3" s="230"/>
      <c r="AWB3" s="231"/>
      <c r="AWC3" s="229" t="s">
        <v>13329</v>
      </c>
      <c r="AWD3" s="230"/>
      <c r="AWE3" s="230"/>
      <c r="AWF3" s="231"/>
      <c r="AWG3" s="229" t="s">
        <v>13329</v>
      </c>
      <c r="AWH3" s="230"/>
      <c r="AWI3" s="230"/>
      <c r="AWJ3" s="231"/>
      <c r="AWK3" s="229" t="s">
        <v>13329</v>
      </c>
      <c r="AWL3" s="230"/>
      <c r="AWM3" s="230"/>
      <c r="AWN3" s="231"/>
      <c r="AWO3" s="229" t="s">
        <v>13329</v>
      </c>
      <c r="AWP3" s="230"/>
      <c r="AWQ3" s="230"/>
      <c r="AWR3" s="231"/>
      <c r="AWS3" s="229" t="s">
        <v>13329</v>
      </c>
      <c r="AWT3" s="230"/>
      <c r="AWU3" s="230"/>
      <c r="AWV3" s="231"/>
      <c r="AWW3" s="229" t="s">
        <v>13329</v>
      </c>
      <c r="AWX3" s="230"/>
      <c r="AWY3" s="230"/>
      <c r="AWZ3" s="231"/>
      <c r="AXA3" s="229" t="s">
        <v>13329</v>
      </c>
      <c r="AXB3" s="230"/>
      <c r="AXC3" s="230"/>
      <c r="AXD3" s="231"/>
      <c r="AXE3" s="229" t="s">
        <v>13329</v>
      </c>
      <c r="AXF3" s="230"/>
      <c r="AXG3" s="230"/>
      <c r="AXH3" s="231"/>
      <c r="AXI3" s="229" t="s">
        <v>13329</v>
      </c>
      <c r="AXJ3" s="230"/>
      <c r="AXK3" s="230"/>
      <c r="AXL3" s="231"/>
      <c r="AXM3" s="229" t="s">
        <v>13329</v>
      </c>
      <c r="AXN3" s="230"/>
      <c r="AXO3" s="230"/>
      <c r="AXP3" s="231"/>
      <c r="AXQ3" s="229" t="s">
        <v>13329</v>
      </c>
      <c r="AXR3" s="230"/>
      <c r="AXS3" s="230"/>
      <c r="AXT3" s="231"/>
      <c r="AXU3" s="229" t="s">
        <v>13329</v>
      </c>
      <c r="AXV3" s="230"/>
      <c r="AXW3" s="230"/>
      <c r="AXX3" s="231"/>
      <c r="AXY3" s="229" t="s">
        <v>13329</v>
      </c>
      <c r="AXZ3" s="230"/>
      <c r="AYA3" s="230"/>
      <c r="AYB3" s="231"/>
      <c r="AYC3" s="229" t="s">
        <v>13329</v>
      </c>
      <c r="AYD3" s="230"/>
      <c r="AYE3" s="230"/>
      <c r="AYF3" s="231"/>
      <c r="AYG3" s="229" t="s">
        <v>13329</v>
      </c>
      <c r="AYH3" s="230"/>
      <c r="AYI3" s="230"/>
      <c r="AYJ3" s="231"/>
      <c r="AYK3" s="229" t="s">
        <v>13329</v>
      </c>
      <c r="AYL3" s="230"/>
      <c r="AYM3" s="230"/>
      <c r="AYN3" s="231"/>
      <c r="AYO3" s="229" t="s">
        <v>13329</v>
      </c>
      <c r="AYP3" s="230"/>
      <c r="AYQ3" s="230"/>
      <c r="AYR3" s="231"/>
      <c r="AYS3" s="229" t="s">
        <v>13329</v>
      </c>
      <c r="AYT3" s="230"/>
      <c r="AYU3" s="230"/>
      <c r="AYV3" s="231"/>
      <c r="AYW3" s="229" t="s">
        <v>13329</v>
      </c>
      <c r="AYX3" s="230"/>
      <c r="AYY3" s="230"/>
      <c r="AYZ3" s="231"/>
      <c r="AZA3" s="229" t="s">
        <v>13329</v>
      </c>
      <c r="AZB3" s="230"/>
      <c r="AZC3" s="230"/>
      <c r="AZD3" s="231"/>
      <c r="AZE3" s="229" t="s">
        <v>13329</v>
      </c>
      <c r="AZF3" s="230"/>
      <c r="AZG3" s="230"/>
      <c r="AZH3" s="231"/>
      <c r="AZI3" s="229" t="s">
        <v>13329</v>
      </c>
      <c r="AZJ3" s="230"/>
      <c r="AZK3" s="230"/>
      <c r="AZL3" s="231"/>
      <c r="AZM3" s="229" t="s">
        <v>13329</v>
      </c>
      <c r="AZN3" s="230"/>
      <c r="AZO3" s="230"/>
      <c r="AZP3" s="231"/>
      <c r="AZQ3" s="229" t="s">
        <v>13329</v>
      </c>
      <c r="AZR3" s="230"/>
      <c r="AZS3" s="230"/>
      <c r="AZT3" s="231"/>
      <c r="AZU3" s="229" t="s">
        <v>13329</v>
      </c>
      <c r="AZV3" s="230"/>
      <c r="AZW3" s="230"/>
      <c r="AZX3" s="231"/>
      <c r="AZY3" s="229" t="s">
        <v>13329</v>
      </c>
      <c r="AZZ3" s="230"/>
      <c r="BAA3" s="230"/>
      <c r="BAB3" s="231"/>
      <c r="BAC3" s="229" t="s">
        <v>13329</v>
      </c>
      <c r="BAD3" s="230"/>
      <c r="BAE3" s="230"/>
      <c r="BAF3" s="231"/>
      <c r="BAG3" s="229" t="s">
        <v>13329</v>
      </c>
      <c r="BAH3" s="230"/>
      <c r="BAI3" s="230"/>
      <c r="BAJ3" s="231"/>
      <c r="BAK3" s="229" t="s">
        <v>13329</v>
      </c>
      <c r="BAL3" s="230"/>
      <c r="BAM3" s="230"/>
      <c r="BAN3" s="231"/>
      <c r="BAO3" s="229" t="s">
        <v>13329</v>
      </c>
      <c r="BAP3" s="230"/>
      <c r="BAQ3" s="230"/>
      <c r="BAR3" s="231"/>
      <c r="BAS3" s="229" t="s">
        <v>13329</v>
      </c>
      <c r="BAT3" s="230"/>
      <c r="BAU3" s="230"/>
      <c r="BAV3" s="231"/>
      <c r="BAW3" s="229" t="s">
        <v>13329</v>
      </c>
      <c r="BAX3" s="230"/>
      <c r="BAY3" s="230"/>
      <c r="BAZ3" s="231"/>
      <c r="BBA3" s="229" t="s">
        <v>13329</v>
      </c>
      <c r="BBB3" s="230"/>
      <c r="BBC3" s="230"/>
      <c r="BBD3" s="231"/>
      <c r="BBE3" s="229" t="s">
        <v>13329</v>
      </c>
      <c r="BBF3" s="230"/>
      <c r="BBG3" s="230"/>
      <c r="BBH3" s="231"/>
      <c r="BBI3" s="229" t="s">
        <v>13329</v>
      </c>
      <c r="BBJ3" s="230"/>
      <c r="BBK3" s="230"/>
      <c r="BBL3" s="231"/>
      <c r="BBM3" s="229" t="s">
        <v>13329</v>
      </c>
      <c r="BBN3" s="230"/>
      <c r="BBO3" s="230"/>
      <c r="BBP3" s="231"/>
      <c r="BBQ3" s="229" t="s">
        <v>13329</v>
      </c>
      <c r="BBR3" s="230"/>
      <c r="BBS3" s="230"/>
      <c r="BBT3" s="231"/>
      <c r="BBU3" s="229" t="s">
        <v>13329</v>
      </c>
      <c r="BBV3" s="230"/>
      <c r="BBW3" s="230"/>
      <c r="BBX3" s="231"/>
      <c r="BBY3" s="229" t="s">
        <v>13329</v>
      </c>
      <c r="BBZ3" s="230"/>
      <c r="BCA3" s="230"/>
      <c r="BCB3" s="231"/>
      <c r="BCC3" s="229" t="s">
        <v>13329</v>
      </c>
      <c r="BCD3" s="230"/>
      <c r="BCE3" s="230"/>
      <c r="BCF3" s="231"/>
      <c r="BCG3" s="229" t="s">
        <v>13329</v>
      </c>
      <c r="BCH3" s="230"/>
      <c r="BCI3" s="230"/>
      <c r="BCJ3" s="231"/>
      <c r="BCK3" s="229" t="s">
        <v>13329</v>
      </c>
      <c r="BCL3" s="230"/>
      <c r="BCM3" s="230"/>
      <c r="BCN3" s="231"/>
      <c r="BCO3" s="229" t="s">
        <v>13329</v>
      </c>
      <c r="BCP3" s="230"/>
      <c r="BCQ3" s="230"/>
      <c r="BCR3" s="231"/>
      <c r="BCS3" s="229" t="s">
        <v>13329</v>
      </c>
      <c r="BCT3" s="230"/>
      <c r="BCU3" s="230"/>
      <c r="BCV3" s="231"/>
      <c r="BCW3" s="229" t="s">
        <v>13329</v>
      </c>
      <c r="BCX3" s="230"/>
      <c r="BCY3" s="230"/>
      <c r="BCZ3" s="231"/>
      <c r="BDA3" s="229" t="s">
        <v>13329</v>
      </c>
      <c r="BDB3" s="230"/>
      <c r="BDC3" s="230"/>
      <c r="BDD3" s="231"/>
      <c r="BDE3" s="229" t="s">
        <v>13329</v>
      </c>
      <c r="BDF3" s="230"/>
      <c r="BDG3" s="230"/>
      <c r="BDH3" s="231"/>
      <c r="BDI3" s="229" t="s">
        <v>13329</v>
      </c>
      <c r="BDJ3" s="230"/>
      <c r="BDK3" s="230"/>
      <c r="BDL3" s="231"/>
      <c r="BDM3" s="229" t="s">
        <v>13329</v>
      </c>
      <c r="BDN3" s="230"/>
      <c r="BDO3" s="230"/>
      <c r="BDP3" s="231"/>
      <c r="BDQ3" s="229" t="s">
        <v>13329</v>
      </c>
      <c r="BDR3" s="230"/>
      <c r="BDS3" s="230"/>
      <c r="BDT3" s="231"/>
      <c r="BDU3" s="229" t="s">
        <v>13329</v>
      </c>
      <c r="BDV3" s="230"/>
      <c r="BDW3" s="230"/>
      <c r="BDX3" s="231"/>
      <c r="BDY3" s="229" t="s">
        <v>13329</v>
      </c>
      <c r="BDZ3" s="230"/>
      <c r="BEA3" s="230"/>
      <c r="BEB3" s="231"/>
      <c r="BEC3" s="229" t="s">
        <v>13329</v>
      </c>
      <c r="BED3" s="230"/>
      <c r="BEE3" s="230"/>
      <c r="BEF3" s="231"/>
      <c r="BEG3" s="229" t="s">
        <v>13329</v>
      </c>
      <c r="BEH3" s="230"/>
      <c r="BEI3" s="230"/>
      <c r="BEJ3" s="231"/>
      <c r="BEK3" s="229" t="s">
        <v>13329</v>
      </c>
      <c r="BEL3" s="230"/>
      <c r="BEM3" s="230"/>
      <c r="BEN3" s="231"/>
      <c r="BEO3" s="229" t="s">
        <v>13329</v>
      </c>
      <c r="BEP3" s="230"/>
      <c r="BEQ3" s="230"/>
      <c r="BER3" s="231"/>
      <c r="BES3" s="229" t="s">
        <v>13329</v>
      </c>
      <c r="BET3" s="230"/>
      <c r="BEU3" s="230"/>
      <c r="BEV3" s="231"/>
      <c r="BEW3" s="229" t="s">
        <v>13329</v>
      </c>
      <c r="BEX3" s="230"/>
      <c r="BEY3" s="230"/>
      <c r="BEZ3" s="231"/>
      <c r="BFA3" s="229" t="s">
        <v>13329</v>
      </c>
      <c r="BFB3" s="230"/>
      <c r="BFC3" s="230"/>
      <c r="BFD3" s="231"/>
      <c r="BFE3" s="229" t="s">
        <v>13329</v>
      </c>
      <c r="BFF3" s="230"/>
      <c r="BFG3" s="230"/>
      <c r="BFH3" s="231"/>
      <c r="BFI3" s="229" t="s">
        <v>13329</v>
      </c>
      <c r="BFJ3" s="230"/>
      <c r="BFK3" s="230"/>
      <c r="BFL3" s="231"/>
      <c r="BFM3" s="229" t="s">
        <v>13329</v>
      </c>
      <c r="BFN3" s="230"/>
      <c r="BFO3" s="230"/>
      <c r="BFP3" s="231"/>
      <c r="BFQ3" s="229" t="s">
        <v>13329</v>
      </c>
      <c r="BFR3" s="230"/>
      <c r="BFS3" s="230"/>
      <c r="BFT3" s="231"/>
      <c r="BFU3" s="229" t="s">
        <v>13329</v>
      </c>
      <c r="BFV3" s="230"/>
      <c r="BFW3" s="230"/>
      <c r="BFX3" s="231"/>
      <c r="BFY3" s="229" t="s">
        <v>13329</v>
      </c>
      <c r="BFZ3" s="230"/>
      <c r="BGA3" s="230"/>
      <c r="BGB3" s="231"/>
      <c r="BGC3" s="229" t="s">
        <v>13329</v>
      </c>
      <c r="BGD3" s="230"/>
      <c r="BGE3" s="230"/>
      <c r="BGF3" s="231"/>
      <c r="BGG3" s="229" t="s">
        <v>13329</v>
      </c>
      <c r="BGH3" s="230"/>
      <c r="BGI3" s="230"/>
      <c r="BGJ3" s="231"/>
      <c r="BGK3" s="229" t="s">
        <v>13329</v>
      </c>
      <c r="BGL3" s="230"/>
      <c r="BGM3" s="230"/>
      <c r="BGN3" s="231"/>
      <c r="BGO3" s="229" t="s">
        <v>13329</v>
      </c>
      <c r="BGP3" s="230"/>
      <c r="BGQ3" s="230"/>
      <c r="BGR3" s="231"/>
      <c r="BGS3" s="229" t="s">
        <v>13329</v>
      </c>
      <c r="BGT3" s="230"/>
      <c r="BGU3" s="230"/>
      <c r="BGV3" s="231"/>
      <c r="BGW3" s="229" t="s">
        <v>13329</v>
      </c>
      <c r="BGX3" s="230"/>
      <c r="BGY3" s="230"/>
      <c r="BGZ3" s="231"/>
      <c r="BHA3" s="229" t="s">
        <v>13329</v>
      </c>
      <c r="BHB3" s="230"/>
      <c r="BHC3" s="230"/>
      <c r="BHD3" s="231"/>
      <c r="BHE3" s="229" t="s">
        <v>13329</v>
      </c>
      <c r="BHF3" s="230"/>
      <c r="BHG3" s="230"/>
      <c r="BHH3" s="231"/>
      <c r="BHI3" s="229" t="s">
        <v>13329</v>
      </c>
      <c r="BHJ3" s="230"/>
      <c r="BHK3" s="230"/>
      <c r="BHL3" s="231"/>
      <c r="BHM3" s="229" t="s">
        <v>13329</v>
      </c>
      <c r="BHN3" s="230"/>
      <c r="BHO3" s="230"/>
      <c r="BHP3" s="231"/>
      <c r="BHQ3" s="229" t="s">
        <v>13329</v>
      </c>
      <c r="BHR3" s="230"/>
      <c r="BHS3" s="230"/>
      <c r="BHT3" s="231"/>
      <c r="BHU3" s="229" t="s">
        <v>13329</v>
      </c>
      <c r="BHV3" s="230"/>
      <c r="BHW3" s="230"/>
      <c r="BHX3" s="231"/>
      <c r="BHY3" s="229" t="s">
        <v>13329</v>
      </c>
      <c r="BHZ3" s="230"/>
      <c r="BIA3" s="230"/>
      <c r="BIB3" s="231"/>
      <c r="BIC3" s="229" t="s">
        <v>13329</v>
      </c>
      <c r="BID3" s="230"/>
      <c r="BIE3" s="230"/>
      <c r="BIF3" s="231"/>
      <c r="BIG3" s="229" t="s">
        <v>13329</v>
      </c>
      <c r="BIH3" s="230"/>
      <c r="BII3" s="230"/>
      <c r="BIJ3" s="231"/>
      <c r="BIK3" s="229" t="s">
        <v>13329</v>
      </c>
      <c r="BIL3" s="230"/>
      <c r="BIM3" s="230"/>
      <c r="BIN3" s="231"/>
      <c r="BIO3" s="229" t="s">
        <v>13329</v>
      </c>
      <c r="BIP3" s="230"/>
      <c r="BIQ3" s="230"/>
      <c r="BIR3" s="231"/>
      <c r="BIS3" s="229" t="s">
        <v>13329</v>
      </c>
      <c r="BIT3" s="230"/>
      <c r="BIU3" s="230"/>
      <c r="BIV3" s="231"/>
      <c r="BIW3" s="229" t="s">
        <v>13329</v>
      </c>
      <c r="BIX3" s="230"/>
      <c r="BIY3" s="230"/>
      <c r="BIZ3" s="231"/>
      <c r="BJA3" s="229" t="s">
        <v>13329</v>
      </c>
      <c r="BJB3" s="230"/>
      <c r="BJC3" s="230"/>
      <c r="BJD3" s="231"/>
      <c r="BJE3" s="229" t="s">
        <v>13329</v>
      </c>
      <c r="BJF3" s="230"/>
      <c r="BJG3" s="230"/>
      <c r="BJH3" s="231"/>
      <c r="BJI3" s="229" t="s">
        <v>13329</v>
      </c>
      <c r="BJJ3" s="230"/>
      <c r="BJK3" s="230"/>
      <c r="BJL3" s="231"/>
      <c r="BJM3" s="229" t="s">
        <v>13329</v>
      </c>
      <c r="BJN3" s="230"/>
      <c r="BJO3" s="230"/>
      <c r="BJP3" s="231"/>
      <c r="BJQ3" s="229" t="s">
        <v>13329</v>
      </c>
      <c r="BJR3" s="230"/>
      <c r="BJS3" s="230"/>
      <c r="BJT3" s="231"/>
      <c r="BJU3" s="229" t="s">
        <v>13329</v>
      </c>
      <c r="BJV3" s="230"/>
      <c r="BJW3" s="230"/>
      <c r="BJX3" s="231"/>
      <c r="BJY3" s="229" t="s">
        <v>13329</v>
      </c>
      <c r="BJZ3" s="230"/>
      <c r="BKA3" s="230"/>
      <c r="BKB3" s="231"/>
      <c r="BKC3" s="229" t="s">
        <v>13329</v>
      </c>
      <c r="BKD3" s="230"/>
      <c r="BKE3" s="230"/>
      <c r="BKF3" s="231"/>
      <c r="BKG3" s="229" t="s">
        <v>13329</v>
      </c>
      <c r="BKH3" s="230"/>
      <c r="BKI3" s="230"/>
      <c r="BKJ3" s="231"/>
      <c r="BKK3" s="229" t="s">
        <v>13329</v>
      </c>
      <c r="BKL3" s="230"/>
      <c r="BKM3" s="230"/>
      <c r="BKN3" s="231"/>
      <c r="BKO3" s="229" t="s">
        <v>13329</v>
      </c>
      <c r="BKP3" s="230"/>
      <c r="BKQ3" s="230"/>
      <c r="BKR3" s="231"/>
      <c r="BKS3" s="229" t="s">
        <v>13329</v>
      </c>
      <c r="BKT3" s="230"/>
      <c r="BKU3" s="230"/>
      <c r="BKV3" s="231"/>
      <c r="BKW3" s="229" t="s">
        <v>13329</v>
      </c>
      <c r="BKX3" s="230"/>
      <c r="BKY3" s="230"/>
      <c r="BKZ3" s="231"/>
      <c r="BLA3" s="229" t="s">
        <v>13329</v>
      </c>
      <c r="BLB3" s="230"/>
      <c r="BLC3" s="230"/>
      <c r="BLD3" s="231"/>
      <c r="BLE3" s="229" t="s">
        <v>13329</v>
      </c>
      <c r="BLF3" s="230"/>
      <c r="BLG3" s="230"/>
      <c r="BLH3" s="231"/>
      <c r="BLI3" s="229" t="s">
        <v>13329</v>
      </c>
      <c r="BLJ3" s="230"/>
      <c r="BLK3" s="230"/>
      <c r="BLL3" s="231"/>
      <c r="BLM3" s="229" t="s">
        <v>13329</v>
      </c>
      <c r="BLN3" s="230"/>
      <c r="BLO3" s="230"/>
      <c r="BLP3" s="231"/>
      <c r="BLQ3" s="229" t="s">
        <v>13329</v>
      </c>
      <c r="BLR3" s="230"/>
      <c r="BLS3" s="230"/>
      <c r="BLT3" s="231"/>
      <c r="BLU3" s="229" t="s">
        <v>13329</v>
      </c>
      <c r="BLV3" s="230"/>
      <c r="BLW3" s="230"/>
      <c r="BLX3" s="231"/>
      <c r="BLY3" s="229" t="s">
        <v>13329</v>
      </c>
      <c r="BLZ3" s="230"/>
      <c r="BMA3" s="230"/>
      <c r="BMB3" s="231"/>
      <c r="BMC3" s="229" t="s">
        <v>13329</v>
      </c>
      <c r="BMD3" s="230"/>
      <c r="BME3" s="230"/>
      <c r="BMF3" s="231"/>
      <c r="BMG3" s="229" t="s">
        <v>13329</v>
      </c>
      <c r="BMH3" s="230"/>
      <c r="BMI3" s="230"/>
      <c r="BMJ3" s="231"/>
      <c r="BMK3" s="229" t="s">
        <v>13329</v>
      </c>
      <c r="BML3" s="230"/>
      <c r="BMM3" s="230"/>
      <c r="BMN3" s="231"/>
      <c r="BMO3" s="229" t="s">
        <v>13329</v>
      </c>
      <c r="BMP3" s="230"/>
      <c r="BMQ3" s="230"/>
      <c r="BMR3" s="231"/>
      <c r="BMS3" s="229" t="s">
        <v>13329</v>
      </c>
      <c r="BMT3" s="230"/>
      <c r="BMU3" s="230"/>
      <c r="BMV3" s="231"/>
      <c r="BMW3" s="229" t="s">
        <v>13329</v>
      </c>
      <c r="BMX3" s="230"/>
      <c r="BMY3" s="230"/>
      <c r="BMZ3" s="231"/>
      <c r="BNA3" s="229" t="s">
        <v>13329</v>
      </c>
      <c r="BNB3" s="230"/>
      <c r="BNC3" s="230"/>
      <c r="BND3" s="231"/>
      <c r="BNE3" s="229" t="s">
        <v>13329</v>
      </c>
      <c r="BNF3" s="230"/>
      <c r="BNG3" s="230"/>
      <c r="BNH3" s="231"/>
      <c r="BNI3" s="229" t="s">
        <v>13329</v>
      </c>
      <c r="BNJ3" s="230"/>
      <c r="BNK3" s="230"/>
      <c r="BNL3" s="231"/>
      <c r="BNM3" s="229" t="s">
        <v>13329</v>
      </c>
      <c r="BNN3" s="230"/>
      <c r="BNO3" s="230"/>
      <c r="BNP3" s="231"/>
      <c r="BNQ3" s="229" t="s">
        <v>13329</v>
      </c>
      <c r="BNR3" s="230"/>
      <c r="BNS3" s="230"/>
      <c r="BNT3" s="231"/>
      <c r="BNU3" s="229" t="s">
        <v>13329</v>
      </c>
      <c r="BNV3" s="230"/>
      <c r="BNW3" s="230"/>
      <c r="BNX3" s="231"/>
      <c r="BNY3" s="229" t="s">
        <v>13329</v>
      </c>
      <c r="BNZ3" s="230"/>
      <c r="BOA3" s="230"/>
      <c r="BOB3" s="231"/>
      <c r="BOC3" s="229" t="s">
        <v>13329</v>
      </c>
      <c r="BOD3" s="230"/>
      <c r="BOE3" s="230"/>
      <c r="BOF3" s="231"/>
      <c r="BOG3" s="229" t="s">
        <v>13329</v>
      </c>
      <c r="BOH3" s="230"/>
      <c r="BOI3" s="230"/>
      <c r="BOJ3" s="231"/>
      <c r="BOK3" s="229" t="s">
        <v>13329</v>
      </c>
      <c r="BOL3" s="230"/>
      <c r="BOM3" s="230"/>
      <c r="BON3" s="231"/>
      <c r="BOO3" s="229" t="s">
        <v>13329</v>
      </c>
      <c r="BOP3" s="230"/>
      <c r="BOQ3" s="230"/>
      <c r="BOR3" s="231"/>
      <c r="BOS3" s="229" t="s">
        <v>13329</v>
      </c>
      <c r="BOT3" s="230"/>
      <c r="BOU3" s="230"/>
      <c r="BOV3" s="231"/>
      <c r="BOW3" s="229" t="s">
        <v>13329</v>
      </c>
      <c r="BOX3" s="230"/>
      <c r="BOY3" s="230"/>
      <c r="BOZ3" s="231"/>
      <c r="BPA3" s="229" t="s">
        <v>13329</v>
      </c>
      <c r="BPB3" s="230"/>
      <c r="BPC3" s="230"/>
      <c r="BPD3" s="231"/>
      <c r="BPE3" s="229" t="s">
        <v>13329</v>
      </c>
      <c r="BPF3" s="230"/>
      <c r="BPG3" s="230"/>
      <c r="BPH3" s="231"/>
      <c r="BPI3" s="229" t="s">
        <v>13329</v>
      </c>
      <c r="BPJ3" s="230"/>
      <c r="BPK3" s="230"/>
      <c r="BPL3" s="231"/>
      <c r="BPM3" s="229" t="s">
        <v>13329</v>
      </c>
      <c r="BPN3" s="230"/>
      <c r="BPO3" s="230"/>
      <c r="BPP3" s="231"/>
      <c r="BPQ3" s="229" t="s">
        <v>13329</v>
      </c>
      <c r="BPR3" s="230"/>
      <c r="BPS3" s="230"/>
      <c r="BPT3" s="231"/>
      <c r="BPU3" s="229" t="s">
        <v>13329</v>
      </c>
      <c r="BPV3" s="230"/>
      <c r="BPW3" s="230"/>
      <c r="BPX3" s="231"/>
      <c r="BPY3" s="229" t="s">
        <v>13329</v>
      </c>
      <c r="BPZ3" s="230"/>
      <c r="BQA3" s="230"/>
      <c r="BQB3" s="231"/>
      <c r="BQC3" s="229" t="s">
        <v>13329</v>
      </c>
      <c r="BQD3" s="230"/>
      <c r="BQE3" s="230"/>
      <c r="BQF3" s="231"/>
      <c r="BQG3" s="229" t="s">
        <v>13329</v>
      </c>
      <c r="BQH3" s="230"/>
      <c r="BQI3" s="230"/>
      <c r="BQJ3" s="231"/>
      <c r="BQK3" s="229" t="s">
        <v>13329</v>
      </c>
      <c r="BQL3" s="230"/>
      <c r="BQM3" s="230"/>
      <c r="BQN3" s="231"/>
      <c r="BQO3" s="229" t="s">
        <v>13329</v>
      </c>
      <c r="BQP3" s="230"/>
      <c r="BQQ3" s="230"/>
      <c r="BQR3" s="231"/>
      <c r="BQS3" s="229" t="s">
        <v>13329</v>
      </c>
      <c r="BQT3" s="230"/>
      <c r="BQU3" s="230"/>
      <c r="BQV3" s="231"/>
      <c r="BQW3" s="229" t="s">
        <v>13329</v>
      </c>
      <c r="BQX3" s="230"/>
      <c r="BQY3" s="230"/>
      <c r="BQZ3" s="231"/>
      <c r="BRA3" s="229" t="s">
        <v>13329</v>
      </c>
      <c r="BRB3" s="230"/>
      <c r="BRC3" s="230"/>
      <c r="BRD3" s="231"/>
      <c r="BRE3" s="229" t="s">
        <v>13329</v>
      </c>
      <c r="BRF3" s="230"/>
      <c r="BRG3" s="230"/>
      <c r="BRH3" s="231"/>
      <c r="BRI3" s="229" t="s">
        <v>13329</v>
      </c>
      <c r="BRJ3" s="230"/>
      <c r="BRK3" s="230"/>
      <c r="BRL3" s="231"/>
      <c r="BRM3" s="229" t="s">
        <v>13329</v>
      </c>
      <c r="BRN3" s="230"/>
      <c r="BRO3" s="230"/>
      <c r="BRP3" s="231"/>
      <c r="BRQ3" s="229" t="s">
        <v>13329</v>
      </c>
      <c r="BRR3" s="230"/>
      <c r="BRS3" s="230"/>
      <c r="BRT3" s="231"/>
      <c r="BRU3" s="229" t="s">
        <v>13329</v>
      </c>
      <c r="BRV3" s="230"/>
      <c r="BRW3" s="230"/>
      <c r="BRX3" s="231"/>
      <c r="BRY3" s="229" t="s">
        <v>13329</v>
      </c>
      <c r="BRZ3" s="230"/>
      <c r="BSA3" s="230"/>
      <c r="BSB3" s="231"/>
      <c r="BSC3" s="229" t="s">
        <v>13329</v>
      </c>
      <c r="BSD3" s="230"/>
      <c r="BSE3" s="230"/>
      <c r="BSF3" s="231"/>
      <c r="BSG3" s="229" t="s">
        <v>13329</v>
      </c>
      <c r="BSH3" s="230"/>
      <c r="BSI3" s="230"/>
      <c r="BSJ3" s="231"/>
      <c r="BSK3" s="229" t="s">
        <v>13329</v>
      </c>
      <c r="BSL3" s="230"/>
      <c r="BSM3" s="230"/>
      <c r="BSN3" s="231"/>
      <c r="BSO3" s="229" t="s">
        <v>13329</v>
      </c>
      <c r="BSP3" s="230"/>
      <c r="BSQ3" s="230"/>
      <c r="BSR3" s="231"/>
      <c r="BSS3" s="229" t="s">
        <v>13329</v>
      </c>
      <c r="BST3" s="230"/>
      <c r="BSU3" s="230"/>
      <c r="BSV3" s="231"/>
      <c r="BSW3" s="229" t="s">
        <v>13329</v>
      </c>
      <c r="BSX3" s="230"/>
      <c r="BSY3" s="230"/>
      <c r="BSZ3" s="231"/>
      <c r="BTA3" s="229" t="s">
        <v>13329</v>
      </c>
      <c r="BTB3" s="230"/>
      <c r="BTC3" s="230"/>
      <c r="BTD3" s="231"/>
      <c r="BTE3" s="229" t="s">
        <v>13329</v>
      </c>
      <c r="BTF3" s="230"/>
      <c r="BTG3" s="230"/>
      <c r="BTH3" s="231"/>
      <c r="BTI3" s="229" t="s">
        <v>13329</v>
      </c>
      <c r="BTJ3" s="230"/>
      <c r="BTK3" s="230"/>
      <c r="BTL3" s="231"/>
      <c r="BTM3" s="229" t="s">
        <v>13329</v>
      </c>
      <c r="BTN3" s="230"/>
      <c r="BTO3" s="230"/>
      <c r="BTP3" s="231"/>
      <c r="BTQ3" s="229" t="s">
        <v>13329</v>
      </c>
      <c r="BTR3" s="230"/>
      <c r="BTS3" s="230"/>
      <c r="BTT3" s="231"/>
      <c r="BTU3" s="229" t="s">
        <v>13329</v>
      </c>
      <c r="BTV3" s="230"/>
      <c r="BTW3" s="230"/>
      <c r="BTX3" s="231"/>
      <c r="BTY3" s="229" t="s">
        <v>13329</v>
      </c>
      <c r="BTZ3" s="230"/>
      <c r="BUA3" s="230"/>
      <c r="BUB3" s="231"/>
      <c r="BUC3" s="229" t="s">
        <v>13329</v>
      </c>
      <c r="BUD3" s="230"/>
      <c r="BUE3" s="230"/>
      <c r="BUF3" s="231"/>
      <c r="BUG3" s="229" t="s">
        <v>13329</v>
      </c>
      <c r="BUH3" s="230"/>
      <c r="BUI3" s="230"/>
      <c r="BUJ3" s="231"/>
      <c r="BUK3" s="229" t="s">
        <v>13329</v>
      </c>
      <c r="BUL3" s="230"/>
      <c r="BUM3" s="230"/>
      <c r="BUN3" s="231"/>
      <c r="BUO3" s="229" t="s">
        <v>13329</v>
      </c>
      <c r="BUP3" s="230"/>
      <c r="BUQ3" s="230"/>
      <c r="BUR3" s="231"/>
      <c r="BUS3" s="229" t="s">
        <v>13329</v>
      </c>
      <c r="BUT3" s="230"/>
      <c r="BUU3" s="230"/>
      <c r="BUV3" s="231"/>
      <c r="BUW3" s="229" t="s">
        <v>13329</v>
      </c>
      <c r="BUX3" s="230"/>
      <c r="BUY3" s="230"/>
      <c r="BUZ3" s="231"/>
      <c r="BVA3" s="229" t="s">
        <v>13329</v>
      </c>
      <c r="BVB3" s="230"/>
      <c r="BVC3" s="230"/>
      <c r="BVD3" s="231"/>
      <c r="BVE3" s="229" t="s">
        <v>13329</v>
      </c>
      <c r="BVF3" s="230"/>
      <c r="BVG3" s="230"/>
      <c r="BVH3" s="231"/>
      <c r="BVI3" s="229" t="s">
        <v>13329</v>
      </c>
      <c r="BVJ3" s="230"/>
      <c r="BVK3" s="230"/>
      <c r="BVL3" s="231"/>
      <c r="BVM3" s="229" t="s">
        <v>13329</v>
      </c>
      <c r="BVN3" s="230"/>
      <c r="BVO3" s="230"/>
      <c r="BVP3" s="231"/>
      <c r="BVQ3" s="229" t="s">
        <v>13329</v>
      </c>
      <c r="BVR3" s="230"/>
      <c r="BVS3" s="230"/>
      <c r="BVT3" s="231"/>
      <c r="BVU3" s="229" t="s">
        <v>13329</v>
      </c>
      <c r="BVV3" s="230"/>
      <c r="BVW3" s="230"/>
      <c r="BVX3" s="231"/>
      <c r="BVY3" s="229" t="s">
        <v>13329</v>
      </c>
      <c r="BVZ3" s="230"/>
      <c r="BWA3" s="230"/>
      <c r="BWB3" s="231"/>
      <c r="BWC3" s="229" t="s">
        <v>13329</v>
      </c>
      <c r="BWD3" s="230"/>
      <c r="BWE3" s="230"/>
      <c r="BWF3" s="231"/>
      <c r="BWG3" s="229" t="s">
        <v>13329</v>
      </c>
      <c r="BWH3" s="230"/>
      <c r="BWI3" s="230"/>
      <c r="BWJ3" s="231"/>
      <c r="BWK3" s="229" t="s">
        <v>13329</v>
      </c>
      <c r="BWL3" s="230"/>
      <c r="BWM3" s="230"/>
      <c r="BWN3" s="231"/>
      <c r="BWO3" s="229" t="s">
        <v>13329</v>
      </c>
      <c r="BWP3" s="230"/>
      <c r="BWQ3" s="230"/>
      <c r="BWR3" s="231"/>
      <c r="BWS3" s="229" t="s">
        <v>13329</v>
      </c>
      <c r="BWT3" s="230"/>
      <c r="BWU3" s="230"/>
      <c r="BWV3" s="231"/>
      <c r="BWW3" s="229" t="s">
        <v>13329</v>
      </c>
      <c r="BWX3" s="230"/>
      <c r="BWY3" s="230"/>
      <c r="BWZ3" s="231"/>
      <c r="BXA3" s="229" t="s">
        <v>13329</v>
      </c>
      <c r="BXB3" s="230"/>
      <c r="BXC3" s="230"/>
      <c r="BXD3" s="231"/>
      <c r="BXE3" s="229" t="s">
        <v>13329</v>
      </c>
      <c r="BXF3" s="230"/>
      <c r="BXG3" s="230"/>
      <c r="BXH3" s="231"/>
      <c r="BXI3" s="229" t="s">
        <v>13329</v>
      </c>
      <c r="BXJ3" s="230"/>
      <c r="BXK3" s="230"/>
      <c r="BXL3" s="231"/>
      <c r="BXM3" s="229" t="s">
        <v>13329</v>
      </c>
      <c r="BXN3" s="230"/>
      <c r="BXO3" s="230"/>
      <c r="BXP3" s="231"/>
      <c r="BXQ3" s="229" t="s">
        <v>13329</v>
      </c>
      <c r="BXR3" s="230"/>
      <c r="BXS3" s="230"/>
      <c r="BXT3" s="231"/>
      <c r="BXU3" s="229" t="s">
        <v>13329</v>
      </c>
      <c r="BXV3" s="230"/>
      <c r="BXW3" s="230"/>
      <c r="BXX3" s="231"/>
      <c r="BXY3" s="229" t="s">
        <v>13329</v>
      </c>
      <c r="BXZ3" s="230"/>
      <c r="BYA3" s="230"/>
      <c r="BYB3" s="231"/>
      <c r="BYC3" s="229" t="s">
        <v>13329</v>
      </c>
      <c r="BYD3" s="230"/>
      <c r="BYE3" s="230"/>
      <c r="BYF3" s="231"/>
      <c r="BYG3" s="229" t="s">
        <v>13329</v>
      </c>
      <c r="BYH3" s="230"/>
      <c r="BYI3" s="230"/>
      <c r="BYJ3" s="231"/>
      <c r="BYK3" s="229" t="s">
        <v>13329</v>
      </c>
      <c r="BYL3" s="230"/>
      <c r="BYM3" s="230"/>
      <c r="BYN3" s="231"/>
      <c r="BYO3" s="229" t="s">
        <v>13329</v>
      </c>
      <c r="BYP3" s="230"/>
      <c r="BYQ3" s="230"/>
      <c r="BYR3" s="231"/>
      <c r="BYS3" s="229" t="s">
        <v>13329</v>
      </c>
      <c r="BYT3" s="230"/>
      <c r="BYU3" s="230"/>
      <c r="BYV3" s="231"/>
      <c r="BYW3" s="229" t="s">
        <v>13329</v>
      </c>
      <c r="BYX3" s="230"/>
      <c r="BYY3" s="230"/>
      <c r="BYZ3" s="231"/>
      <c r="BZA3" s="229" t="s">
        <v>13329</v>
      </c>
      <c r="BZB3" s="230"/>
      <c r="BZC3" s="230"/>
      <c r="BZD3" s="231"/>
      <c r="BZE3" s="229" t="s">
        <v>13329</v>
      </c>
      <c r="BZF3" s="230"/>
      <c r="BZG3" s="230"/>
      <c r="BZH3" s="231"/>
      <c r="BZI3" s="229" t="s">
        <v>13329</v>
      </c>
      <c r="BZJ3" s="230"/>
      <c r="BZK3" s="230"/>
      <c r="BZL3" s="231"/>
      <c r="BZM3" s="229" t="s">
        <v>13329</v>
      </c>
      <c r="BZN3" s="230"/>
      <c r="BZO3" s="230"/>
      <c r="BZP3" s="231"/>
      <c r="BZQ3" s="229" t="s">
        <v>13329</v>
      </c>
      <c r="BZR3" s="230"/>
      <c r="BZS3" s="230"/>
      <c r="BZT3" s="231"/>
      <c r="BZU3" s="229" t="s">
        <v>13329</v>
      </c>
      <c r="BZV3" s="230"/>
      <c r="BZW3" s="230"/>
      <c r="BZX3" s="231"/>
      <c r="BZY3" s="229" t="s">
        <v>13329</v>
      </c>
      <c r="BZZ3" s="230"/>
      <c r="CAA3" s="230"/>
      <c r="CAB3" s="231"/>
      <c r="CAC3" s="229" t="s">
        <v>13329</v>
      </c>
      <c r="CAD3" s="230"/>
      <c r="CAE3" s="230"/>
      <c r="CAF3" s="231"/>
      <c r="CAG3" s="229" t="s">
        <v>13329</v>
      </c>
      <c r="CAH3" s="230"/>
      <c r="CAI3" s="230"/>
      <c r="CAJ3" s="231"/>
      <c r="CAK3" s="229" t="s">
        <v>13329</v>
      </c>
      <c r="CAL3" s="230"/>
      <c r="CAM3" s="230"/>
      <c r="CAN3" s="231"/>
      <c r="CAO3" s="229" t="s">
        <v>13329</v>
      </c>
      <c r="CAP3" s="230"/>
      <c r="CAQ3" s="230"/>
      <c r="CAR3" s="231"/>
      <c r="CAS3" s="229" t="s">
        <v>13329</v>
      </c>
      <c r="CAT3" s="230"/>
      <c r="CAU3" s="230"/>
      <c r="CAV3" s="231"/>
      <c r="CAW3" s="229" t="s">
        <v>13329</v>
      </c>
      <c r="CAX3" s="230"/>
      <c r="CAY3" s="230"/>
      <c r="CAZ3" s="231"/>
      <c r="CBA3" s="229" t="s">
        <v>13329</v>
      </c>
      <c r="CBB3" s="230"/>
      <c r="CBC3" s="230"/>
      <c r="CBD3" s="231"/>
      <c r="CBE3" s="229" t="s">
        <v>13329</v>
      </c>
      <c r="CBF3" s="230"/>
      <c r="CBG3" s="230"/>
      <c r="CBH3" s="231"/>
      <c r="CBI3" s="229" t="s">
        <v>13329</v>
      </c>
      <c r="CBJ3" s="230"/>
      <c r="CBK3" s="230"/>
      <c r="CBL3" s="231"/>
      <c r="CBM3" s="229" t="s">
        <v>13329</v>
      </c>
      <c r="CBN3" s="230"/>
      <c r="CBO3" s="230"/>
      <c r="CBP3" s="231"/>
      <c r="CBQ3" s="229" t="s">
        <v>13329</v>
      </c>
      <c r="CBR3" s="230"/>
      <c r="CBS3" s="230"/>
      <c r="CBT3" s="231"/>
      <c r="CBU3" s="229" t="s">
        <v>13329</v>
      </c>
      <c r="CBV3" s="230"/>
      <c r="CBW3" s="230"/>
      <c r="CBX3" s="231"/>
      <c r="CBY3" s="229" t="s">
        <v>13329</v>
      </c>
      <c r="CBZ3" s="230"/>
      <c r="CCA3" s="230"/>
      <c r="CCB3" s="231"/>
      <c r="CCC3" s="229" t="s">
        <v>13329</v>
      </c>
      <c r="CCD3" s="230"/>
      <c r="CCE3" s="230"/>
      <c r="CCF3" s="231"/>
      <c r="CCG3" s="229" t="s">
        <v>13329</v>
      </c>
      <c r="CCH3" s="230"/>
      <c r="CCI3" s="230"/>
      <c r="CCJ3" s="231"/>
      <c r="CCK3" s="229" t="s">
        <v>13329</v>
      </c>
      <c r="CCL3" s="230"/>
      <c r="CCM3" s="230"/>
      <c r="CCN3" s="231"/>
      <c r="CCO3" s="229" t="s">
        <v>13329</v>
      </c>
      <c r="CCP3" s="230"/>
      <c r="CCQ3" s="230"/>
      <c r="CCR3" s="231"/>
      <c r="CCS3" s="229" t="s">
        <v>13329</v>
      </c>
      <c r="CCT3" s="230"/>
      <c r="CCU3" s="230"/>
      <c r="CCV3" s="231"/>
      <c r="CCW3" s="229" t="s">
        <v>13329</v>
      </c>
      <c r="CCX3" s="230"/>
      <c r="CCY3" s="230"/>
      <c r="CCZ3" s="231"/>
      <c r="CDA3" s="229" t="s">
        <v>13329</v>
      </c>
      <c r="CDB3" s="230"/>
      <c r="CDC3" s="230"/>
      <c r="CDD3" s="231"/>
      <c r="CDE3" s="229" t="s">
        <v>13329</v>
      </c>
      <c r="CDF3" s="230"/>
      <c r="CDG3" s="230"/>
      <c r="CDH3" s="231"/>
      <c r="CDI3" s="229" t="s">
        <v>13329</v>
      </c>
      <c r="CDJ3" s="230"/>
      <c r="CDK3" s="230"/>
      <c r="CDL3" s="231"/>
      <c r="CDM3" s="229" t="s">
        <v>13329</v>
      </c>
      <c r="CDN3" s="230"/>
      <c r="CDO3" s="230"/>
      <c r="CDP3" s="231"/>
      <c r="CDQ3" s="229" t="s">
        <v>13329</v>
      </c>
      <c r="CDR3" s="230"/>
      <c r="CDS3" s="230"/>
      <c r="CDT3" s="231"/>
      <c r="CDU3" s="229" t="s">
        <v>13329</v>
      </c>
      <c r="CDV3" s="230"/>
      <c r="CDW3" s="230"/>
      <c r="CDX3" s="231"/>
      <c r="CDY3" s="229" t="s">
        <v>13329</v>
      </c>
      <c r="CDZ3" s="230"/>
      <c r="CEA3" s="230"/>
      <c r="CEB3" s="231"/>
      <c r="CEC3" s="229" t="s">
        <v>13329</v>
      </c>
      <c r="CED3" s="230"/>
      <c r="CEE3" s="230"/>
      <c r="CEF3" s="231"/>
      <c r="CEG3" s="229" t="s">
        <v>13329</v>
      </c>
      <c r="CEH3" s="230"/>
      <c r="CEI3" s="230"/>
      <c r="CEJ3" s="231"/>
      <c r="CEK3" s="229" t="s">
        <v>13329</v>
      </c>
      <c r="CEL3" s="230"/>
      <c r="CEM3" s="230"/>
      <c r="CEN3" s="231"/>
      <c r="CEO3" s="229" t="s">
        <v>13329</v>
      </c>
      <c r="CEP3" s="230"/>
      <c r="CEQ3" s="230"/>
      <c r="CER3" s="231"/>
      <c r="CES3" s="229" t="s">
        <v>13329</v>
      </c>
      <c r="CET3" s="230"/>
      <c r="CEU3" s="230"/>
      <c r="CEV3" s="231"/>
      <c r="CEW3" s="229" t="s">
        <v>13329</v>
      </c>
      <c r="CEX3" s="230"/>
      <c r="CEY3" s="230"/>
      <c r="CEZ3" s="231"/>
      <c r="CFA3" s="229" t="s">
        <v>13329</v>
      </c>
      <c r="CFB3" s="230"/>
      <c r="CFC3" s="230"/>
      <c r="CFD3" s="231"/>
      <c r="CFE3" s="229" t="s">
        <v>13329</v>
      </c>
      <c r="CFF3" s="230"/>
      <c r="CFG3" s="230"/>
      <c r="CFH3" s="231"/>
      <c r="CFI3" s="229" t="s">
        <v>13329</v>
      </c>
      <c r="CFJ3" s="230"/>
      <c r="CFK3" s="230"/>
      <c r="CFL3" s="231"/>
      <c r="CFM3" s="229" t="s">
        <v>13329</v>
      </c>
      <c r="CFN3" s="230"/>
      <c r="CFO3" s="230"/>
      <c r="CFP3" s="231"/>
      <c r="CFQ3" s="229" t="s">
        <v>13329</v>
      </c>
      <c r="CFR3" s="230"/>
      <c r="CFS3" s="230"/>
      <c r="CFT3" s="231"/>
      <c r="CFU3" s="229" t="s">
        <v>13329</v>
      </c>
      <c r="CFV3" s="230"/>
      <c r="CFW3" s="230"/>
      <c r="CFX3" s="231"/>
      <c r="CFY3" s="229" t="s">
        <v>13329</v>
      </c>
      <c r="CFZ3" s="230"/>
      <c r="CGA3" s="230"/>
      <c r="CGB3" s="231"/>
      <c r="CGC3" s="229" t="s">
        <v>13329</v>
      </c>
      <c r="CGD3" s="230"/>
      <c r="CGE3" s="230"/>
      <c r="CGF3" s="231"/>
      <c r="CGG3" s="229" t="s">
        <v>13329</v>
      </c>
      <c r="CGH3" s="230"/>
      <c r="CGI3" s="230"/>
      <c r="CGJ3" s="231"/>
      <c r="CGK3" s="229" t="s">
        <v>13329</v>
      </c>
      <c r="CGL3" s="230"/>
      <c r="CGM3" s="230"/>
      <c r="CGN3" s="231"/>
      <c r="CGO3" s="229" t="s">
        <v>13329</v>
      </c>
      <c r="CGP3" s="230"/>
      <c r="CGQ3" s="230"/>
      <c r="CGR3" s="231"/>
      <c r="CGS3" s="229" t="s">
        <v>13329</v>
      </c>
      <c r="CGT3" s="230"/>
      <c r="CGU3" s="230"/>
      <c r="CGV3" s="231"/>
      <c r="CGW3" s="229" t="s">
        <v>13329</v>
      </c>
      <c r="CGX3" s="230"/>
      <c r="CGY3" s="230"/>
      <c r="CGZ3" s="231"/>
      <c r="CHA3" s="229" t="s">
        <v>13329</v>
      </c>
      <c r="CHB3" s="230"/>
      <c r="CHC3" s="230"/>
      <c r="CHD3" s="231"/>
      <c r="CHE3" s="229" t="s">
        <v>13329</v>
      </c>
      <c r="CHF3" s="230"/>
      <c r="CHG3" s="230"/>
      <c r="CHH3" s="231"/>
      <c r="CHI3" s="229" t="s">
        <v>13329</v>
      </c>
      <c r="CHJ3" s="230"/>
      <c r="CHK3" s="230"/>
      <c r="CHL3" s="231"/>
      <c r="CHM3" s="229" t="s">
        <v>13329</v>
      </c>
      <c r="CHN3" s="230"/>
      <c r="CHO3" s="230"/>
      <c r="CHP3" s="231"/>
      <c r="CHQ3" s="229" t="s">
        <v>13329</v>
      </c>
      <c r="CHR3" s="230"/>
      <c r="CHS3" s="230"/>
      <c r="CHT3" s="231"/>
      <c r="CHU3" s="229" t="s">
        <v>13329</v>
      </c>
      <c r="CHV3" s="230"/>
      <c r="CHW3" s="230"/>
      <c r="CHX3" s="231"/>
      <c r="CHY3" s="229" t="s">
        <v>13329</v>
      </c>
      <c r="CHZ3" s="230"/>
      <c r="CIA3" s="230"/>
      <c r="CIB3" s="231"/>
      <c r="CIC3" s="229" t="s">
        <v>13329</v>
      </c>
      <c r="CID3" s="230"/>
      <c r="CIE3" s="230"/>
      <c r="CIF3" s="231"/>
      <c r="CIG3" s="229" t="s">
        <v>13329</v>
      </c>
      <c r="CIH3" s="230"/>
      <c r="CII3" s="230"/>
      <c r="CIJ3" s="231"/>
      <c r="CIK3" s="229" t="s">
        <v>13329</v>
      </c>
      <c r="CIL3" s="230"/>
      <c r="CIM3" s="230"/>
      <c r="CIN3" s="231"/>
      <c r="CIO3" s="229" t="s">
        <v>13329</v>
      </c>
      <c r="CIP3" s="230"/>
      <c r="CIQ3" s="230"/>
      <c r="CIR3" s="231"/>
      <c r="CIS3" s="229" t="s">
        <v>13329</v>
      </c>
      <c r="CIT3" s="230"/>
      <c r="CIU3" s="230"/>
      <c r="CIV3" s="231"/>
      <c r="CIW3" s="229" t="s">
        <v>13329</v>
      </c>
      <c r="CIX3" s="230"/>
      <c r="CIY3" s="230"/>
      <c r="CIZ3" s="231"/>
      <c r="CJA3" s="229" t="s">
        <v>13329</v>
      </c>
      <c r="CJB3" s="230"/>
      <c r="CJC3" s="230"/>
      <c r="CJD3" s="231"/>
      <c r="CJE3" s="229" t="s">
        <v>13329</v>
      </c>
      <c r="CJF3" s="230"/>
      <c r="CJG3" s="230"/>
      <c r="CJH3" s="231"/>
      <c r="CJI3" s="229" t="s">
        <v>13329</v>
      </c>
      <c r="CJJ3" s="230"/>
      <c r="CJK3" s="230"/>
      <c r="CJL3" s="231"/>
      <c r="CJM3" s="229" t="s">
        <v>13329</v>
      </c>
      <c r="CJN3" s="230"/>
      <c r="CJO3" s="230"/>
      <c r="CJP3" s="231"/>
      <c r="CJQ3" s="229" t="s">
        <v>13329</v>
      </c>
      <c r="CJR3" s="230"/>
      <c r="CJS3" s="230"/>
      <c r="CJT3" s="231"/>
      <c r="CJU3" s="229" t="s">
        <v>13329</v>
      </c>
      <c r="CJV3" s="230"/>
      <c r="CJW3" s="230"/>
      <c r="CJX3" s="231"/>
      <c r="CJY3" s="229" t="s">
        <v>13329</v>
      </c>
      <c r="CJZ3" s="230"/>
      <c r="CKA3" s="230"/>
      <c r="CKB3" s="231"/>
      <c r="CKC3" s="229" t="s">
        <v>13329</v>
      </c>
      <c r="CKD3" s="230"/>
      <c r="CKE3" s="230"/>
      <c r="CKF3" s="231"/>
      <c r="CKG3" s="229" t="s">
        <v>13329</v>
      </c>
      <c r="CKH3" s="230"/>
      <c r="CKI3" s="230"/>
      <c r="CKJ3" s="231"/>
      <c r="CKK3" s="229" t="s">
        <v>13329</v>
      </c>
      <c r="CKL3" s="230"/>
      <c r="CKM3" s="230"/>
      <c r="CKN3" s="231"/>
      <c r="CKO3" s="229" t="s">
        <v>13329</v>
      </c>
      <c r="CKP3" s="230"/>
      <c r="CKQ3" s="230"/>
      <c r="CKR3" s="231"/>
      <c r="CKS3" s="229" t="s">
        <v>13329</v>
      </c>
      <c r="CKT3" s="230"/>
      <c r="CKU3" s="230"/>
      <c r="CKV3" s="231"/>
      <c r="CKW3" s="229" t="s">
        <v>13329</v>
      </c>
      <c r="CKX3" s="230"/>
      <c r="CKY3" s="230"/>
      <c r="CKZ3" s="231"/>
      <c r="CLA3" s="229" t="s">
        <v>13329</v>
      </c>
      <c r="CLB3" s="230"/>
      <c r="CLC3" s="230"/>
      <c r="CLD3" s="231"/>
      <c r="CLE3" s="229" t="s">
        <v>13329</v>
      </c>
      <c r="CLF3" s="230"/>
      <c r="CLG3" s="230"/>
      <c r="CLH3" s="231"/>
      <c r="CLI3" s="229" t="s">
        <v>13329</v>
      </c>
      <c r="CLJ3" s="230"/>
      <c r="CLK3" s="230"/>
      <c r="CLL3" s="231"/>
      <c r="CLM3" s="229" t="s">
        <v>13329</v>
      </c>
      <c r="CLN3" s="230"/>
      <c r="CLO3" s="230"/>
      <c r="CLP3" s="231"/>
      <c r="CLQ3" s="229" t="s">
        <v>13329</v>
      </c>
      <c r="CLR3" s="230"/>
      <c r="CLS3" s="230"/>
      <c r="CLT3" s="231"/>
      <c r="CLU3" s="229" t="s">
        <v>13329</v>
      </c>
      <c r="CLV3" s="230"/>
      <c r="CLW3" s="230"/>
      <c r="CLX3" s="231"/>
      <c r="CLY3" s="229" t="s">
        <v>13329</v>
      </c>
      <c r="CLZ3" s="230"/>
      <c r="CMA3" s="230"/>
      <c r="CMB3" s="231"/>
      <c r="CMC3" s="229" t="s">
        <v>13329</v>
      </c>
      <c r="CMD3" s="230"/>
      <c r="CME3" s="230"/>
      <c r="CMF3" s="231"/>
      <c r="CMG3" s="229" t="s">
        <v>13329</v>
      </c>
      <c r="CMH3" s="230"/>
      <c r="CMI3" s="230"/>
      <c r="CMJ3" s="231"/>
      <c r="CMK3" s="229" t="s">
        <v>13329</v>
      </c>
      <c r="CML3" s="230"/>
      <c r="CMM3" s="230"/>
      <c r="CMN3" s="231"/>
      <c r="CMO3" s="229" t="s">
        <v>13329</v>
      </c>
      <c r="CMP3" s="230"/>
      <c r="CMQ3" s="230"/>
      <c r="CMR3" s="231"/>
      <c r="CMS3" s="229" t="s">
        <v>13329</v>
      </c>
      <c r="CMT3" s="230"/>
      <c r="CMU3" s="230"/>
      <c r="CMV3" s="231"/>
      <c r="CMW3" s="229" t="s">
        <v>13329</v>
      </c>
      <c r="CMX3" s="230"/>
      <c r="CMY3" s="230"/>
      <c r="CMZ3" s="231"/>
      <c r="CNA3" s="229" t="s">
        <v>13329</v>
      </c>
      <c r="CNB3" s="230"/>
      <c r="CNC3" s="230"/>
      <c r="CND3" s="231"/>
      <c r="CNE3" s="229" t="s">
        <v>13329</v>
      </c>
      <c r="CNF3" s="230"/>
      <c r="CNG3" s="230"/>
      <c r="CNH3" s="231"/>
      <c r="CNI3" s="229" t="s">
        <v>13329</v>
      </c>
      <c r="CNJ3" s="230"/>
      <c r="CNK3" s="230"/>
      <c r="CNL3" s="231"/>
      <c r="CNM3" s="229" t="s">
        <v>13329</v>
      </c>
      <c r="CNN3" s="230"/>
      <c r="CNO3" s="230"/>
      <c r="CNP3" s="231"/>
      <c r="CNQ3" s="229" t="s">
        <v>13329</v>
      </c>
      <c r="CNR3" s="230"/>
      <c r="CNS3" s="230"/>
      <c r="CNT3" s="231"/>
      <c r="CNU3" s="229" t="s">
        <v>13329</v>
      </c>
      <c r="CNV3" s="230"/>
      <c r="CNW3" s="230"/>
      <c r="CNX3" s="231"/>
      <c r="CNY3" s="229" t="s">
        <v>13329</v>
      </c>
      <c r="CNZ3" s="230"/>
      <c r="COA3" s="230"/>
      <c r="COB3" s="231"/>
      <c r="COC3" s="229" t="s">
        <v>13329</v>
      </c>
      <c r="COD3" s="230"/>
      <c r="COE3" s="230"/>
      <c r="COF3" s="231"/>
      <c r="COG3" s="229" t="s">
        <v>13329</v>
      </c>
      <c r="COH3" s="230"/>
      <c r="COI3" s="230"/>
      <c r="COJ3" s="231"/>
      <c r="COK3" s="229" t="s">
        <v>13329</v>
      </c>
      <c r="COL3" s="230"/>
      <c r="COM3" s="230"/>
      <c r="CON3" s="231"/>
      <c r="COO3" s="229" t="s">
        <v>13329</v>
      </c>
      <c r="COP3" s="230"/>
      <c r="COQ3" s="230"/>
      <c r="COR3" s="231"/>
      <c r="COS3" s="229" t="s">
        <v>13329</v>
      </c>
      <c r="COT3" s="230"/>
      <c r="COU3" s="230"/>
      <c r="COV3" s="231"/>
      <c r="COW3" s="229" t="s">
        <v>13329</v>
      </c>
      <c r="COX3" s="230"/>
      <c r="COY3" s="230"/>
      <c r="COZ3" s="231"/>
      <c r="CPA3" s="229" t="s">
        <v>13329</v>
      </c>
      <c r="CPB3" s="230"/>
      <c r="CPC3" s="230"/>
      <c r="CPD3" s="231"/>
      <c r="CPE3" s="229" t="s">
        <v>13329</v>
      </c>
      <c r="CPF3" s="230"/>
      <c r="CPG3" s="230"/>
      <c r="CPH3" s="231"/>
      <c r="CPI3" s="229" t="s">
        <v>13329</v>
      </c>
      <c r="CPJ3" s="230"/>
      <c r="CPK3" s="230"/>
      <c r="CPL3" s="231"/>
      <c r="CPM3" s="229" t="s">
        <v>13329</v>
      </c>
      <c r="CPN3" s="230"/>
      <c r="CPO3" s="230"/>
      <c r="CPP3" s="231"/>
      <c r="CPQ3" s="229" t="s">
        <v>13329</v>
      </c>
      <c r="CPR3" s="230"/>
      <c r="CPS3" s="230"/>
      <c r="CPT3" s="231"/>
      <c r="CPU3" s="229" t="s">
        <v>13329</v>
      </c>
      <c r="CPV3" s="230"/>
      <c r="CPW3" s="230"/>
      <c r="CPX3" s="231"/>
      <c r="CPY3" s="229" t="s">
        <v>13329</v>
      </c>
      <c r="CPZ3" s="230"/>
      <c r="CQA3" s="230"/>
      <c r="CQB3" s="231"/>
      <c r="CQC3" s="229" t="s">
        <v>13329</v>
      </c>
      <c r="CQD3" s="230"/>
      <c r="CQE3" s="230"/>
      <c r="CQF3" s="231"/>
      <c r="CQG3" s="229" t="s">
        <v>13329</v>
      </c>
      <c r="CQH3" s="230"/>
      <c r="CQI3" s="230"/>
      <c r="CQJ3" s="231"/>
      <c r="CQK3" s="229" t="s">
        <v>13329</v>
      </c>
      <c r="CQL3" s="230"/>
      <c r="CQM3" s="230"/>
      <c r="CQN3" s="231"/>
      <c r="CQO3" s="229" t="s">
        <v>13329</v>
      </c>
      <c r="CQP3" s="230"/>
      <c r="CQQ3" s="230"/>
      <c r="CQR3" s="231"/>
      <c r="CQS3" s="229" t="s">
        <v>13329</v>
      </c>
      <c r="CQT3" s="230"/>
      <c r="CQU3" s="230"/>
      <c r="CQV3" s="231"/>
      <c r="CQW3" s="229" t="s">
        <v>13329</v>
      </c>
      <c r="CQX3" s="230"/>
      <c r="CQY3" s="230"/>
      <c r="CQZ3" s="231"/>
      <c r="CRA3" s="229" t="s">
        <v>13329</v>
      </c>
      <c r="CRB3" s="230"/>
      <c r="CRC3" s="230"/>
      <c r="CRD3" s="231"/>
      <c r="CRE3" s="229" t="s">
        <v>13329</v>
      </c>
      <c r="CRF3" s="230"/>
      <c r="CRG3" s="230"/>
      <c r="CRH3" s="231"/>
      <c r="CRI3" s="229" t="s">
        <v>13329</v>
      </c>
      <c r="CRJ3" s="230"/>
      <c r="CRK3" s="230"/>
      <c r="CRL3" s="231"/>
      <c r="CRM3" s="229" t="s">
        <v>13329</v>
      </c>
      <c r="CRN3" s="230"/>
      <c r="CRO3" s="230"/>
      <c r="CRP3" s="231"/>
      <c r="CRQ3" s="229" t="s">
        <v>13329</v>
      </c>
      <c r="CRR3" s="230"/>
      <c r="CRS3" s="230"/>
      <c r="CRT3" s="231"/>
      <c r="CRU3" s="229" t="s">
        <v>13329</v>
      </c>
      <c r="CRV3" s="230"/>
      <c r="CRW3" s="230"/>
      <c r="CRX3" s="231"/>
      <c r="CRY3" s="229" t="s">
        <v>13329</v>
      </c>
      <c r="CRZ3" s="230"/>
      <c r="CSA3" s="230"/>
      <c r="CSB3" s="231"/>
      <c r="CSC3" s="229" t="s">
        <v>13329</v>
      </c>
      <c r="CSD3" s="230"/>
      <c r="CSE3" s="230"/>
      <c r="CSF3" s="231"/>
      <c r="CSG3" s="229" t="s">
        <v>13329</v>
      </c>
      <c r="CSH3" s="230"/>
      <c r="CSI3" s="230"/>
      <c r="CSJ3" s="231"/>
      <c r="CSK3" s="229" t="s">
        <v>13329</v>
      </c>
      <c r="CSL3" s="230"/>
      <c r="CSM3" s="230"/>
      <c r="CSN3" s="231"/>
      <c r="CSO3" s="229" t="s">
        <v>13329</v>
      </c>
      <c r="CSP3" s="230"/>
      <c r="CSQ3" s="230"/>
      <c r="CSR3" s="231"/>
      <c r="CSS3" s="229" t="s">
        <v>13329</v>
      </c>
      <c r="CST3" s="230"/>
      <c r="CSU3" s="230"/>
      <c r="CSV3" s="231"/>
      <c r="CSW3" s="229" t="s">
        <v>13329</v>
      </c>
      <c r="CSX3" s="230"/>
      <c r="CSY3" s="230"/>
      <c r="CSZ3" s="231"/>
      <c r="CTA3" s="229" t="s">
        <v>13329</v>
      </c>
      <c r="CTB3" s="230"/>
      <c r="CTC3" s="230"/>
      <c r="CTD3" s="231"/>
      <c r="CTE3" s="229" t="s">
        <v>13329</v>
      </c>
      <c r="CTF3" s="230"/>
      <c r="CTG3" s="230"/>
      <c r="CTH3" s="231"/>
      <c r="CTI3" s="229" t="s">
        <v>13329</v>
      </c>
      <c r="CTJ3" s="230"/>
      <c r="CTK3" s="230"/>
      <c r="CTL3" s="231"/>
      <c r="CTM3" s="229" t="s">
        <v>13329</v>
      </c>
      <c r="CTN3" s="230"/>
      <c r="CTO3" s="230"/>
      <c r="CTP3" s="231"/>
      <c r="CTQ3" s="229" t="s">
        <v>13329</v>
      </c>
      <c r="CTR3" s="230"/>
      <c r="CTS3" s="230"/>
      <c r="CTT3" s="231"/>
      <c r="CTU3" s="229" t="s">
        <v>13329</v>
      </c>
      <c r="CTV3" s="230"/>
      <c r="CTW3" s="230"/>
      <c r="CTX3" s="231"/>
      <c r="CTY3" s="229" t="s">
        <v>13329</v>
      </c>
      <c r="CTZ3" s="230"/>
      <c r="CUA3" s="230"/>
      <c r="CUB3" s="231"/>
      <c r="CUC3" s="229" t="s">
        <v>13329</v>
      </c>
      <c r="CUD3" s="230"/>
      <c r="CUE3" s="230"/>
      <c r="CUF3" s="231"/>
      <c r="CUG3" s="229" t="s">
        <v>13329</v>
      </c>
      <c r="CUH3" s="230"/>
      <c r="CUI3" s="230"/>
      <c r="CUJ3" s="231"/>
      <c r="CUK3" s="229" t="s">
        <v>13329</v>
      </c>
      <c r="CUL3" s="230"/>
      <c r="CUM3" s="230"/>
      <c r="CUN3" s="231"/>
      <c r="CUO3" s="229" t="s">
        <v>13329</v>
      </c>
      <c r="CUP3" s="230"/>
      <c r="CUQ3" s="230"/>
      <c r="CUR3" s="231"/>
      <c r="CUS3" s="229" t="s">
        <v>13329</v>
      </c>
      <c r="CUT3" s="230"/>
      <c r="CUU3" s="230"/>
      <c r="CUV3" s="231"/>
      <c r="CUW3" s="229" t="s">
        <v>13329</v>
      </c>
      <c r="CUX3" s="230"/>
      <c r="CUY3" s="230"/>
      <c r="CUZ3" s="231"/>
      <c r="CVA3" s="229" t="s">
        <v>13329</v>
      </c>
      <c r="CVB3" s="230"/>
      <c r="CVC3" s="230"/>
      <c r="CVD3" s="231"/>
      <c r="CVE3" s="229" t="s">
        <v>13329</v>
      </c>
      <c r="CVF3" s="230"/>
      <c r="CVG3" s="230"/>
      <c r="CVH3" s="231"/>
      <c r="CVI3" s="229" t="s">
        <v>13329</v>
      </c>
      <c r="CVJ3" s="230"/>
      <c r="CVK3" s="230"/>
      <c r="CVL3" s="231"/>
      <c r="CVM3" s="229" t="s">
        <v>13329</v>
      </c>
      <c r="CVN3" s="230"/>
      <c r="CVO3" s="230"/>
      <c r="CVP3" s="231"/>
      <c r="CVQ3" s="229" t="s">
        <v>13329</v>
      </c>
      <c r="CVR3" s="230"/>
      <c r="CVS3" s="230"/>
      <c r="CVT3" s="231"/>
      <c r="CVU3" s="229" t="s">
        <v>13329</v>
      </c>
      <c r="CVV3" s="230"/>
      <c r="CVW3" s="230"/>
      <c r="CVX3" s="231"/>
      <c r="CVY3" s="229" t="s">
        <v>13329</v>
      </c>
      <c r="CVZ3" s="230"/>
      <c r="CWA3" s="230"/>
      <c r="CWB3" s="231"/>
      <c r="CWC3" s="229" t="s">
        <v>13329</v>
      </c>
      <c r="CWD3" s="230"/>
      <c r="CWE3" s="230"/>
      <c r="CWF3" s="231"/>
      <c r="CWG3" s="229" t="s">
        <v>13329</v>
      </c>
      <c r="CWH3" s="230"/>
      <c r="CWI3" s="230"/>
      <c r="CWJ3" s="231"/>
      <c r="CWK3" s="229" t="s">
        <v>13329</v>
      </c>
      <c r="CWL3" s="230"/>
      <c r="CWM3" s="230"/>
      <c r="CWN3" s="231"/>
      <c r="CWO3" s="229" t="s">
        <v>13329</v>
      </c>
      <c r="CWP3" s="230"/>
      <c r="CWQ3" s="230"/>
      <c r="CWR3" s="231"/>
      <c r="CWS3" s="229" t="s">
        <v>13329</v>
      </c>
      <c r="CWT3" s="230"/>
      <c r="CWU3" s="230"/>
      <c r="CWV3" s="231"/>
      <c r="CWW3" s="229" t="s">
        <v>13329</v>
      </c>
      <c r="CWX3" s="230"/>
      <c r="CWY3" s="230"/>
      <c r="CWZ3" s="231"/>
      <c r="CXA3" s="229" t="s">
        <v>13329</v>
      </c>
      <c r="CXB3" s="230"/>
      <c r="CXC3" s="230"/>
      <c r="CXD3" s="231"/>
      <c r="CXE3" s="229" t="s">
        <v>13329</v>
      </c>
      <c r="CXF3" s="230"/>
      <c r="CXG3" s="230"/>
      <c r="CXH3" s="231"/>
      <c r="CXI3" s="229" t="s">
        <v>13329</v>
      </c>
      <c r="CXJ3" s="230"/>
      <c r="CXK3" s="230"/>
      <c r="CXL3" s="231"/>
      <c r="CXM3" s="229" t="s">
        <v>13329</v>
      </c>
      <c r="CXN3" s="230"/>
      <c r="CXO3" s="230"/>
      <c r="CXP3" s="231"/>
      <c r="CXQ3" s="229" t="s">
        <v>13329</v>
      </c>
      <c r="CXR3" s="230"/>
      <c r="CXS3" s="230"/>
      <c r="CXT3" s="231"/>
      <c r="CXU3" s="229" t="s">
        <v>13329</v>
      </c>
      <c r="CXV3" s="230"/>
      <c r="CXW3" s="230"/>
      <c r="CXX3" s="231"/>
      <c r="CXY3" s="229" t="s">
        <v>13329</v>
      </c>
      <c r="CXZ3" s="230"/>
      <c r="CYA3" s="230"/>
      <c r="CYB3" s="231"/>
      <c r="CYC3" s="229" t="s">
        <v>13329</v>
      </c>
      <c r="CYD3" s="230"/>
      <c r="CYE3" s="230"/>
      <c r="CYF3" s="231"/>
      <c r="CYG3" s="229" t="s">
        <v>13329</v>
      </c>
      <c r="CYH3" s="230"/>
      <c r="CYI3" s="230"/>
      <c r="CYJ3" s="231"/>
      <c r="CYK3" s="229" t="s">
        <v>13329</v>
      </c>
      <c r="CYL3" s="230"/>
      <c r="CYM3" s="230"/>
      <c r="CYN3" s="231"/>
      <c r="CYO3" s="229" t="s">
        <v>13329</v>
      </c>
      <c r="CYP3" s="230"/>
      <c r="CYQ3" s="230"/>
      <c r="CYR3" s="231"/>
      <c r="CYS3" s="229" t="s">
        <v>13329</v>
      </c>
      <c r="CYT3" s="230"/>
      <c r="CYU3" s="230"/>
      <c r="CYV3" s="231"/>
      <c r="CYW3" s="229" t="s">
        <v>13329</v>
      </c>
      <c r="CYX3" s="230"/>
      <c r="CYY3" s="230"/>
      <c r="CYZ3" s="231"/>
      <c r="CZA3" s="229" t="s">
        <v>13329</v>
      </c>
      <c r="CZB3" s="230"/>
      <c r="CZC3" s="230"/>
      <c r="CZD3" s="231"/>
      <c r="CZE3" s="229" t="s">
        <v>13329</v>
      </c>
      <c r="CZF3" s="230"/>
      <c r="CZG3" s="230"/>
      <c r="CZH3" s="231"/>
      <c r="CZI3" s="229" t="s">
        <v>13329</v>
      </c>
      <c r="CZJ3" s="230"/>
      <c r="CZK3" s="230"/>
      <c r="CZL3" s="231"/>
      <c r="CZM3" s="229" t="s">
        <v>13329</v>
      </c>
      <c r="CZN3" s="230"/>
      <c r="CZO3" s="230"/>
      <c r="CZP3" s="231"/>
      <c r="CZQ3" s="229" t="s">
        <v>13329</v>
      </c>
      <c r="CZR3" s="230"/>
      <c r="CZS3" s="230"/>
      <c r="CZT3" s="231"/>
      <c r="CZU3" s="229" t="s">
        <v>13329</v>
      </c>
      <c r="CZV3" s="230"/>
      <c r="CZW3" s="230"/>
      <c r="CZX3" s="231"/>
      <c r="CZY3" s="229" t="s">
        <v>13329</v>
      </c>
      <c r="CZZ3" s="230"/>
      <c r="DAA3" s="230"/>
      <c r="DAB3" s="231"/>
      <c r="DAC3" s="229" t="s">
        <v>13329</v>
      </c>
      <c r="DAD3" s="230"/>
      <c r="DAE3" s="230"/>
      <c r="DAF3" s="231"/>
      <c r="DAG3" s="229" t="s">
        <v>13329</v>
      </c>
      <c r="DAH3" s="230"/>
      <c r="DAI3" s="230"/>
      <c r="DAJ3" s="231"/>
      <c r="DAK3" s="229" t="s">
        <v>13329</v>
      </c>
      <c r="DAL3" s="230"/>
      <c r="DAM3" s="230"/>
      <c r="DAN3" s="231"/>
      <c r="DAO3" s="229" t="s">
        <v>13329</v>
      </c>
      <c r="DAP3" s="230"/>
      <c r="DAQ3" s="230"/>
      <c r="DAR3" s="231"/>
      <c r="DAS3" s="229" t="s">
        <v>13329</v>
      </c>
      <c r="DAT3" s="230"/>
      <c r="DAU3" s="230"/>
      <c r="DAV3" s="231"/>
      <c r="DAW3" s="229" t="s">
        <v>13329</v>
      </c>
      <c r="DAX3" s="230"/>
      <c r="DAY3" s="230"/>
      <c r="DAZ3" s="231"/>
      <c r="DBA3" s="229" t="s">
        <v>13329</v>
      </c>
      <c r="DBB3" s="230"/>
      <c r="DBC3" s="230"/>
      <c r="DBD3" s="231"/>
      <c r="DBE3" s="229" t="s">
        <v>13329</v>
      </c>
      <c r="DBF3" s="230"/>
      <c r="DBG3" s="230"/>
      <c r="DBH3" s="231"/>
      <c r="DBI3" s="229" t="s">
        <v>13329</v>
      </c>
      <c r="DBJ3" s="230"/>
      <c r="DBK3" s="230"/>
      <c r="DBL3" s="231"/>
      <c r="DBM3" s="229" t="s">
        <v>13329</v>
      </c>
      <c r="DBN3" s="230"/>
      <c r="DBO3" s="230"/>
      <c r="DBP3" s="231"/>
      <c r="DBQ3" s="229" t="s">
        <v>13329</v>
      </c>
      <c r="DBR3" s="230"/>
      <c r="DBS3" s="230"/>
      <c r="DBT3" s="231"/>
      <c r="DBU3" s="229" t="s">
        <v>13329</v>
      </c>
      <c r="DBV3" s="230"/>
      <c r="DBW3" s="230"/>
      <c r="DBX3" s="231"/>
      <c r="DBY3" s="229" t="s">
        <v>13329</v>
      </c>
      <c r="DBZ3" s="230"/>
      <c r="DCA3" s="230"/>
      <c r="DCB3" s="231"/>
      <c r="DCC3" s="229" t="s">
        <v>13329</v>
      </c>
      <c r="DCD3" s="230"/>
      <c r="DCE3" s="230"/>
      <c r="DCF3" s="231"/>
      <c r="DCG3" s="229" t="s">
        <v>13329</v>
      </c>
      <c r="DCH3" s="230"/>
      <c r="DCI3" s="230"/>
      <c r="DCJ3" s="231"/>
      <c r="DCK3" s="229" t="s">
        <v>13329</v>
      </c>
      <c r="DCL3" s="230"/>
      <c r="DCM3" s="230"/>
      <c r="DCN3" s="231"/>
      <c r="DCO3" s="229" t="s">
        <v>13329</v>
      </c>
      <c r="DCP3" s="230"/>
      <c r="DCQ3" s="230"/>
      <c r="DCR3" s="231"/>
      <c r="DCS3" s="229" t="s">
        <v>13329</v>
      </c>
      <c r="DCT3" s="230"/>
      <c r="DCU3" s="230"/>
      <c r="DCV3" s="231"/>
      <c r="DCW3" s="229" t="s">
        <v>13329</v>
      </c>
      <c r="DCX3" s="230"/>
      <c r="DCY3" s="230"/>
      <c r="DCZ3" s="231"/>
      <c r="DDA3" s="229" t="s">
        <v>13329</v>
      </c>
      <c r="DDB3" s="230"/>
      <c r="DDC3" s="230"/>
      <c r="DDD3" s="231"/>
      <c r="DDE3" s="229" t="s">
        <v>13329</v>
      </c>
      <c r="DDF3" s="230"/>
      <c r="DDG3" s="230"/>
      <c r="DDH3" s="231"/>
      <c r="DDI3" s="229" t="s">
        <v>13329</v>
      </c>
      <c r="DDJ3" s="230"/>
      <c r="DDK3" s="230"/>
      <c r="DDL3" s="231"/>
      <c r="DDM3" s="229" t="s">
        <v>13329</v>
      </c>
      <c r="DDN3" s="230"/>
      <c r="DDO3" s="230"/>
      <c r="DDP3" s="231"/>
      <c r="DDQ3" s="229" t="s">
        <v>13329</v>
      </c>
      <c r="DDR3" s="230"/>
      <c r="DDS3" s="230"/>
      <c r="DDT3" s="231"/>
      <c r="DDU3" s="229" t="s">
        <v>13329</v>
      </c>
      <c r="DDV3" s="230"/>
      <c r="DDW3" s="230"/>
      <c r="DDX3" s="231"/>
      <c r="DDY3" s="229" t="s">
        <v>13329</v>
      </c>
      <c r="DDZ3" s="230"/>
      <c r="DEA3" s="230"/>
      <c r="DEB3" s="231"/>
      <c r="DEC3" s="229" t="s">
        <v>13329</v>
      </c>
      <c r="DED3" s="230"/>
      <c r="DEE3" s="230"/>
      <c r="DEF3" s="231"/>
      <c r="DEG3" s="229" t="s">
        <v>13329</v>
      </c>
      <c r="DEH3" s="230"/>
      <c r="DEI3" s="230"/>
      <c r="DEJ3" s="231"/>
      <c r="DEK3" s="229" t="s">
        <v>13329</v>
      </c>
      <c r="DEL3" s="230"/>
      <c r="DEM3" s="230"/>
      <c r="DEN3" s="231"/>
      <c r="DEO3" s="229" t="s">
        <v>13329</v>
      </c>
      <c r="DEP3" s="230"/>
      <c r="DEQ3" s="230"/>
      <c r="DER3" s="231"/>
      <c r="DES3" s="229" t="s">
        <v>13329</v>
      </c>
      <c r="DET3" s="230"/>
      <c r="DEU3" s="230"/>
      <c r="DEV3" s="231"/>
      <c r="DEW3" s="229" t="s">
        <v>13329</v>
      </c>
      <c r="DEX3" s="230"/>
      <c r="DEY3" s="230"/>
      <c r="DEZ3" s="231"/>
      <c r="DFA3" s="229" t="s">
        <v>13329</v>
      </c>
      <c r="DFB3" s="230"/>
      <c r="DFC3" s="230"/>
      <c r="DFD3" s="231"/>
      <c r="DFE3" s="229" t="s">
        <v>13329</v>
      </c>
      <c r="DFF3" s="230"/>
      <c r="DFG3" s="230"/>
      <c r="DFH3" s="231"/>
      <c r="DFI3" s="229" t="s">
        <v>13329</v>
      </c>
      <c r="DFJ3" s="230"/>
      <c r="DFK3" s="230"/>
      <c r="DFL3" s="231"/>
      <c r="DFM3" s="229" t="s">
        <v>13329</v>
      </c>
      <c r="DFN3" s="230"/>
      <c r="DFO3" s="230"/>
      <c r="DFP3" s="231"/>
      <c r="DFQ3" s="229" t="s">
        <v>13329</v>
      </c>
      <c r="DFR3" s="230"/>
      <c r="DFS3" s="230"/>
      <c r="DFT3" s="231"/>
      <c r="DFU3" s="229" t="s">
        <v>13329</v>
      </c>
      <c r="DFV3" s="230"/>
      <c r="DFW3" s="230"/>
      <c r="DFX3" s="231"/>
      <c r="DFY3" s="229" t="s">
        <v>13329</v>
      </c>
      <c r="DFZ3" s="230"/>
      <c r="DGA3" s="230"/>
      <c r="DGB3" s="231"/>
      <c r="DGC3" s="229" t="s">
        <v>13329</v>
      </c>
      <c r="DGD3" s="230"/>
      <c r="DGE3" s="230"/>
      <c r="DGF3" s="231"/>
      <c r="DGG3" s="229" t="s">
        <v>13329</v>
      </c>
      <c r="DGH3" s="230"/>
      <c r="DGI3" s="230"/>
      <c r="DGJ3" s="231"/>
      <c r="DGK3" s="229" t="s">
        <v>13329</v>
      </c>
      <c r="DGL3" s="230"/>
      <c r="DGM3" s="230"/>
      <c r="DGN3" s="231"/>
      <c r="DGO3" s="229" t="s">
        <v>13329</v>
      </c>
      <c r="DGP3" s="230"/>
      <c r="DGQ3" s="230"/>
      <c r="DGR3" s="231"/>
      <c r="DGS3" s="229" t="s">
        <v>13329</v>
      </c>
      <c r="DGT3" s="230"/>
      <c r="DGU3" s="230"/>
      <c r="DGV3" s="231"/>
      <c r="DGW3" s="229" t="s">
        <v>13329</v>
      </c>
      <c r="DGX3" s="230"/>
      <c r="DGY3" s="230"/>
      <c r="DGZ3" s="231"/>
      <c r="DHA3" s="229" t="s">
        <v>13329</v>
      </c>
      <c r="DHB3" s="230"/>
      <c r="DHC3" s="230"/>
      <c r="DHD3" s="231"/>
      <c r="DHE3" s="229" t="s">
        <v>13329</v>
      </c>
      <c r="DHF3" s="230"/>
      <c r="DHG3" s="230"/>
      <c r="DHH3" s="231"/>
      <c r="DHI3" s="229" t="s">
        <v>13329</v>
      </c>
      <c r="DHJ3" s="230"/>
      <c r="DHK3" s="230"/>
      <c r="DHL3" s="231"/>
      <c r="DHM3" s="229" t="s">
        <v>13329</v>
      </c>
      <c r="DHN3" s="230"/>
      <c r="DHO3" s="230"/>
      <c r="DHP3" s="231"/>
      <c r="DHQ3" s="229" t="s">
        <v>13329</v>
      </c>
      <c r="DHR3" s="230"/>
      <c r="DHS3" s="230"/>
      <c r="DHT3" s="231"/>
      <c r="DHU3" s="229" t="s">
        <v>13329</v>
      </c>
      <c r="DHV3" s="230"/>
      <c r="DHW3" s="230"/>
      <c r="DHX3" s="231"/>
      <c r="DHY3" s="229" t="s">
        <v>13329</v>
      </c>
      <c r="DHZ3" s="230"/>
      <c r="DIA3" s="230"/>
      <c r="DIB3" s="231"/>
      <c r="DIC3" s="229" t="s">
        <v>13329</v>
      </c>
      <c r="DID3" s="230"/>
      <c r="DIE3" s="230"/>
      <c r="DIF3" s="231"/>
      <c r="DIG3" s="229" t="s">
        <v>13329</v>
      </c>
      <c r="DIH3" s="230"/>
      <c r="DII3" s="230"/>
      <c r="DIJ3" s="231"/>
      <c r="DIK3" s="229" t="s">
        <v>13329</v>
      </c>
      <c r="DIL3" s="230"/>
      <c r="DIM3" s="230"/>
      <c r="DIN3" s="231"/>
      <c r="DIO3" s="229" t="s">
        <v>13329</v>
      </c>
      <c r="DIP3" s="230"/>
      <c r="DIQ3" s="230"/>
      <c r="DIR3" s="231"/>
      <c r="DIS3" s="229" t="s">
        <v>13329</v>
      </c>
      <c r="DIT3" s="230"/>
      <c r="DIU3" s="230"/>
      <c r="DIV3" s="231"/>
      <c r="DIW3" s="229" t="s">
        <v>13329</v>
      </c>
      <c r="DIX3" s="230"/>
      <c r="DIY3" s="230"/>
      <c r="DIZ3" s="231"/>
      <c r="DJA3" s="229" t="s">
        <v>13329</v>
      </c>
      <c r="DJB3" s="230"/>
      <c r="DJC3" s="230"/>
      <c r="DJD3" s="231"/>
      <c r="DJE3" s="229" t="s">
        <v>13329</v>
      </c>
      <c r="DJF3" s="230"/>
      <c r="DJG3" s="230"/>
      <c r="DJH3" s="231"/>
      <c r="DJI3" s="229" t="s">
        <v>13329</v>
      </c>
      <c r="DJJ3" s="230"/>
      <c r="DJK3" s="230"/>
      <c r="DJL3" s="231"/>
      <c r="DJM3" s="229" t="s">
        <v>13329</v>
      </c>
      <c r="DJN3" s="230"/>
      <c r="DJO3" s="230"/>
      <c r="DJP3" s="231"/>
      <c r="DJQ3" s="229" t="s">
        <v>13329</v>
      </c>
      <c r="DJR3" s="230"/>
      <c r="DJS3" s="230"/>
      <c r="DJT3" s="231"/>
      <c r="DJU3" s="229" t="s">
        <v>13329</v>
      </c>
      <c r="DJV3" s="230"/>
      <c r="DJW3" s="230"/>
      <c r="DJX3" s="231"/>
      <c r="DJY3" s="229" t="s">
        <v>13329</v>
      </c>
      <c r="DJZ3" s="230"/>
      <c r="DKA3" s="230"/>
      <c r="DKB3" s="231"/>
      <c r="DKC3" s="229" t="s">
        <v>13329</v>
      </c>
      <c r="DKD3" s="230"/>
      <c r="DKE3" s="230"/>
      <c r="DKF3" s="231"/>
      <c r="DKG3" s="229" t="s">
        <v>13329</v>
      </c>
      <c r="DKH3" s="230"/>
      <c r="DKI3" s="230"/>
      <c r="DKJ3" s="231"/>
      <c r="DKK3" s="229" t="s">
        <v>13329</v>
      </c>
      <c r="DKL3" s="230"/>
      <c r="DKM3" s="230"/>
      <c r="DKN3" s="231"/>
      <c r="DKO3" s="229" t="s">
        <v>13329</v>
      </c>
      <c r="DKP3" s="230"/>
      <c r="DKQ3" s="230"/>
      <c r="DKR3" s="231"/>
      <c r="DKS3" s="229" t="s">
        <v>13329</v>
      </c>
      <c r="DKT3" s="230"/>
      <c r="DKU3" s="230"/>
      <c r="DKV3" s="231"/>
      <c r="DKW3" s="229" t="s">
        <v>13329</v>
      </c>
      <c r="DKX3" s="230"/>
      <c r="DKY3" s="230"/>
      <c r="DKZ3" s="231"/>
      <c r="DLA3" s="229" t="s">
        <v>13329</v>
      </c>
      <c r="DLB3" s="230"/>
      <c r="DLC3" s="230"/>
      <c r="DLD3" s="231"/>
      <c r="DLE3" s="229" t="s">
        <v>13329</v>
      </c>
      <c r="DLF3" s="230"/>
      <c r="DLG3" s="230"/>
      <c r="DLH3" s="231"/>
      <c r="DLI3" s="229" t="s">
        <v>13329</v>
      </c>
      <c r="DLJ3" s="230"/>
      <c r="DLK3" s="230"/>
      <c r="DLL3" s="231"/>
      <c r="DLM3" s="229" t="s">
        <v>13329</v>
      </c>
      <c r="DLN3" s="230"/>
      <c r="DLO3" s="230"/>
      <c r="DLP3" s="231"/>
      <c r="DLQ3" s="229" t="s">
        <v>13329</v>
      </c>
      <c r="DLR3" s="230"/>
      <c r="DLS3" s="230"/>
      <c r="DLT3" s="231"/>
      <c r="DLU3" s="229" t="s">
        <v>13329</v>
      </c>
      <c r="DLV3" s="230"/>
      <c r="DLW3" s="230"/>
      <c r="DLX3" s="231"/>
      <c r="DLY3" s="229" t="s">
        <v>13329</v>
      </c>
      <c r="DLZ3" s="230"/>
      <c r="DMA3" s="230"/>
      <c r="DMB3" s="231"/>
      <c r="DMC3" s="229" t="s">
        <v>13329</v>
      </c>
      <c r="DMD3" s="230"/>
      <c r="DME3" s="230"/>
      <c r="DMF3" s="231"/>
      <c r="DMG3" s="229" t="s">
        <v>13329</v>
      </c>
      <c r="DMH3" s="230"/>
      <c r="DMI3" s="230"/>
      <c r="DMJ3" s="231"/>
      <c r="DMK3" s="229" t="s">
        <v>13329</v>
      </c>
      <c r="DML3" s="230"/>
      <c r="DMM3" s="230"/>
      <c r="DMN3" s="231"/>
      <c r="DMO3" s="229" t="s">
        <v>13329</v>
      </c>
      <c r="DMP3" s="230"/>
      <c r="DMQ3" s="230"/>
      <c r="DMR3" s="231"/>
      <c r="DMS3" s="229" t="s">
        <v>13329</v>
      </c>
      <c r="DMT3" s="230"/>
      <c r="DMU3" s="230"/>
      <c r="DMV3" s="231"/>
      <c r="DMW3" s="229" t="s">
        <v>13329</v>
      </c>
      <c r="DMX3" s="230"/>
      <c r="DMY3" s="230"/>
      <c r="DMZ3" s="231"/>
      <c r="DNA3" s="229" t="s">
        <v>13329</v>
      </c>
      <c r="DNB3" s="230"/>
      <c r="DNC3" s="230"/>
      <c r="DND3" s="231"/>
      <c r="DNE3" s="229" t="s">
        <v>13329</v>
      </c>
      <c r="DNF3" s="230"/>
      <c r="DNG3" s="230"/>
      <c r="DNH3" s="231"/>
      <c r="DNI3" s="229" t="s">
        <v>13329</v>
      </c>
      <c r="DNJ3" s="230"/>
      <c r="DNK3" s="230"/>
      <c r="DNL3" s="231"/>
      <c r="DNM3" s="229" t="s">
        <v>13329</v>
      </c>
      <c r="DNN3" s="230"/>
      <c r="DNO3" s="230"/>
      <c r="DNP3" s="231"/>
      <c r="DNQ3" s="229" t="s">
        <v>13329</v>
      </c>
      <c r="DNR3" s="230"/>
      <c r="DNS3" s="230"/>
      <c r="DNT3" s="231"/>
      <c r="DNU3" s="229" t="s">
        <v>13329</v>
      </c>
      <c r="DNV3" s="230"/>
      <c r="DNW3" s="230"/>
      <c r="DNX3" s="231"/>
      <c r="DNY3" s="229" t="s">
        <v>13329</v>
      </c>
      <c r="DNZ3" s="230"/>
      <c r="DOA3" s="230"/>
      <c r="DOB3" s="231"/>
      <c r="DOC3" s="229" t="s">
        <v>13329</v>
      </c>
      <c r="DOD3" s="230"/>
      <c r="DOE3" s="230"/>
      <c r="DOF3" s="231"/>
      <c r="DOG3" s="229" t="s">
        <v>13329</v>
      </c>
      <c r="DOH3" s="230"/>
      <c r="DOI3" s="230"/>
      <c r="DOJ3" s="231"/>
      <c r="DOK3" s="229" t="s">
        <v>13329</v>
      </c>
      <c r="DOL3" s="230"/>
      <c r="DOM3" s="230"/>
      <c r="DON3" s="231"/>
      <c r="DOO3" s="229" t="s">
        <v>13329</v>
      </c>
      <c r="DOP3" s="230"/>
      <c r="DOQ3" s="230"/>
      <c r="DOR3" s="231"/>
      <c r="DOS3" s="229" t="s">
        <v>13329</v>
      </c>
      <c r="DOT3" s="230"/>
      <c r="DOU3" s="230"/>
      <c r="DOV3" s="231"/>
      <c r="DOW3" s="229" t="s">
        <v>13329</v>
      </c>
      <c r="DOX3" s="230"/>
      <c r="DOY3" s="230"/>
      <c r="DOZ3" s="231"/>
      <c r="DPA3" s="229" t="s">
        <v>13329</v>
      </c>
      <c r="DPB3" s="230"/>
      <c r="DPC3" s="230"/>
      <c r="DPD3" s="231"/>
      <c r="DPE3" s="229" t="s">
        <v>13329</v>
      </c>
      <c r="DPF3" s="230"/>
      <c r="DPG3" s="230"/>
      <c r="DPH3" s="231"/>
      <c r="DPI3" s="229" t="s">
        <v>13329</v>
      </c>
      <c r="DPJ3" s="230"/>
      <c r="DPK3" s="230"/>
      <c r="DPL3" s="231"/>
      <c r="DPM3" s="229" t="s">
        <v>13329</v>
      </c>
      <c r="DPN3" s="230"/>
      <c r="DPO3" s="230"/>
      <c r="DPP3" s="231"/>
      <c r="DPQ3" s="229" t="s">
        <v>13329</v>
      </c>
      <c r="DPR3" s="230"/>
      <c r="DPS3" s="230"/>
      <c r="DPT3" s="231"/>
      <c r="DPU3" s="229" t="s">
        <v>13329</v>
      </c>
      <c r="DPV3" s="230"/>
      <c r="DPW3" s="230"/>
      <c r="DPX3" s="231"/>
      <c r="DPY3" s="229" t="s">
        <v>13329</v>
      </c>
      <c r="DPZ3" s="230"/>
      <c r="DQA3" s="230"/>
      <c r="DQB3" s="231"/>
      <c r="DQC3" s="229" t="s">
        <v>13329</v>
      </c>
      <c r="DQD3" s="230"/>
      <c r="DQE3" s="230"/>
      <c r="DQF3" s="231"/>
      <c r="DQG3" s="229" t="s">
        <v>13329</v>
      </c>
      <c r="DQH3" s="230"/>
      <c r="DQI3" s="230"/>
      <c r="DQJ3" s="231"/>
      <c r="DQK3" s="229" t="s">
        <v>13329</v>
      </c>
      <c r="DQL3" s="230"/>
      <c r="DQM3" s="230"/>
      <c r="DQN3" s="231"/>
      <c r="DQO3" s="229" t="s">
        <v>13329</v>
      </c>
      <c r="DQP3" s="230"/>
      <c r="DQQ3" s="230"/>
      <c r="DQR3" s="231"/>
      <c r="DQS3" s="229" t="s">
        <v>13329</v>
      </c>
      <c r="DQT3" s="230"/>
      <c r="DQU3" s="230"/>
      <c r="DQV3" s="231"/>
      <c r="DQW3" s="229" t="s">
        <v>13329</v>
      </c>
      <c r="DQX3" s="230"/>
      <c r="DQY3" s="230"/>
      <c r="DQZ3" s="231"/>
      <c r="DRA3" s="229" t="s">
        <v>13329</v>
      </c>
      <c r="DRB3" s="230"/>
      <c r="DRC3" s="230"/>
      <c r="DRD3" s="231"/>
      <c r="DRE3" s="229" t="s">
        <v>13329</v>
      </c>
      <c r="DRF3" s="230"/>
      <c r="DRG3" s="230"/>
      <c r="DRH3" s="231"/>
      <c r="DRI3" s="229" t="s">
        <v>13329</v>
      </c>
      <c r="DRJ3" s="230"/>
      <c r="DRK3" s="230"/>
      <c r="DRL3" s="231"/>
      <c r="DRM3" s="229" t="s">
        <v>13329</v>
      </c>
      <c r="DRN3" s="230"/>
      <c r="DRO3" s="230"/>
      <c r="DRP3" s="231"/>
      <c r="DRQ3" s="229" t="s">
        <v>13329</v>
      </c>
      <c r="DRR3" s="230"/>
      <c r="DRS3" s="230"/>
      <c r="DRT3" s="231"/>
      <c r="DRU3" s="229" t="s">
        <v>13329</v>
      </c>
      <c r="DRV3" s="230"/>
      <c r="DRW3" s="230"/>
      <c r="DRX3" s="231"/>
      <c r="DRY3" s="229" t="s">
        <v>13329</v>
      </c>
      <c r="DRZ3" s="230"/>
      <c r="DSA3" s="230"/>
      <c r="DSB3" s="231"/>
      <c r="DSC3" s="229" t="s">
        <v>13329</v>
      </c>
      <c r="DSD3" s="230"/>
      <c r="DSE3" s="230"/>
      <c r="DSF3" s="231"/>
      <c r="DSG3" s="229" t="s">
        <v>13329</v>
      </c>
      <c r="DSH3" s="230"/>
      <c r="DSI3" s="230"/>
      <c r="DSJ3" s="231"/>
      <c r="DSK3" s="229" t="s">
        <v>13329</v>
      </c>
      <c r="DSL3" s="230"/>
      <c r="DSM3" s="230"/>
      <c r="DSN3" s="231"/>
      <c r="DSO3" s="229" t="s">
        <v>13329</v>
      </c>
      <c r="DSP3" s="230"/>
      <c r="DSQ3" s="230"/>
      <c r="DSR3" s="231"/>
      <c r="DSS3" s="229" t="s">
        <v>13329</v>
      </c>
      <c r="DST3" s="230"/>
      <c r="DSU3" s="230"/>
      <c r="DSV3" s="231"/>
      <c r="DSW3" s="229" t="s">
        <v>13329</v>
      </c>
      <c r="DSX3" s="230"/>
      <c r="DSY3" s="230"/>
      <c r="DSZ3" s="231"/>
      <c r="DTA3" s="229" t="s">
        <v>13329</v>
      </c>
      <c r="DTB3" s="230"/>
      <c r="DTC3" s="230"/>
      <c r="DTD3" s="231"/>
      <c r="DTE3" s="229" t="s">
        <v>13329</v>
      </c>
      <c r="DTF3" s="230"/>
      <c r="DTG3" s="230"/>
      <c r="DTH3" s="231"/>
      <c r="DTI3" s="229" t="s">
        <v>13329</v>
      </c>
      <c r="DTJ3" s="230"/>
      <c r="DTK3" s="230"/>
      <c r="DTL3" s="231"/>
      <c r="DTM3" s="229" t="s">
        <v>13329</v>
      </c>
      <c r="DTN3" s="230"/>
      <c r="DTO3" s="230"/>
      <c r="DTP3" s="231"/>
      <c r="DTQ3" s="229" t="s">
        <v>13329</v>
      </c>
      <c r="DTR3" s="230"/>
      <c r="DTS3" s="230"/>
      <c r="DTT3" s="231"/>
      <c r="DTU3" s="229" t="s">
        <v>13329</v>
      </c>
      <c r="DTV3" s="230"/>
      <c r="DTW3" s="230"/>
      <c r="DTX3" s="231"/>
      <c r="DTY3" s="229" t="s">
        <v>13329</v>
      </c>
      <c r="DTZ3" s="230"/>
      <c r="DUA3" s="230"/>
      <c r="DUB3" s="231"/>
      <c r="DUC3" s="229" t="s">
        <v>13329</v>
      </c>
      <c r="DUD3" s="230"/>
      <c r="DUE3" s="230"/>
      <c r="DUF3" s="231"/>
      <c r="DUG3" s="229" t="s">
        <v>13329</v>
      </c>
      <c r="DUH3" s="230"/>
      <c r="DUI3" s="230"/>
      <c r="DUJ3" s="231"/>
      <c r="DUK3" s="229" t="s">
        <v>13329</v>
      </c>
      <c r="DUL3" s="230"/>
      <c r="DUM3" s="230"/>
      <c r="DUN3" s="231"/>
      <c r="DUO3" s="229" t="s">
        <v>13329</v>
      </c>
      <c r="DUP3" s="230"/>
      <c r="DUQ3" s="230"/>
      <c r="DUR3" s="231"/>
      <c r="DUS3" s="229" t="s">
        <v>13329</v>
      </c>
      <c r="DUT3" s="230"/>
      <c r="DUU3" s="230"/>
      <c r="DUV3" s="231"/>
      <c r="DUW3" s="229" t="s">
        <v>13329</v>
      </c>
      <c r="DUX3" s="230"/>
      <c r="DUY3" s="230"/>
      <c r="DUZ3" s="231"/>
      <c r="DVA3" s="229" t="s">
        <v>13329</v>
      </c>
      <c r="DVB3" s="230"/>
      <c r="DVC3" s="230"/>
      <c r="DVD3" s="231"/>
      <c r="DVE3" s="229" t="s">
        <v>13329</v>
      </c>
      <c r="DVF3" s="230"/>
      <c r="DVG3" s="230"/>
      <c r="DVH3" s="231"/>
      <c r="DVI3" s="229" t="s">
        <v>13329</v>
      </c>
      <c r="DVJ3" s="230"/>
      <c r="DVK3" s="230"/>
      <c r="DVL3" s="231"/>
      <c r="DVM3" s="229" t="s">
        <v>13329</v>
      </c>
      <c r="DVN3" s="230"/>
      <c r="DVO3" s="230"/>
      <c r="DVP3" s="231"/>
      <c r="DVQ3" s="229" t="s">
        <v>13329</v>
      </c>
      <c r="DVR3" s="230"/>
      <c r="DVS3" s="230"/>
      <c r="DVT3" s="231"/>
      <c r="DVU3" s="229" t="s">
        <v>13329</v>
      </c>
      <c r="DVV3" s="230"/>
      <c r="DVW3" s="230"/>
      <c r="DVX3" s="231"/>
      <c r="DVY3" s="229" t="s">
        <v>13329</v>
      </c>
      <c r="DVZ3" s="230"/>
      <c r="DWA3" s="230"/>
      <c r="DWB3" s="231"/>
      <c r="DWC3" s="229" t="s">
        <v>13329</v>
      </c>
      <c r="DWD3" s="230"/>
      <c r="DWE3" s="230"/>
      <c r="DWF3" s="231"/>
      <c r="DWG3" s="229" t="s">
        <v>13329</v>
      </c>
      <c r="DWH3" s="230"/>
      <c r="DWI3" s="230"/>
      <c r="DWJ3" s="231"/>
      <c r="DWK3" s="229" t="s">
        <v>13329</v>
      </c>
      <c r="DWL3" s="230"/>
      <c r="DWM3" s="230"/>
      <c r="DWN3" s="231"/>
      <c r="DWO3" s="229" t="s">
        <v>13329</v>
      </c>
      <c r="DWP3" s="230"/>
      <c r="DWQ3" s="230"/>
      <c r="DWR3" s="231"/>
      <c r="DWS3" s="229" t="s">
        <v>13329</v>
      </c>
      <c r="DWT3" s="230"/>
      <c r="DWU3" s="230"/>
      <c r="DWV3" s="231"/>
      <c r="DWW3" s="229" t="s">
        <v>13329</v>
      </c>
      <c r="DWX3" s="230"/>
      <c r="DWY3" s="230"/>
      <c r="DWZ3" s="231"/>
      <c r="DXA3" s="229" t="s">
        <v>13329</v>
      </c>
      <c r="DXB3" s="230"/>
      <c r="DXC3" s="230"/>
      <c r="DXD3" s="231"/>
      <c r="DXE3" s="229" t="s">
        <v>13329</v>
      </c>
      <c r="DXF3" s="230"/>
      <c r="DXG3" s="230"/>
      <c r="DXH3" s="231"/>
      <c r="DXI3" s="229" t="s">
        <v>13329</v>
      </c>
      <c r="DXJ3" s="230"/>
      <c r="DXK3" s="230"/>
      <c r="DXL3" s="231"/>
      <c r="DXM3" s="229" t="s">
        <v>13329</v>
      </c>
      <c r="DXN3" s="230"/>
      <c r="DXO3" s="230"/>
      <c r="DXP3" s="231"/>
      <c r="DXQ3" s="229" t="s">
        <v>13329</v>
      </c>
      <c r="DXR3" s="230"/>
      <c r="DXS3" s="230"/>
      <c r="DXT3" s="231"/>
      <c r="DXU3" s="229" t="s">
        <v>13329</v>
      </c>
      <c r="DXV3" s="230"/>
      <c r="DXW3" s="230"/>
      <c r="DXX3" s="231"/>
      <c r="DXY3" s="229" t="s">
        <v>13329</v>
      </c>
      <c r="DXZ3" s="230"/>
      <c r="DYA3" s="230"/>
      <c r="DYB3" s="231"/>
      <c r="DYC3" s="229" t="s">
        <v>13329</v>
      </c>
      <c r="DYD3" s="230"/>
      <c r="DYE3" s="230"/>
      <c r="DYF3" s="231"/>
      <c r="DYG3" s="229" t="s">
        <v>13329</v>
      </c>
      <c r="DYH3" s="230"/>
      <c r="DYI3" s="230"/>
      <c r="DYJ3" s="231"/>
      <c r="DYK3" s="229" t="s">
        <v>13329</v>
      </c>
      <c r="DYL3" s="230"/>
      <c r="DYM3" s="230"/>
      <c r="DYN3" s="231"/>
      <c r="DYO3" s="229" t="s">
        <v>13329</v>
      </c>
      <c r="DYP3" s="230"/>
      <c r="DYQ3" s="230"/>
      <c r="DYR3" s="231"/>
      <c r="DYS3" s="229" t="s">
        <v>13329</v>
      </c>
      <c r="DYT3" s="230"/>
      <c r="DYU3" s="230"/>
      <c r="DYV3" s="231"/>
      <c r="DYW3" s="229" t="s">
        <v>13329</v>
      </c>
      <c r="DYX3" s="230"/>
      <c r="DYY3" s="230"/>
      <c r="DYZ3" s="231"/>
      <c r="DZA3" s="229" t="s">
        <v>13329</v>
      </c>
      <c r="DZB3" s="230"/>
      <c r="DZC3" s="230"/>
      <c r="DZD3" s="231"/>
      <c r="DZE3" s="229" t="s">
        <v>13329</v>
      </c>
      <c r="DZF3" s="230"/>
      <c r="DZG3" s="230"/>
      <c r="DZH3" s="231"/>
      <c r="DZI3" s="229" t="s">
        <v>13329</v>
      </c>
      <c r="DZJ3" s="230"/>
      <c r="DZK3" s="230"/>
      <c r="DZL3" s="231"/>
      <c r="DZM3" s="229" t="s">
        <v>13329</v>
      </c>
      <c r="DZN3" s="230"/>
      <c r="DZO3" s="230"/>
      <c r="DZP3" s="231"/>
      <c r="DZQ3" s="229" t="s">
        <v>13329</v>
      </c>
      <c r="DZR3" s="230"/>
      <c r="DZS3" s="230"/>
      <c r="DZT3" s="231"/>
      <c r="DZU3" s="229" t="s">
        <v>13329</v>
      </c>
      <c r="DZV3" s="230"/>
      <c r="DZW3" s="230"/>
      <c r="DZX3" s="231"/>
      <c r="DZY3" s="229" t="s">
        <v>13329</v>
      </c>
      <c r="DZZ3" s="230"/>
      <c r="EAA3" s="230"/>
      <c r="EAB3" s="231"/>
      <c r="EAC3" s="229" t="s">
        <v>13329</v>
      </c>
      <c r="EAD3" s="230"/>
      <c r="EAE3" s="230"/>
      <c r="EAF3" s="231"/>
      <c r="EAG3" s="229" t="s">
        <v>13329</v>
      </c>
      <c r="EAH3" s="230"/>
      <c r="EAI3" s="230"/>
      <c r="EAJ3" s="231"/>
      <c r="EAK3" s="229" t="s">
        <v>13329</v>
      </c>
      <c r="EAL3" s="230"/>
      <c r="EAM3" s="230"/>
      <c r="EAN3" s="231"/>
      <c r="EAO3" s="229" t="s">
        <v>13329</v>
      </c>
      <c r="EAP3" s="230"/>
      <c r="EAQ3" s="230"/>
      <c r="EAR3" s="231"/>
      <c r="EAS3" s="229" t="s">
        <v>13329</v>
      </c>
      <c r="EAT3" s="230"/>
      <c r="EAU3" s="230"/>
      <c r="EAV3" s="231"/>
      <c r="EAW3" s="229" t="s">
        <v>13329</v>
      </c>
      <c r="EAX3" s="230"/>
      <c r="EAY3" s="230"/>
      <c r="EAZ3" s="231"/>
      <c r="EBA3" s="229" t="s">
        <v>13329</v>
      </c>
      <c r="EBB3" s="230"/>
      <c r="EBC3" s="230"/>
      <c r="EBD3" s="231"/>
      <c r="EBE3" s="229" t="s">
        <v>13329</v>
      </c>
      <c r="EBF3" s="230"/>
      <c r="EBG3" s="230"/>
      <c r="EBH3" s="231"/>
      <c r="EBI3" s="229" t="s">
        <v>13329</v>
      </c>
      <c r="EBJ3" s="230"/>
      <c r="EBK3" s="230"/>
      <c r="EBL3" s="231"/>
      <c r="EBM3" s="229" t="s">
        <v>13329</v>
      </c>
      <c r="EBN3" s="230"/>
      <c r="EBO3" s="230"/>
      <c r="EBP3" s="231"/>
      <c r="EBQ3" s="229" t="s">
        <v>13329</v>
      </c>
      <c r="EBR3" s="230"/>
      <c r="EBS3" s="230"/>
      <c r="EBT3" s="231"/>
      <c r="EBU3" s="229" t="s">
        <v>13329</v>
      </c>
      <c r="EBV3" s="230"/>
      <c r="EBW3" s="230"/>
      <c r="EBX3" s="231"/>
      <c r="EBY3" s="229" t="s">
        <v>13329</v>
      </c>
      <c r="EBZ3" s="230"/>
      <c r="ECA3" s="230"/>
      <c r="ECB3" s="231"/>
      <c r="ECC3" s="229" t="s">
        <v>13329</v>
      </c>
      <c r="ECD3" s="230"/>
      <c r="ECE3" s="230"/>
      <c r="ECF3" s="231"/>
      <c r="ECG3" s="229" t="s">
        <v>13329</v>
      </c>
      <c r="ECH3" s="230"/>
      <c r="ECI3" s="230"/>
      <c r="ECJ3" s="231"/>
      <c r="ECK3" s="229" t="s">
        <v>13329</v>
      </c>
      <c r="ECL3" s="230"/>
      <c r="ECM3" s="230"/>
      <c r="ECN3" s="231"/>
      <c r="ECO3" s="229" t="s">
        <v>13329</v>
      </c>
      <c r="ECP3" s="230"/>
      <c r="ECQ3" s="230"/>
      <c r="ECR3" s="231"/>
      <c r="ECS3" s="229" t="s">
        <v>13329</v>
      </c>
      <c r="ECT3" s="230"/>
      <c r="ECU3" s="230"/>
      <c r="ECV3" s="231"/>
      <c r="ECW3" s="229" t="s">
        <v>13329</v>
      </c>
      <c r="ECX3" s="230"/>
      <c r="ECY3" s="230"/>
      <c r="ECZ3" s="231"/>
      <c r="EDA3" s="229" t="s">
        <v>13329</v>
      </c>
      <c r="EDB3" s="230"/>
      <c r="EDC3" s="230"/>
      <c r="EDD3" s="231"/>
      <c r="EDE3" s="229" t="s">
        <v>13329</v>
      </c>
      <c r="EDF3" s="230"/>
      <c r="EDG3" s="230"/>
      <c r="EDH3" s="231"/>
      <c r="EDI3" s="229" t="s">
        <v>13329</v>
      </c>
      <c r="EDJ3" s="230"/>
      <c r="EDK3" s="230"/>
      <c r="EDL3" s="231"/>
      <c r="EDM3" s="229" t="s">
        <v>13329</v>
      </c>
      <c r="EDN3" s="230"/>
      <c r="EDO3" s="230"/>
      <c r="EDP3" s="231"/>
      <c r="EDQ3" s="229" t="s">
        <v>13329</v>
      </c>
      <c r="EDR3" s="230"/>
      <c r="EDS3" s="230"/>
      <c r="EDT3" s="231"/>
      <c r="EDU3" s="229" t="s">
        <v>13329</v>
      </c>
      <c r="EDV3" s="230"/>
      <c r="EDW3" s="230"/>
      <c r="EDX3" s="231"/>
      <c r="EDY3" s="229" t="s">
        <v>13329</v>
      </c>
      <c r="EDZ3" s="230"/>
      <c r="EEA3" s="230"/>
      <c r="EEB3" s="231"/>
      <c r="EEC3" s="229" t="s">
        <v>13329</v>
      </c>
      <c r="EED3" s="230"/>
      <c r="EEE3" s="230"/>
      <c r="EEF3" s="231"/>
      <c r="EEG3" s="229" t="s">
        <v>13329</v>
      </c>
      <c r="EEH3" s="230"/>
      <c r="EEI3" s="230"/>
      <c r="EEJ3" s="231"/>
      <c r="EEK3" s="229" t="s">
        <v>13329</v>
      </c>
      <c r="EEL3" s="230"/>
      <c r="EEM3" s="230"/>
      <c r="EEN3" s="231"/>
      <c r="EEO3" s="229" t="s">
        <v>13329</v>
      </c>
      <c r="EEP3" s="230"/>
      <c r="EEQ3" s="230"/>
      <c r="EER3" s="231"/>
      <c r="EES3" s="229" t="s">
        <v>13329</v>
      </c>
      <c r="EET3" s="230"/>
      <c r="EEU3" s="230"/>
      <c r="EEV3" s="231"/>
      <c r="EEW3" s="229" t="s">
        <v>13329</v>
      </c>
      <c r="EEX3" s="230"/>
      <c r="EEY3" s="230"/>
      <c r="EEZ3" s="231"/>
      <c r="EFA3" s="229" t="s">
        <v>13329</v>
      </c>
      <c r="EFB3" s="230"/>
      <c r="EFC3" s="230"/>
      <c r="EFD3" s="231"/>
      <c r="EFE3" s="229" t="s">
        <v>13329</v>
      </c>
      <c r="EFF3" s="230"/>
      <c r="EFG3" s="230"/>
      <c r="EFH3" s="231"/>
      <c r="EFI3" s="229" t="s">
        <v>13329</v>
      </c>
      <c r="EFJ3" s="230"/>
      <c r="EFK3" s="230"/>
      <c r="EFL3" s="231"/>
      <c r="EFM3" s="229" t="s">
        <v>13329</v>
      </c>
      <c r="EFN3" s="230"/>
      <c r="EFO3" s="230"/>
      <c r="EFP3" s="231"/>
      <c r="EFQ3" s="229" t="s">
        <v>13329</v>
      </c>
      <c r="EFR3" s="230"/>
      <c r="EFS3" s="230"/>
      <c r="EFT3" s="231"/>
      <c r="EFU3" s="229" t="s">
        <v>13329</v>
      </c>
      <c r="EFV3" s="230"/>
      <c r="EFW3" s="230"/>
      <c r="EFX3" s="231"/>
      <c r="EFY3" s="229" t="s">
        <v>13329</v>
      </c>
      <c r="EFZ3" s="230"/>
      <c r="EGA3" s="230"/>
      <c r="EGB3" s="231"/>
      <c r="EGC3" s="229" t="s">
        <v>13329</v>
      </c>
      <c r="EGD3" s="230"/>
      <c r="EGE3" s="230"/>
      <c r="EGF3" s="231"/>
      <c r="EGG3" s="229" t="s">
        <v>13329</v>
      </c>
      <c r="EGH3" s="230"/>
      <c r="EGI3" s="230"/>
      <c r="EGJ3" s="231"/>
      <c r="EGK3" s="229" t="s">
        <v>13329</v>
      </c>
      <c r="EGL3" s="230"/>
      <c r="EGM3" s="230"/>
      <c r="EGN3" s="231"/>
      <c r="EGO3" s="229" t="s">
        <v>13329</v>
      </c>
      <c r="EGP3" s="230"/>
      <c r="EGQ3" s="230"/>
      <c r="EGR3" s="231"/>
      <c r="EGS3" s="229" t="s">
        <v>13329</v>
      </c>
      <c r="EGT3" s="230"/>
      <c r="EGU3" s="230"/>
      <c r="EGV3" s="231"/>
      <c r="EGW3" s="229" t="s">
        <v>13329</v>
      </c>
      <c r="EGX3" s="230"/>
      <c r="EGY3" s="230"/>
      <c r="EGZ3" s="231"/>
      <c r="EHA3" s="229" t="s">
        <v>13329</v>
      </c>
      <c r="EHB3" s="230"/>
      <c r="EHC3" s="230"/>
      <c r="EHD3" s="231"/>
      <c r="EHE3" s="229" t="s">
        <v>13329</v>
      </c>
      <c r="EHF3" s="230"/>
      <c r="EHG3" s="230"/>
      <c r="EHH3" s="231"/>
      <c r="EHI3" s="229" t="s">
        <v>13329</v>
      </c>
      <c r="EHJ3" s="230"/>
      <c r="EHK3" s="230"/>
      <c r="EHL3" s="231"/>
      <c r="EHM3" s="229" t="s">
        <v>13329</v>
      </c>
      <c r="EHN3" s="230"/>
      <c r="EHO3" s="230"/>
      <c r="EHP3" s="231"/>
      <c r="EHQ3" s="229" t="s">
        <v>13329</v>
      </c>
      <c r="EHR3" s="230"/>
      <c r="EHS3" s="230"/>
      <c r="EHT3" s="231"/>
      <c r="EHU3" s="229" t="s">
        <v>13329</v>
      </c>
      <c r="EHV3" s="230"/>
      <c r="EHW3" s="230"/>
      <c r="EHX3" s="231"/>
      <c r="EHY3" s="229" t="s">
        <v>13329</v>
      </c>
      <c r="EHZ3" s="230"/>
      <c r="EIA3" s="230"/>
      <c r="EIB3" s="231"/>
      <c r="EIC3" s="229" t="s">
        <v>13329</v>
      </c>
      <c r="EID3" s="230"/>
      <c r="EIE3" s="230"/>
      <c r="EIF3" s="231"/>
      <c r="EIG3" s="229" t="s">
        <v>13329</v>
      </c>
      <c r="EIH3" s="230"/>
      <c r="EII3" s="230"/>
      <c r="EIJ3" s="231"/>
      <c r="EIK3" s="229" t="s">
        <v>13329</v>
      </c>
      <c r="EIL3" s="230"/>
      <c r="EIM3" s="230"/>
      <c r="EIN3" s="231"/>
      <c r="EIO3" s="229" t="s">
        <v>13329</v>
      </c>
      <c r="EIP3" s="230"/>
      <c r="EIQ3" s="230"/>
      <c r="EIR3" s="231"/>
      <c r="EIS3" s="229" t="s">
        <v>13329</v>
      </c>
      <c r="EIT3" s="230"/>
      <c r="EIU3" s="230"/>
      <c r="EIV3" s="231"/>
      <c r="EIW3" s="229" t="s">
        <v>13329</v>
      </c>
      <c r="EIX3" s="230"/>
      <c r="EIY3" s="230"/>
      <c r="EIZ3" s="231"/>
      <c r="EJA3" s="229" t="s">
        <v>13329</v>
      </c>
      <c r="EJB3" s="230"/>
      <c r="EJC3" s="230"/>
      <c r="EJD3" s="231"/>
      <c r="EJE3" s="229" t="s">
        <v>13329</v>
      </c>
      <c r="EJF3" s="230"/>
      <c r="EJG3" s="230"/>
      <c r="EJH3" s="231"/>
      <c r="EJI3" s="229" t="s">
        <v>13329</v>
      </c>
      <c r="EJJ3" s="230"/>
      <c r="EJK3" s="230"/>
      <c r="EJL3" s="231"/>
      <c r="EJM3" s="229" t="s">
        <v>13329</v>
      </c>
      <c r="EJN3" s="230"/>
      <c r="EJO3" s="230"/>
      <c r="EJP3" s="231"/>
      <c r="EJQ3" s="229" t="s">
        <v>13329</v>
      </c>
      <c r="EJR3" s="230"/>
      <c r="EJS3" s="230"/>
      <c r="EJT3" s="231"/>
      <c r="EJU3" s="229" t="s">
        <v>13329</v>
      </c>
      <c r="EJV3" s="230"/>
      <c r="EJW3" s="230"/>
      <c r="EJX3" s="231"/>
      <c r="EJY3" s="229" t="s">
        <v>13329</v>
      </c>
      <c r="EJZ3" s="230"/>
      <c r="EKA3" s="230"/>
      <c r="EKB3" s="231"/>
      <c r="EKC3" s="229" t="s">
        <v>13329</v>
      </c>
      <c r="EKD3" s="230"/>
      <c r="EKE3" s="230"/>
      <c r="EKF3" s="231"/>
      <c r="EKG3" s="229" t="s">
        <v>13329</v>
      </c>
      <c r="EKH3" s="230"/>
      <c r="EKI3" s="230"/>
      <c r="EKJ3" s="231"/>
      <c r="EKK3" s="229" t="s">
        <v>13329</v>
      </c>
      <c r="EKL3" s="230"/>
      <c r="EKM3" s="230"/>
      <c r="EKN3" s="231"/>
      <c r="EKO3" s="229" t="s">
        <v>13329</v>
      </c>
      <c r="EKP3" s="230"/>
      <c r="EKQ3" s="230"/>
      <c r="EKR3" s="231"/>
      <c r="EKS3" s="229" t="s">
        <v>13329</v>
      </c>
      <c r="EKT3" s="230"/>
      <c r="EKU3" s="230"/>
      <c r="EKV3" s="231"/>
      <c r="EKW3" s="229" t="s">
        <v>13329</v>
      </c>
      <c r="EKX3" s="230"/>
      <c r="EKY3" s="230"/>
      <c r="EKZ3" s="231"/>
      <c r="ELA3" s="229" t="s">
        <v>13329</v>
      </c>
      <c r="ELB3" s="230"/>
      <c r="ELC3" s="230"/>
      <c r="ELD3" s="231"/>
      <c r="ELE3" s="229" t="s">
        <v>13329</v>
      </c>
      <c r="ELF3" s="230"/>
      <c r="ELG3" s="230"/>
      <c r="ELH3" s="231"/>
      <c r="ELI3" s="229" t="s">
        <v>13329</v>
      </c>
      <c r="ELJ3" s="230"/>
      <c r="ELK3" s="230"/>
      <c r="ELL3" s="231"/>
      <c r="ELM3" s="229" t="s">
        <v>13329</v>
      </c>
      <c r="ELN3" s="230"/>
      <c r="ELO3" s="230"/>
      <c r="ELP3" s="231"/>
      <c r="ELQ3" s="229" t="s">
        <v>13329</v>
      </c>
      <c r="ELR3" s="230"/>
      <c r="ELS3" s="230"/>
      <c r="ELT3" s="231"/>
      <c r="ELU3" s="229" t="s">
        <v>13329</v>
      </c>
      <c r="ELV3" s="230"/>
      <c r="ELW3" s="230"/>
      <c r="ELX3" s="231"/>
      <c r="ELY3" s="229" t="s">
        <v>13329</v>
      </c>
      <c r="ELZ3" s="230"/>
      <c r="EMA3" s="230"/>
      <c r="EMB3" s="231"/>
      <c r="EMC3" s="229" t="s">
        <v>13329</v>
      </c>
      <c r="EMD3" s="230"/>
      <c r="EME3" s="230"/>
      <c r="EMF3" s="231"/>
      <c r="EMG3" s="229" t="s">
        <v>13329</v>
      </c>
      <c r="EMH3" s="230"/>
      <c r="EMI3" s="230"/>
      <c r="EMJ3" s="231"/>
      <c r="EMK3" s="229" t="s">
        <v>13329</v>
      </c>
      <c r="EML3" s="230"/>
      <c r="EMM3" s="230"/>
      <c r="EMN3" s="231"/>
      <c r="EMO3" s="229" t="s">
        <v>13329</v>
      </c>
      <c r="EMP3" s="230"/>
      <c r="EMQ3" s="230"/>
      <c r="EMR3" s="231"/>
      <c r="EMS3" s="229" t="s">
        <v>13329</v>
      </c>
      <c r="EMT3" s="230"/>
      <c r="EMU3" s="230"/>
      <c r="EMV3" s="231"/>
      <c r="EMW3" s="229" t="s">
        <v>13329</v>
      </c>
      <c r="EMX3" s="230"/>
      <c r="EMY3" s="230"/>
      <c r="EMZ3" s="231"/>
      <c r="ENA3" s="229" t="s">
        <v>13329</v>
      </c>
      <c r="ENB3" s="230"/>
      <c r="ENC3" s="230"/>
      <c r="END3" s="231"/>
      <c r="ENE3" s="229" t="s">
        <v>13329</v>
      </c>
      <c r="ENF3" s="230"/>
      <c r="ENG3" s="230"/>
      <c r="ENH3" s="231"/>
      <c r="ENI3" s="229" t="s">
        <v>13329</v>
      </c>
      <c r="ENJ3" s="230"/>
      <c r="ENK3" s="230"/>
      <c r="ENL3" s="231"/>
      <c r="ENM3" s="229" t="s">
        <v>13329</v>
      </c>
      <c r="ENN3" s="230"/>
      <c r="ENO3" s="230"/>
      <c r="ENP3" s="231"/>
      <c r="ENQ3" s="229" t="s">
        <v>13329</v>
      </c>
      <c r="ENR3" s="230"/>
      <c r="ENS3" s="230"/>
      <c r="ENT3" s="231"/>
      <c r="ENU3" s="229" t="s">
        <v>13329</v>
      </c>
      <c r="ENV3" s="230"/>
      <c r="ENW3" s="230"/>
      <c r="ENX3" s="231"/>
      <c r="ENY3" s="229" t="s">
        <v>13329</v>
      </c>
      <c r="ENZ3" s="230"/>
      <c r="EOA3" s="230"/>
      <c r="EOB3" s="231"/>
      <c r="EOC3" s="229" t="s">
        <v>13329</v>
      </c>
      <c r="EOD3" s="230"/>
      <c r="EOE3" s="230"/>
      <c r="EOF3" s="231"/>
      <c r="EOG3" s="229" t="s">
        <v>13329</v>
      </c>
      <c r="EOH3" s="230"/>
      <c r="EOI3" s="230"/>
      <c r="EOJ3" s="231"/>
      <c r="EOK3" s="229" t="s">
        <v>13329</v>
      </c>
      <c r="EOL3" s="230"/>
      <c r="EOM3" s="230"/>
      <c r="EON3" s="231"/>
      <c r="EOO3" s="229" t="s">
        <v>13329</v>
      </c>
      <c r="EOP3" s="230"/>
      <c r="EOQ3" s="230"/>
      <c r="EOR3" s="231"/>
      <c r="EOS3" s="229" t="s">
        <v>13329</v>
      </c>
      <c r="EOT3" s="230"/>
      <c r="EOU3" s="230"/>
      <c r="EOV3" s="231"/>
      <c r="EOW3" s="229" t="s">
        <v>13329</v>
      </c>
      <c r="EOX3" s="230"/>
      <c r="EOY3" s="230"/>
      <c r="EOZ3" s="231"/>
      <c r="EPA3" s="229" t="s">
        <v>13329</v>
      </c>
      <c r="EPB3" s="230"/>
      <c r="EPC3" s="230"/>
      <c r="EPD3" s="231"/>
      <c r="EPE3" s="229" t="s">
        <v>13329</v>
      </c>
      <c r="EPF3" s="230"/>
      <c r="EPG3" s="230"/>
      <c r="EPH3" s="231"/>
      <c r="EPI3" s="229" t="s">
        <v>13329</v>
      </c>
      <c r="EPJ3" s="230"/>
      <c r="EPK3" s="230"/>
      <c r="EPL3" s="231"/>
      <c r="EPM3" s="229" t="s">
        <v>13329</v>
      </c>
      <c r="EPN3" s="230"/>
      <c r="EPO3" s="230"/>
      <c r="EPP3" s="231"/>
      <c r="EPQ3" s="229" t="s">
        <v>13329</v>
      </c>
      <c r="EPR3" s="230"/>
      <c r="EPS3" s="230"/>
      <c r="EPT3" s="231"/>
      <c r="EPU3" s="229" t="s">
        <v>13329</v>
      </c>
      <c r="EPV3" s="230"/>
      <c r="EPW3" s="230"/>
      <c r="EPX3" s="231"/>
      <c r="EPY3" s="229" t="s">
        <v>13329</v>
      </c>
      <c r="EPZ3" s="230"/>
      <c r="EQA3" s="230"/>
      <c r="EQB3" s="231"/>
      <c r="EQC3" s="229" t="s">
        <v>13329</v>
      </c>
      <c r="EQD3" s="230"/>
      <c r="EQE3" s="230"/>
      <c r="EQF3" s="231"/>
      <c r="EQG3" s="229" t="s">
        <v>13329</v>
      </c>
      <c r="EQH3" s="230"/>
      <c r="EQI3" s="230"/>
      <c r="EQJ3" s="231"/>
      <c r="EQK3" s="229" t="s">
        <v>13329</v>
      </c>
      <c r="EQL3" s="230"/>
      <c r="EQM3" s="230"/>
      <c r="EQN3" s="231"/>
      <c r="EQO3" s="229" t="s">
        <v>13329</v>
      </c>
      <c r="EQP3" s="230"/>
      <c r="EQQ3" s="230"/>
      <c r="EQR3" s="231"/>
      <c r="EQS3" s="229" t="s">
        <v>13329</v>
      </c>
      <c r="EQT3" s="230"/>
      <c r="EQU3" s="230"/>
      <c r="EQV3" s="231"/>
      <c r="EQW3" s="229" t="s">
        <v>13329</v>
      </c>
      <c r="EQX3" s="230"/>
      <c r="EQY3" s="230"/>
      <c r="EQZ3" s="231"/>
      <c r="ERA3" s="229" t="s">
        <v>13329</v>
      </c>
      <c r="ERB3" s="230"/>
      <c r="ERC3" s="230"/>
      <c r="ERD3" s="231"/>
      <c r="ERE3" s="229" t="s">
        <v>13329</v>
      </c>
      <c r="ERF3" s="230"/>
      <c r="ERG3" s="230"/>
      <c r="ERH3" s="231"/>
      <c r="ERI3" s="229" t="s">
        <v>13329</v>
      </c>
      <c r="ERJ3" s="230"/>
      <c r="ERK3" s="230"/>
      <c r="ERL3" s="231"/>
      <c r="ERM3" s="229" t="s">
        <v>13329</v>
      </c>
      <c r="ERN3" s="230"/>
      <c r="ERO3" s="230"/>
      <c r="ERP3" s="231"/>
      <c r="ERQ3" s="229" t="s">
        <v>13329</v>
      </c>
      <c r="ERR3" s="230"/>
      <c r="ERS3" s="230"/>
      <c r="ERT3" s="231"/>
      <c r="ERU3" s="229" t="s">
        <v>13329</v>
      </c>
      <c r="ERV3" s="230"/>
      <c r="ERW3" s="230"/>
      <c r="ERX3" s="231"/>
      <c r="ERY3" s="229" t="s">
        <v>13329</v>
      </c>
      <c r="ERZ3" s="230"/>
      <c r="ESA3" s="230"/>
      <c r="ESB3" s="231"/>
      <c r="ESC3" s="229" t="s">
        <v>13329</v>
      </c>
      <c r="ESD3" s="230"/>
      <c r="ESE3" s="230"/>
      <c r="ESF3" s="231"/>
      <c r="ESG3" s="229" t="s">
        <v>13329</v>
      </c>
      <c r="ESH3" s="230"/>
      <c r="ESI3" s="230"/>
      <c r="ESJ3" s="231"/>
      <c r="ESK3" s="229" t="s">
        <v>13329</v>
      </c>
      <c r="ESL3" s="230"/>
      <c r="ESM3" s="230"/>
      <c r="ESN3" s="231"/>
      <c r="ESO3" s="229" t="s">
        <v>13329</v>
      </c>
      <c r="ESP3" s="230"/>
      <c r="ESQ3" s="230"/>
      <c r="ESR3" s="231"/>
      <c r="ESS3" s="229" t="s">
        <v>13329</v>
      </c>
      <c r="EST3" s="230"/>
      <c r="ESU3" s="230"/>
      <c r="ESV3" s="231"/>
      <c r="ESW3" s="229" t="s">
        <v>13329</v>
      </c>
      <c r="ESX3" s="230"/>
      <c r="ESY3" s="230"/>
      <c r="ESZ3" s="231"/>
      <c r="ETA3" s="229" t="s">
        <v>13329</v>
      </c>
      <c r="ETB3" s="230"/>
      <c r="ETC3" s="230"/>
      <c r="ETD3" s="231"/>
      <c r="ETE3" s="229" t="s">
        <v>13329</v>
      </c>
      <c r="ETF3" s="230"/>
      <c r="ETG3" s="230"/>
      <c r="ETH3" s="231"/>
      <c r="ETI3" s="229" t="s">
        <v>13329</v>
      </c>
      <c r="ETJ3" s="230"/>
      <c r="ETK3" s="230"/>
      <c r="ETL3" s="231"/>
      <c r="ETM3" s="229" t="s">
        <v>13329</v>
      </c>
      <c r="ETN3" s="230"/>
      <c r="ETO3" s="230"/>
      <c r="ETP3" s="231"/>
      <c r="ETQ3" s="229" t="s">
        <v>13329</v>
      </c>
      <c r="ETR3" s="230"/>
      <c r="ETS3" s="230"/>
      <c r="ETT3" s="231"/>
      <c r="ETU3" s="229" t="s">
        <v>13329</v>
      </c>
      <c r="ETV3" s="230"/>
      <c r="ETW3" s="230"/>
      <c r="ETX3" s="231"/>
      <c r="ETY3" s="229" t="s">
        <v>13329</v>
      </c>
      <c r="ETZ3" s="230"/>
      <c r="EUA3" s="230"/>
      <c r="EUB3" s="231"/>
      <c r="EUC3" s="229" t="s">
        <v>13329</v>
      </c>
      <c r="EUD3" s="230"/>
      <c r="EUE3" s="230"/>
      <c r="EUF3" s="231"/>
      <c r="EUG3" s="229" t="s">
        <v>13329</v>
      </c>
      <c r="EUH3" s="230"/>
      <c r="EUI3" s="230"/>
      <c r="EUJ3" s="231"/>
      <c r="EUK3" s="229" t="s">
        <v>13329</v>
      </c>
      <c r="EUL3" s="230"/>
      <c r="EUM3" s="230"/>
      <c r="EUN3" s="231"/>
      <c r="EUO3" s="229" t="s">
        <v>13329</v>
      </c>
      <c r="EUP3" s="230"/>
      <c r="EUQ3" s="230"/>
      <c r="EUR3" s="231"/>
      <c r="EUS3" s="229" t="s">
        <v>13329</v>
      </c>
      <c r="EUT3" s="230"/>
      <c r="EUU3" s="230"/>
      <c r="EUV3" s="231"/>
      <c r="EUW3" s="229" t="s">
        <v>13329</v>
      </c>
      <c r="EUX3" s="230"/>
      <c r="EUY3" s="230"/>
      <c r="EUZ3" s="231"/>
      <c r="EVA3" s="229" t="s">
        <v>13329</v>
      </c>
      <c r="EVB3" s="230"/>
      <c r="EVC3" s="230"/>
      <c r="EVD3" s="231"/>
      <c r="EVE3" s="229" t="s">
        <v>13329</v>
      </c>
      <c r="EVF3" s="230"/>
      <c r="EVG3" s="230"/>
      <c r="EVH3" s="231"/>
      <c r="EVI3" s="229" t="s">
        <v>13329</v>
      </c>
      <c r="EVJ3" s="230"/>
      <c r="EVK3" s="230"/>
      <c r="EVL3" s="231"/>
      <c r="EVM3" s="229" t="s">
        <v>13329</v>
      </c>
      <c r="EVN3" s="230"/>
      <c r="EVO3" s="230"/>
      <c r="EVP3" s="231"/>
      <c r="EVQ3" s="229" t="s">
        <v>13329</v>
      </c>
      <c r="EVR3" s="230"/>
      <c r="EVS3" s="230"/>
      <c r="EVT3" s="231"/>
      <c r="EVU3" s="229" t="s">
        <v>13329</v>
      </c>
      <c r="EVV3" s="230"/>
      <c r="EVW3" s="230"/>
      <c r="EVX3" s="231"/>
      <c r="EVY3" s="229" t="s">
        <v>13329</v>
      </c>
      <c r="EVZ3" s="230"/>
      <c r="EWA3" s="230"/>
      <c r="EWB3" s="231"/>
      <c r="EWC3" s="229" t="s">
        <v>13329</v>
      </c>
      <c r="EWD3" s="230"/>
      <c r="EWE3" s="230"/>
      <c r="EWF3" s="231"/>
      <c r="EWG3" s="229" t="s">
        <v>13329</v>
      </c>
      <c r="EWH3" s="230"/>
      <c r="EWI3" s="230"/>
      <c r="EWJ3" s="231"/>
      <c r="EWK3" s="229" t="s">
        <v>13329</v>
      </c>
      <c r="EWL3" s="230"/>
      <c r="EWM3" s="230"/>
      <c r="EWN3" s="231"/>
      <c r="EWO3" s="229" t="s">
        <v>13329</v>
      </c>
      <c r="EWP3" s="230"/>
      <c r="EWQ3" s="230"/>
      <c r="EWR3" s="231"/>
      <c r="EWS3" s="229" t="s">
        <v>13329</v>
      </c>
      <c r="EWT3" s="230"/>
      <c r="EWU3" s="230"/>
      <c r="EWV3" s="231"/>
      <c r="EWW3" s="229" t="s">
        <v>13329</v>
      </c>
      <c r="EWX3" s="230"/>
      <c r="EWY3" s="230"/>
      <c r="EWZ3" s="231"/>
      <c r="EXA3" s="229" t="s">
        <v>13329</v>
      </c>
      <c r="EXB3" s="230"/>
      <c r="EXC3" s="230"/>
      <c r="EXD3" s="231"/>
      <c r="EXE3" s="229" t="s">
        <v>13329</v>
      </c>
      <c r="EXF3" s="230"/>
      <c r="EXG3" s="230"/>
      <c r="EXH3" s="231"/>
      <c r="EXI3" s="229" t="s">
        <v>13329</v>
      </c>
      <c r="EXJ3" s="230"/>
      <c r="EXK3" s="230"/>
      <c r="EXL3" s="231"/>
      <c r="EXM3" s="229" t="s">
        <v>13329</v>
      </c>
      <c r="EXN3" s="230"/>
      <c r="EXO3" s="230"/>
      <c r="EXP3" s="231"/>
      <c r="EXQ3" s="229" t="s">
        <v>13329</v>
      </c>
      <c r="EXR3" s="230"/>
      <c r="EXS3" s="230"/>
      <c r="EXT3" s="231"/>
      <c r="EXU3" s="229" t="s">
        <v>13329</v>
      </c>
      <c r="EXV3" s="230"/>
      <c r="EXW3" s="230"/>
      <c r="EXX3" s="231"/>
      <c r="EXY3" s="229" t="s">
        <v>13329</v>
      </c>
      <c r="EXZ3" s="230"/>
      <c r="EYA3" s="230"/>
      <c r="EYB3" s="231"/>
      <c r="EYC3" s="229" t="s">
        <v>13329</v>
      </c>
      <c r="EYD3" s="230"/>
      <c r="EYE3" s="230"/>
      <c r="EYF3" s="231"/>
      <c r="EYG3" s="229" t="s">
        <v>13329</v>
      </c>
      <c r="EYH3" s="230"/>
      <c r="EYI3" s="230"/>
      <c r="EYJ3" s="231"/>
      <c r="EYK3" s="229" t="s">
        <v>13329</v>
      </c>
      <c r="EYL3" s="230"/>
      <c r="EYM3" s="230"/>
      <c r="EYN3" s="231"/>
      <c r="EYO3" s="229" t="s">
        <v>13329</v>
      </c>
      <c r="EYP3" s="230"/>
      <c r="EYQ3" s="230"/>
      <c r="EYR3" s="231"/>
      <c r="EYS3" s="229" t="s">
        <v>13329</v>
      </c>
      <c r="EYT3" s="230"/>
      <c r="EYU3" s="230"/>
      <c r="EYV3" s="231"/>
      <c r="EYW3" s="229" t="s">
        <v>13329</v>
      </c>
      <c r="EYX3" s="230"/>
      <c r="EYY3" s="230"/>
      <c r="EYZ3" s="231"/>
      <c r="EZA3" s="229" t="s">
        <v>13329</v>
      </c>
      <c r="EZB3" s="230"/>
      <c r="EZC3" s="230"/>
      <c r="EZD3" s="231"/>
      <c r="EZE3" s="229" t="s">
        <v>13329</v>
      </c>
      <c r="EZF3" s="230"/>
      <c r="EZG3" s="230"/>
      <c r="EZH3" s="231"/>
      <c r="EZI3" s="229" t="s">
        <v>13329</v>
      </c>
      <c r="EZJ3" s="230"/>
      <c r="EZK3" s="230"/>
      <c r="EZL3" s="231"/>
      <c r="EZM3" s="229" t="s">
        <v>13329</v>
      </c>
      <c r="EZN3" s="230"/>
      <c r="EZO3" s="230"/>
      <c r="EZP3" s="231"/>
      <c r="EZQ3" s="229" t="s">
        <v>13329</v>
      </c>
      <c r="EZR3" s="230"/>
      <c r="EZS3" s="230"/>
      <c r="EZT3" s="231"/>
      <c r="EZU3" s="229" t="s">
        <v>13329</v>
      </c>
      <c r="EZV3" s="230"/>
      <c r="EZW3" s="230"/>
      <c r="EZX3" s="231"/>
      <c r="EZY3" s="229" t="s">
        <v>13329</v>
      </c>
      <c r="EZZ3" s="230"/>
      <c r="FAA3" s="230"/>
      <c r="FAB3" s="231"/>
      <c r="FAC3" s="229" t="s">
        <v>13329</v>
      </c>
      <c r="FAD3" s="230"/>
      <c r="FAE3" s="230"/>
      <c r="FAF3" s="231"/>
      <c r="FAG3" s="229" t="s">
        <v>13329</v>
      </c>
      <c r="FAH3" s="230"/>
      <c r="FAI3" s="230"/>
      <c r="FAJ3" s="231"/>
      <c r="FAK3" s="229" t="s">
        <v>13329</v>
      </c>
      <c r="FAL3" s="230"/>
      <c r="FAM3" s="230"/>
      <c r="FAN3" s="231"/>
      <c r="FAO3" s="229" t="s">
        <v>13329</v>
      </c>
      <c r="FAP3" s="230"/>
      <c r="FAQ3" s="230"/>
      <c r="FAR3" s="231"/>
      <c r="FAS3" s="229" t="s">
        <v>13329</v>
      </c>
      <c r="FAT3" s="230"/>
      <c r="FAU3" s="230"/>
      <c r="FAV3" s="231"/>
      <c r="FAW3" s="229" t="s">
        <v>13329</v>
      </c>
      <c r="FAX3" s="230"/>
      <c r="FAY3" s="230"/>
      <c r="FAZ3" s="231"/>
      <c r="FBA3" s="229" t="s">
        <v>13329</v>
      </c>
      <c r="FBB3" s="230"/>
      <c r="FBC3" s="230"/>
      <c r="FBD3" s="231"/>
      <c r="FBE3" s="229" t="s">
        <v>13329</v>
      </c>
      <c r="FBF3" s="230"/>
      <c r="FBG3" s="230"/>
      <c r="FBH3" s="231"/>
      <c r="FBI3" s="229" t="s">
        <v>13329</v>
      </c>
      <c r="FBJ3" s="230"/>
      <c r="FBK3" s="230"/>
      <c r="FBL3" s="231"/>
      <c r="FBM3" s="229" t="s">
        <v>13329</v>
      </c>
      <c r="FBN3" s="230"/>
      <c r="FBO3" s="230"/>
      <c r="FBP3" s="231"/>
      <c r="FBQ3" s="229" t="s">
        <v>13329</v>
      </c>
      <c r="FBR3" s="230"/>
      <c r="FBS3" s="230"/>
      <c r="FBT3" s="231"/>
      <c r="FBU3" s="229" t="s">
        <v>13329</v>
      </c>
      <c r="FBV3" s="230"/>
      <c r="FBW3" s="230"/>
      <c r="FBX3" s="231"/>
      <c r="FBY3" s="229" t="s">
        <v>13329</v>
      </c>
      <c r="FBZ3" s="230"/>
      <c r="FCA3" s="230"/>
      <c r="FCB3" s="231"/>
      <c r="FCC3" s="229" t="s">
        <v>13329</v>
      </c>
      <c r="FCD3" s="230"/>
      <c r="FCE3" s="230"/>
      <c r="FCF3" s="231"/>
      <c r="FCG3" s="229" t="s">
        <v>13329</v>
      </c>
      <c r="FCH3" s="230"/>
      <c r="FCI3" s="230"/>
      <c r="FCJ3" s="231"/>
      <c r="FCK3" s="229" t="s">
        <v>13329</v>
      </c>
      <c r="FCL3" s="230"/>
      <c r="FCM3" s="230"/>
      <c r="FCN3" s="231"/>
      <c r="FCO3" s="229" t="s">
        <v>13329</v>
      </c>
      <c r="FCP3" s="230"/>
      <c r="FCQ3" s="230"/>
      <c r="FCR3" s="231"/>
      <c r="FCS3" s="229" t="s">
        <v>13329</v>
      </c>
      <c r="FCT3" s="230"/>
      <c r="FCU3" s="230"/>
      <c r="FCV3" s="231"/>
      <c r="FCW3" s="229" t="s">
        <v>13329</v>
      </c>
      <c r="FCX3" s="230"/>
      <c r="FCY3" s="230"/>
      <c r="FCZ3" s="231"/>
      <c r="FDA3" s="229" t="s">
        <v>13329</v>
      </c>
      <c r="FDB3" s="230"/>
      <c r="FDC3" s="230"/>
      <c r="FDD3" s="231"/>
      <c r="FDE3" s="229" t="s">
        <v>13329</v>
      </c>
      <c r="FDF3" s="230"/>
      <c r="FDG3" s="230"/>
      <c r="FDH3" s="231"/>
      <c r="FDI3" s="229" t="s">
        <v>13329</v>
      </c>
      <c r="FDJ3" s="230"/>
      <c r="FDK3" s="230"/>
      <c r="FDL3" s="231"/>
      <c r="FDM3" s="229" t="s">
        <v>13329</v>
      </c>
      <c r="FDN3" s="230"/>
      <c r="FDO3" s="230"/>
      <c r="FDP3" s="231"/>
      <c r="FDQ3" s="229" t="s">
        <v>13329</v>
      </c>
      <c r="FDR3" s="230"/>
      <c r="FDS3" s="230"/>
      <c r="FDT3" s="231"/>
      <c r="FDU3" s="229" t="s">
        <v>13329</v>
      </c>
      <c r="FDV3" s="230"/>
      <c r="FDW3" s="230"/>
      <c r="FDX3" s="231"/>
      <c r="FDY3" s="229" t="s">
        <v>13329</v>
      </c>
      <c r="FDZ3" s="230"/>
      <c r="FEA3" s="230"/>
      <c r="FEB3" s="231"/>
      <c r="FEC3" s="229" t="s">
        <v>13329</v>
      </c>
      <c r="FED3" s="230"/>
      <c r="FEE3" s="230"/>
      <c r="FEF3" s="231"/>
      <c r="FEG3" s="229" t="s">
        <v>13329</v>
      </c>
      <c r="FEH3" s="230"/>
      <c r="FEI3" s="230"/>
      <c r="FEJ3" s="231"/>
      <c r="FEK3" s="229" t="s">
        <v>13329</v>
      </c>
      <c r="FEL3" s="230"/>
      <c r="FEM3" s="230"/>
      <c r="FEN3" s="231"/>
      <c r="FEO3" s="229" t="s">
        <v>13329</v>
      </c>
      <c r="FEP3" s="230"/>
      <c r="FEQ3" s="230"/>
      <c r="FER3" s="231"/>
      <c r="FES3" s="229" t="s">
        <v>13329</v>
      </c>
      <c r="FET3" s="230"/>
      <c r="FEU3" s="230"/>
      <c r="FEV3" s="231"/>
      <c r="FEW3" s="229" t="s">
        <v>13329</v>
      </c>
      <c r="FEX3" s="230"/>
      <c r="FEY3" s="230"/>
      <c r="FEZ3" s="231"/>
      <c r="FFA3" s="229" t="s">
        <v>13329</v>
      </c>
      <c r="FFB3" s="230"/>
      <c r="FFC3" s="230"/>
      <c r="FFD3" s="231"/>
      <c r="FFE3" s="229" t="s">
        <v>13329</v>
      </c>
      <c r="FFF3" s="230"/>
      <c r="FFG3" s="230"/>
      <c r="FFH3" s="231"/>
      <c r="FFI3" s="229" t="s">
        <v>13329</v>
      </c>
      <c r="FFJ3" s="230"/>
      <c r="FFK3" s="230"/>
      <c r="FFL3" s="231"/>
      <c r="FFM3" s="229" t="s">
        <v>13329</v>
      </c>
      <c r="FFN3" s="230"/>
      <c r="FFO3" s="230"/>
      <c r="FFP3" s="231"/>
      <c r="FFQ3" s="229" t="s">
        <v>13329</v>
      </c>
      <c r="FFR3" s="230"/>
      <c r="FFS3" s="230"/>
      <c r="FFT3" s="231"/>
      <c r="FFU3" s="229" t="s">
        <v>13329</v>
      </c>
      <c r="FFV3" s="230"/>
      <c r="FFW3" s="230"/>
      <c r="FFX3" s="231"/>
      <c r="FFY3" s="229" t="s">
        <v>13329</v>
      </c>
      <c r="FFZ3" s="230"/>
      <c r="FGA3" s="230"/>
      <c r="FGB3" s="231"/>
      <c r="FGC3" s="229" t="s">
        <v>13329</v>
      </c>
      <c r="FGD3" s="230"/>
      <c r="FGE3" s="230"/>
      <c r="FGF3" s="231"/>
      <c r="FGG3" s="229" t="s">
        <v>13329</v>
      </c>
      <c r="FGH3" s="230"/>
      <c r="FGI3" s="230"/>
      <c r="FGJ3" s="231"/>
      <c r="FGK3" s="229" t="s">
        <v>13329</v>
      </c>
      <c r="FGL3" s="230"/>
      <c r="FGM3" s="230"/>
      <c r="FGN3" s="231"/>
      <c r="FGO3" s="229" t="s">
        <v>13329</v>
      </c>
      <c r="FGP3" s="230"/>
      <c r="FGQ3" s="230"/>
      <c r="FGR3" s="231"/>
      <c r="FGS3" s="229" t="s">
        <v>13329</v>
      </c>
      <c r="FGT3" s="230"/>
      <c r="FGU3" s="230"/>
      <c r="FGV3" s="231"/>
      <c r="FGW3" s="229" t="s">
        <v>13329</v>
      </c>
      <c r="FGX3" s="230"/>
      <c r="FGY3" s="230"/>
      <c r="FGZ3" s="231"/>
      <c r="FHA3" s="229" t="s">
        <v>13329</v>
      </c>
      <c r="FHB3" s="230"/>
      <c r="FHC3" s="230"/>
      <c r="FHD3" s="231"/>
      <c r="FHE3" s="229" t="s">
        <v>13329</v>
      </c>
      <c r="FHF3" s="230"/>
      <c r="FHG3" s="230"/>
      <c r="FHH3" s="231"/>
      <c r="FHI3" s="229" t="s">
        <v>13329</v>
      </c>
      <c r="FHJ3" s="230"/>
      <c r="FHK3" s="230"/>
      <c r="FHL3" s="231"/>
      <c r="FHM3" s="229" t="s">
        <v>13329</v>
      </c>
      <c r="FHN3" s="230"/>
      <c r="FHO3" s="230"/>
      <c r="FHP3" s="231"/>
      <c r="FHQ3" s="229" t="s">
        <v>13329</v>
      </c>
      <c r="FHR3" s="230"/>
      <c r="FHS3" s="230"/>
      <c r="FHT3" s="231"/>
      <c r="FHU3" s="229" t="s">
        <v>13329</v>
      </c>
      <c r="FHV3" s="230"/>
      <c r="FHW3" s="230"/>
      <c r="FHX3" s="231"/>
      <c r="FHY3" s="229" t="s">
        <v>13329</v>
      </c>
      <c r="FHZ3" s="230"/>
      <c r="FIA3" s="230"/>
      <c r="FIB3" s="231"/>
      <c r="FIC3" s="229" t="s">
        <v>13329</v>
      </c>
      <c r="FID3" s="230"/>
      <c r="FIE3" s="230"/>
      <c r="FIF3" s="231"/>
      <c r="FIG3" s="229" t="s">
        <v>13329</v>
      </c>
      <c r="FIH3" s="230"/>
      <c r="FII3" s="230"/>
      <c r="FIJ3" s="231"/>
      <c r="FIK3" s="229" t="s">
        <v>13329</v>
      </c>
      <c r="FIL3" s="230"/>
      <c r="FIM3" s="230"/>
      <c r="FIN3" s="231"/>
      <c r="FIO3" s="229" t="s">
        <v>13329</v>
      </c>
      <c r="FIP3" s="230"/>
      <c r="FIQ3" s="230"/>
      <c r="FIR3" s="231"/>
      <c r="FIS3" s="229" t="s">
        <v>13329</v>
      </c>
      <c r="FIT3" s="230"/>
      <c r="FIU3" s="230"/>
      <c r="FIV3" s="231"/>
      <c r="FIW3" s="229" t="s">
        <v>13329</v>
      </c>
      <c r="FIX3" s="230"/>
      <c r="FIY3" s="230"/>
      <c r="FIZ3" s="231"/>
      <c r="FJA3" s="229" t="s">
        <v>13329</v>
      </c>
      <c r="FJB3" s="230"/>
      <c r="FJC3" s="230"/>
      <c r="FJD3" s="231"/>
      <c r="FJE3" s="229" t="s">
        <v>13329</v>
      </c>
      <c r="FJF3" s="230"/>
      <c r="FJG3" s="230"/>
      <c r="FJH3" s="231"/>
      <c r="FJI3" s="229" t="s">
        <v>13329</v>
      </c>
      <c r="FJJ3" s="230"/>
      <c r="FJK3" s="230"/>
      <c r="FJL3" s="231"/>
      <c r="FJM3" s="229" t="s">
        <v>13329</v>
      </c>
      <c r="FJN3" s="230"/>
      <c r="FJO3" s="230"/>
      <c r="FJP3" s="231"/>
      <c r="FJQ3" s="229" t="s">
        <v>13329</v>
      </c>
      <c r="FJR3" s="230"/>
      <c r="FJS3" s="230"/>
      <c r="FJT3" s="231"/>
      <c r="FJU3" s="229" t="s">
        <v>13329</v>
      </c>
      <c r="FJV3" s="230"/>
      <c r="FJW3" s="230"/>
      <c r="FJX3" s="231"/>
      <c r="FJY3" s="229" t="s">
        <v>13329</v>
      </c>
      <c r="FJZ3" s="230"/>
      <c r="FKA3" s="230"/>
      <c r="FKB3" s="231"/>
      <c r="FKC3" s="229" t="s">
        <v>13329</v>
      </c>
      <c r="FKD3" s="230"/>
      <c r="FKE3" s="230"/>
      <c r="FKF3" s="231"/>
      <c r="FKG3" s="229" t="s">
        <v>13329</v>
      </c>
      <c r="FKH3" s="230"/>
      <c r="FKI3" s="230"/>
      <c r="FKJ3" s="231"/>
      <c r="FKK3" s="229" t="s">
        <v>13329</v>
      </c>
      <c r="FKL3" s="230"/>
      <c r="FKM3" s="230"/>
      <c r="FKN3" s="231"/>
      <c r="FKO3" s="229" t="s">
        <v>13329</v>
      </c>
      <c r="FKP3" s="230"/>
      <c r="FKQ3" s="230"/>
      <c r="FKR3" s="231"/>
      <c r="FKS3" s="229" t="s">
        <v>13329</v>
      </c>
      <c r="FKT3" s="230"/>
      <c r="FKU3" s="230"/>
      <c r="FKV3" s="231"/>
      <c r="FKW3" s="229" t="s">
        <v>13329</v>
      </c>
      <c r="FKX3" s="230"/>
      <c r="FKY3" s="230"/>
      <c r="FKZ3" s="231"/>
      <c r="FLA3" s="229" t="s">
        <v>13329</v>
      </c>
      <c r="FLB3" s="230"/>
      <c r="FLC3" s="230"/>
      <c r="FLD3" s="231"/>
      <c r="FLE3" s="229" t="s">
        <v>13329</v>
      </c>
      <c r="FLF3" s="230"/>
      <c r="FLG3" s="230"/>
      <c r="FLH3" s="231"/>
      <c r="FLI3" s="229" t="s">
        <v>13329</v>
      </c>
      <c r="FLJ3" s="230"/>
      <c r="FLK3" s="230"/>
      <c r="FLL3" s="231"/>
      <c r="FLM3" s="229" t="s">
        <v>13329</v>
      </c>
      <c r="FLN3" s="230"/>
      <c r="FLO3" s="230"/>
      <c r="FLP3" s="231"/>
      <c r="FLQ3" s="229" t="s">
        <v>13329</v>
      </c>
      <c r="FLR3" s="230"/>
      <c r="FLS3" s="230"/>
      <c r="FLT3" s="231"/>
      <c r="FLU3" s="229" t="s">
        <v>13329</v>
      </c>
      <c r="FLV3" s="230"/>
      <c r="FLW3" s="230"/>
      <c r="FLX3" s="231"/>
      <c r="FLY3" s="229" t="s">
        <v>13329</v>
      </c>
      <c r="FLZ3" s="230"/>
      <c r="FMA3" s="230"/>
      <c r="FMB3" s="231"/>
      <c r="FMC3" s="229" t="s">
        <v>13329</v>
      </c>
      <c r="FMD3" s="230"/>
      <c r="FME3" s="230"/>
      <c r="FMF3" s="231"/>
      <c r="FMG3" s="229" t="s">
        <v>13329</v>
      </c>
      <c r="FMH3" s="230"/>
      <c r="FMI3" s="230"/>
      <c r="FMJ3" s="231"/>
      <c r="FMK3" s="229" t="s">
        <v>13329</v>
      </c>
      <c r="FML3" s="230"/>
      <c r="FMM3" s="230"/>
      <c r="FMN3" s="231"/>
      <c r="FMO3" s="229" t="s">
        <v>13329</v>
      </c>
      <c r="FMP3" s="230"/>
      <c r="FMQ3" s="230"/>
      <c r="FMR3" s="231"/>
      <c r="FMS3" s="229" t="s">
        <v>13329</v>
      </c>
      <c r="FMT3" s="230"/>
      <c r="FMU3" s="230"/>
      <c r="FMV3" s="231"/>
      <c r="FMW3" s="229" t="s">
        <v>13329</v>
      </c>
      <c r="FMX3" s="230"/>
      <c r="FMY3" s="230"/>
      <c r="FMZ3" s="231"/>
      <c r="FNA3" s="229" t="s">
        <v>13329</v>
      </c>
      <c r="FNB3" s="230"/>
      <c r="FNC3" s="230"/>
      <c r="FND3" s="231"/>
      <c r="FNE3" s="229" t="s">
        <v>13329</v>
      </c>
      <c r="FNF3" s="230"/>
      <c r="FNG3" s="230"/>
      <c r="FNH3" s="231"/>
      <c r="FNI3" s="229" t="s">
        <v>13329</v>
      </c>
      <c r="FNJ3" s="230"/>
      <c r="FNK3" s="230"/>
      <c r="FNL3" s="231"/>
      <c r="FNM3" s="229" t="s">
        <v>13329</v>
      </c>
      <c r="FNN3" s="230"/>
      <c r="FNO3" s="230"/>
      <c r="FNP3" s="231"/>
      <c r="FNQ3" s="229" t="s">
        <v>13329</v>
      </c>
      <c r="FNR3" s="230"/>
      <c r="FNS3" s="230"/>
      <c r="FNT3" s="231"/>
      <c r="FNU3" s="229" t="s">
        <v>13329</v>
      </c>
      <c r="FNV3" s="230"/>
      <c r="FNW3" s="230"/>
      <c r="FNX3" s="231"/>
      <c r="FNY3" s="229" t="s">
        <v>13329</v>
      </c>
      <c r="FNZ3" s="230"/>
      <c r="FOA3" s="230"/>
      <c r="FOB3" s="231"/>
      <c r="FOC3" s="229" t="s">
        <v>13329</v>
      </c>
      <c r="FOD3" s="230"/>
      <c r="FOE3" s="230"/>
      <c r="FOF3" s="231"/>
      <c r="FOG3" s="229" t="s">
        <v>13329</v>
      </c>
      <c r="FOH3" s="230"/>
      <c r="FOI3" s="230"/>
      <c r="FOJ3" s="231"/>
      <c r="FOK3" s="229" t="s">
        <v>13329</v>
      </c>
      <c r="FOL3" s="230"/>
      <c r="FOM3" s="230"/>
      <c r="FON3" s="231"/>
      <c r="FOO3" s="229" t="s">
        <v>13329</v>
      </c>
      <c r="FOP3" s="230"/>
      <c r="FOQ3" s="230"/>
      <c r="FOR3" s="231"/>
      <c r="FOS3" s="229" t="s">
        <v>13329</v>
      </c>
      <c r="FOT3" s="230"/>
      <c r="FOU3" s="230"/>
      <c r="FOV3" s="231"/>
      <c r="FOW3" s="229" t="s">
        <v>13329</v>
      </c>
      <c r="FOX3" s="230"/>
      <c r="FOY3" s="230"/>
      <c r="FOZ3" s="231"/>
      <c r="FPA3" s="229" t="s">
        <v>13329</v>
      </c>
      <c r="FPB3" s="230"/>
      <c r="FPC3" s="230"/>
      <c r="FPD3" s="231"/>
      <c r="FPE3" s="229" t="s">
        <v>13329</v>
      </c>
      <c r="FPF3" s="230"/>
      <c r="FPG3" s="230"/>
      <c r="FPH3" s="231"/>
      <c r="FPI3" s="229" t="s">
        <v>13329</v>
      </c>
      <c r="FPJ3" s="230"/>
      <c r="FPK3" s="230"/>
      <c r="FPL3" s="231"/>
      <c r="FPM3" s="229" t="s">
        <v>13329</v>
      </c>
      <c r="FPN3" s="230"/>
      <c r="FPO3" s="230"/>
      <c r="FPP3" s="231"/>
      <c r="FPQ3" s="229" t="s">
        <v>13329</v>
      </c>
      <c r="FPR3" s="230"/>
      <c r="FPS3" s="230"/>
      <c r="FPT3" s="231"/>
      <c r="FPU3" s="229" t="s">
        <v>13329</v>
      </c>
      <c r="FPV3" s="230"/>
      <c r="FPW3" s="230"/>
      <c r="FPX3" s="231"/>
      <c r="FPY3" s="229" t="s">
        <v>13329</v>
      </c>
      <c r="FPZ3" s="230"/>
      <c r="FQA3" s="230"/>
      <c r="FQB3" s="231"/>
      <c r="FQC3" s="229" t="s">
        <v>13329</v>
      </c>
      <c r="FQD3" s="230"/>
      <c r="FQE3" s="230"/>
      <c r="FQF3" s="231"/>
      <c r="FQG3" s="229" t="s">
        <v>13329</v>
      </c>
      <c r="FQH3" s="230"/>
      <c r="FQI3" s="230"/>
      <c r="FQJ3" s="231"/>
      <c r="FQK3" s="229" t="s">
        <v>13329</v>
      </c>
      <c r="FQL3" s="230"/>
      <c r="FQM3" s="230"/>
      <c r="FQN3" s="231"/>
      <c r="FQO3" s="229" t="s">
        <v>13329</v>
      </c>
      <c r="FQP3" s="230"/>
      <c r="FQQ3" s="230"/>
      <c r="FQR3" s="231"/>
      <c r="FQS3" s="229" t="s">
        <v>13329</v>
      </c>
      <c r="FQT3" s="230"/>
      <c r="FQU3" s="230"/>
      <c r="FQV3" s="231"/>
      <c r="FQW3" s="229" t="s">
        <v>13329</v>
      </c>
      <c r="FQX3" s="230"/>
      <c r="FQY3" s="230"/>
      <c r="FQZ3" s="231"/>
      <c r="FRA3" s="229" t="s">
        <v>13329</v>
      </c>
      <c r="FRB3" s="230"/>
      <c r="FRC3" s="230"/>
      <c r="FRD3" s="231"/>
      <c r="FRE3" s="229" t="s">
        <v>13329</v>
      </c>
      <c r="FRF3" s="230"/>
      <c r="FRG3" s="230"/>
      <c r="FRH3" s="231"/>
      <c r="FRI3" s="229" t="s">
        <v>13329</v>
      </c>
      <c r="FRJ3" s="230"/>
      <c r="FRK3" s="230"/>
      <c r="FRL3" s="231"/>
      <c r="FRM3" s="229" t="s">
        <v>13329</v>
      </c>
      <c r="FRN3" s="230"/>
      <c r="FRO3" s="230"/>
      <c r="FRP3" s="231"/>
      <c r="FRQ3" s="229" t="s">
        <v>13329</v>
      </c>
      <c r="FRR3" s="230"/>
      <c r="FRS3" s="230"/>
      <c r="FRT3" s="231"/>
      <c r="FRU3" s="229" t="s">
        <v>13329</v>
      </c>
      <c r="FRV3" s="230"/>
      <c r="FRW3" s="230"/>
      <c r="FRX3" s="231"/>
      <c r="FRY3" s="229" t="s">
        <v>13329</v>
      </c>
      <c r="FRZ3" s="230"/>
      <c r="FSA3" s="230"/>
      <c r="FSB3" s="231"/>
      <c r="FSC3" s="229" t="s">
        <v>13329</v>
      </c>
      <c r="FSD3" s="230"/>
      <c r="FSE3" s="230"/>
      <c r="FSF3" s="231"/>
      <c r="FSG3" s="229" t="s">
        <v>13329</v>
      </c>
      <c r="FSH3" s="230"/>
      <c r="FSI3" s="230"/>
      <c r="FSJ3" s="231"/>
      <c r="FSK3" s="229" t="s">
        <v>13329</v>
      </c>
      <c r="FSL3" s="230"/>
      <c r="FSM3" s="230"/>
      <c r="FSN3" s="231"/>
      <c r="FSO3" s="229" t="s">
        <v>13329</v>
      </c>
      <c r="FSP3" s="230"/>
      <c r="FSQ3" s="230"/>
      <c r="FSR3" s="231"/>
      <c r="FSS3" s="229" t="s">
        <v>13329</v>
      </c>
      <c r="FST3" s="230"/>
      <c r="FSU3" s="230"/>
      <c r="FSV3" s="231"/>
      <c r="FSW3" s="229" t="s">
        <v>13329</v>
      </c>
      <c r="FSX3" s="230"/>
      <c r="FSY3" s="230"/>
      <c r="FSZ3" s="231"/>
      <c r="FTA3" s="229" t="s">
        <v>13329</v>
      </c>
      <c r="FTB3" s="230"/>
      <c r="FTC3" s="230"/>
      <c r="FTD3" s="231"/>
      <c r="FTE3" s="229" t="s">
        <v>13329</v>
      </c>
      <c r="FTF3" s="230"/>
      <c r="FTG3" s="230"/>
      <c r="FTH3" s="231"/>
      <c r="FTI3" s="229" t="s">
        <v>13329</v>
      </c>
      <c r="FTJ3" s="230"/>
      <c r="FTK3" s="230"/>
      <c r="FTL3" s="231"/>
      <c r="FTM3" s="229" t="s">
        <v>13329</v>
      </c>
      <c r="FTN3" s="230"/>
      <c r="FTO3" s="230"/>
      <c r="FTP3" s="231"/>
      <c r="FTQ3" s="229" t="s">
        <v>13329</v>
      </c>
      <c r="FTR3" s="230"/>
      <c r="FTS3" s="230"/>
      <c r="FTT3" s="231"/>
      <c r="FTU3" s="229" t="s">
        <v>13329</v>
      </c>
      <c r="FTV3" s="230"/>
      <c r="FTW3" s="230"/>
      <c r="FTX3" s="231"/>
      <c r="FTY3" s="229" t="s">
        <v>13329</v>
      </c>
      <c r="FTZ3" s="230"/>
      <c r="FUA3" s="230"/>
      <c r="FUB3" s="231"/>
      <c r="FUC3" s="229" t="s">
        <v>13329</v>
      </c>
      <c r="FUD3" s="230"/>
      <c r="FUE3" s="230"/>
      <c r="FUF3" s="231"/>
      <c r="FUG3" s="229" t="s">
        <v>13329</v>
      </c>
      <c r="FUH3" s="230"/>
      <c r="FUI3" s="230"/>
      <c r="FUJ3" s="231"/>
      <c r="FUK3" s="229" t="s">
        <v>13329</v>
      </c>
      <c r="FUL3" s="230"/>
      <c r="FUM3" s="230"/>
      <c r="FUN3" s="231"/>
      <c r="FUO3" s="229" t="s">
        <v>13329</v>
      </c>
      <c r="FUP3" s="230"/>
      <c r="FUQ3" s="230"/>
      <c r="FUR3" s="231"/>
      <c r="FUS3" s="229" t="s">
        <v>13329</v>
      </c>
      <c r="FUT3" s="230"/>
      <c r="FUU3" s="230"/>
      <c r="FUV3" s="231"/>
      <c r="FUW3" s="229" t="s">
        <v>13329</v>
      </c>
      <c r="FUX3" s="230"/>
      <c r="FUY3" s="230"/>
      <c r="FUZ3" s="231"/>
      <c r="FVA3" s="229" t="s">
        <v>13329</v>
      </c>
      <c r="FVB3" s="230"/>
      <c r="FVC3" s="230"/>
      <c r="FVD3" s="231"/>
      <c r="FVE3" s="229" t="s">
        <v>13329</v>
      </c>
      <c r="FVF3" s="230"/>
      <c r="FVG3" s="230"/>
      <c r="FVH3" s="231"/>
      <c r="FVI3" s="229" t="s">
        <v>13329</v>
      </c>
      <c r="FVJ3" s="230"/>
      <c r="FVK3" s="230"/>
      <c r="FVL3" s="231"/>
      <c r="FVM3" s="229" t="s">
        <v>13329</v>
      </c>
      <c r="FVN3" s="230"/>
      <c r="FVO3" s="230"/>
      <c r="FVP3" s="231"/>
      <c r="FVQ3" s="229" t="s">
        <v>13329</v>
      </c>
      <c r="FVR3" s="230"/>
      <c r="FVS3" s="230"/>
      <c r="FVT3" s="231"/>
      <c r="FVU3" s="229" t="s">
        <v>13329</v>
      </c>
      <c r="FVV3" s="230"/>
      <c r="FVW3" s="230"/>
      <c r="FVX3" s="231"/>
      <c r="FVY3" s="229" t="s">
        <v>13329</v>
      </c>
      <c r="FVZ3" s="230"/>
      <c r="FWA3" s="230"/>
      <c r="FWB3" s="231"/>
      <c r="FWC3" s="229" t="s">
        <v>13329</v>
      </c>
      <c r="FWD3" s="230"/>
      <c r="FWE3" s="230"/>
      <c r="FWF3" s="231"/>
      <c r="FWG3" s="229" t="s">
        <v>13329</v>
      </c>
      <c r="FWH3" s="230"/>
      <c r="FWI3" s="230"/>
      <c r="FWJ3" s="231"/>
      <c r="FWK3" s="229" t="s">
        <v>13329</v>
      </c>
      <c r="FWL3" s="230"/>
      <c r="FWM3" s="230"/>
      <c r="FWN3" s="231"/>
      <c r="FWO3" s="229" t="s">
        <v>13329</v>
      </c>
      <c r="FWP3" s="230"/>
      <c r="FWQ3" s="230"/>
      <c r="FWR3" s="231"/>
      <c r="FWS3" s="229" t="s">
        <v>13329</v>
      </c>
      <c r="FWT3" s="230"/>
      <c r="FWU3" s="230"/>
      <c r="FWV3" s="231"/>
      <c r="FWW3" s="229" t="s">
        <v>13329</v>
      </c>
      <c r="FWX3" s="230"/>
      <c r="FWY3" s="230"/>
      <c r="FWZ3" s="231"/>
      <c r="FXA3" s="229" t="s">
        <v>13329</v>
      </c>
      <c r="FXB3" s="230"/>
      <c r="FXC3" s="230"/>
      <c r="FXD3" s="231"/>
      <c r="FXE3" s="229" t="s">
        <v>13329</v>
      </c>
      <c r="FXF3" s="230"/>
      <c r="FXG3" s="230"/>
      <c r="FXH3" s="231"/>
      <c r="FXI3" s="229" t="s">
        <v>13329</v>
      </c>
      <c r="FXJ3" s="230"/>
      <c r="FXK3" s="230"/>
      <c r="FXL3" s="231"/>
      <c r="FXM3" s="229" t="s">
        <v>13329</v>
      </c>
      <c r="FXN3" s="230"/>
      <c r="FXO3" s="230"/>
      <c r="FXP3" s="231"/>
      <c r="FXQ3" s="229" t="s">
        <v>13329</v>
      </c>
      <c r="FXR3" s="230"/>
      <c r="FXS3" s="230"/>
      <c r="FXT3" s="231"/>
      <c r="FXU3" s="229" t="s">
        <v>13329</v>
      </c>
      <c r="FXV3" s="230"/>
      <c r="FXW3" s="230"/>
      <c r="FXX3" s="231"/>
      <c r="FXY3" s="229" t="s">
        <v>13329</v>
      </c>
      <c r="FXZ3" s="230"/>
      <c r="FYA3" s="230"/>
      <c r="FYB3" s="231"/>
      <c r="FYC3" s="229" t="s">
        <v>13329</v>
      </c>
      <c r="FYD3" s="230"/>
      <c r="FYE3" s="230"/>
      <c r="FYF3" s="231"/>
      <c r="FYG3" s="229" t="s">
        <v>13329</v>
      </c>
      <c r="FYH3" s="230"/>
      <c r="FYI3" s="230"/>
      <c r="FYJ3" s="231"/>
      <c r="FYK3" s="229" t="s">
        <v>13329</v>
      </c>
      <c r="FYL3" s="230"/>
      <c r="FYM3" s="230"/>
      <c r="FYN3" s="231"/>
      <c r="FYO3" s="229" t="s">
        <v>13329</v>
      </c>
      <c r="FYP3" s="230"/>
      <c r="FYQ3" s="230"/>
      <c r="FYR3" s="231"/>
      <c r="FYS3" s="229" t="s">
        <v>13329</v>
      </c>
      <c r="FYT3" s="230"/>
      <c r="FYU3" s="230"/>
      <c r="FYV3" s="231"/>
      <c r="FYW3" s="229" t="s">
        <v>13329</v>
      </c>
      <c r="FYX3" s="230"/>
      <c r="FYY3" s="230"/>
      <c r="FYZ3" s="231"/>
      <c r="FZA3" s="229" t="s">
        <v>13329</v>
      </c>
      <c r="FZB3" s="230"/>
      <c r="FZC3" s="230"/>
      <c r="FZD3" s="231"/>
      <c r="FZE3" s="229" t="s">
        <v>13329</v>
      </c>
      <c r="FZF3" s="230"/>
      <c r="FZG3" s="230"/>
      <c r="FZH3" s="231"/>
      <c r="FZI3" s="229" t="s">
        <v>13329</v>
      </c>
      <c r="FZJ3" s="230"/>
      <c r="FZK3" s="230"/>
      <c r="FZL3" s="231"/>
      <c r="FZM3" s="229" t="s">
        <v>13329</v>
      </c>
      <c r="FZN3" s="230"/>
      <c r="FZO3" s="230"/>
      <c r="FZP3" s="231"/>
      <c r="FZQ3" s="229" t="s">
        <v>13329</v>
      </c>
      <c r="FZR3" s="230"/>
      <c r="FZS3" s="230"/>
      <c r="FZT3" s="231"/>
      <c r="FZU3" s="229" t="s">
        <v>13329</v>
      </c>
      <c r="FZV3" s="230"/>
      <c r="FZW3" s="230"/>
      <c r="FZX3" s="231"/>
      <c r="FZY3" s="229" t="s">
        <v>13329</v>
      </c>
      <c r="FZZ3" s="230"/>
      <c r="GAA3" s="230"/>
      <c r="GAB3" s="231"/>
      <c r="GAC3" s="229" t="s">
        <v>13329</v>
      </c>
      <c r="GAD3" s="230"/>
      <c r="GAE3" s="230"/>
      <c r="GAF3" s="231"/>
      <c r="GAG3" s="229" t="s">
        <v>13329</v>
      </c>
      <c r="GAH3" s="230"/>
      <c r="GAI3" s="230"/>
      <c r="GAJ3" s="231"/>
      <c r="GAK3" s="229" t="s">
        <v>13329</v>
      </c>
      <c r="GAL3" s="230"/>
      <c r="GAM3" s="230"/>
      <c r="GAN3" s="231"/>
      <c r="GAO3" s="229" t="s">
        <v>13329</v>
      </c>
      <c r="GAP3" s="230"/>
      <c r="GAQ3" s="230"/>
      <c r="GAR3" s="231"/>
      <c r="GAS3" s="229" t="s">
        <v>13329</v>
      </c>
      <c r="GAT3" s="230"/>
      <c r="GAU3" s="230"/>
      <c r="GAV3" s="231"/>
      <c r="GAW3" s="229" t="s">
        <v>13329</v>
      </c>
      <c r="GAX3" s="230"/>
      <c r="GAY3" s="230"/>
      <c r="GAZ3" s="231"/>
      <c r="GBA3" s="229" t="s">
        <v>13329</v>
      </c>
      <c r="GBB3" s="230"/>
      <c r="GBC3" s="230"/>
      <c r="GBD3" s="231"/>
      <c r="GBE3" s="229" t="s">
        <v>13329</v>
      </c>
      <c r="GBF3" s="230"/>
      <c r="GBG3" s="230"/>
      <c r="GBH3" s="231"/>
      <c r="GBI3" s="229" t="s">
        <v>13329</v>
      </c>
      <c r="GBJ3" s="230"/>
      <c r="GBK3" s="230"/>
      <c r="GBL3" s="231"/>
      <c r="GBM3" s="229" t="s">
        <v>13329</v>
      </c>
      <c r="GBN3" s="230"/>
      <c r="GBO3" s="230"/>
      <c r="GBP3" s="231"/>
      <c r="GBQ3" s="229" t="s">
        <v>13329</v>
      </c>
      <c r="GBR3" s="230"/>
      <c r="GBS3" s="230"/>
      <c r="GBT3" s="231"/>
      <c r="GBU3" s="229" t="s">
        <v>13329</v>
      </c>
      <c r="GBV3" s="230"/>
      <c r="GBW3" s="230"/>
      <c r="GBX3" s="231"/>
      <c r="GBY3" s="229" t="s">
        <v>13329</v>
      </c>
      <c r="GBZ3" s="230"/>
      <c r="GCA3" s="230"/>
      <c r="GCB3" s="231"/>
      <c r="GCC3" s="229" t="s">
        <v>13329</v>
      </c>
      <c r="GCD3" s="230"/>
      <c r="GCE3" s="230"/>
      <c r="GCF3" s="231"/>
      <c r="GCG3" s="229" t="s">
        <v>13329</v>
      </c>
      <c r="GCH3" s="230"/>
      <c r="GCI3" s="230"/>
      <c r="GCJ3" s="231"/>
      <c r="GCK3" s="229" t="s">
        <v>13329</v>
      </c>
      <c r="GCL3" s="230"/>
      <c r="GCM3" s="230"/>
      <c r="GCN3" s="231"/>
      <c r="GCO3" s="229" t="s">
        <v>13329</v>
      </c>
      <c r="GCP3" s="230"/>
      <c r="GCQ3" s="230"/>
      <c r="GCR3" s="231"/>
      <c r="GCS3" s="229" t="s">
        <v>13329</v>
      </c>
      <c r="GCT3" s="230"/>
      <c r="GCU3" s="230"/>
      <c r="GCV3" s="231"/>
      <c r="GCW3" s="229" t="s">
        <v>13329</v>
      </c>
      <c r="GCX3" s="230"/>
      <c r="GCY3" s="230"/>
      <c r="GCZ3" s="231"/>
      <c r="GDA3" s="229" t="s">
        <v>13329</v>
      </c>
      <c r="GDB3" s="230"/>
      <c r="GDC3" s="230"/>
      <c r="GDD3" s="231"/>
      <c r="GDE3" s="229" t="s">
        <v>13329</v>
      </c>
      <c r="GDF3" s="230"/>
      <c r="GDG3" s="230"/>
      <c r="GDH3" s="231"/>
      <c r="GDI3" s="229" t="s">
        <v>13329</v>
      </c>
      <c r="GDJ3" s="230"/>
      <c r="GDK3" s="230"/>
      <c r="GDL3" s="231"/>
      <c r="GDM3" s="229" t="s">
        <v>13329</v>
      </c>
      <c r="GDN3" s="230"/>
      <c r="GDO3" s="230"/>
      <c r="GDP3" s="231"/>
      <c r="GDQ3" s="229" t="s">
        <v>13329</v>
      </c>
      <c r="GDR3" s="230"/>
      <c r="GDS3" s="230"/>
      <c r="GDT3" s="231"/>
      <c r="GDU3" s="229" t="s">
        <v>13329</v>
      </c>
      <c r="GDV3" s="230"/>
      <c r="GDW3" s="230"/>
      <c r="GDX3" s="231"/>
      <c r="GDY3" s="229" t="s">
        <v>13329</v>
      </c>
      <c r="GDZ3" s="230"/>
      <c r="GEA3" s="230"/>
      <c r="GEB3" s="231"/>
      <c r="GEC3" s="229" t="s">
        <v>13329</v>
      </c>
      <c r="GED3" s="230"/>
      <c r="GEE3" s="230"/>
      <c r="GEF3" s="231"/>
      <c r="GEG3" s="229" t="s">
        <v>13329</v>
      </c>
      <c r="GEH3" s="230"/>
      <c r="GEI3" s="230"/>
      <c r="GEJ3" s="231"/>
      <c r="GEK3" s="229" t="s">
        <v>13329</v>
      </c>
      <c r="GEL3" s="230"/>
      <c r="GEM3" s="230"/>
      <c r="GEN3" s="231"/>
      <c r="GEO3" s="229" t="s">
        <v>13329</v>
      </c>
      <c r="GEP3" s="230"/>
      <c r="GEQ3" s="230"/>
      <c r="GER3" s="231"/>
      <c r="GES3" s="229" t="s">
        <v>13329</v>
      </c>
      <c r="GET3" s="230"/>
      <c r="GEU3" s="230"/>
      <c r="GEV3" s="231"/>
      <c r="GEW3" s="229" t="s">
        <v>13329</v>
      </c>
      <c r="GEX3" s="230"/>
      <c r="GEY3" s="230"/>
      <c r="GEZ3" s="231"/>
      <c r="GFA3" s="229" t="s">
        <v>13329</v>
      </c>
      <c r="GFB3" s="230"/>
      <c r="GFC3" s="230"/>
      <c r="GFD3" s="231"/>
      <c r="GFE3" s="229" t="s">
        <v>13329</v>
      </c>
      <c r="GFF3" s="230"/>
      <c r="GFG3" s="230"/>
      <c r="GFH3" s="231"/>
      <c r="GFI3" s="229" t="s">
        <v>13329</v>
      </c>
      <c r="GFJ3" s="230"/>
      <c r="GFK3" s="230"/>
      <c r="GFL3" s="231"/>
      <c r="GFM3" s="229" t="s">
        <v>13329</v>
      </c>
      <c r="GFN3" s="230"/>
      <c r="GFO3" s="230"/>
      <c r="GFP3" s="231"/>
      <c r="GFQ3" s="229" t="s">
        <v>13329</v>
      </c>
      <c r="GFR3" s="230"/>
      <c r="GFS3" s="230"/>
      <c r="GFT3" s="231"/>
      <c r="GFU3" s="229" t="s">
        <v>13329</v>
      </c>
      <c r="GFV3" s="230"/>
      <c r="GFW3" s="230"/>
      <c r="GFX3" s="231"/>
      <c r="GFY3" s="229" t="s">
        <v>13329</v>
      </c>
      <c r="GFZ3" s="230"/>
      <c r="GGA3" s="230"/>
      <c r="GGB3" s="231"/>
      <c r="GGC3" s="229" t="s">
        <v>13329</v>
      </c>
      <c r="GGD3" s="230"/>
      <c r="GGE3" s="230"/>
      <c r="GGF3" s="231"/>
      <c r="GGG3" s="229" t="s">
        <v>13329</v>
      </c>
      <c r="GGH3" s="230"/>
      <c r="GGI3" s="230"/>
      <c r="GGJ3" s="231"/>
      <c r="GGK3" s="229" t="s">
        <v>13329</v>
      </c>
      <c r="GGL3" s="230"/>
      <c r="GGM3" s="230"/>
      <c r="GGN3" s="231"/>
      <c r="GGO3" s="229" t="s">
        <v>13329</v>
      </c>
      <c r="GGP3" s="230"/>
      <c r="GGQ3" s="230"/>
      <c r="GGR3" s="231"/>
      <c r="GGS3" s="229" t="s">
        <v>13329</v>
      </c>
      <c r="GGT3" s="230"/>
      <c r="GGU3" s="230"/>
      <c r="GGV3" s="231"/>
      <c r="GGW3" s="229" t="s">
        <v>13329</v>
      </c>
      <c r="GGX3" s="230"/>
      <c r="GGY3" s="230"/>
      <c r="GGZ3" s="231"/>
      <c r="GHA3" s="229" t="s">
        <v>13329</v>
      </c>
      <c r="GHB3" s="230"/>
      <c r="GHC3" s="230"/>
      <c r="GHD3" s="231"/>
      <c r="GHE3" s="229" t="s">
        <v>13329</v>
      </c>
      <c r="GHF3" s="230"/>
      <c r="GHG3" s="230"/>
      <c r="GHH3" s="231"/>
      <c r="GHI3" s="229" t="s">
        <v>13329</v>
      </c>
      <c r="GHJ3" s="230"/>
      <c r="GHK3" s="230"/>
      <c r="GHL3" s="231"/>
      <c r="GHM3" s="229" t="s">
        <v>13329</v>
      </c>
      <c r="GHN3" s="230"/>
      <c r="GHO3" s="230"/>
      <c r="GHP3" s="231"/>
      <c r="GHQ3" s="229" t="s">
        <v>13329</v>
      </c>
      <c r="GHR3" s="230"/>
      <c r="GHS3" s="230"/>
      <c r="GHT3" s="231"/>
      <c r="GHU3" s="229" t="s">
        <v>13329</v>
      </c>
      <c r="GHV3" s="230"/>
      <c r="GHW3" s="230"/>
      <c r="GHX3" s="231"/>
      <c r="GHY3" s="229" t="s">
        <v>13329</v>
      </c>
      <c r="GHZ3" s="230"/>
      <c r="GIA3" s="230"/>
      <c r="GIB3" s="231"/>
      <c r="GIC3" s="229" t="s">
        <v>13329</v>
      </c>
      <c r="GID3" s="230"/>
      <c r="GIE3" s="230"/>
      <c r="GIF3" s="231"/>
      <c r="GIG3" s="229" t="s">
        <v>13329</v>
      </c>
      <c r="GIH3" s="230"/>
      <c r="GII3" s="230"/>
      <c r="GIJ3" s="231"/>
      <c r="GIK3" s="229" t="s">
        <v>13329</v>
      </c>
      <c r="GIL3" s="230"/>
      <c r="GIM3" s="230"/>
      <c r="GIN3" s="231"/>
      <c r="GIO3" s="229" t="s">
        <v>13329</v>
      </c>
      <c r="GIP3" s="230"/>
      <c r="GIQ3" s="230"/>
      <c r="GIR3" s="231"/>
      <c r="GIS3" s="229" t="s">
        <v>13329</v>
      </c>
      <c r="GIT3" s="230"/>
      <c r="GIU3" s="230"/>
      <c r="GIV3" s="231"/>
      <c r="GIW3" s="229" t="s">
        <v>13329</v>
      </c>
      <c r="GIX3" s="230"/>
      <c r="GIY3" s="230"/>
      <c r="GIZ3" s="231"/>
      <c r="GJA3" s="229" t="s">
        <v>13329</v>
      </c>
      <c r="GJB3" s="230"/>
      <c r="GJC3" s="230"/>
      <c r="GJD3" s="231"/>
      <c r="GJE3" s="229" t="s">
        <v>13329</v>
      </c>
      <c r="GJF3" s="230"/>
      <c r="GJG3" s="230"/>
      <c r="GJH3" s="231"/>
      <c r="GJI3" s="229" t="s">
        <v>13329</v>
      </c>
      <c r="GJJ3" s="230"/>
      <c r="GJK3" s="230"/>
      <c r="GJL3" s="231"/>
      <c r="GJM3" s="229" t="s">
        <v>13329</v>
      </c>
      <c r="GJN3" s="230"/>
      <c r="GJO3" s="230"/>
      <c r="GJP3" s="231"/>
      <c r="GJQ3" s="229" t="s">
        <v>13329</v>
      </c>
      <c r="GJR3" s="230"/>
      <c r="GJS3" s="230"/>
      <c r="GJT3" s="231"/>
      <c r="GJU3" s="229" t="s">
        <v>13329</v>
      </c>
      <c r="GJV3" s="230"/>
      <c r="GJW3" s="230"/>
      <c r="GJX3" s="231"/>
      <c r="GJY3" s="229" t="s">
        <v>13329</v>
      </c>
      <c r="GJZ3" s="230"/>
      <c r="GKA3" s="230"/>
      <c r="GKB3" s="231"/>
      <c r="GKC3" s="229" t="s">
        <v>13329</v>
      </c>
      <c r="GKD3" s="230"/>
      <c r="GKE3" s="230"/>
      <c r="GKF3" s="231"/>
      <c r="GKG3" s="229" t="s">
        <v>13329</v>
      </c>
      <c r="GKH3" s="230"/>
      <c r="GKI3" s="230"/>
      <c r="GKJ3" s="231"/>
      <c r="GKK3" s="229" t="s">
        <v>13329</v>
      </c>
      <c r="GKL3" s="230"/>
      <c r="GKM3" s="230"/>
      <c r="GKN3" s="231"/>
      <c r="GKO3" s="229" t="s">
        <v>13329</v>
      </c>
      <c r="GKP3" s="230"/>
      <c r="GKQ3" s="230"/>
      <c r="GKR3" s="231"/>
      <c r="GKS3" s="229" t="s">
        <v>13329</v>
      </c>
      <c r="GKT3" s="230"/>
      <c r="GKU3" s="230"/>
      <c r="GKV3" s="231"/>
      <c r="GKW3" s="229" t="s">
        <v>13329</v>
      </c>
      <c r="GKX3" s="230"/>
      <c r="GKY3" s="230"/>
      <c r="GKZ3" s="231"/>
      <c r="GLA3" s="229" t="s">
        <v>13329</v>
      </c>
      <c r="GLB3" s="230"/>
      <c r="GLC3" s="230"/>
      <c r="GLD3" s="231"/>
      <c r="GLE3" s="229" t="s">
        <v>13329</v>
      </c>
      <c r="GLF3" s="230"/>
      <c r="GLG3" s="230"/>
      <c r="GLH3" s="231"/>
      <c r="GLI3" s="229" t="s">
        <v>13329</v>
      </c>
      <c r="GLJ3" s="230"/>
      <c r="GLK3" s="230"/>
      <c r="GLL3" s="231"/>
      <c r="GLM3" s="229" t="s">
        <v>13329</v>
      </c>
      <c r="GLN3" s="230"/>
      <c r="GLO3" s="230"/>
      <c r="GLP3" s="231"/>
      <c r="GLQ3" s="229" t="s">
        <v>13329</v>
      </c>
      <c r="GLR3" s="230"/>
      <c r="GLS3" s="230"/>
      <c r="GLT3" s="231"/>
      <c r="GLU3" s="229" t="s">
        <v>13329</v>
      </c>
      <c r="GLV3" s="230"/>
      <c r="GLW3" s="230"/>
      <c r="GLX3" s="231"/>
      <c r="GLY3" s="229" t="s">
        <v>13329</v>
      </c>
      <c r="GLZ3" s="230"/>
      <c r="GMA3" s="230"/>
      <c r="GMB3" s="231"/>
      <c r="GMC3" s="229" t="s">
        <v>13329</v>
      </c>
      <c r="GMD3" s="230"/>
      <c r="GME3" s="230"/>
      <c r="GMF3" s="231"/>
      <c r="GMG3" s="229" t="s">
        <v>13329</v>
      </c>
      <c r="GMH3" s="230"/>
      <c r="GMI3" s="230"/>
      <c r="GMJ3" s="231"/>
      <c r="GMK3" s="229" t="s">
        <v>13329</v>
      </c>
      <c r="GML3" s="230"/>
      <c r="GMM3" s="230"/>
      <c r="GMN3" s="231"/>
      <c r="GMO3" s="229" t="s">
        <v>13329</v>
      </c>
      <c r="GMP3" s="230"/>
      <c r="GMQ3" s="230"/>
      <c r="GMR3" s="231"/>
      <c r="GMS3" s="229" t="s">
        <v>13329</v>
      </c>
      <c r="GMT3" s="230"/>
      <c r="GMU3" s="230"/>
      <c r="GMV3" s="231"/>
      <c r="GMW3" s="229" t="s">
        <v>13329</v>
      </c>
      <c r="GMX3" s="230"/>
      <c r="GMY3" s="230"/>
      <c r="GMZ3" s="231"/>
      <c r="GNA3" s="229" t="s">
        <v>13329</v>
      </c>
      <c r="GNB3" s="230"/>
      <c r="GNC3" s="230"/>
      <c r="GND3" s="231"/>
      <c r="GNE3" s="229" t="s">
        <v>13329</v>
      </c>
      <c r="GNF3" s="230"/>
      <c r="GNG3" s="230"/>
      <c r="GNH3" s="231"/>
      <c r="GNI3" s="229" t="s">
        <v>13329</v>
      </c>
      <c r="GNJ3" s="230"/>
      <c r="GNK3" s="230"/>
      <c r="GNL3" s="231"/>
      <c r="GNM3" s="229" t="s">
        <v>13329</v>
      </c>
      <c r="GNN3" s="230"/>
      <c r="GNO3" s="230"/>
      <c r="GNP3" s="231"/>
      <c r="GNQ3" s="229" t="s">
        <v>13329</v>
      </c>
      <c r="GNR3" s="230"/>
      <c r="GNS3" s="230"/>
      <c r="GNT3" s="231"/>
      <c r="GNU3" s="229" t="s">
        <v>13329</v>
      </c>
      <c r="GNV3" s="230"/>
      <c r="GNW3" s="230"/>
      <c r="GNX3" s="231"/>
      <c r="GNY3" s="229" t="s">
        <v>13329</v>
      </c>
      <c r="GNZ3" s="230"/>
      <c r="GOA3" s="230"/>
      <c r="GOB3" s="231"/>
      <c r="GOC3" s="229" t="s">
        <v>13329</v>
      </c>
      <c r="GOD3" s="230"/>
      <c r="GOE3" s="230"/>
      <c r="GOF3" s="231"/>
      <c r="GOG3" s="229" t="s">
        <v>13329</v>
      </c>
      <c r="GOH3" s="230"/>
      <c r="GOI3" s="230"/>
      <c r="GOJ3" s="231"/>
      <c r="GOK3" s="229" t="s">
        <v>13329</v>
      </c>
      <c r="GOL3" s="230"/>
      <c r="GOM3" s="230"/>
      <c r="GON3" s="231"/>
      <c r="GOO3" s="229" t="s">
        <v>13329</v>
      </c>
      <c r="GOP3" s="230"/>
      <c r="GOQ3" s="230"/>
      <c r="GOR3" s="231"/>
      <c r="GOS3" s="229" t="s">
        <v>13329</v>
      </c>
      <c r="GOT3" s="230"/>
      <c r="GOU3" s="230"/>
      <c r="GOV3" s="231"/>
      <c r="GOW3" s="229" t="s">
        <v>13329</v>
      </c>
      <c r="GOX3" s="230"/>
      <c r="GOY3" s="230"/>
      <c r="GOZ3" s="231"/>
      <c r="GPA3" s="229" t="s">
        <v>13329</v>
      </c>
      <c r="GPB3" s="230"/>
      <c r="GPC3" s="230"/>
      <c r="GPD3" s="231"/>
      <c r="GPE3" s="229" t="s">
        <v>13329</v>
      </c>
      <c r="GPF3" s="230"/>
      <c r="GPG3" s="230"/>
      <c r="GPH3" s="231"/>
      <c r="GPI3" s="229" t="s">
        <v>13329</v>
      </c>
      <c r="GPJ3" s="230"/>
      <c r="GPK3" s="230"/>
      <c r="GPL3" s="231"/>
      <c r="GPM3" s="229" t="s">
        <v>13329</v>
      </c>
      <c r="GPN3" s="230"/>
      <c r="GPO3" s="230"/>
      <c r="GPP3" s="231"/>
      <c r="GPQ3" s="229" t="s">
        <v>13329</v>
      </c>
      <c r="GPR3" s="230"/>
      <c r="GPS3" s="230"/>
      <c r="GPT3" s="231"/>
      <c r="GPU3" s="229" t="s">
        <v>13329</v>
      </c>
      <c r="GPV3" s="230"/>
      <c r="GPW3" s="230"/>
      <c r="GPX3" s="231"/>
      <c r="GPY3" s="229" t="s">
        <v>13329</v>
      </c>
      <c r="GPZ3" s="230"/>
      <c r="GQA3" s="230"/>
      <c r="GQB3" s="231"/>
      <c r="GQC3" s="229" t="s">
        <v>13329</v>
      </c>
      <c r="GQD3" s="230"/>
      <c r="GQE3" s="230"/>
      <c r="GQF3" s="231"/>
      <c r="GQG3" s="229" t="s">
        <v>13329</v>
      </c>
      <c r="GQH3" s="230"/>
      <c r="GQI3" s="230"/>
      <c r="GQJ3" s="231"/>
      <c r="GQK3" s="229" t="s">
        <v>13329</v>
      </c>
      <c r="GQL3" s="230"/>
      <c r="GQM3" s="230"/>
      <c r="GQN3" s="231"/>
      <c r="GQO3" s="229" t="s">
        <v>13329</v>
      </c>
      <c r="GQP3" s="230"/>
      <c r="GQQ3" s="230"/>
      <c r="GQR3" s="231"/>
      <c r="GQS3" s="229" t="s">
        <v>13329</v>
      </c>
      <c r="GQT3" s="230"/>
      <c r="GQU3" s="230"/>
      <c r="GQV3" s="231"/>
      <c r="GQW3" s="229" t="s">
        <v>13329</v>
      </c>
      <c r="GQX3" s="230"/>
      <c r="GQY3" s="230"/>
      <c r="GQZ3" s="231"/>
      <c r="GRA3" s="229" t="s">
        <v>13329</v>
      </c>
      <c r="GRB3" s="230"/>
      <c r="GRC3" s="230"/>
      <c r="GRD3" s="231"/>
      <c r="GRE3" s="229" t="s">
        <v>13329</v>
      </c>
      <c r="GRF3" s="230"/>
      <c r="GRG3" s="230"/>
      <c r="GRH3" s="231"/>
      <c r="GRI3" s="229" t="s">
        <v>13329</v>
      </c>
      <c r="GRJ3" s="230"/>
      <c r="GRK3" s="230"/>
      <c r="GRL3" s="231"/>
      <c r="GRM3" s="229" t="s">
        <v>13329</v>
      </c>
      <c r="GRN3" s="230"/>
      <c r="GRO3" s="230"/>
      <c r="GRP3" s="231"/>
      <c r="GRQ3" s="229" t="s">
        <v>13329</v>
      </c>
      <c r="GRR3" s="230"/>
      <c r="GRS3" s="230"/>
      <c r="GRT3" s="231"/>
      <c r="GRU3" s="229" t="s">
        <v>13329</v>
      </c>
      <c r="GRV3" s="230"/>
      <c r="GRW3" s="230"/>
      <c r="GRX3" s="231"/>
      <c r="GRY3" s="229" t="s">
        <v>13329</v>
      </c>
      <c r="GRZ3" s="230"/>
      <c r="GSA3" s="230"/>
      <c r="GSB3" s="231"/>
      <c r="GSC3" s="229" t="s">
        <v>13329</v>
      </c>
      <c r="GSD3" s="230"/>
      <c r="GSE3" s="230"/>
      <c r="GSF3" s="231"/>
      <c r="GSG3" s="229" t="s">
        <v>13329</v>
      </c>
      <c r="GSH3" s="230"/>
      <c r="GSI3" s="230"/>
      <c r="GSJ3" s="231"/>
      <c r="GSK3" s="229" t="s">
        <v>13329</v>
      </c>
      <c r="GSL3" s="230"/>
      <c r="GSM3" s="230"/>
      <c r="GSN3" s="231"/>
      <c r="GSO3" s="229" t="s">
        <v>13329</v>
      </c>
      <c r="GSP3" s="230"/>
      <c r="GSQ3" s="230"/>
      <c r="GSR3" s="231"/>
      <c r="GSS3" s="229" t="s">
        <v>13329</v>
      </c>
      <c r="GST3" s="230"/>
      <c r="GSU3" s="230"/>
      <c r="GSV3" s="231"/>
      <c r="GSW3" s="229" t="s">
        <v>13329</v>
      </c>
      <c r="GSX3" s="230"/>
      <c r="GSY3" s="230"/>
      <c r="GSZ3" s="231"/>
      <c r="GTA3" s="229" t="s">
        <v>13329</v>
      </c>
      <c r="GTB3" s="230"/>
      <c r="GTC3" s="230"/>
      <c r="GTD3" s="231"/>
      <c r="GTE3" s="229" t="s">
        <v>13329</v>
      </c>
      <c r="GTF3" s="230"/>
      <c r="GTG3" s="230"/>
      <c r="GTH3" s="231"/>
      <c r="GTI3" s="229" t="s">
        <v>13329</v>
      </c>
      <c r="GTJ3" s="230"/>
      <c r="GTK3" s="230"/>
      <c r="GTL3" s="231"/>
      <c r="GTM3" s="229" t="s">
        <v>13329</v>
      </c>
      <c r="GTN3" s="230"/>
      <c r="GTO3" s="230"/>
      <c r="GTP3" s="231"/>
      <c r="GTQ3" s="229" t="s">
        <v>13329</v>
      </c>
      <c r="GTR3" s="230"/>
      <c r="GTS3" s="230"/>
      <c r="GTT3" s="231"/>
      <c r="GTU3" s="229" t="s">
        <v>13329</v>
      </c>
      <c r="GTV3" s="230"/>
      <c r="GTW3" s="230"/>
      <c r="GTX3" s="231"/>
      <c r="GTY3" s="229" t="s">
        <v>13329</v>
      </c>
      <c r="GTZ3" s="230"/>
      <c r="GUA3" s="230"/>
      <c r="GUB3" s="231"/>
      <c r="GUC3" s="229" t="s">
        <v>13329</v>
      </c>
      <c r="GUD3" s="230"/>
      <c r="GUE3" s="230"/>
      <c r="GUF3" s="231"/>
      <c r="GUG3" s="229" t="s">
        <v>13329</v>
      </c>
      <c r="GUH3" s="230"/>
      <c r="GUI3" s="230"/>
      <c r="GUJ3" s="231"/>
      <c r="GUK3" s="229" t="s">
        <v>13329</v>
      </c>
      <c r="GUL3" s="230"/>
      <c r="GUM3" s="230"/>
      <c r="GUN3" s="231"/>
      <c r="GUO3" s="229" t="s">
        <v>13329</v>
      </c>
      <c r="GUP3" s="230"/>
      <c r="GUQ3" s="230"/>
      <c r="GUR3" s="231"/>
      <c r="GUS3" s="229" t="s">
        <v>13329</v>
      </c>
      <c r="GUT3" s="230"/>
      <c r="GUU3" s="230"/>
      <c r="GUV3" s="231"/>
      <c r="GUW3" s="229" t="s">
        <v>13329</v>
      </c>
      <c r="GUX3" s="230"/>
      <c r="GUY3" s="230"/>
      <c r="GUZ3" s="231"/>
      <c r="GVA3" s="229" t="s">
        <v>13329</v>
      </c>
      <c r="GVB3" s="230"/>
      <c r="GVC3" s="230"/>
      <c r="GVD3" s="231"/>
      <c r="GVE3" s="229" t="s">
        <v>13329</v>
      </c>
      <c r="GVF3" s="230"/>
      <c r="GVG3" s="230"/>
      <c r="GVH3" s="231"/>
      <c r="GVI3" s="229" t="s">
        <v>13329</v>
      </c>
      <c r="GVJ3" s="230"/>
      <c r="GVK3" s="230"/>
      <c r="GVL3" s="231"/>
      <c r="GVM3" s="229" t="s">
        <v>13329</v>
      </c>
      <c r="GVN3" s="230"/>
      <c r="GVO3" s="230"/>
      <c r="GVP3" s="231"/>
      <c r="GVQ3" s="229" t="s">
        <v>13329</v>
      </c>
      <c r="GVR3" s="230"/>
      <c r="GVS3" s="230"/>
      <c r="GVT3" s="231"/>
      <c r="GVU3" s="229" t="s">
        <v>13329</v>
      </c>
      <c r="GVV3" s="230"/>
      <c r="GVW3" s="230"/>
      <c r="GVX3" s="231"/>
      <c r="GVY3" s="229" t="s">
        <v>13329</v>
      </c>
      <c r="GVZ3" s="230"/>
      <c r="GWA3" s="230"/>
      <c r="GWB3" s="231"/>
      <c r="GWC3" s="229" t="s">
        <v>13329</v>
      </c>
      <c r="GWD3" s="230"/>
      <c r="GWE3" s="230"/>
      <c r="GWF3" s="231"/>
      <c r="GWG3" s="229" t="s">
        <v>13329</v>
      </c>
      <c r="GWH3" s="230"/>
      <c r="GWI3" s="230"/>
      <c r="GWJ3" s="231"/>
      <c r="GWK3" s="229" t="s">
        <v>13329</v>
      </c>
      <c r="GWL3" s="230"/>
      <c r="GWM3" s="230"/>
      <c r="GWN3" s="231"/>
      <c r="GWO3" s="229" t="s">
        <v>13329</v>
      </c>
      <c r="GWP3" s="230"/>
      <c r="GWQ3" s="230"/>
      <c r="GWR3" s="231"/>
      <c r="GWS3" s="229" t="s">
        <v>13329</v>
      </c>
      <c r="GWT3" s="230"/>
      <c r="GWU3" s="230"/>
      <c r="GWV3" s="231"/>
      <c r="GWW3" s="229" t="s">
        <v>13329</v>
      </c>
      <c r="GWX3" s="230"/>
      <c r="GWY3" s="230"/>
      <c r="GWZ3" s="231"/>
      <c r="GXA3" s="229" t="s">
        <v>13329</v>
      </c>
      <c r="GXB3" s="230"/>
      <c r="GXC3" s="230"/>
      <c r="GXD3" s="231"/>
      <c r="GXE3" s="229" t="s">
        <v>13329</v>
      </c>
      <c r="GXF3" s="230"/>
      <c r="GXG3" s="230"/>
      <c r="GXH3" s="231"/>
      <c r="GXI3" s="229" t="s">
        <v>13329</v>
      </c>
      <c r="GXJ3" s="230"/>
      <c r="GXK3" s="230"/>
      <c r="GXL3" s="231"/>
      <c r="GXM3" s="229" t="s">
        <v>13329</v>
      </c>
      <c r="GXN3" s="230"/>
      <c r="GXO3" s="230"/>
      <c r="GXP3" s="231"/>
      <c r="GXQ3" s="229" t="s">
        <v>13329</v>
      </c>
      <c r="GXR3" s="230"/>
      <c r="GXS3" s="230"/>
      <c r="GXT3" s="231"/>
      <c r="GXU3" s="229" t="s">
        <v>13329</v>
      </c>
      <c r="GXV3" s="230"/>
      <c r="GXW3" s="230"/>
      <c r="GXX3" s="231"/>
      <c r="GXY3" s="229" t="s">
        <v>13329</v>
      </c>
      <c r="GXZ3" s="230"/>
      <c r="GYA3" s="230"/>
      <c r="GYB3" s="231"/>
      <c r="GYC3" s="229" t="s">
        <v>13329</v>
      </c>
      <c r="GYD3" s="230"/>
      <c r="GYE3" s="230"/>
      <c r="GYF3" s="231"/>
      <c r="GYG3" s="229" t="s">
        <v>13329</v>
      </c>
      <c r="GYH3" s="230"/>
      <c r="GYI3" s="230"/>
      <c r="GYJ3" s="231"/>
      <c r="GYK3" s="229" t="s">
        <v>13329</v>
      </c>
      <c r="GYL3" s="230"/>
      <c r="GYM3" s="230"/>
      <c r="GYN3" s="231"/>
      <c r="GYO3" s="229" t="s">
        <v>13329</v>
      </c>
      <c r="GYP3" s="230"/>
      <c r="GYQ3" s="230"/>
      <c r="GYR3" s="231"/>
      <c r="GYS3" s="229" t="s">
        <v>13329</v>
      </c>
      <c r="GYT3" s="230"/>
      <c r="GYU3" s="230"/>
      <c r="GYV3" s="231"/>
      <c r="GYW3" s="229" t="s">
        <v>13329</v>
      </c>
      <c r="GYX3" s="230"/>
      <c r="GYY3" s="230"/>
      <c r="GYZ3" s="231"/>
      <c r="GZA3" s="229" t="s">
        <v>13329</v>
      </c>
      <c r="GZB3" s="230"/>
      <c r="GZC3" s="230"/>
      <c r="GZD3" s="231"/>
      <c r="GZE3" s="229" t="s">
        <v>13329</v>
      </c>
      <c r="GZF3" s="230"/>
      <c r="GZG3" s="230"/>
      <c r="GZH3" s="231"/>
      <c r="GZI3" s="229" t="s">
        <v>13329</v>
      </c>
      <c r="GZJ3" s="230"/>
      <c r="GZK3" s="230"/>
      <c r="GZL3" s="231"/>
      <c r="GZM3" s="229" t="s">
        <v>13329</v>
      </c>
      <c r="GZN3" s="230"/>
      <c r="GZO3" s="230"/>
      <c r="GZP3" s="231"/>
      <c r="GZQ3" s="229" t="s">
        <v>13329</v>
      </c>
      <c r="GZR3" s="230"/>
      <c r="GZS3" s="230"/>
      <c r="GZT3" s="231"/>
      <c r="GZU3" s="229" t="s">
        <v>13329</v>
      </c>
      <c r="GZV3" s="230"/>
      <c r="GZW3" s="230"/>
      <c r="GZX3" s="231"/>
      <c r="GZY3" s="229" t="s">
        <v>13329</v>
      </c>
      <c r="GZZ3" s="230"/>
      <c r="HAA3" s="230"/>
      <c r="HAB3" s="231"/>
      <c r="HAC3" s="229" t="s">
        <v>13329</v>
      </c>
      <c r="HAD3" s="230"/>
      <c r="HAE3" s="230"/>
      <c r="HAF3" s="231"/>
      <c r="HAG3" s="229" t="s">
        <v>13329</v>
      </c>
      <c r="HAH3" s="230"/>
      <c r="HAI3" s="230"/>
      <c r="HAJ3" s="231"/>
      <c r="HAK3" s="229" t="s">
        <v>13329</v>
      </c>
      <c r="HAL3" s="230"/>
      <c r="HAM3" s="230"/>
      <c r="HAN3" s="231"/>
      <c r="HAO3" s="229" t="s">
        <v>13329</v>
      </c>
      <c r="HAP3" s="230"/>
      <c r="HAQ3" s="230"/>
      <c r="HAR3" s="231"/>
      <c r="HAS3" s="229" t="s">
        <v>13329</v>
      </c>
      <c r="HAT3" s="230"/>
      <c r="HAU3" s="230"/>
      <c r="HAV3" s="231"/>
      <c r="HAW3" s="229" t="s">
        <v>13329</v>
      </c>
      <c r="HAX3" s="230"/>
      <c r="HAY3" s="230"/>
      <c r="HAZ3" s="231"/>
      <c r="HBA3" s="229" t="s">
        <v>13329</v>
      </c>
      <c r="HBB3" s="230"/>
      <c r="HBC3" s="230"/>
      <c r="HBD3" s="231"/>
      <c r="HBE3" s="229" t="s">
        <v>13329</v>
      </c>
      <c r="HBF3" s="230"/>
      <c r="HBG3" s="230"/>
      <c r="HBH3" s="231"/>
      <c r="HBI3" s="229" t="s">
        <v>13329</v>
      </c>
      <c r="HBJ3" s="230"/>
      <c r="HBK3" s="230"/>
      <c r="HBL3" s="231"/>
      <c r="HBM3" s="229" t="s">
        <v>13329</v>
      </c>
      <c r="HBN3" s="230"/>
      <c r="HBO3" s="230"/>
      <c r="HBP3" s="231"/>
      <c r="HBQ3" s="229" t="s">
        <v>13329</v>
      </c>
      <c r="HBR3" s="230"/>
      <c r="HBS3" s="230"/>
      <c r="HBT3" s="231"/>
      <c r="HBU3" s="229" t="s">
        <v>13329</v>
      </c>
      <c r="HBV3" s="230"/>
      <c r="HBW3" s="230"/>
      <c r="HBX3" s="231"/>
      <c r="HBY3" s="229" t="s">
        <v>13329</v>
      </c>
      <c r="HBZ3" s="230"/>
      <c r="HCA3" s="230"/>
      <c r="HCB3" s="231"/>
      <c r="HCC3" s="229" t="s">
        <v>13329</v>
      </c>
      <c r="HCD3" s="230"/>
      <c r="HCE3" s="230"/>
      <c r="HCF3" s="231"/>
      <c r="HCG3" s="229" t="s">
        <v>13329</v>
      </c>
      <c r="HCH3" s="230"/>
      <c r="HCI3" s="230"/>
      <c r="HCJ3" s="231"/>
      <c r="HCK3" s="229" t="s">
        <v>13329</v>
      </c>
      <c r="HCL3" s="230"/>
      <c r="HCM3" s="230"/>
      <c r="HCN3" s="231"/>
      <c r="HCO3" s="229" t="s">
        <v>13329</v>
      </c>
      <c r="HCP3" s="230"/>
      <c r="HCQ3" s="230"/>
      <c r="HCR3" s="231"/>
      <c r="HCS3" s="229" t="s">
        <v>13329</v>
      </c>
      <c r="HCT3" s="230"/>
      <c r="HCU3" s="230"/>
      <c r="HCV3" s="231"/>
      <c r="HCW3" s="229" t="s">
        <v>13329</v>
      </c>
      <c r="HCX3" s="230"/>
      <c r="HCY3" s="230"/>
      <c r="HCZ3" s="231"/>
      <c r="HDA3" s="229" t="s">
        <v>13329</v>
      </c>
      <c r="HDB3" s="230"/>
      <c r="HDC3" s="230"/>
      <c r="HDD3" s="231"/>
      <c r="HDE3" s="229" t="s">
        <v>13329</v>
      </c>
      <c r="HDF3" s="230"/>
      <c r="HDG3" s="230"/>
      <c r="HDH3" s="231"/>
      <c r="HDI3" s="229" t="s">
        <v>13329</v>
      </c>
      <c r="HDJ3" s="230"/>
      <c r="HDK3" s="230"/>
      <c r="HDL3" s="231"/>
      <c r="HDM3" s="229" t="s">
        <v>13329</v>
      </c>
      <c r="HDN3" s="230"/>
      <c r="HDO3" s="230"/>
      <c r="HDP3" s="231"/>
      <c r="HDQ3" s="229" t="s">
        <v>13329</v>
      </c>
      <c r="HDR3" s="230"/>
      <c r="HDS3" s="230"/>
      <c r="HDT3" s="231"/>
      <c r="HDU3" s="229" t="s">
        <v>13329</v>
      </c>
      <c r="HDV3" s="230"/>
      <c r="HDW3" s="230"/>
      <c r="HDX3" s="231"/>
      <c r="HDY3" s="229" t="s">
        <v>13329</v>
      </c>
      <c r="HDZ3" s="230"/>
      <c r="HEA3" s="230"/>
      <c r="HEB3" s="231"/>
      <c r="HEC3" s="229" t="s">
        <v>13329</v>
      </c>
      <c r="HED3" s="230"/>
      <c r="HEE3" s="230"/>
      <c r="HEF3" s="231"/>
      <c r="HEG3" s="229" t="s">
        <v>13329</v>
      </c>
      <c r="HEH3" s="230"/>
      <c r="HEI3" s="230"/>
      <c r="HEJ3" s="231"/>
      <c r="HEK3" s="229" t="s">
        <v>13329</v>
      </c>
      <c r="HEL3" s="230"/>
      <c r="HEM3" s="230"/>
      <c r="HEN3" s="231"/>
      <c r="HEO3" s="229" t="s">
        <v>13329</v>
      </c>
      <c r="HEP3" s="230"/>
      <c r="HEQ3" s="230"/>
      <c r="HER3" s="231"/>
      <c r="HES3" s="229" t="s">
        <v>13329</v>
      </c>
      <c r="HET3" s="230"/>
      <c r="HEU3" s="230"/>
      <c r="HEV3" s="231"/>
      <c r="HEW3" s="229" t="s">
        <v>13329</v>
      </c>
      <c r="HEX3" s="230"/>
      <c r="HEY3" s="230"/>
      <c r="HEZ3" s="231"/>
      <c r="HFA3" s="229" t="s">
        <v>13329</v>
      </c>
      <c r="HFB3" s="230"/>
      <c r="HFC3" s="230"/>
      <c r="HFD3" s="231"/>
      <c r="HFE3" s="229" t="s">
        <v>13329</v>
      </c>
      <c r="HFF3" s="230"/>
      <c r="HFG3" s="230"/>
      <c r="HFH3" s="231"/>
      <c r="HFI3" s="229" t="s">
        <v>13329</v>
      </c>
      <c r="HFJ3" s="230"/>
      <c r="HFK3" s="230"/>
      <c r="HFL3" s="231"/>
      <c r="HFM3" s="229" t="s">
        <v>13329</v>
      </c>
      <c r="HFN3" s="230"/>
      <c r="HFO3" s="230"/>
      <c r="HFP3" s="231"/>
      <c r="HFQ3" s="229" t="s">
        <v>13329</v>
      </c>
      <c r="HFR3" s="230"/>
      <c r="HFS3" s="230"/>
      <c r="HFT3" s="231"/>
      <c r="HFU3" s="229" t="s">
        <v>13329</v>
      </c>
      <c r="HFV3" s="230"/>
      <c r="HFW3" s="230"/>
      <c r="HFX3" s="231"/>
      <c r="HFY3" s="229" t="s">
        <v>13329</v>
      </c>
      <c r="HFZ3" s="230"/>
      <c r="HGA3" s="230"/>
      <c r="HGB3" s="231"/>
      <c r="HGC3" s="229" t="s">
        <v>13329</v>
      </c>
      <c r="HGD3" s="230"/>
      <c r="HGE3" s="230"/>
      <c r="HGF3" s="231"/>
      <c r="HGG3" s="229" t="s">
        <v>13329</v>
      </c>
      <c r="HGH3" s="230"/>
      <c r="HGI3" s="230"/>
      <c r="HGJ3" s="231"/>
      <c r="HGK3" s="229" t="s">
        <v>13329</v>
      </c>
      <c r="HGL3" s="230"/>
      <c r="HGM3" s="230"/>
      <c r="HGN3" s="231"/>
      <c r="HGO3" s="229" t="s">
        <v>13329</v>
      </c>
      <c r="HGP3" s="230"/>
      <c r="HGQ3" s="230"/>
      <c r="HGR3" s="231"/>
      <c r="HGS3" s="229" t="s">
        <v>13329</v>
      </c>
      <c r="HGT3" s="230"/>
      <c r="HGU3" s="230"/>
      <c r="HGV3" s="231"/>
      <c r="HGW3" s="229" t="s">
        <v>13329</v>
      </c>
      <c r="HGX3" s="230"/>
      <c r="HGY3" s="230"/>
      <c r="HGZ3" s="231"/>
      <c r="HHA3" s="229" t="s">
        <v>13329</v>
      </c>
      <c r="HHB3" s="230"/>
      <c r="HHC3" s="230"/>
      <c r="HHD3" s="231"/>
      <c r="HHE3" s="229" t="s">
        <v>13329</v>
      </c>
      <c r="HHF3" s="230"/>
      <c r="HHG3" s="230"/>
      <c r="HHH3" s="231"/>
      <c r="HHI3" s="229" t="s">
        <v>13329</v>
      </c>
      <c r="HHJ3" s="230"/>
      <c r="HHK3" s="230"/>
      <c r="HHL3" s="231"/>
      <c r="HHM3" s="229" t="s">
        <v>13329</v>
      </c>
      <c r="HHN3" s="230"/>
      <c r="HHO3" s="230"/>
      <c r="HHP3" s="231"/>
      <c r="HHQ3" s="229" t="s">
        <v>13329</v>
      </c>
      <c r="HHR3" s="230"/>
      <c r="HHS3" s="230"/>
      <c r="HHT3" s="231"/>
      <c r="HHU3" s="229" t="s">
        <v>13329</v>
      </c>
      <c r="HHV3" s="230"/>
      <c r="HHW3" s="230"/>
      <c r="HHX3" s="231"/>
      <c r="HHY3" s="229" t="s">
        <v>13329</v>
      </c>
      <c r="HHZ3" s="230"/>
      <c r="HIA3" s="230"/>
      <c r="HIB3" s="231"/>
      <c r="HIC3" s="229" t="s">
        <v>13329</v>
      </c>
      <c r="HID3" s="230"/>
      <c r="HIE3" s="230"/>
      <c r="HIF3" s="231"/>
      <c r="HIG3" s="229" t="s">
        <v>13329</v>
      </c>
      <c r="HIH3" s="230"/>
      <c r="HII3" s="230"/>
      <c r="HIJ3" s="231"/>
      <c r="HIK3" s="229" t="s">
        <v>13329</v>
      </c>
      <c r="HIL3" s="230"/>
      <c r="HIM3" s="230"/>
      <c r="HIN3" s="231"/>
      <c r="HIO3" s="229" t="s">
        <v>13329</v>
      </c>
      <c r="HIP3" s="230"/>
      <c r="HIQ3" s="230"/>
      <c r="HIR3" s="231"/>
      <c r="HIS3" s="229" t="s">
        <v>13329</v>
      </c>
      <c r="HIT3" s="230"/>
      <c r="HIU3" s="230"/>
      <c r="HIV3" s="231"/>
      <c r="HIW3" s="229" t="s">
        <v>13329</v>
      </c>
      <c r="HIX3" s="230"/>
      <c r="HIY3" s="230"/>
      <c r="HIZ3" s="231"/>
      <c r="HJA3" s="229" t="s">
        <v>13329</v>
      </c>
      <c r="HJB3" s="230"/>
      <c r="HJC3" s="230"/>
      <c r="HJD3" s="231"/>
      <c r="HJE3" s="229" t="s">
        <v>13329</v>
      </c>
      <c r="HJF3" s="230"/>
      <c r="HJG3" s="230"/>
      <c r="HJH3" s="231"/>
      <c r="HJI3" s="229" t="s">
        <v>13329</v>
      </c>
      <c r="HJJ3" s="230"/>
      <c r="HJK3" s="230"/>
      <c r="HJL3" s="231"/>
      <c r="HJM3" s="229" t="s">
        <v>13329</v>
      </c>
      <c r="HJN3" s="230"/>
      <c r="HJO3" s="230"/>
      <c r="HJP3" s="231"/>
      <c r="HJQ3" s="229" t="s">
        <v>13329</v>
      </c>
      <c r="HJR3" s="230"/>
      <c r="HJS3" s="230"/>
      <c r="HJT3" s="231"/>
      <c r="HJU3" s="229" t="s">
        <v>13329</v>
      </c>
      <c r="HJV3" s="230"/>
      <c r="HJW3" s="230"/>
      <c r="HJX3" s="231"/>
      <c r="HJY3" s="229" t="s">
        <v>13329</v>
      </c>
      <c r="HJZ3" s="230"/>
      <c r="HKA3" s="230"/>
      <c r="HKB3" s="231"/>
      <c r="HKC3" s="229" t="s">
        <v>13329</v>
      </c>
      <c r="HKD3" s="230"/>
      <c r="HKE3" s="230"/>
      <c r="HKF3" s="231"/>
      <c r="HKG3" s="229" t="s">
        <v>13329</v>
      </c>
      <c r="HKH3" s="230"/>
      <c r="HKI3" s="230"/>
      <c r="HKJ3" s="231"/>
      <c r="HKK3" s="229" t="s">
        <v>13329</v>
      </c>
      <c r="HKL3" s="230"/>
      <c r="HKM3" s="230"/>
      <c r="HKN3" s="231"/>
      <c r="HKO3" s="229" t="s">
        <v>13329</v>
      </c>
      <c r="HKP3" s="230"/>
      <c r="HKQ3" s="230"/>
      <c r="HKR3" s="231"/>
      <c r="HKS3" s="229" t="s">
        <v>13329</v>
      </c>
      <c r="HKT3" s="230"/>
      <c r="HKU3" s="230"/>
      <c r="HKV3" s="231"/>
      <c r="HKW3" s="229" t="s">
        <v>13329</v>
      </c>
      <c r="HKX3" s="230"/>
      <c r="HKY3" s="230"/>
      <c r="HKZ3" s="231"/>
      <c r="HLA3" s="229" t="s">
        <v>13329</v>
      </c>
      <c r="HLB3" s="230"/>
      <c r="HLC3" s="230"/>
      <c r="HLD3" s="231"/>
      <c r="HLE3" s="229" t="s">
        <v>13329</v>
      </c>
      <c r="HLF3" s="230"/>
      <c r="HLG3" s="230"/>
      <c r="HLH3" s="231"/>
      <c r="HLI3" s="229" t="s">
        <v>13329</v>
      </c>
      <c r="HLJ3" s="230"/>
      <c r="HLK3" s="230"/>
      <c r="HLL3" s="231"/>
      <c r="HLM3" s="229" t="s">
        <v>13329</v>
      </c>
      <c r="HLN3" s="230"/>
      <c r="HLO3" s="230"/>
      <c r="HLP3" s="231"/>
      <c r="HLQ3" s="229" t="s">
        <v>13329</v>
      </c>
      <c r="HLR3" s="230"/>
      <c r="HLS3" s="230"/>
      <c r="HLT3" s="231"/>
      <c r="HLU3" s="229" t="s">
        <v>13329</v>
      </c>
      <c r="HLV3" s="230"/>
      <c r="HLW3" s="230"/>
      <c r="HLX3" s="231"/>
      <c r="HLY3" s="229" t="s">
        <v>13329</v>
      </c>
      <c r="HLZ3" s="230"/>
      <c r="HMA3" s="230"/>
      <c r="HMB3" s="231"/>
      <c r="HMC3" s="229" t="s">
        <v>13329</v>
      </c>
      <c r="HMD3" s="230"/>
      <c r="HME3" s="230"/>
      <c r="HMF3" s="231"/>
      <c r="HMG3" s="229" t="s">
        <v>13329</v>
      </c>
      <c r="HMH3" s="230"/>
      <c r="HMI3" s="230"/>
      <c r="HMJ3" s="231"/>
      <c r="HMK3" s="229" t="s">
        <v>13329</v>
      </c>
      <c r="HML3" s="230"/>
      <c r="HMM3" s="230"/>
      <c r="HMN3" s="231"/>
      <c r="HMO3" s="229" t="s">
        <v>13329</v>
      </c>
      <c r="HMP3" s="230"/>
      <c r="HMQ3" s="230"/>
      <c r="HMR3" s="231"/>
      <c r="HMS3" s="229" t="s">
        <v>13329</v>
      </c>
      <c r="HMT3" s="230"/>
      <c r="HMU3" s="230"/>
      <c r="HMV3" s="231"/>
      <c r="HMW3" s="229" t="s">
        <v>13329</v>
      </c>
      <c r="HMX3" s="230"/>
      <c r="HMY3" s="230"/>
      <c r="HMZ3" s="231"/>
      <c r="HNA3" s="229" t="s">
        <v>13329</v>
      </c>
      <c r="HNB3" s="230"/>
      <c r="HNC3" s="230"/>
      <c r="HND3" s="231"/>
      <c r="HNE3" s="229" t="s">
        <v>13329</v>
      </c>
      <c r="HNF3" s="230"/>
      <c r="HNG3" s="230"/>
      <c r="HNH3" s="231"/>
      <c r="HNI3" s="229" t="s">
        <v>13329</v>
      </c>
      <c r="HNJ3" s="230"/>
      <c r="HNK3" s="230"/>
      <c r="HNL3" s="231"/>
      <c r="HNM3" s="229" t="s">
        <v>13329</v>
      </c>
      <c r="HNN3" s="230"/>
      <c r="HNO3" s="230"/>
      <c r="HNP3" s="231"/>
      <c r="HNQ3" s="229" t="s">
        <v>13329</v>
      </c>
      <c r="HNR3" s="230"/>
      <c r="HNS3" s="230"/>
      <c r="HNT3" s="231"/>
      <c r="HNU3" s="229" t="s">
        <v>13329</v>
      </c>
      <c r="HNV3" s="230"/>
      <c r="HNW3" s="230"/>
      <c r="HNX3" s="231"/>
      <c r="HNY3" s="229" t="s">
        <v>13329</v>
      </c>
      <c r="HNZ3" s="230"/>
      <c r="HOA3" s="230"/>
      <c r="HOB3" s="231"/>
      <c r="HOC3" s="229" t="s">
        <v>13329</v>
      </c>
      <c r="HOD3" s="230"/>
      <c r="HOE3" s="230"/>
      <c r="HOF3" s="231"/>
      <c r="HOG3" s="229" t="s">
        <v>13329</v>
      </c>
      <c r="HOH3" s="230"/>
      <c r="HOI3" s="230"/>
      <c r="HOJ3" s="231"/>
      <c r="HOK3" s="229" t="s">
        <v>13329</v>
      </c>
      <c r="HOL3" s="230"/>
      <c r="HOM3" s="230"/>
      <c r="HON3" s="231"/>
      <c r="HOO3" s="229" t="s">
        <v>13329</v>
      </c>
      <c r="HOP3" s="230"/>
      <c r="HOQ3" s="230"/>
      <c r="HOR3" s="231"/>
      <c r="HOS3" s="229" t="s">
        <v>13329</v>
      </c>
      <c r="HOT3" s="230"/>
      <c r="HOU3" s="230"/>
      <c r="HOV3" s="231"/>
      <c r="HOW3" s="229" t="s">
        <v>13329</v>
      </c>
      <c r="HOX3" s="230"/>
      <c r="HOY3" s="230"/>
      <c r="HOZ3" s="231"/>
      <c r="HPA3" s="229" t="s">
        <v>13329</v>
      </c>
      <c r="HPB3" s="230"/>
      <c r="HPC3" s="230"/>
      <c r="HPD3" s="231"/>
      <c r="HPE3" s="229" t="s">
        <v>13329</v>
      </c>
      <c r="HPF3" s="230"/>
      <c r="HPG3" s="230"/>
      <c r="HPH3" s="231"/>
      <c r="HPI3" s="229" t="s">
        <v>13329</v>
      </c>
      <c r="HPJ3" s="230"/>
      <c r="HPK3" s="230"/>
      <c r="HPL3" s="231"/>
      <c r="HPM3" s="229" t="s">
        <v>13329</v>
      </c>
      <c r="HPN3" s="230"/>
      <c r="HPO3" s="230"/>
      <c r="HPP3" s="231"/>
      <c r="HPQ3" s="229" t="s">
        <v>13329</v>
      </c>
      <c r="HPR3" s="230"/>
      <c r="HPS3" s="230"/>
      <c r="HPT3" s="231"/>
      <c r="HPU3" s="229" t="s">
        <v>13329</v>
      </c>
      <c r="HPV3" s="230"/>
      <c r="HPW3" s="230"/>
      <c r="HPX3" s="231"/>
      <c r="HPY3" s="229" t="s">
        <v>13329</v>
      </c>
      <c r="HPZ3" s="230"/>
      <c r="HQA3" s="230"/>
      <c r="HQB3" s="231"/>
      <c r="HQC3" s="229" t="s">
        <v>13329</v>
      </c>
      <c r="HQD3" s="230"/>
      <c r="HQE3" s="230"/>
      <c r="HQF3" s="231"/>
      <c r="HQG3" s="229" t="s">
        <v>13329</v>
      </c>
      <c r="HQH3" s="230"/>
      <c r="HQI3" s="230"/>
      <c r="HQJ3" s="231"/>
      <c r="HQK3" s="229" t="s">
        <v>13329</v>
      </c>
      <c r="HQL3" s="230"/>
      <c r="HQM3" s="230"/>
      <c r="HQN3" s="231"/>
      <c r="HQO3" s="229" t="s">
        <v>13329</v>
      </c>
      <c r="HQP3" s="230"/>
      <c r="HQQ3" s="230"/>
      <c r="HQR3" s="231"/>
      <c r="HQS3" s="229" t="s">
        <v>13329</v>
      </c>
      <c r="HQT3" s="230"/>
      <c r="HQU3" s="230"/>
      <c r="HQV3" s="231"/>
      <c r="HQW3" s="229" t="s">
        <v>13329</v>
      </c>
      <c r="HQX3" s="230"/>
      <c r="HQY3" s="230"/>
      <c r="HQZ3" s="231"/>
      <c r="HRA3" s="229" t="s">
        <v>13329</v>
      </c>
      <c r="HRB3" s="230"/>
      <c r="HRC3" s="230"/>
      <c r="HRD3" s="231"/>
      <c r="HRE3" s="229" t="s">
        <v>13329</v>
      </c>
      <c r="HRF3" s="230"/>
      <c r="HRG3" s="230"/>
      <c r="HRH3" s="231"/>
      <c r="HRI3" s="229" t="s">
        <v>13329</v>
      </c>
      <c r="HRJ3" s="230"/>
      <c r="HRK3" s="230"/>
      <c r="HRL3" s="231"/>
      <c r="HRM3" s="229" t="s">
        <v>13329</v>
      </c>
      <c r="HRN3" s="230"/>
      <c r="HRO3" s="230"/>
      <c r="HRP3" s="231"/>
      <c r="HRQ3" s="229" t="s">
        <v>13329</v>
      </c>
      <c r="HRR3" s="230"/>
      <c r="HRS3" s="230"/>
      <c r="HRT3" s="231"/>
      <c r="HRU3" s="229" t="s">
        <v>13329</v>
      </c>
      <c r="HRV3" s="230"/>
      <c r="HRW3" s="230"/>
      <c r="HRX3" s="231"/>
      <c r="HRY3" s="229" t="s">
        <v>13329</v>
      </c>
      <c r="HRZ3" s="230"/>
      <c r="HSA3" s="230"/>
      <c r="HSB3" s="231"/>
      <c r="HSC3" s="229" t="s">
        <v>13329</v>
      </c>
      <c r="HSD3" s="230"/>
      <c r="HSE3" s="230"/>
      <c r="HSF3" s="231"/>
      <c r="HSG3" s="229" t="s">
        <v>13329</v>
      </c>
      <c r="HSH3" s="230"/>
      <c r="HSI3" s="230"/>
      <c r="HSJ3" s="231"/>
      <c r="HSK3" s="229" t="s">
        <v>13329</v>
      </c>
      <c r="HSL3" s="230"/>
      <c r="HSM3" s="230"/>
      <c r="HSN3" s="231"/>
      <c r="HSO3" s="229" t="s">
        <v>13329</v>
      </c>
      <c r="HSP3" s="230"/>
      <c r="HSQ3" s="230"/>
      <c r="HSR3" s="231"/>
      <c r="HSS3" s="229" t="s">
        <v>13329</v>
      </c>
      <c r="HST3" s="230"/>
      <c r="HSU3" s="230"/>
      <c r="HSV3" s="231"/>
      <c r="HSW3" s="229" t="s">
        <v>13329</v>
      </c>
      <c r="HSX3" s="230"/>
      <c r="HSY3" s="230"/>
      <c r="HSZ3" s="231"/>
      <c r="HTA3" s="229" t="s">
        <v>13329</v>
      </c>
      <c r="HTB3" s="230"/>
      <c r="HTC3" s="230"/>
      <c r="HTD3" s="231"/>
      <c r="HTE3" s="229" t="s">
        <v>13329</v>
      </c>
      <c r="HTF3" s="230"/>
      <c r="HTG3" s="230"/>
      <c r="HTH3" s="231"/>
      <c r="HTI3" s="229" t="s">
        <v>13329</v>
      </c>
      <c r="HTJ3" s="230"/>
      <c r="HTK3" s="230"/>
      <c r="HTL3" s="231"/>
      <c r="HTM3" s="229" t="s">
        <v>13329</v>
      </c>
      <c r="HTN3" s="230"/>
      <c r="HTO3" s="230"/>
      <c r="HTP3" s="231"/>
      <c r="HTQ3" s="229" t="s">
        <v>13329</v>
      </c>
      <c r="HTR3" s="230"/>
      <c r="HTS3" s="230"/>
      <c r="HTT3" s="231"/>
      <c r="HTU3" s="229" t="s">
        <v>13329</v>
      </c>
      <c r="HTV3" s="230"/>
      <c r="HTW3" s="230"/>
      <c r="HTX3" s="231"/>
      <c r="HTY3" s="229" t="s">
        <v>13329</v>
      </c>
      <c r="HTZ3" s="230"/>
      <c r="HUA3" s="230"/>
      <c r="HUB3" s="231"/>
      <c r="HUC3" s="229" t="s">
        <v>13329</v>
      </c>
      <c r="HUD3" s="230"/>
      <c r="HUE3" s="230"/>
      <c r="HUF3" s="231"/>
      <c r="HUG3" s="229" t="s">
        <v>13329</v>
      </c>
      <c r="HUH3" s="230"/>
      <c r="HUI3" s="230"/>
      <c r="HUJ3" s="231"/>
      <c r="HUK3" s="229" t="s">
        <v>13329</v>
      </c>
      <c r="HUL3" s="230"/>
      <c r="HUM3" s="230"/>
      <c r="HUN3" s="231"/>
      <c r="HUO3" s="229" t="s">
        <v>13329</v>
      </c>
      <c r="HUP3" s="230"/>
      <c r="HUQ3" s="230"/>
      <c r="HUR3" s="231"/>
      <c r="HUS3" s="229" t="s">
        <v>13329</v>
      </c>
      <c r="HUT3" s="230"/>
      <c r="HUU3" s="230"/>
      <c r="HUV3" s="231"/>
      <c r="HUW3" s="229" t="s">
        <v>13329</v>
      </c>
      <c r="HUX3" s="230"/>
      <c r="HUY3" s="230"/>
      <c r="HUZ3" s="231"/>
      <c r="HVA3" s="229" t="s">
        <v>13329</v>
      </c>
      <c r="HVB3" s="230"/>
      <c r="HVC3" s="230"/>
      <c r="HVD3" s="231"/>
      <c r="HVE3" s="229" t="s">
        <v>13329</v>
      </c>
      <c r="HVF3" s="230"/>
      <c r="HVG3" s="230"/>
      <c r="HVH3" s="231"/>
      <c r="HVI3" s="229" t="s">
        <v>13329</v>
      </c>
      <c r="HVJ3" s="230"/>
      <c r="HVK3" s="230"/>
      <c r="HVL3" s="231"/>
      <c r="HVM3" s="229" t="s">
        <v>13329</v>
      </c>
      <c r="HVN3" s="230"/>
      <c r="HVO3" s="230"/>
      <c r="HVP3" s="231"/>
      <c r="HVQ3" s="229" t="s">
        <v>13329</v>
      </c>
      <c r="HVR3" s="230"/>
      <c r="HVS3" s="230"/>
      <c r="HVT3" s="231"/>
      <c r="HVU3" s="229" t="s">
        <v>13329</v>
      </c>
      <c r="HVV3" s="230"/>
      <c r="HVW3" s="230"/>
      <c r="HVX3" s="231"/>
      <c r="HVY3" s="229" t="s">
        <v>13329</v>
      </c>
      <c r="HVZ3" s="230"/>
      <c r="HWA3" s="230"/>
      <c r="HWB3" s="231"/>
      <c r="HWC3" s="229" t="s">
        <v>13329</v>
      </c>
      <c r="HWD3" s="230"/>
      <c r="HWE3" s="230"/>
      <c r="HWF3" s="231"/>
      <c r="HWG3" s="229" t="s">
        <v>13329</v>
      </c>
      <c r="HWH3" s="230"/>
      <c r="HWI3" s="230"/>
      <c r="HWJ3" s="231"/>
      <c r="HWK3" s="229" t="s">
        <v>13329</v>
      </c>
      <c r="HWL3" s="230"/>
      <c r="HWM3" s="230"/>
      <c r="HWN3" s="231"/>
      <c r="HWO3" s="229" t="s">
        <v>13329</v>
      </c>
      <c r="HWP3" s="230"/>
      <c r="HWQ3" s="230"/>
      <c r="HWR3" s="231"/>
      <c r="HWS3" s="229" t="s">
        <v>13329</v>
      </c>
      <c r="HWT3" s="230"/>
      <c r="HWU3" s="230"/>
      <c r="HWV3" s="231"/>
      <c r="HWW3" s="229" t="s">
        <v>13329</v>
      </c>
      <c r="HWX3" s="230"/>
      <c r="HWY3" s="230"/>
      <c r="HWZ3" s="231"/>
      <c r="HXA3" s="229" t="s">
        <v>13329</v>
      </c>
      <c r="HXB3" s="230"/>
      <c r="HXC3" s="230"/>
      <c r="HXD3" s="231"/>
      <c r="HXE3" s="229" t="s">
        <v>13329</v>
      </c>
      <c r="HXF3" s="230"/>
      <c r="HXG3" s="230"/>
      <c r="HXH3" s="231"/>
      <c r="HXI3" s="229" t="s">
        <v>13329</v>
      </c>
      <c r="HXJ3" s="230"/>
      <c r="HXK3" s="230"/>
      <c r="HXL3" s="231"/>
      <c r="HXM3" s="229" t="s">
        <v>13329</v>
      </c>
      <c r="HXN3" s="230"/>
      <c r="HXO3" s="230"/>
      <c r="HXP3" s="231"/>
      <c r="HXQ3" s="229" t="s">
        <v>13329</v>
      </c>
      <c r="HXR3" s="230"/>
      <c r="HXS3" s="230"/>
      <c r="HXT3" s="231"/>
      <c r="HXU3" s="229" t="s">
        <v>13329</v>
      </c>
      <c r="HXV3" s="230"/>
      <c r="HXW3" s="230"/>
      <c r="HXX3" s="231"/>
      <c r="HXY3" s="229" t="s">
        <v>13329</v>
      </c>
      <c r="HXZ3" s="230"/>
      <c r="HYA3" s="230"/>
      <c r="HYB3" s="231"/>
      <c r="HYC3" s="229" t="s">
        <v>13329</v>
      </c>
      <c r="HYD3" s="230"/>
      <c r="HYE3" s="230"/>
      <c r="HYF3" s="231"/>
      <c r="HYG3" s="229" t="s">
        <v>13329</v>
      </c>
      <c r="HYH3" s="230"/>
      <c r="HYI3" s="230"/>
      <c r="HYJ3" s="231"/>
      <c r="HYK3" s="229" t="s">
        <v>13329</v>
      </c>
      <c r="HYL3" s="230"/>
      <c r="HYM3" s="230"/>
      <c r="HYN3" s="231"/>
      <c r="HYO3" s="229" t="s">
        <v>13329</v>
      </c>
      <c r="HYP3" s="230"/>
      <c r="HYQ3" s="230"/>
      <c r="HYR3" s="231"/>
      <c r="HYS3" s="229" t="s">
        <v>13329</v>
      </c>
      <c r="HYT3" s="230"/>
      <c r="HYU3" s="230"/>
      <c r="HYV3" s="231"/>
      <c r="HYW3" s="229" t="s">
        <v>13329</v>
      </c>
      <c r="HYX3" s="230"/>
      <c r="HYY3" s="230"/>
      <c r="HYZ3" s="231"/>
      <c r="HZA3" s="229" t="s">
        <v>13329</v>
      </c>
      <c r="HZB3" s="230"/>
      <c r="HZC3" s="230"/>
      <c r="HZD3" s="231"/>
      <c r="HZE3" s="229" t="s">
        <v>13329</v>
      </c>
      <c r="HZF3" s="230"/>
      <c r="HZG3" s="230"/>
      <c r="HZH3" s="231"/>
      <c r="HZI3" s="229" t="s">
        <v>13329</v>
      </c>
      <c r="HZJ3" s="230"/>
      <c r="HZK3" s="230"/>
      <c r="HZL3" s="231"/>
      <c r="HZM3" s="229" t="s">
        <v>13329</v>
      </c>
      <c r="HZN3" s="230"/>
      <c r="HZO3" s="230"/>
      <c r="HZP3" s="231"/>
      <c r="HZQ3" s="229" t="s">
        <v>13329</v>
      </c>
      <c r="HZR3" s="230"/>
      <c r="HZS3" s="230"/>
      <c r="HZT3" s="231"/>
      <c r="HZU3" s="229" t="s">
        <v>13329</v>
      </c>
      <c r="HZV3" s="230"/>
      <c r="HZW3" s="230"/>
      <c r="HZX3" s="231"/>
      <c r="HZY3" s="229" t="s">
        <v>13329</v>
      </c>
      <c r="HZZ3" s="230"/>
      <c r="IAA3" s="230"/>
      <c r="IAB3" s="231"/>
      <c r="IAC3" s="229" t="s">
        <v>13329</v>
      </c>
      <c r="IAD3" s="230"/>
      <c r="IAE3" s="230"/>
      <c r="IAF3" s="231"/>
      <c r="IAG3" s="229" t="s">
        <v>13329</v>
      </c>
      <c r="IAH3" s="230"/>
      <c r="IAI3" s="230"/>
      <c r="IAJ3" s="231"/>
      <c r="IAK3" s="229" t="s">
        <v>13329</v>
      </c>
      <c r="IAL3" s="230"/>
      <c r="IAM3" s="230"/>
      <c r="IAN3" s="231"/>
      <c r="IAO3" s="229" t="s">
        <v>13329</v>
      </c>
      <c r="IAP3" s="230"/>
      <c r="IAQ3" s="230"/>
      <c r="IAR3" s="231"/>
      <c r="IAS3" s="229" t="s">
        <v>13329</v>
      </c>
      <c r="IAT3" s="230"/>
      <c r="IAU3" s="230"/>
      <c r="IAV3" s="231"/>
      <c r="IAW3" s="229" t="s">
        <v>13329</v>
      </c>
      <c r="IAX3" s="230"/>
      <c r="IAY3" s="230"/>
      <c r="IAZ3" s="231"/>
      <c r="IBA3" s="229" t="s">
        <v>13329</v>
      </c>
      <c r="IBB3" s="230"/>
      <c r="IBC3" s="230"/>
      <c r="IBD3" s="231"/>
      <c r="IBE3" s="229" t="s">
        <v>13329</v>
      </c>
      <c r="IBF3" s="230"/>
      <c r="IBG3" s="230"/>
      <c r="IBH3" s="231"/>
      <c r="IBI3" s="229" t="s">
        <v>13329</v>
      </c>
      <c r="IBJ3" s="230"/>
      <c r="IBK3" s="230"/>
      <c r="IBL3" s="231"/>
      <c r="IBM3" s="229" t="s">
        <v>13329</v>
      </c>
      <c r="IBN3" s="230"/>
      <c r="IBO3" s="230"/>
      <c r="IBP3" s="231"/>
      <c r="IBQ3" s="229" t="s">
        <v>13329</v>
      </c>
      <c r="IBR3" s="230"/>
      <c r="IBS3" s="230"/>
      <c r="IBT3" s="231"/>
      <c r="IBU3" s="229" t="s">
        <v>13329</v>
      </c>
      <c r="IBV3" s="230"/>
      <c r="IBW3" s="230"/>
      <c r="IBX3" s="231"/>
      <c r="IBY3" s="229" t="s">
        <v>13329</v>
      </c>
      <c r="IBZ3" s="230"/>
      <c r="ICA3" s="230"/>
      <c r="ICB3" s="231"/>
      <c r="ICC3" s="229" t="s">
        <v>13329</v>
      </c>
      <c r="ICD3" s="230"/>
      <c r="ICE3" s="230"/>
      <c r="ICF3" s="231"/>
      <c r="ICG3" s="229" t="s">
        <v>13329</v>
      </c>
      <c r="ICH3" s="230"/>
      <c r="ICI3" s="230"/>
      <c r="ICJ3" s="231"/>
      <c r="ICK3" s="229" t="s">
        <v>13329</v>
      </c>
      <c r="ICL3" s="230"/>
      <c r="ICM3" s="230"/>
      <c r="ICN3" s="231"/>
      <c r="ICO3" s="229" t="s">
        <v>13329</v>
      </c>
      <c r="ICP3" s="230"/>
      <c r="ICQ3" s="230"/>
      <c r="ICR3" s="231"/>
      <c r="ICS3" s="229" t="s">
        <v>13329</v>
      </c>
      <c r="ICT3" s="230"/>
      <c r="ICU3" s="230"/>
      <c r="ICV3" s="231"/>
      <c r="ICW3" s="229" t="s">
        <v>13329</v>
      </c>
      <c r="ICX3" s="230"/>
      <c r="ICY3" s="230"/>
      <c r="ICZ3" s="231"/>
      <c r="IDA3" s="229" t="s">
        <v>13329</v>
      </c>
      <c r="IDB3" s="230"/>
      <c r="IDC3" s="230"/>
      <c r="IDD3" s="231"/>
      <c r="IDE3" s="229" t="s">
        <v>13329</v>
      </c>
      <c r="IDF3" s="230"/>
      <c r="IDG3" s="230"/>
      <c r="IDH3" s="231"/>
      <c r="IDI3" s="229" t="s">
        <v>13329</v>
      </c>
      <c r="IDJ3" s="230"/>
      <c r="IDK3" s="230"/>
      <c r="IDL3" s="231"/>
      <c r="IDM3" s="229" t="s">
        <v>13329</v>
      </c>
      <c r="IDN3" s="230"/>
      <c r="IDO3" s="230"/>
      <c r="IDP3" s="231"/>
      <c r="IDQ3" s="229" t="s">
        <v>13329</v>
      </c>
      <c r="IDR3" s="230"/>
      <c r="IDS3" s="230"/>
      <c r="IDT3" s="231"/>
      <c r="IDU3" s="229" t="s">
        <v>13329</v>
      </c>
      <c r="IDV3" s="230"/>
      <c r="IDW3" s="230"/>
      <c r="IDX3" s="231"/>
      <c r="IDY3" s="229" t="s">
        <v>13329</v>
      </c>
      <c r="IDZ3" s="230"/>
      <c r="IEA3" s="230"/>
      <c r="IEB3" s="231"/>
      <c r="IEC3" s="229" t="s">
        <v>13329</v>
      </c>
      <c r="IED3" s="230"/>
      <c r="IEE3" s="230"/>
      <c r="IEF3" s="231"/>
      <c r="IEG3" s="229" t="s">
        <v>13329</v>
      </c>
      <c r="IEH3" s="230"/>
      <c r="IEI3" s="230"/>
      <c r="IEJ3" s="231"/>
      <c r="IEK3" s="229" t="s">
        <v>13329</v>
      </c>
      <c r="IEL3" s="230"/>
      <c r="IEM3" s="230"/>
      <c r="IEN3" s="231"/>
      <c r="IEO3" s="229" t="s">
        <v>13329</v>
      </c>
      <c r="IEP3" s="230"/>
      <c r="IEQ3" s="230"/>
      <c r="IER3" s="231"/>
      <c r="IES3" s="229" t="s">
        <v>13329</v>
      </c>
      <c r="IET3" s="230"/>
      <c r="IEU3" s="230"/>
      <c r="IEV3" s="231"/>
      <c r="IEW3" s="229" t="s">
        <v>13329</v>
      </c>
      <c r="IEX3" s="230"/>
      <c r="IEY3" s="230"/>
      <c r="IEZ3" s="231"/>
      <c r="IFA3" s="229" t="s">
        <v>13329</v>
      </c>
      <c r="IFB3" s="230"/>
      <c r="IFC3" s="230"/>
      <c r="IFD3" s="231"/>
      <c r="IFE3" s="229" t="s">
        <v>13329</v>
      </c>
      <c r="IFF3" s="230"/>
      <c r="IFG3" s="230"/>
      <c r="IFH3" s="231"/>
      <c r="IFI3" s="229" t="s">
        <v>13329</v>
      </c>
      <c r="IFJ3" s="230"/>
      <c r="IFK3" s="230"/>
      <c r="IFL3" s="231"/>
      <c r="IFM3" s="229" t="s">
        <v>13329</v>
      </c>
      <c r="IFN3" s="230"/>
      <c r="IFO3" s="230"/>
      <c r="IFP3" s="231"/>
      <c r="IFQ3" s="229" t="s">
        <v>13329</v>
      </c>
      <c r="IFR3" s="230"/>
      <c r="IFS3" s="230"/>
      <c r="IFT3" s="231"/>
      <c r="IFU3" s="229" t="s">
        <v>13329</v>
      </c>
      <c r="IFV3" s="230"/>
      <c r="IFW3" s="230"/>
      <c r="IFX3" s="231"/>
      <c r="IFY3" s="229" t="s">
        <v>13329</v>
      </c>
      <c r="IFZ3" s="230"/>
      <c r="IGA3" s="230"/>
      <c r="IGB3" s="231"/>
      <c r="IGC3" s="229" t="s">
        <v>13329</v>
      </c>
      <c r="IGD3" s="230"/>
      <c r="IGE3" s="230"/>
      <c r="IGF3" s="231"/>
      <c r="IGG3" s="229" t="s">
        <v>13329</v>
      </c>
      <c r="IGH3" s="230"/>
      <c r="IGI3" s="230"/>
      <c r="IGJ3" s="231"/>
      <c r="IGK3" s="229" t="s">
        <v>13329</v>
      </c>
      <c r="IGL3" s="230"/>
      <c r="IGM3" s="230"/>
      <c r="IGN3" s="231"/>
      <c r="IGO3" s="229" t="s">
        <v>13329</v>
      </c>
      <c r="IGP3" s="230"/>
      <c r="IGQ3" s="230"/>
      <c r="IGR3" s="231"/>
      <c r="IGS3" s="229" t="s">
        <v>13329</v>
      </c>
      <c r="IGT3" s="230"/>
      <c r="IGU3" s="230"/>
      <c r="IGV3" s="231"/>
      <c r="IGW3" s="229" t="s">
        <v>13329</v>
      </c>
      <c r="IGX3" s="230"/>
      <c r="IGY3" s="230"/>
      <c r="IGZ3" s="231"/>
      <c r="IHA3" s="229" t="s">
        <v>13329</v>
      </c>
      <c r="IHB3" s="230"/>
      <c r="IHC3" s="230"/>
      <c r="IHD3" s="231"/>
      <c r="IHE3" s="229" t="s">
        <v>13329</v>
      </c>
      <c r="IHF3" s="230"/>
      <c r="IHG3" s="230"/>
      <c r="IHH3" s="231"/>
      <c r="IHI3" s="229" t="s">
        <v>13329</v>
      </c>
      <c r="IHJ3" s="230"/>
      <c r="IHK3" s="230"/>
      <c r="IHL3" s="231"/>
      <c r="IHM3" s="229" t="s">
        <v>13329</v>
      </c>
      <c r="IHN3" s="230"/>
      <c r="IHO3" s="230"/>
      <c r="IHP3" s="231"/>
      <c r="IHQ3" s="229" t="s">
        <v>13329</v>
      </c>
      <c r="IHR3" s="230"/>
      <c r="IHS3" s="230"/>
      <c r="IHT3" s="231"/>
      <c r="IHU3" s="229" t="s">
        <v>13329</v>
      </c>
      <c r="IHV3" s="230"/>
      <c r="IHW3" s="230"/>
      <c r="IHX3" s="231"/>
      <c r="IHY3" s="229" t="s">
        <v>13329</v>
      </c>
      <c r="IHZ3" s="230"/>
      <c r="IIA3" s="230"/>
      <c r="IIB3" s="231"/>
      <c r="IIC3" s="229" t="s">
        <v>13329</v>
      </c>
      <c r="IID3" s="230"/>
      <c r="IIE3" s="230"/>
      <c r="IIF3" s="231"/>
      <c r="IIG3" s="229" t="s">
        <v>13329</v>
      </c>
      <c r="IIH3" s="230"/>
      <c r="III3" s="230"/>
      <c r="IIJ3" s="231"/>
      <c r="IIK3" s="229" t="s">
        <v>13329</v>
      </c>
      <c r="IIL3" s="230"/>
      <c r="IIM3" s="230"/>
      <c r="IIN3" s="231"/>
      <c r="IIO3" s="229" t="s">
        <v>13329</v>
      </c>
      <c r="IIP3" s="230"/>
      <c r="IIQ3" s="230"/>
      <c r="IIR3" s="231"/>
      <c r="IIS3" s="229" t="s">
        <v>13329</v>
      </c>
      <c r="IIT3" s="230"/>
      <c r="IIU3" s="230"/>
      <c r="IIV3" s="231"/>
      <c r="IIW3" s="229" t="s">
        <v>13329</v>
      </c>
      <c r="IIX3" s="230"/>
      <c r="IIY3" s="230"/>
      <c r="IIZ3" s="231"/>
      <c r="IJA3" s="229" t="s">
        <v>13329</v>
      </c>
      <c r="IJB3" s="230"/>
      <c r="IJC3" s="230"/>
      <c r="IJD3" s="231"/>
      <c r="IJE3" s="229" t="s">
        <v>13329</v>
      </c>
      <c r="IJF3" s="230"/>
      <c r="IJG3" s="230"/>
      <c r="IJH3" s="231"/>
      <c r="IJI3" s="229" t="s">
        <v>13329</v>
      </c>
      <c r="IJJ3" s="230"/>
      <c r="IJK3" s="230"/>
      <c r="IJL3" s="231"/>
      <c r="IJM3" s="229" t="s">
        <v>13329</v>
      </c>
      <c r="IJN3" s="230"/>
      <c r="IJO3" s="230"/>
      <c r="IJP3" s="231"/>
      <c r="IJQ3" s="229" t="s">
        <v>13329</v>
      </c>
      <c r="IJR3" s="230"/>
      <c r="IJS3" s="230"/>
      <c r="IJT3" s="231"/>
      <c r="IJU3" s="229" t="s">
        <v>13329</v>
      </c>
      <c r="IJV3" s="230"/>
      <c r="IJW3" s="230"/>
      <c r="IJX3" s="231"/>
      <c r="IJY3" s="229" t="s">
        <v>13329</v>
      </c>
      <c r="IJZ3" s="230"/>
      <c r="IKA3" s="230"/>
      <c r="IKB3" s="231"/>
      <c r="IKC3" s="229" t="s">
        <v>13329</v>
      </c>
      <c r="IKD3" s="230"/>
      <c r="IKE3" s="230"/>
      <c r="IKF3" s="231"/>
      <c r="IKG3" s="229" t="s">
        <v>13329</v>
      </c>
      <c r="IKH3" s="230"/>
      <c r="IKI3" s="230"/>
      <c r="IKJ3" s="231"/>
      <c r="IKK3" s="229" t="s">
        <v>13329</v>
      </c>
      <c r="IKL3" s="230"/>
      <c r="IKM3" s="230"/>
      <c r="IKN3" s="231"/>
      <c r="IKO3" s="229" t="s">
        <v>13329</v>
      </c>
      <c r="IKP3" s="230"/>
      <c r="IKQ3" s="230"/>
      <c r="IKR3" s="231"/>
      <c r="IKS3" s="229" t="s">
        <v>13329</v>
      </c>
      <c r="IKT3" s="230"/>
      <c r="IKU3" s="230"/>
      <c r="IKV3" s="231"/>
      <c r="IKW3" s="229" t="s">
        <v>13329</v>
      </c>
      <c r="IKX3" s="230"/>
      <c r="IKY3" s="230"/>
      <c r="IKZ3" s="231"/>
      <c r="ILA3" s="229" t="s">
        <v>13329</v>
      </c>
      <c r="ILB3" s="230"/>
      <c r="ILC3" s="230"/>
      <c r="ILD3" s="231"/>
      <c r="ILE3" s="229" t="s">
        <v>13329</v>
      </c>
      <c r="ILF3" s="230"/>
      <c r="ILG3" s="230"/>
      <c r="ILH3" s="231"/>
      <c r="ILI3" s="229" t="s">
        <v>13329</v>
      </c>
      <c r="ILJ3" s="230"/>
      <c r="ILK3" s="230"/>
      <c r="ILL3" s="231"/>
      <c r="ILM3" s="229" t="s">
        <v>13329</v>
      </c>
      <c r="ILN3" s="230"/>
      <c r="ILO3" s="230"/>
      <c r="ILP3" s="231"/>
      <c r="ILQ3" s="229" t="s">
        <v>13329</v>
      </c>
      <c r="ILR3" s="230"/>
      <c r="ILS3" s="230"/>
      <c r="ILT3" s="231"/>
      <c r="ILU3" s="229" t="s">
        <v>13329</v>
      </c>
      <c r="ILV3" s="230"/>
      <c r="ILW3" s="230"/>
      <c r="ILX3" s="231"/>
      <c r="ILY3" s="229" t="s">
        <v>13329</v>
      </c>
      <c r="ILZ3" s="230"/>
      <c r="IMA3" s="230"/>
      <c r="IMB3" s="231"/>
      <c r="IMC3" s="229" t="s">
        <v>13329</v>
      </c>
      <c r="IMD3" s="230"/>
      <c r="IME3" s="230"/>
      <c r="IMF3" s="231"/>
      <c r="IMG3" s="229" t="s">
        <v>13329</v>
      </c>
      <c r="IMH3" s="230"/>
      <c r="IMI3" s="230"/>
      <c r="IMJ3" s="231"/>
      <c r="IMK3" s="229" t="s">
        <v>13329</v>
      </c>
      <c r="IML3" s="230"/>
      <c r="IMM3" s="230"/>
      <c r="IMN3" s="231"/>
      <c r="IMO3" s="229" t="s">
        <v>13329</v>
      </c>
      <c r="IMP3" s="230"/>
      <c r="IMQ3" s="230"/>
      <c r="IMR3" s="231"/>
      <c r="IMS3" s="229" t="s">
        <v>13329</v>
      </c>
      <c r="IMT3" s="230"/>
      <c r="IMU3" s="230"/>
      <c r="IMV3" s="231"/>
      <c r="IMW3" s="229" t="s">
        <v>13329</v>
      </c>
      <c r="IMX3" s="230"/>
      <c r="IMY3" s="230"/>
      <c r="IMZ3" s="231"/>
      <c r="INA3" s="229" t="s">
        <v>13329</v>
      </c>
      <c r="INB3" s="230"/>
      <c r="INC3" s="230"/>
      <c r="IND3" s="231"/>
      <c r="INE3" s="229" t="s">
        <v>13329</v>
      </c>
      <c r="INF3" s="230"/>
      <c r="ING3" s="230"/>
      <c r="INH3" s="231"/>
      <c r="INI3" s="229" t="s">
        <v>13329</v>
      </c>
      <c r="INJ3" s="230"/>
      <c r="INK3" s="230"/>
      <c r="INL3" s="231"/>
      <c r="INM3" s="229" t="s">
        <v>13329</v>
      </c>
      <c r="INN3" s="230"/>
      <c r="INO3" s="230"/>
      <c r="INP3" s="231"/>
      <c r="INQ3" s="229" t="s">
        <v>13329</v>
      </c>
      <c r="INR3" s="230"/>
      <c r="INS3" s="230"/>
      <c r="INT3" s="231"/>
      <c r="INU3" s="229" t="s">
        <v>13329</v>
      </c>
      <c r="INV3" s="230"/>
      <c r="INW3" s="230"/>
      <c r="INX3" s="231"/>
      <c r="INY3" s="229" t="s">
        <v>13329</v>
      </c>
      <c r="INZ3" s="230"/>
      <c r="IOA3" s="230"/>
      <c r="IOB3" s="231"/>
      <c r="IOC3" s="229" t="s">
        <v>13329</v>
      </c>
      <c r="IOD3" s="230"/>
      <c r="IOE3" s="230"/>
      <c r="IOF3" s="231"/>
      <c r="IOG3" s="229" t="s">
        <v>13329</v>
      </c>
      <c r="IOH3" s="230"/>
      <c r="IOI3" s="230"/>
      <c r="IOJ3" s="231"/>
      <c r="IOK3" s="229" t="s">
        <v>13329</v>
      </c>
      <c r="IOL3" s="230"/>
      <c r="IOM3" s="230"/>
      <c r="ION3" s="231"/>
      <c r="IOO3" s="229" t="s">
        <v>13329</v>
      </c>
      <c r="IOP3" s="230"/>
      <c r="IOQ3" s="230"/>
      <c r="IOR3" s="231"/>
      <c r="IOS3" s="229" t="s">
        <v>13329</v>
      </c>
      <c r="IOT3" s="230"/>
      <c r="IOU3" s="230"/>
      <c r="IOV3" s="231"/>
      <c r="IOW3" s="229" t="s">
        <v>13329</v>
      </c>
      <c r="IOX3" s="230"/>
      <c r="IOY3" s="230"/>
      <c r="IOZ3" s="231"/>
      <c r="IPA3" s="229" t="s">
        <v>13329</v>
      </c>
      <c r="IPB3" s="230"/>
      <c r="IPC3" s="230"/>
      <c r="IPD3" s="231"/>
      <c r="IPE3" s="229" t="s">
        <v>13329</v>
      </c>
      <c r="IPF3" s="230"/>
      <c r="IPG3" s="230"/>
      <c r="IPH3" s="231"/>
      <c r="IPI3" s="229" t="s">
        <v>13329</v>
      </c>
      <c r="IPJ3" s="230"/>
      <c r="IPK3" s="230"/>
      <c r="IPL3" s="231"/>
      <c r="IPM3" s="229" t="s">
        <v>13329</v>
      </c>
      <c r="IPN3" s="230"/>
      <c r="IPO3" s="230"/>
      <c r="IPP3" s="231"/>
      <c r="IPQ3" s="229" t="s">
        <v>13329</v>
      </c>
      <c r="IPR3" s="230"/>
      <c r="IPS3" s="230"/>
      <c r="IPT3" s="231"/>
      <c r="IPU3" s="229" t="s">
        <v>13329</v>
      </c>
      <c r="IPV3" s="230"/>
      <c r="IPW3" s="230"/>
      <c r="IPX3" s="231"/>
      <c r="IPY3" s="229" t="s">
        <v>13329</v>
      </c>
      <c r="IPZ3" s="230"/>
      <c r="IQA3" s="230"/>
      <c r="IQB3" s="231"/>
      <c r="IQC3" s="229" t="s">
        <v>13329</v>
      </c>
      <c r="IQD3" s="230"/>
      <c r="IQE3" s="230"/>
      <c r="IQF3" s="231"/>
      <c r="IQG3" s="229" t="s">
        <v>13329</v>
      </c>
      <c r="IQH3" s="230"/>
      <c r="IQI3" s="230"/>
      <c r="IQJ3" s="231"/>
      <c r="IQK3" s="229" t="s">
        <v>13329</v>
      </c>
      <c r="IQL3" s="230"/>
      <c r="IQM3" s="230"/>
      <c r="IQN3" s="231"/>
      <c r="IQO3" s="229" t="s">
        <v>13329</v>
      </c>
      <c r="IQP3" s="230"/>
      <c r="IQQ3" s="230"/>
      <c r="IQR3" s="231"/>
      <c r="IQS3" s="229" t="s">
        <v>13329</v>
      </c>
      <c r="IQT3" s="230"/>
      <c r="IQU3" s="230"/>
      <c r="IQV3" s="231"/>
      <c r="IQW3" s="229" t="s">
        <v>13329</v>
      </c>
      <c r="IQX3" s="230"/>
      <c r="IQY3" s="230"/>
      <c r="IQZ3" s="231"/>
      <c r="IRA3" s="229" t="s">
        <v>13329</v>
      </c>
      <c r="IRB3" s="230"/>
      <c r="IRC3" s="230"/>
      <c r="IRD3" s="231"/>
      <c r="IRE3" s="229" t="s">
        <v>13329</v>
      </c>
      <c r="IRF3" s="230"/>
      <c r="IRG3" s="230"/>
      <c r="IRH3" s="231"/>
      <c r="IRI3" s="229" t="s">
        <v>13329</v>
      </c>
      <c r="IRJ3" s="230"/>
      <c r="IRK3" s="230"/>
      <c r="IRL3" s="231"/>
      <c r="IRM3" s="229" t="s">
        <v>13329</v>
      </c>
      <c r="IRN3" s="230"/>
      <c r="IRO3" s="230"/>
      <c r="IRP3" s="231"/>
      <c r="IRQ3" s="229" t="s">
        <v>13329</v>
      </c>
      <c r="IRR3" s="230"/>
      <c r="IRS3" s="230"/>
      <c r="IRT3" s="231"/>
      <c r="IRU3" s="229" t="s">
        <v>13329</v>
      </c>
      <c r="IRV3" s="230"/>
      <c r="IRW3" s="230"/>
      <c r="IRX3" s="231"/>
      <c r="IRY3" s="229" t="s">
        <v>13329</v>
      </c>
      <c r="IRZ3" s="230"/>
      <c r="ISA3" s="230"/>
      <c r="ISB3" s="231"/>
      <c r="ISC3" s="229" t="s">
        <v>13329</v>
      </c>
      <c r="ISD3" s="230"/>
      <c r="ISE3" s="230"/>
      <c r="ISF3" s="231"/>
      <c r="ISG3" s="229" t="s">
        <v>13329</v>
      </c>
      <c r="ISH3" s="230"/>
      <c r="ISI3" s="230"/>
      <c r="ISJ3" s="231"/>
      <c r="ISK3" s="229" t="s">
        <v>13329</v>
      </c>
      <c r="ISL3" s="230"/>
      <c r="ISM3" s="230"/>
      <c r="ISN3" s="231"/>
      <c r="ISO3" s="229" t="s">
        <v>13329</v>
      </c>
      <c r="ISP3" s="230"/>
      <c r="ISQ3" s="230"/>
      <c r="ISR3" s="231"/>
      <c r="ISS3" s="229" t="s">
        <v>13329</v>
      </c>
      <c r="IST3" s="230"/>
      <c r="ISU3" s="230"/>
      <c r="ISV3" s="231"/>
      <c r="ISW3" s="229" t="s">
        <v>13329</v>
      </c>
      <c r="ISX3" s="230"/>
      <c r="ISY3" s="230"/>
      <c r="ISZ3" s="231"/>
      <c r="ITA3" s="229" t="s">
        <v>13329</v>
      </c>
      <c r="ITB3" s="230"/>
      <c r="ITC3" s="230"/>
      <c r="ITD3" s="231"/>
      <c r="ITE3" s="229" t="s">
        <v>13329</v>
      </c>
      <c r="ITF3" s="230"/>
      <c r="ITG3" s="230"/>
      <c r="ITH3" s="231"/>
      <c r="ITI3" s="229" t="s">
        <v>13329</v>
      </c>
      <c r="ITJ3" s="230"/>
      <c r="ITK3" s="230"/>
      <c r="ITL3" s="231"/>
      <c r="ITM3" s="229" t="s">
        <v>13329</v>
      </c>
      <c r="ITN3" s="230"/>
      <c r="ITO3" s="230"/>
      <c r="ITP3" s="231"/>
      <c r="ITQ3" s="229" t="s">
        <v>13329</v>
      </c>
      <c r="ITR3" s="230"/>
      <c r="ITS3" s="230"/>
      <c r="ITT3" s="231"/>
      <c r="ITU3" s="229" t="s">
        <v>13329</v>
      </c>
      <c r="ITV3" s="230"/>
      <c r="ITW3" s="230"/>
      <c r="ITX3" s="231"/>
      <c r="ITY3" s="229" t="s">
        <v>13329</v>
      </c>
      <c r="ITZ3" s="230"/>
      <c r="IUA3" s="230"/>
      <c r="IUB3" s="231"/>
      <c r="IUC3" s="229" t="s">
        <v>13329</v>
      </c>
      <c r="IUD3" s="230"/>
      <c r="IUE3" s="230"/>
      <c r="IUF3" s="231"/>
      <c r="IUG3" s="229" t="s">
        <v>13329</v>
      </c>
      <c r="IUH3" s="230"/>
      <c r="IUI3" s="230"/>
      <c r="IUJ3" s="231"/>
      <c r="IUK3" s="229" t="s">
        <v>13329</v>
      </c>
      <c r="IUL3" s="230"/>
      <c r="IUM3" s="230"/>
      <c r="IUN3" s="231"/>
      <c r="IUO3" s="229" t="s">
        <v>13329</v>
      </c>
      <c r="IUP3" s="230"/>
      <c r="IUQ3" s="230"/>
      <c r="IUR3" s="231"/>
      <c r="IUS3" s="229" t="s">
        <v>13329</v>
      </c>
      <c r="IUT3" s="230"/>
      <c r="IUU3" s="230"/>
      <c r="IUV3" s="231"/>
      <c r="IUW3" s="229" t="s">
        <v>13329</v>
      </c>
      <c r="IUX3" s="230"/>
      <c r="IUY3" s="230"/>
      <c r="IUZ3" s="231"/>
      <c r="IVA3" s="229" t="s">
        <v>13329</v>
      </c>
      <c r="IVB3" s="230"/>
      <c r="IVC3" s="230"/>
      <c r="IVD3" s="231"/>
      <c r="IVE3" s="229" t="s">
        <v>13329</v>
      </c>
      <c r="IVF3" s="230"/>
      <c r="IVG3" s="230"/>
      <c r="IVH3" s="231"/>
      <c r="IVI3" s="229" t="s">
        <v>13329</v>
      </c>
      <c r="IVJ3" s="230"/>
      <c r="IVK3" s="230"/>
      <c r="IVL3" s="231"/>
      <c r="IVM3" s="229" t="s">
        <v>13329</v>
      </c>
      <c r="IVN3" s="230"/>
      <c r="IVO3" s="230"/>
      <c r="IVP3" s="231"/>
      <c r="IVQ3" s="229" t="s">
        <v>13329</v>
      </c>
      <c r="IVR3" s="230"/>
      <c r="IVS3" s="230"/>
      <c r="IVT3" s="231"/>
      <c r="IVU3" s="229" t="s">
        <v>13329</v>
      </c>
      <c r="IVV3" s="230"/>
      <c r="IVW3" s="230"/>
      <c r="IVX3" s="231"/>
      <c r="IVY3" s="229" t="s">
        <v>13329</v>
      </c>
      <c r="IVZ3" s="230"/>
      <c r="IWA3" s="230"/>
      <c r="IWB3" s="231"/>
      <c r="IWC3" s="229" t="s">
        <v>13329</v>
      </c>
      <c r="IWD3" s="230"/>
      <c r="IWE3" s="230"/>
      <c r="IWF3" s="231"/>
      <c r="IWG3" s="229" t="s">
        <v>13329</v>
      </c>
      <c r="IWH3" s="230"/>
      <c r="IWI3" s="230"/>
      <c r="IWJ3" s="231"/>
      <c r="IWK3" s="229" t="s">
        <v>13329</v>
      </c>
      <c r="IWL3" s="230"/>
      <c r="IWM3" s="230"/>
      <c r="IWN3" s="231"/>
      <c r="IWO3" s="229" t="s">
        <v>13329</v>
      </c>
      <c r="IWP3" s="230"/>
      <c r="IWQ3" s="230"/>
      <c r="IWR3" s="231"/>
      <c r="IWS3" s="229" t="s">
        <v>13329</v>
      </c>
      <c r="IWT3" s="230"/>
      <c r="IWU3" s="230"/>
      <c r="IWV3" s="231"/>
      <c r="IWW3" s="229" t="s">
        <v>13329</v>
      </c>
      <c r="IWX3" s="230"/>
      <c r="IWY3" s="230"/>
      <c r="IWZ3" s="231"/>
      <c r="IXA3" s="229" t="s">
        <v>13329</v>
      </c>
      <c r="IXB3" s="230"/>
      <c r="IXC3" s="230"/>
      <c r="IXD3" s="231"/>
      <c r="IXE3" s="229" t="s">
        <v>13329</v>
      </c>
      <c r="IXF3" s="230"/>
      <c r="IXG3" s="230"/>
      <c r="IXH3" s="231"/>
      <c r="IXI3" s="229" t="s">
        <v>13329</v>
      </c>
      <c r="IXJ3" s="230"/>
      <c r="IXK3" s="230"/>
      <c r="IXL3" s="231"/>
      <c r="IXM3" s="229" t="s">
        <v>13329</v>
      </c>
      <c r="IXN3" s="230"/>
      <c r="IXO3" s="230"/>
      <c r="IXP3" s="231"/>
      <c r="IXQ3" s="229" t="s">
        <v>13329</v>
      </c>
      <c r="IXR3" s="230"/>
      <c r="IXS3" s="230"/>
      <c r="IXT3" s="231"/>
      <c r="IXU3" s="229" t="s">
        <v>13329</v>
      </c>
      <c r="IXV3" s="230"/>
      <c r="IXW3" s="230"/>
      <c r="IXX3" s="231"/>
      <c r="IXY3" s="229" t="s">
        <v>13329</v>
      </c>
      <c r="IXZ3" s="230"/>
      <c r="IYA3" s="230"/>
      <c r="IYB3" s="231"/>
      <c r="IYC3" s="229" t="s">
        <v>13329</v>
      </c>
      <c r="IYD3" s="230"/>
      <c r="IYE3" s="230"/>
      <c r="IYF3" s="231"/>
      <c r="IYG3" s="229" t="s">
        <v>13329</v>
      </c>
      <c r="IYH3" s="230"/>
      <c r="IYI3" s="230"/>
      <c r="IYJ3" s="231"/>
      <c r="IYK3" s="229" t="s">
        <v>13329</v>
      </c>
      <c r="IYL3" s="230"/>
      <c r="IYM3" s="230"/>
      <c r="IYN3" s="231"/>
      <c r="IYO3" s="229" t="s">
        <v>13329</v>
      </c>
      <c r="IYP3" s="230"/>
      <c r="IYQ3" s="230"/>
      <c r="IYR3" s="231"/>
      <c r="IYS3" s="229" t="s">
        <v>13329</v>
      </c>
      <c r="IYT3" s="230"/>
      <c r="IYU3" s="230"/>
      <c r="IYV3" s="231"/>
      <c r="IYW3" s="229" t="s">
        <v>13329</v>
      </c>
      <c r="IYX3" s="230"/>
      <c r="IYY3" s="230"/>
      <c r="IYZ3" s="231"/>
      <c r="IZA3" s="229" t="s">
        <v>13329</v>
      </c>
      <c r="IZB3" s="230"/>
      <c r="IZC3" s="230"/>
      <c r="IZD3" s="231"/>
      <c r="IZE3" s="229" t="s">
        <v>13329</v>
      </c>
      <c r="IZF3" s="230"/>
      <c r="IZG3" s="230"/>
      <c r="IZH3" s="231"/>
      <c r="IZI3" s="229" t="s">
        <v>13329</v>
      </c>
      <c r="IZJ3" s="230"/>
      <c r="IZK3" s="230"/>
      <c r="IZL3" s="231"/>
      <c r="IZM3" s="229" t="s">
        <v>13329</v>
      </c>
      <c r="IZN3" s="230"/>
      <c r="IZO3" s="230"/>
      <c r="IZP3" s="231"/>
      <c r="IZQ3" s="229" t="s">
        <v>13329</v>
      </c>
      <c r="IZR3" s="230"/>
      <c r="IZS3" s="230"/>
      <c r="IZT3" s="231"/>
      <c r="IZU3" s="229" t="s">
        <v>13329</v>
      </c>
      <c r="IZV3" s="230"/>
      <c r="IZW3" s="230"/>
      <c r="IZX3" s="231"/>
      <c r="IZY3" s="229" t="s">
        <v>13329</v>
      </c>
      <c r="IZZ3" s="230"/>
      <c r="JAA3" s="230"/>
      <c r="JAB3" s="231"/>
      <c r="JAC3" s="229" t="s">
        <v>13329</v>
      </c>
      <c r="JAD3" s="230"/>
      <c r="JAE3" s="230"/>
      <c r="JAF3" s="231"/>
      <c r="JAG3" s="229" t="s">
        <v>13329</v>
      </c>
      <c r="JAH3" s="230"/>
      <c r="JAI3" s="230"/>
      <c r="JAJ3" s="231"/>
      <c r="JAK3" s="229" t="s">
        <v>13329</v>
      </c>
      <c r="JAL3" s="230"/>
      <c r="JAM3" s="230"/>
      <c r="JAN3" s="231"/>
      <c r="JAO3" s="229" t="s">
        <v>13329</v>
      </c>
      <c r="JAP3" s="230"/>
      <c r="JAQ3" s="230"/>
      <c r="JAR3" s="231"/>
      <c r="JAS3" s="229" t="s">
        <v>13329</v>
      </c>
      <c r="JAT3" s="230"/>
      <c r="JAU3" s="230"/>
      <c r="JAV3" s="231"/>
      <c r="JAW3" s="229" t="s">
        <v>13329</v>
      </c>
      <c r="JAX3" s="230"/>
      <c r="JAY3" s="230"/>
      <c r="JAZ3" s="231"/>
      <c r="JBA3" s="229" t="s">
        <v>13329</v>
      </c>
      <c r="JBB3" s="230"/>
      <c r="JBC3" s="230"/>
      <c r="JBD3" s="231"/>
      <c r="JBE3" s="229" t="s">
        <v>13329</v>
      </c>
      <c r="JBF3" s="230"/>
      <c r="JBG3" s="230"/>
      <c r="JBH3" s="231"/>
      <c r="JBI3" s="229" t="s">
        <v>13329</v>
      </c>
      <c r="JBJ3" s="230"/>
      <c r="JBK3" s="230"/>
      <c r="JBL3" s="231"/>
      <c r="JBM3" s="229" t="s">
        <v>13329</v>
      </c>
      <c r="JBN3" s="230"/>
      <c r="JBO3" s="230"/>
      <c r="JBP3" s="231"/>
      <c r="JBQ3" s="229" t="s">
        <v>13329</v>
      </c>
      <c r="JBR3" s="230"/>
      <c r="JBS3" s="230"/>
      <c r="JBT3" s="231"/>
      <c r="JBU3" s="229" t="s">
        <v>13329</v>
      </c>
      <c r="JBV3" s="230"/>
      <c r="JBW3" s="230"/>
      <c r="JBX3" s="231"/>
      <c r="JBY3" s="229" t="s">
        <v>13329</v>
      </c>
      <c r="JBZ3" s="230"/>
      <c r="JCA3" s="230"/>
      <c r="JCB3" s="231"/>
      <c r="JCC3" s="229" t="s">
        <v>13329</v>
      </c>
      <c r="JCD3" s="230"/>
      <c r="JCE3" s="230"/>
      <c r="JCF3" s="231"/>
      <c r="JCG3" s="229" t="s">
        <v>13329</v>
      </c>
      <c r="JCH3" s="230"/>
      <c r="JCI3" s="230"/>
      <c r="JCJ3" s="231"/>
      <c r="JCK3" s="229" t="s">
        <v>13329</v>
      </c>
      <c r="JCL3" s="230"/>
      <c r="JCM3" s="230"/>
      <c r="JCN3" s="231"/>
      <c r="JCO3" s="229" t="s">
        <v>13329</v>
      </c>
      <c r="JCP3" s="230"/>
      <c r="JCQ3" s="230"/>
      <c r="JCR3" s="231"/>
      <c r="JCS3" s="229" t="s">
        <v>13329</v>
      </c>
      <c r="JCT3" s="230"/>
      <c r="JCU3" s="230"/>
      <c r="JCV3" s="231"/>
      <c r="JCW3" s="229" t="s">
        <v>13329</v>
      </c>
      <c r="JCX3" s="230"/>
      <c r="JCY3" s="230"/>
      <c r="JCZ3" s="231"/>
      <c r="JDA3" s="229" t="s">
        <v>13329</v>
      </c>
      <c r="JDB3" s="230"/>
      <c r="JDC3" s="230"/>
      <c r="JDD3" s="231"/>
      <c r="JDE3" s="229" t="s">
        <v>13329</v>
      </c>
      <c r="JDF3" s="230"/>
      <c r="JDG3" s="230"/>
      <c r="JDH3" s="231"/>
      <c r="JDI3" s="229" t="s">
        <v>13329</v>
      </c>
      <c r="JDJ3" s="230"/>
      <c r="JDK3" s="230"/>
      <c r="JDL3" s="231"/>
      <c r="JDM3" s="229" t="s">
        <v>13329</v>
      </c>
      <c r="JDN3" s="230"/>
      <c r="JDO3" s="230"/>
      <c r="JDP3" s="231"/>
      <c r="JDQ3" s="229" t="s">
        <v>13329</v>
      </c>
      <c r="JDR3" s="230"/>
      <c r="JDS3" s="230"/>
      <c r="JDT3" s="231"/>
      <c r="JDU3" s="229" t="s">
        <v>13329</v>
      </c>
      <c r="JDV3" s="230"/>
      <c r="JDW3" s="230"/>
      <c r="JDX3" s="231"/>
      <c r="JDY3" s="229" t="s">
        <v>13329</v>
      </c>
      <c r="JDZ3" s="230"/>
      <c r="JEA3" s="230"/>
      <c r="JEB3" s="231"/>
      <c r="JEC3" s="229" t="s">
        <v>13329</v>
      </c>
      <c r="JED3" s="230"/>
      <c r="JEE3" s="230"/>
      <c r="JEF3" s="231"/>
      <c r="JEG3" s="229" t="s">
        <v>13329</v>
      </c>
      <c r="JEH3" s="230"/>
      <c r="JEI3" s="230"/>
      <c r="JEJ3" s="231"/>
      <c r="JEK3" s="229" t="s">
        <v>13329</v>
      </c>
      <c r="JEL3" s="230"/>
      <c r="JEM3" s="230"/>
      <c r="JEN3" s="231"/>
      <c r="JEO3" s="229" t="s">
        <v>13329</v>
      </c>
      <c r="JEP3" s="230"/>
      <c r="JEQ3" s="230"/>
      <c r="JER3" s="231"/>
      <c r="JES3" s="229" t="s">
        <v>13329</v>
      </c>
      <c r="JET3" s="230"/>
      <c r="JEU3" s="230"/>
      <c r="JEV3" s="231"/>
      <c r="JEW3" s="229" t="s">
        <v>13329</v>
      </c>
      <c r="JEX3" s="230"/>
      <c r="JEY3" s="230"/>
      <c r="JEZ3" s="231"/>
      <c r="JFA3" s="229" t="s">
        <v>13329</v>
      </c>
      <c r="JFB3" s="230"/>
      <c r="JFC3" s="230"/>
      <c r="JFD3" s="231"/>
      <c r="JFE3" s="229" t="s">
        <v>13329</v>
      </c>
      <c r="JFF3" s="230"/>
      <c r="JFG3" s="230"/>
      <c r="JFH3" s="231"/>
      <c r="JFI3" s="229" t="s">
        <v>13329</v>
      </c>
      <c r="JFJ3" s="230"/>
      <c r="JFK3" s="230"/>
      <c r="JFL3" s="231"/>
      <c r="JFM3" s="229" t="s">
        <v>13329</v>
      </c>
      <c r="JFN3" s="230"/>
      <c r="JFO3" s="230"/>
      <c r="JFP3" s="231"/>
      <c r="JFQ3" s="229" t="s">
        <v>13329</v>
      </c>
      <c r="JFR3" s="230"/>
      <c r="JFS3" s="230"/>
      <c r="JFT3" s="231"/>
      <c r="JFU3" s="229" t="s">
        <v>13329</v>
      </c>
      <c r="JFV3" s="230"/>
      <c r="JFW3" s="230"/>
      <c r="JFX3" s="231"/>
      <c r="JFY3" s="229" t="s">
        <v>13329</v>
      </c>
      <c r="JFZ3" s="230"/>
      <c r="JGA3" s="230"/>
      <c r="JGB3" s="231"/>
      <c r="JGC3" s="229" t="s">
        <v>13329</v>
      </c>
      <c r="JGD3" s="230"/>
      <c r="JGE3" s="230"/>
      <c r="JGF3" s="231"/>
      <c r="JGG3" s="229" t="s">
        <v>13329</v>
      </c>
      <c r="JGH3" s="230"/>
      <c r="JGI3" s="230"/>
      <c r="JGJ3" s="231"/>
      <c r="JGK3" s="229" t="s">
        <v>13329</v>
      </c>
      <c r="JGL3" s="230"/>
      <c r="JGM3" s="230"/>
      <c r="JGN3" s="231"/>
      <c r="JGO3" s="229" t="s">
        <v>13329</v>
      </c>
      <c r="JGP3" s="230"/>
      <c r="JGQ3" s="230"/>
      <c r="JGR3" s="231"/>
      <c r="JGS3" s="229" t="s">
        <v>13329</v>
      </c>
      <c r="JGT3" s="230"/>
      <c r="JGU3" s="230"/>
      <c r="JGV3" s="231"/>
      <c r="JGW3" s="229" t="s">
        <v>13329</v>
      </c>
      <c r="JGX3" s="230"/>
      <c r="JGY3" s="230"/>
      <c r="JGZ3" s="231"/>
      <c r="JHA3" s="229" t="s">
        <v>13329</v>
      </c>
      <c r="JHB3" s="230"/>
      <c r="JHC3" s="230"/>
      <c r="JHD3" s="231"/>
      <c r="JHE3" s="229" t="s">
        <v>13329</v>
      </c>
      <c r="JHF3" s="230"/>
      <c r="JHG3" s="230"/>
      <c r="JHH3" s="231"/>
      <c r="JHI3" s="229" t="s">
        <v>13329</v>
      </c>
      <c r="JHJ3" s="230"/>
      <c r="JHK3" s="230"/>
      <c r="JHL3" s="231"/>
      <c r="JHM3" s="229" t="s">
        <v>13329</v>
      </c>
      <c r="JHN3" s="230"/>
      <c r="JHO3" s="230"/>
      <c r="JHP3" s="231"/>
      <c r="JHQ3" s="229" t="s">
        <v>13329</v>
      </c>
      <c r="JHR3" s="230"/>
      <c r="JHS3" s="230"/>
      <c r="JHT3" s="231"/>
      <c r="JHU3" s="229" t="s">
        <v>13329</v>
      </c>
      <c r="JHV3" s="230"/>
      <c r="JHW3" s="230"/>
      <c r="JHX3" s="231"/>
      <c r="JHY3" s="229" t="s">
        <v>13329</v>
      </c>
      <c r="JHZ3" s="230"/>
      <c r="JIA3" s="230"/>
      <c r="JIB3" s="231"/>
      <c r="JIC3" s="229" t="s">
        <v>13329</v>
      </c>
      <c r="JID3" s="230"/>
      <c r="JIE3" s="230"/>
      <c r="JIF3" s="231"/>
      <c r="JIG3" s="229" t="s">
        <v>13329</v>
      </c>
      <c r="JIH3" s="230"/>
      <c r="JII3" s="230"/>
      <c r="JIJ3" s="231"/>
      <c r="JIK3" s="229" t="s">
        <v>13329</v>
      </c>
      <c r="JIL3" s="230"/>
      <c r="JIM3" s="230"/>
      <c r="JIN3" s="231"/>
      <c r="JIO3" s="229" t="s">
        <v>13329</v>
      </c>
      <c r="JIP3" s="230"/>
      <c r="JIQ3" s="230"/>
      <c r="JIR3" s="231"/>
      <c r="JIS3" s="229" t="s">
        <v>13329</v>
      </c>
      <c r="JIT3" s="230"/>
      <c r="JIU3" s="230"/>
      <c r="JIV3" s="231"/>
      <c r="JIW3" s="229" t="s">
        <v>13329</v>
      </c>
      <c r="JIX3" s="230"/>
      <c r="JIY3" s="230"/>
      <c r="JIZ3" s="231"/>
      <c r="JJA3" s="229" t="s">
        <v>13329</v>
      </c>
      <c r="JJB3" s="230"/>
      <c r="JJC3" s="230"/>
      <c r="JJD3" s="231"/>
      <c r="JJE3" s="229" t="s">
        <v>13329</v>
      </c>
      <c r="JJF3" s="230"/>
      <c r="JJG3" s="230"/>
      <c r="JJH3" s="231"/>
      <c r="JJI3" s="229" t="s">
        <v>13329</v>
      </c>
      <c r="JJJ3" s="230"/>
      <c r="JJK3" s="230"/>
      <c r="JJL3" s="231"/>
      <c r="JJM3" s="229" t="s">
        <v>13329</v>
      </c>
      <c r="JJN3" s="230"/>
      <c r="JJO3" s="230"/>
      <c r="JJP3" s="231"/>
      <c r="JJQ3" s="229" t="s">
        <v>13329</v>
      </c>
      <c r="JJR3" s="230"/>
      <c r="JJS3" s="230"/>
      <c r="JJT3" s="231"/>
      <c r="JJU3" s="229" t="s">
        <v>13329</v>
      </c>
      <c r="JJV3" s="230"/>
      <c r="JJW3" s="230"/>
      <c r="JJX3" s="231"/>
      <c r="JJY3" s="229" t="s">
        <v>13329</v>
      </c>
      <c r="JJZ3" s="230"/>
      <c r="JKA3" s="230"/>
      <c r="JKB3" s="231"/>
      <c r="JKC3" s="229" t="s">
        <v>13329</v>
      </c>
      <c r="JKD3" s="230"/>
      <c r="JKE3" s="230"/>
      <c r="JKF3" s="231"/>
      <c r="JKG3" s="229" t="s">
        <v>13329</v>
      </c>
      <c r="JKH3" s="230"/>
      <c r="JKI3" s="230"/>
      <c r="JKJ3" s="231"/>
      <c r="JKK3" s="229" t="s">
        <v>13329</v>
      </c>
      <c r="JKL3" s="230"/>
      <c r="JKM3" s="230"/>
      <c r="JKN3" s="231"/>
      <c r="JKO3" s="229" t="s">
        <v>13329</v>
      </c>
      <c r="JKP3" s="230"/>
      <c r="JKQ3" s="230"/>
      <c r="JKR3" s="231"/>
      <c r="JKS3" s="229" t="s">
        <v>13329</v>
      </c>
      <c r="JKT3" s="230"/>
      <c r="JKU3" s="230"/>
      <c r="JKV3" s="231"/>
      <c r="JKW3" s="229" t="s">
        <v>13329</v>
      </c>
      <c r="JKX3" s="230"/>
      <c r="JKY3" s="230"/>
      <c r="JKZ3" s="231"/>
      <c r="JLA3" s="229" t="s">
        <v>13329</v>
      </c>
      <c r="JLB3" s="230"/>
      <c r="JLC3" s="230"/>
      <c r="JLD3" s="231"/>
      <c r="JLE3" s="229" t="s">
        <v>13329</v>
      </c>
      <c r="JLF3" s="230"/>
      <c r="JLG3" s="230"/>
      <c r="JLH3" s="231"/>
      <c r="JLI3" s="229" t="s">
        <v>13329</v>
      </c>
      <c r="JLJ3" s="230"/>
      <c r="JLK3" s="230"/>
      <c r="JLL3" s="231"/>
      <c r="JLM3" s="229" t="s">
        <v>13329</v>
      </c>
      <c r="JLN3" s="230"/>
      <c r="JLO3" s="230"/>
      <c r="JLP3" s="231"/>
      <c r="JLQ3" s="229" t="s">
        <v>13329</v>
      </c>
      <c r="JLR3" s="230"/>
      <c r="JLS3" s="230"/>
      <c r="JLT3" s="231"/>
      <c r="JLU3" s="229" t="s">
        <v>13329</v>
      </c>
      <c r="JLV3" s="230"/>
      <c r="JLW3" s="230"/>
      <c r="JLX3" s="231"/>
      <c r="JLY3" s="229" t="s">
        <v>13329</v>
      </c>
      <c r="JLZ3" s="230"/>
      <c r="JMA3" s="230"/>
      <c r="JMB3" s="231"/>
      <c r="JMC3" s="229" t="s">
        <v>13329</v>
      </c>
      <c r="JMD3" s="230"/>
      <c r="JME3" s="230"/>
      <c r="JMF3" s="231"/>
      <c r="JMG3" s="229" t="s">
        <v>13329</v>
      </c>
      <c r="JMH3" s="230"/>
      <c r="JMI3" s="230"/>
      <c r="JMJ3" s="231"/>
      <c r="JMK3" s="229" t="s">
        <v>13329</v>
      </c>
      <c r="JML3" s="230"/>
      <c r="JMM3" s="230"/>
      <c r="JMN3" s="231"/>
      <c r="JMO3" s="229" t="s">
        <v>13329</v>
      </c>
      <c r="JMP3" s="230"/>
      <c r="JMQ3" s="230"/>
      <c r="JMR3" s="231"/>
      <c r="JMS3" s="229" t="s">
        <v>13329</v>
      </c>
      <c r="JMT3" s="230"/>
      <c r="JMU3" s="230"/>
      <c r="JMV3" s="231"/>
      <c r="JMW3" s="229" t="s">
        <v>13329</v>
      </c>
      <c r="JMX3" s="230"/>
      <c r="JMY3" s="230"/>
      <c r="JMZ3" s="231"/>
      <c r="JNA3" s="229" t="s">
        <v>13329</v>
      </c>
      <c r="JNB3" s="230"/>
      <c r="JNC3" s="230"/>
      <c r="JND3" s="231"/>
      <c r="JNE3" s="229" t="s">
        <v>13329</v>
      </c>
      <c r="JNF3" s="230"/>
      <c r="JNG3" s="230"/>
      <c r="JNH3" s="231"/>
      <c r="JNI3" s="229" t="s">
        <v>13329</v>
      </c>
      <c r="JNJ3" s="230"/>
      <c r="JNK3" s="230"/>
      <c r="JNL3" s="231"/>
      <c r="JNM3" s="229" t="s">
        <v>13329</v>
      </c>
      <c r="JNN3" s="230"/>
      <c r="JNO3" s="230"/>
      <c r="JNP3" s="231"/>
      <c r="JNQ3" s="229" t="s">
        <v>13329</v>
      </c>
      <c r="JNR3" s="230"/>
      <c r="JNS3" s="230"/>
      <c r="JNT3" s="231"/>
      <c r="JNU3" s="229" t="s">
        <v>13329</v>
      </c>
      <c r="JNV3" s="230"/>
      <c r="JNW3" s="230"/>
      <c r="JNX3" s="231"/>
      <c r="JNY3" s="229" t="s">
        <v>13329</v>
      </c>
      <c r="JNZ3" s="230"/>
      <c r="JOA3" s="230"/>
      <c r="JOB3" s="231"/>
      <c r="JOC3" s="229" t="s">
        <v>13329</v>
      </c>
      <c r="JOD3" s="230"/>
      <c r="JOE3" s="230"/>
      <c r="JOF3" s="231"/>
      <c r="JOG3" s="229" t="s">
        <v>13329</v>
      </c>
      <c r="JOH3" s="230"/>
      <c r="JOI3" s="230"/>
      <c r="JOJ3" s="231"/>
      <c r="JOK3" s="229" t="s">
        <v>13329</v>
      </c>
      <c r="JOL3" s="230"/>
      <c r="JOM3" s="230"/>
      <c r="JON3" s="231"/>
      <c r="JOO3" s="229" t="s">
        <v>13329</v>
      </c>
      <c r="JOP3" s="230"/>
      <c r="JOQ3" s="230"/>
      <c r="JOR3" s="231"/>
      <c r="JOS3" s="229" t="s">
        <v>13329</v>
      </c>
      <c r="JOT3" s="230"/>
      <c r="JOU3" s="230"/>
      <c r="JOV3" s="231"/>
      <c r="JOW3" s="229" t="s">
        <v>13329</v>
      </c>
      <c r="JOX3" s="230"/>
      <c r="JOY3" s="230"/>
      <c r="JOZ3" s="231"/>
      <c r="JPA3" s="229" t="s">
        <v>13329</v>
      </c>
      <c r="JPB3" s="230"/>
      <c r="JPC3" s="230"/>
      <c r="JPD3" s="231"/>
      <c r="JPE3" s="229" t="s">
        <v>13329</v>
      </c>
      <c r="JPF3" s="230"/>
      <c r="JPG3" s="230"/>
      <c r="JPH3" s="231"/>
      <c r="JPI3" s="229" t="s">
        <v>13329</v>
      </c>
      <c r="JPJ3" s="230"/>
      <c r="JPK3" s="230"/>
      <c r="JPL3" s="231"/>
      <c r="JPM3" s="229" t="s">
        <v>13329</v>
      </c>
      <c r="JPN3" s="230"/>
      <c r="JPO3" s="230"/>
      <c r="JPP3" s="231"/>
      <c r="JPQ3" s="229" t="s">
        <v>13329</v>
      </c>
      <c r="JPR3" s="230"/>
      <c r="JPS3" s="230"/>
      <c r="JPT3" s="231"/>
      <c r="JPU3" s="229" t="s">
        <v>13329</v>
      </c>
      <c r="JPV3" s="230"/>
      <c r="JPW3" s="230"/>
      <c r="JPX3" s="231"/>
      <c r="JPY3" s="229" t="s">
        <v>13329</v>
      </c>
      <c r="JPZ3" s="230"/>
      <c r="JQA3" s="230"/>
      <c r="JQB3" s="231"/>
      <c r="JQC3" s="229" t="s">
        <v>13329</v>
      </c>
      <c r="JQD3" s="230"/>
      <c r="JQE3" s="230"/>
      <c r="JQF3" s="231"/>
      <c r="JQG3" s="229" t="s">
        <v>13329</v>
      </c>
      <c r="JQH3" s="230"/>
      <c r="JQI3" s="230"/>
      <c r="JQJ3" s="231"/>
      <c r="JQK3" s="229" t="s">
        <v>13329</v>
      </c>
      <c r="JQL3" s="230"/>
      <c r="JQM3" s="230"/>
      <c r="JQN3" s="231"/>
      <c r="JQO3" s="229" t="s">
        <v>13329</v>
      </c>
      <c r="JQP3" s="230"/>
      <c r="JQQ3" s="230"/>
      <c r="JQR3" s="231"/>
      <c r="JQS3" s="229" t="s">
        <v>13329</v>
      </c>
      <c r="JQT3" s="230"/>
      <c r="JQU3" s="230"/>
      <c r="JQV3" s="231"/>
      <c r="JQW3" s="229" t="s">
        <v>13329</v>
      </c>
      <c r="JQX3" s="230"/>
      <c r="JQY3" s="230"/>
      <c r="JQZ3" s="231"/>
      <c r="JRA3" s="229" t="s">
        <v>13329</v>
      </c>
      <c r="JRB3" s="230"/>
      <c r="JRC3" s="230"/>
      <c r="JRD3" s="231"/>
      <c r="JRE3" s="229" t="s">
        <v>13329</v>
      </c>
      <c r="JRF3" s="230"/>
      <c r="JRG3" s="230"/>
      <c r="JRH3" s="231"/>
      <c r="JRI3" s="229" t="s">
        <v>13329</v>
      </c>
      <c r="JRJ3" s="230"/>
      <c r="JRK3" s="230"/>
      <c r="JRL3" s="231"/>
      <c r="JRM3" s="229" t="s">
        <v>13329</v>
      </c>
      <c r="JRN3" s="230"/>
      <c r="JRO3" s="230"/>
      <c r="JRP3" s="231"/>
      <c r="JRQ3" s="229" t="s">
        <v>13329</v>
      </c>
      <c r="JRR3" s="230"/>
      <c r="JRS3" s="230"/>
      <c r="JRT3" s="231"/>
      <c r="JRU3" s="229" t="s">
        <v>13329</v>
      </c>
      <c r="JRV3" s="230"/>
      <c r="JRW3" s="230"/>
      <c r="JRX3" s="231"/>
      <c r="JRY3" s="229" t="s">
        <v>13329</v>
      </c>
      <c r="JRZ3" s="230"/>
      <c r="JSA3" s="230"/>
      <c r="JSB3" s="231"/>
      <c r="JSC3" s="229" t="s">
        <v>13329</v>
      </c>
      <c r="JSD3" s="230"/>
      <c r="JSE3" s="230"/>
      <c r="JSF3" s="231"/>
      <c r="JSG3" s="229" t="s">
        <v>13329</v>
      </c>
      <c r="JSH3" s="230"/>
      <c r="JSI3" s="230"/>
      <c r="JSJ3" s="231"/>
      <c r="JSK3" s="229" t="s">
        <v>13329</v>
      </c>
      <c r="JSL3" s="230"/>
      <c r="JSM3" s="230"/>
      <c r="JSN3" s="231"/>
      <c r="JSO3" s="229" t="s">
        <v>13329</v>
      </c>
      <c r="JSP3" s="230"/>
      <c r="JSQ3" s="230"/>
      <c r="JSR3" s="231"/>
      <c r="JSS3" s="229" t="s">
        <v>13329</v>
      </c>
      <c r="JST3" s="230"/>
      <c r="JSU3" s="230"/>
      <c r="JSV3" s="231"/>
      <c r="JSW3" s="229" t="s">
        <v>13329</v>
      </c>
      <c r="JSX3" s="230"/>
      <c r="JSY3" s="230"/>
      <c r="JSZ3" s="231"/>
      <c r="JTA3" s="229" t="s">
        <v>13329</v>
      </c>
      <c r="JTB3" s="230"/>
      <c r="JTC3" s="230"/>
      <c r="JTD3" s="231"/>
      <c r="JTE3" s="229" t="s">
        <v>13329</v>
      </c>
      <c r="JTF3" s="230"/>
      <c r="JTG3" s="230"/>
      <c r="JTH3" s="231"/>
      <c r="JTI3" s="229" t="s">
        <v>13329</v>
      </c>
      <c r="JTJ3" s="230"/>
      <c r="JTK3" s="230"/>
      <c r="JTL3" s="231"/>
      <c r="JTM3" s="229" t="s">
        <v>13329</v>
      </c>
      <c r="JTN3" s="230"/>
      <c r="JTO3" s="230"/>
      <c r="JTP3" s="231"/>
      <c r="JTQ3" s="229" t="s">
        <v>13329</v>
      </c>
      <c r="JTR3" s="230"/>
      <c r="JTS3" s="230"/>
      <c r="JTT3" s="231"/>
      <c r="JTU3" s="229" t="s">
        <v>13329</v>
      </c>
      <c r="JTV3" s="230"/>
      <c r="JTW3" s="230"/>
      <c r="JTX3" s="231"/>
      <c r="JTY3" s="229" t="s">
        <v>13329</v>
      </c>
      <c r="JTZ3" s="230"/>
      <c r="JUA3" s="230"/>
      <c r="JUB3" s="231"/>
      <c r="JUC3" s="229" t="s">
        <v>13329</v>
      </c>
      <c r="JUD3" s="230"/>
      <c r="JUE3" s="230"/>
      <c r="JUF3" s="231"/>
      <c r="JUG3" s="229" t="s">
        <v>13329</v>
      </c>
      <c r="JUH3" s="230"/>
      <c r="JUI3" s="230"/>
      <c r="JUJ3" s="231"/>
      <c r="JUK3" s="229" t="s">
        <v>13329</v>
      </c>
      <c r="JUL3" s="230"/>
      <c r="JUM3" s="230"/>
      <c r="JUN3" s="231"/>
      <c r="JUO3" s="229" t="s">
        <v>13329</v>
      </c>
      <c r="JUP3" s="230"/>
      <c r="JUQ3" s="230"/>
      <c r="JUR3" s="231"/>
      <c r="JUS3" s="229" t="s">
        <v>13329</v>
      </c>
      <c r="JUT3" s="230"/>
      <c r="JUU3" s="230"/>
      <c r="JUV3" s="231"/>
      <c r="JUW3" s="229" t="s">
        <v>13329</v>
      </c>
      <c r="JUX3" s="230"/>
      <c r="JUY3" s="230"/>
      <c r="JUZ3" s="231"/>
      <c r="JVA3" s="229" t="s">
        <v>13329</v>
      </c>
      <c r="JVB3" s="230"/>
      <c r="JVC3" s="230"/>
      <c r="JVD3" s="231"/>
      <c r="JVE3" s="229" t="s">
        <v>13329</v>
      </c>
      <c r="JVF3" s="230"/>
      <c r="JVG3" s="230"/>
      <c r="JVH3" s="231"/>
      <c r="JVI3" s="229" t="s">
        <v>13329</v>
      </c>
      <c r="JVJ3" s="230"/>
      <c r="JVK3" s="230"/>
      <c r="JVL3" s="231"/>
      <c r="JVM3" s="229" t="s">
        <v>13329</v>
      </c>
      <c r="JVN3" s="230"/>
      <c r="JVO3" s="230"/>
      <c r="JVP3" s="231"/>
      <c r="JVQ3" s="229" t="s">
        <v>13329</v>
      </c>
      <c r="JVR3" s="230"/>
      <c r="JVS3" s="230"/>
      <c r="JVT3" s="231"/>
      <c r="JVU3" s="229" t="s">
        <v>13329</v>
      </c>
      <c r="JVV3" s="230"/>
      <c r="JVW3" s="230"/>
      <c r="JVX3" s="231"/>
      <c r="JVY3" s="229" t="s">
        <v>13329</v>
      </c>
      <c r="JVZ3" s="230"/>
      <c r="JWA3" s="230"/>
      <c r="JWB3" s="231"/>
      <c r="JWC3" s="229" t="s">
        <v>13329</v>
      </c>
      <c r="JWD3" s="230"/>
      <c r="JWE3" s="230"/>
      <c r="JWF3" s="231"/>
      <c r="JWG3" s="229" t="s">
        <v>13329</v>
      </c>
      <c r="JWH3" s="230"/>
      <c r="JWI3" s="230"/>
      <c r="JWJ3" s="231"/>
      <c r="JWK3" s="229" t="s">
        <v>13329</v>
      </c>
      <c r="JWL3" s="230"/>
      <c r="JWM3" s="230"/>
      <c r="JWN3" s="231"/>
      <c r="JWO3" s="229" t="s">
        <v>13329</v>
      </c>
      <c r="JWP3" s="230"/>
      <c r="JWQ3" s="230"/>
      <c r="JWR3" s="231"/>
      <c r="JWS3" s="229" t="s">
        <v>13329</v>
      </c>
      <c r="JWT3" s="230"/>
      <c r="JWU3" s="230"/>
      <c r="JWV3" s="231"/>
      <c r="JWW3" s="229" t="s">
        <v>13329</v>
      </c>
      <c r="JWX3" s="230"/>
      <c r="JWY3" s="230"/>
      <c r="JWZ3" s="231"/>
      <c r="JXA3" s="229" t="s">
        <v>13329</v>
      </c>
      <c r="JXB3" s="230"/>
      <c r="JXC3" s="230"/>
      <c r="JXD3" s="231"/>
      <c r="JXE3" s="229" t="s">
        <v>13329</v>
      </c>
      <c r="JXF3" s="230"/>
      <c r="JXG3" s="230"/>
      <c r="JXH3" s="231"/>
      <c r="JXI3" s="229" t="s">
        <v>13329</v>
      </c>
      <c r="JXJ3" s="230"/>
      <c r="JXK3" s="230"/>
      <c r="JXL3" s="231"/>
      <c r="JXM3" s="229" t="s">
        <v>13329</v>
      </c>
      <c r="JXN3" s="230"/>
      <c r="JXO3" s="230"/>
      <c r="JXP3" s="231"/>
      <c r="JXQ3" s="229" t="s">
        <v>13329</v>
      </c>
      <c r="JXR3" s="230"/>
      <c r="JXS3" s="230"/>
      <c r="JXT3" s="231"/>
      <c r="JXU3" s="229" t="s">
        <v>13329</v>
      </c>
      <c r="JXV3" s="230"/>
      <c r="JXW3" s="230"/>
      <c r="JXX3" s="231"/>
      <c r="JXY3" s="229" t="s">
        <v>13329</v>
      </c>
      <c r="JXZ3" s="230"/>
      <c r="JYA3" s="230"/>
      <c r="JYB3" s="231"/>
      <c r="JYC3" s="229" t="s">
        <v>13329</v>
      </c>
      <c r="JYD3" s="230"/>
      <c r="JYE3" s="230"/>
      <c r="JYF3" s="231"/>
      <c r="JYG3" s="229" t="s">
        <v>13329</v>
      </c>
      <c r="JYH3" s="230"/>
      <c r="JYI3" s="230"/>
      <c r="JYJ3" s="231"/>
      <c r="JYK3" s="229" t="s">
        <v>13329</v>
      </c>
      <c r="JYL3" s="230"/>
      <c r="JYM3" s="230"/>
      <c r="JYN3" s="231"/>
      <c r="JYO3" s="229" t="s">
        <v>13329</v>
      </c>
      <c r="JYP3" s="230"/>
      <c r="JYQ3" s="230"/>
      <c r="JYR3" s="231"/>
      <c r="JYS3" s="229" t="s">
        <v>13329</v>
      </c>
      <c r="JYT3" s="230"/>
      <c r="JYU3" s="230"/>
      <c r="JYV3" s="231"/>
      <c r="JYW3" s="229" t="s">
        <v>13329</v>
      </c>
      <c r="JYX3" s="230"/>
      <c r="JYY3" s="230"/>
      <c r="JYZ3" s="231"/>
      <c r="JZA3" s="229" t="s">
        <v>13329</v>
      </c>
      <c r="JZB3" s="230"/>
      <c r="JZC3" s="230"/>
      <c r="JZD3" s="231"/>
      <c r="JZE3" s="229" t="s">
        <v>13329</v>
      </c>
      <c r="JZF3" s="230"/>
      <c r="JZG3" s="230"/>
      <c r="JZH3" s="231"/>
      <c r="JZI3" s="229" t="s">
        <v>13329</v>
      </c>
      <c r="JZJ3" s="230"/>
      <c r="JZK3" s="230"/>
      <c r="JZL3" s="231"/>
      <c r="JZM3" s="229" t="s">
        <v>13329</v>
      </c>
      <c r="JZN3" s="230"/>
      <c r="JZO3" s="230"/>
      <c r="JZP3" s="231"/>
      <c r="JZQ3" s="229" t="s">
        <v>13329</v>
      </c>
      <c r="JZR3" s="230"/>
      <c r="JZS3" s="230"/>
      <c r="JZT3" s="231"/>
      <c r="JZU3" s="229" t="s">
        <v>13329</v>
      </c>
      <c r="JZV3" s="230"/>
      <c r="JZW3" s="230"/>
      <c r="JZX3" s="231"/>
      <c r="JZY3" s="229" t="s">
        <v>13329</v>
      </c>
      <c r="JZZ3" s="230"/>
      <c r="KAA3" s="230"/>
      <c r="KAB3" s="231"/>
      <c r="KAC3" s="229" t="s">
        <v>13329</v>
      </c>
      <c r="KAD3" s="230"/>
      <c r="KAE3" s="230"/>
      <c r="KAF3" s="231"/>
      <c r="KAG3" s="229" t="s">
        <v>13329</v>
      </c>
      <c r="KAH3" s="230"/>
      <c r="KAI3" s="230"/>
      <c r="KAJ3" s="231"/>
      <c r="KAK3" s="229" t="s">
        <v>13329</v>
      </c>
      <c r="KAL3" s="230"/>
      <c r="KAM3" s="230"/>
      <c r="KAN3" s="231"/>
      <c r="KAO3" s="229" t="s">
        <v>13329</v>
      </c>
      <c r="KAP3" s="230"/>
      <c r="KAQ3" s="230"/>
      <c r="KAR3" s="231"/>
      <c r="KAS3" s="229" t="s">
        <v>13329</v>
      </c>
      <c r="KAT3" s="230"/>
      <c r="KAU3" s="230"/>
      <c r="KAV3" s="231"/>
      <c r="KAW3" s="229" t="s">
        <v>13329</v>
      </c>
      <c r="KAX3" s="230"/>
      <c r="KAY3" s="230"/>
      <c r="KAZ3" s="231"/>
      <c r="KBA3" s="229" t="s">
        <v>13329</v>
      </c>
      <c r="KBB3" s="230"/>
      <c r="KBC3" s="230"/>
      <c r="KBD3" s="231"/>
      <c r="KBE3" s="229" t="s">
        <v>13329</v>
      </c>
      <c r="KBF3" s="230"/>
      <c r="KBG3" s="230"/>
      <c r="KBH3" s="231"/>
      <c r="KBI3" s="229" t="s">
        <v>13329</v>
      </c>
      <c r="KBJ3" s="230"/>
      <c r="KBK3" s="230"/>
      <c r="KBL3" s="231"/>
      <c r="KBM3" s="229" t="s">
        <v>13329</v>
      </c>
      <c r="KBN3" s="230"/>
      <c r="KBO3" s="230"/>
      <c r="KBP3" s="231"/>
      <c r="KBQ3" s="229" t="s">
        <v>13329</v>
      </c>
      <c r="KBR3" s="230"/>
      <c r="KBS3" s="230"/>
      <c r="KBT3" s="231"/>
      <c r="KBU3" s="229" t="s">
        <v>13329</v>
      </c>
      <c r="KBV3" s="230"/>
      <c r="KBW3" s="230"/>
      <c r="KBX3" s="231"/>
      <c r="KBY3" s="229" t="s">
        <v>13329</v>
      </c>
      <c r="KBZ3" s="230"/>
      <c r="KCA3" s="230"/>
      <c r="KCB3" s="231"/>
      <c r="KCC3" s="229" t="s">
        <v>13329</v>
      </c>
      <c r="KCD3" s="230"/>
      <c r="KCE3" s="230"/>
      <c r="KCF3" s="231"/>
      <c r="KCG3" s="229" t="s">
        <v>13329</v>
      </c>
      <c r="KCH3" s="230"/>
      <c r="KCI3" s="230"/>
      <c r="KCJ3" s="231"/>
      <c r="KCK3" s="229" t="s">
        <v>13329</v>
      </c>
      <c r="KCL3" s="230"/>
      <c r="KCM3" s="230"/>
      <c r="KCN3" s="231"/>
      <c r="KCO3" s="229" t="s">
        <v>13329</v>
      </c>
      <c r="KCP3" s="230"/>
      <c r="KCQ3" s="230"/>
      <c r="KCR3" s="231"/>
      <c r="KCS3" s="229" t="s">
        <v>13329</v>
      </c>
      <c r="KCT3" s="230"/>
      <c r="KCU3" s="230"/>
      <c r="KCV3" s="231"/>
      <c r="KCW3" s="229" t="s">
        <v>13329</v>
      </c>
      <c r="KCX3" s="230"/>
      <c r="KCY3" s="230"/>
      <c r="KCZ3" s="231"/>
      <c r="KDA3" s="229" t="s">
        <v>13329</v>
      </c>
      <c r="KDB3" s="230"/>
      <c r="KDC3" s="230"/>
      <c r="KDD3" s="231"/>
      <c r="KDE3" s="229" t="s">
        <v>13329</v>
      </c>
      <c r="KDF3" s="230"/>
      <c r="KDG3" s="230"/>
      <c r="KDH3" s="231"/>
      <c r="KDI3" s="229" t="s">
        <v>13329</v>
      </c>
      <c r="KDJ3" s="230"/>
      <c r="KDK3" s="230"/>
      <c r="KDL3" s="231"/>
      <c r="KDM3" s="229" t="s">
        <v>13329</v>
      </c>
      <c r="KDN3" s="230"/>
      <c r="KDO3" s="230"/>
      <c r="KDP3" s="231"/>
      <c r="KDQ3" s="229" t="s">
        <v>13329</v>
      </c>
      <c r="KDR3" s="230"/>
      <c r="KDS3" s="230"/>
      <c r="KDT3" s="231"/>
      <c r="KDU3" s="229" t="s">
        <v>13329</v>
      </c>
      <c r="KDV3" s="230"/>
      <c r="KDW3" s="230"/>
      <c r="KDX3" s="231"/>
      <c r="KDY3" s="229" t="s">
        <v>13329</v>
      </c>
      <c r="KDZ3" s="230"/>
      <c r="KEA3" s="230"/>
      <c r="KEB3" s="231"/>
      <c r="KEC3" s="229" t="s">
        <v>13329</v>
      </c>
      <c r="KED3" s="230"/>
      <c r="KEE3" s="230"/>
      <c r="KEF3" s="231"/>
      <c r="KEG3" s="229" t="s">
        <v>13329</v>
      </c>
      <c r="KEH3" s="230"/>
      <c r="KEI3" s="230"/>
      <c r="KEJ3" s="231"/>
      <c r="KEK3" s="229" t="s">
        <v>13329</v>
      </c>
      <c r="KEL3" s="230"/>
      <c r="KEM3" s="230"/>
      <c r="KEN3" s="231"/>
      <c r="KEO3" s="229" t="s">
        <v>13329</v>
      </c>
      <c r="KEP3" s="230"/>
      <c r="KEQ3" s="230"/>
      <c r="KER3" s="231"/>
      <c r="KES3" s="229" t="s">
        <v>13329</v>
      </c>
      <c r="KET3" s="230"/>
      <c r="KEU3" s="230"/>
      <c r="KEV3" s="231"/>
      <c r="KEW3" s="229" t="s">
        <v>13329</v>
      </c>
      <c r="KEX3" s="230"/>
      <c r="KEY3" s="230"/>
      <c r="KEZ3" s="231"/>
      <c r="KFA3" s="229" t="s">
        <v>13329</v>
      </c>
      <c r="KFB3" s="230"/>
      <c r="KFC3" s="230"/>
      <c r="KFD3" s="231"/>
      <c r="KFE3" s="229" t="s">
        <v>13329</v>
      </c>
      <c r="KFF3" s="230"/>
      <c r="KFG3" s="230"/>
      <c r="KFH3" s="231"/>
      <c r="KFI3" s="229" t="s">
        <v>13329</v>
      </c>
      <c r="KFJ3" s="230"/>
      <c r="KFK3" s="230"/>
      <c r="KFL3" s="231"/>
      <c r="KFM3" s="229" t="s">
        <v>13329</v>
      </c>
      <c r="KFN3" s="230"/>
      <c r="KFO3" s="230"/>
      <c r="KFP3" s="231"/>
      <c r="KFQ3" s="229" t="s">
        <v>13329</v>
      </c>
      <c r="KFR3" s="230"/>
      <c r="KFS3" s="230"/>
      <c r="KFT3" s="231"/>
      <c r="KFU3" s="229" t="s">
        <v>13329</v>
      </c>
      <c r="KFV3" s="230"/>
      <c r="KFW3" s="230"/>
      <c r="KFX3" s="231"/>
      <c r="KFY3" s="229" t="s">
        <v>13329</v>
      </c>
      <c r="KFZ3" s="230"/>
      <c r="KGA3" s="230"/>
      <c r="KGB3" s="231"/>
      <c r="KGC3" s="229" t="s">
        <v>13329</v>
      </c>
      <c r="KGD3" s="230"/>
      <c r="KGE3" s="230"/>
      <c r="KGF3" s="231"/>
      <c r="KGG3" s="229" t="s">
        <v>13329</v>
      </c>
      <c r="KGH3" s="230"/>
      <c r="KGI3" s="230"/>
      <c r="KGJ3" s="231"/>
      <c r="KGK3" s="229" t="s">
        <v>13329</v>
      </c>
      <c r="KGL3" s="230"/>
      <c r="KGM3" s="230"/>
      <c r="KGN3" s="231"/>
      <c r="KGO3" s="229" t="s">
        <v>13329</v>
      </c>
      <c r="KGP3" s="230"/>
      <c r="KGQ3" s="230"/>
      <c r="KGR3" s="231"/>
      <c r="KGS3" s="229" t="s">
        <v>13329</v>
      </c>
      <c r="KGT3" s="230"/>
      <c r="KGU3" s="230"/>
      <c r="KGV3" s="231"/>
      <c r="KGW3" s="229" t="s">
        <v>13329</v>
      </c>
      <c r="KGX3" s="230"/>
      <c r="KGY3" s="230"/>
      <c r="KGZ3" s="231"/>
      <c r="KHA3" s="229" t="s">
        <v>13329</v>
      </c>
      <c r="KHB3" s="230"/>
      <c r="KHC3" s="230"/>
      <c r="KHD3" s="231"/>
      <c r="KHE3" s="229" t="s">
        <v>13329</v>
      </c>
      <c r="KHF3" s="230"/>
      <c r="KHG3" s="230"/>
      <c r="KHH3" s="231"/>
      <c r="KHI3" s="229" t="s">
        <v>13329</v>
      </c>
      <c r="KHJ3" s="230"/>
      <c r="KHK3" s="230"/>
      <c r="KHL3" s="231"/>
      <c r="KHM3" s="229" t="s">
        <v>13329</v>
      </c>
      <c r="KHN3" s="230"/>
      <c r="KHO3" s="230"/>
      <c r="KHP3" s="231"/>
      <c r="KHQ3" s="229" t="s">
        <v>13329</v>
      </c>
      <c r="KHR3" s="230"/>
      <c r="KHS3" s="230"/>
      <c r="KHT3" s="231"/>
      <c r="KHU3" s="229" t="s">
        <v>13329</v>
      </c>
      <c r="KHV3" s="230"/>
      <c r="KHW3" s="230"/>
      <c r="KHX3" s="231"/>
      <c r="KHY3" s="229" t="s">
        <v>13329</v>
      </c>
      <c r="KHZ3" s="230"/>
      <c r="KIA3" s="230"/>
      <c r="KIB3" s="231"/>
      <c r="KIC3" s="229" t="s">
        <v>13329</v>
      </c>
      <c r="KID3" s="230"/>
      <c r="KIE3" s="230"/>
      <c r="KIF3" s="231"/>
      <c r="KIG3" s="229" t="s">
        <v>13329</v>
      </c>
      <c r="KIH3" s="230"/>
      <c r="KII3" s="230"/>
      <c r="KIJ3" s="231"/>
      <c r="KIK3" s="229" t="s">
        <v>13329</v>
      </c>
      <c r="KIL3" s="230"/>
      <c r="KIM3" s="230"/>
      <c r="KIN3" s="231"/>
      <c r="KIO3" s="229" t="s">
        <v>13329</v>
      </c>
      <c r="KIP3" s="230"/>
      <c r="KIQ3" s="230"/>
      <c r="KIR3" s="231"/>
      <c r="KIS3" s="229" t="s">
        <v>13329</v>
      </c>
      <c r="KIT3" s="230"/>
      <c r="KIU3" s="230"/>
      <c r="KIV3" s="231"/>
      <c r="KIW3" s="229" t="s">
        <v>13329</v>
      </c>
      <c r="KIX3" s="230"/>
      <c r="KIY3" s="230"/>
      <c r="KIZ3" s="231"/>
      <c r="KJA3" s="229" t="s">
        <v>13329</v>
      </c>
      <c r="KJB3" s="230"/>
      <c r="KJC3" s="230"/>
      <c r="KJD3" s="231"/>
      <c r="KJE3" s="229" t="s">
        <v>13329</v>
      </c>
      <c r="KJF3" s="230"/>
      <c r="KJG3" s="230"/>
      <c r="KJH3" s="231"/>
      <c r="KJI3" s="229" t="s">
        <v>13329</v>
      </c>
      <c r="KJJ3" s="230"/>
      <c r="KJK3" s="230"/>
      <c r="KJL3" s="231"/>
      <c r="KJM3" s="229" t="s">
        <v>13329</v>
      </c>
      <c r="KJN3" s="230"/>
      <c r="KJO3" s="230"/>
      <c r="KJP3" s="231"/>
      <c r="KJQ3" s="229" t="s">
        <v>13329</v>
      </c>
      <c r="KJR3" s="230"/>
      <c r="KJS3" s="230"/>
      <c r="KJT3" s="231"/>
      <c r="KJU3" s="229" t="s">
        <v>13329</v>
      </c>
      <c r="KJV3" s="230"/>
      <c r="KJW3" s="230"/>
      <c r="KJX3" s="231"/>
      <c r="KJY3" s="229" t="s">
        <v>13329</v>
      </c>
      <c r="KJZ3" s="230"/>
      <c r="KKA3" s="230"/>
      <c r="KKB3" s="231"/>
      <c r="KKC3" s="229" t="s">
        <v>13329</v>
      </c>
      <c r="KKD3" s="230"/>
      <c r="KKE3" s="230"/>
      <c r="KKF3" s="231"/>
      <c r="KKG3" s="229" t="s">
        <v>13329</v>
      </c>
      <c r="KKH3" s="230"/>
      <c r="KKI3" s="230"/>
      <c r="KKJ3" s="231"/>
      <c r="KKK3" s="229" t="s">
        <v>13329</v>
      </c>
      <c r="KKL3" s="230"/>
      <c r="KKM3" s="230"/>
      <c r="KKN3" s="231"/>
      <c r="KKO3" s="229" t="s">
        <v>13329</v>
      </c>
      <c r="KKP3" s="230"/>
      <c r="KKQ3" s="230"/>
      <c r="KKR3" s="231"/>
      <c r="KKS3" s="229" t="s">
        <v>13329</v>
      </c>
      <c r="KKT3" s="230"/>
      <c r="KKU3" s="230"/>
      <c r="KKV3" s="231"/>
      <c r="KKW3" s="229" t="s">
        <v>13329</v>
      </c>
      <c r="KKX3" s="230"/>
      <c r="KKY3" s="230"/>
      <c r="KKZ3" s="231"/>
      <c r="KLA3" s="229" t="s">
        <v>13329</v>
      </c>
      <c r="KLB3" s="230"/>
      <c r="KLC3" s="230"/>
      <c r="KLD3" s="231"/>
      <c r="KLE3" s="229" t="s">
        <v>13329</v>
      </c>
      <c r="KLF3" s="230"/>
      <c r="KLG3" s="230"/>
      <c r="KLH3" s="231"/>
      <c r="KLI3" s="229" t="s">
        <v>13329</v>
      </c>
      <c r="KLJ3" s="230"/>
      <c r="KLK3" s="230"/>
      <c r="KLL3" s="231"/>
      <c r="KLM3" s="229" t="s">
        <v>13329</v>
      </c>
      <c r="KLN3" s="230"/>
      <c r="KLO3" s="230"/>
      <c r="KLP3" s="231"/>
      <c r="KLQ3" s="229" t="s">
        <v>13329</v>
      </c>
      <c r="KLR3" s="230"/>
      <c r="KLS3" s="230"/>
      <c r="KLT3" s="231"/>
      <c r="KLU3" s="229" t="s">
        <v>13329</v>
      </c>
      <c r="KLV3" s="230"/>
      <c r="KLW3" s="230"/>
      <c r="KLX3" s="231"/>
      <c r="KLY3" s="229" t="s">
        <v>13329</v>
      </c>
      <c r="KLZ3" s="230"/>
      <c r="KMA3" s="230"/>
      <c r="KMB3" s="231"/>
      <c r="KMC3" s="229" t="s">
        <v>13329</v>
      </c>
      <c r="KMD3" s="230"/>
      <c r="KME3" s="230"/>
      <c r="KMF3" s="231"/>
      <c r="KMG3" s="229" t="s">
        <v>13329</v>
      </c>
      <c r="KMH3" s="230"/>
      <c r="KMI3" s="230"/>
      <c r="KMJ3" s="231"/>
      <c r="KMK3" s="229" t="s">
        <v>13329</v>
      </c>
      <c r="KML3" s="230"/>
      <c r="KMM3" s="230"/>
      <c r="KMN3" s="231"/>
      <c r="KMO3" s="229" t="s">
        <v>13329</v>
      </c>
      <c r="KMP3" s="230"/>
      <c r="KMQ3" s="230"/>
      <c r="KMR3" s="231"/>
      <c r="KMS3" s="229" t="s">
        <v>13329</v>
      </c>
      <c r="KMT3" s="230"/>
      <c r="KMU3" s="230"/>
      <c r="KMV3" s="231"/>
      <c r="KMW3" s="229" t="s">
        <v>13329</v>
      </c>
      <c r="KMX3" s="230"/>
      <c r="KMY3" s="230"/>
      <c r="KMZ3" s="231"/>
      <c r="KNA3" s="229" t="s">
        <v>13329</v>
      </c>
      <c r="KNB3" s="230"/>
      <c r="KNC3" s="230"/>
      <c r="KND3" s="231"/>
      <c r="KNE3" s="229" t="s">
        <v>13329</v>
      </c>
      <c r="KNF3" s="230"/>
      <c r="KNG3" s="230"/>
      <c r="KNH3" s="231"/>
      <c r="KNI3" s="229" t="s">
        <v>13329</v>
      </c>
      <c r="KNJ3" s="230"/>
      <c r="KNK3" s="230"/>
      <c r="KNL3" s="231"/>
      <c r="KNM3" s="229" t="s">
        <v>13329</v>
      </c>
      <c r="KNN3" s="230"/>
      <c r="KNO3" s="230"/>
      <c r="KNP3" s="231"/>
      <c r="KNQ3" s="229" t="s">
        <v>13329</v>
      </c>
      <c r="KNR3" s="230"/>
      <c r="KNS3" s="230"/>
      <c r="KNT3" s="231"/>
      <c r="KNU3" s="229" t="s">
        <v>13329</v>
      </c>
      <c r="KNV3" s="230"/>
      <c r="KNW3" s="230"/>
      <c r="KNX3" s="231"/>
      <c r="KNY3" s="229" t="s">
        <v>13329</v>
      </c>
      <c r="KNZ3" s="230"/>
      <c r="KOA3" s="230"/>
      <c r="KOB3" s="231"/>
      <c r="KOC3" s="229" t="s">
        <v>13329</v>
      </c>
      <c r="KOD3" s="230"/>
      <c r="KOE3" s="230"/>
      <c r="KOF3" s="231"/>
      <c r="KOG3" s="229" t="s">
        <v>13329</v>
      </c>
      <c r="KOH3" s="230"/>
      <c r="KOI3" s="230"/>
      <c r="KOJ3" s="231"/>
      <c r="KOK3" s="229" t="s">
        <v>13329</v>
      </c>
      <c r="KOL3" s="230"/>
      <c r="KOM3" s="230"/>
      <c r="KON3" s="231"/>
      <c r="KOO3" s="229" t="s">
        <v>13329</v>
      </c>
      <c r="KOP3" s="230"/>
      <c r="KOQ3" s="230"/>
      <c r="KOR3" s="231"/>
      <c r="KOS3" s="229" t="s">
        <v>13329</v>
      </c>
      <c r="KOT3" s="230"/>
      <c r="KOU3" s="230"/>
      <c r="KOV3" s="231"/>
      <c r="KOW3" s="229" t="s">
        <v>13329</v>
      </c>
      <c r="KOX3" s="230"/>
      <c r="KOY3" s="230"/>
      <c r="KOZ3" s="231"/>
      <c r="KPA3" s="229" t="s">
        <v>13329</v>
      </c>
      <c r="KPB3" s="230"/>
      <c r="KPC3" s="230"/>
      <c r="KPD3" s="231"/>
      <c r="KPE3" s="229" t="s">
        <v>13329</v>
      </c>
      <c r="KPF3" s="230"/>
      <c r="KPG3" s="230"/>
      <c r="KPH3" s="231"/>
      <c r="KPI3" s="229" t="s">
        <v>13329</v>
      </c>
      <c r="KPJ3" s="230"/>
      <c r="KPK3" s="230"/>
      <c r="KPL3" s="231"/>
      <c r="KPM3" s="229" t="s">
        <v>13329</v>
      </c>
      <c r="KPN3" s="230"/>
      <c r="KPO3" s="230"/>
      <c r="KPP3" s="231"/>
      <c r="KPQ3" s="229" t="s">
        <v>13329</v>
      </c>
      <c r="KPR3" s="230"/>
      <c r="KPS3" s="230"/>
      <c r="KPT3" s="231"/>
      <c r="KPU3" s="229" t="s">
        <v>13329</v>
      </c>
      <c r="KPV3" s="230"/>
      <c r="KPW3" s="230"/>
      <c r="KPX3" s="231"/>
      <c r="KPY3" s="229" t="s">
        <v>13329</v>
      </c>
      <c r="KPZ3" s="230"/>
      <c r="KQA3" s="230"/>
      <c r="KQB3" s="231"/>
      <c r="KQC3" s="229" t="s">
        <v>13329</v>
      </c>
      <c r="KQD3" s="230"/>
      <c r="KQE3" s="230"/>
      <c r="KQF3" s="231"/>
      <c r="KQG3" s="229" t="s">
        <v>13329</v>
      </c>
      <c r="KQH3" s="230"/>
      <c r="KQI3" s="230"/>
      <c r="KQJ3" s="231"/>
      <c r="KQK3" s="229" t="s">
        <v>13329</v>
      </c>
      <c r="KQL3" s="230"/>
      <c r="KQM3" s="230"/>
      <c r="KQN3" s="231"/>
      <c r="KQO3" s="229" t="s">
        <v>13329</v>
      </c>
      <c r="KQP3" s="230"/>
      <c r="KQQ3" s="230"/>
      <c r="KQR3" s="231"/>
      <c r="KQS3" s="229" t="s">
        <v>13329</v>
      </c>
      <c r="KQT3" s="230"/>
      <c r="KQU3" s="230"/>
      <c r="KQV3" s="231"/>
      <c r="KQW3" s="229" t="s">
        <v>13329</v>
      </c>
      <c r="KQX3" s="230"/>
      <c r="KQY3" s="230"/>
      <c r="KQZ3" s="231"/>
      <c r="KRA3" s="229" t="s">
        <v>13329</v>
      </c>
      <c r="KRB3" s="230"/>
      <c r="KRC3" s="230"/>
      <c r="KRD3" s="231"/>
      <c r="KRE3" s="229" t="s">
        <v>13329</v>
      </c>
      <c r="KRF3" s="230"/>
      <c r="KRG3" s="230"/>
      <c r="KRH3" s="231"/>
      <c r="KRI3" s="229" t="s">
        <v>13329</v>
      </c>
      <c r="KRJ3" s="230"/>
      <c r="KRK3" s="230"/>
      <c r="KRL3" s="231"/>
      <c r="KRM3" s="229" t="s">
        <v>13329</v>
      </c>
      <c r="KRN3" s="230"/>
      <c r="KRO3" s="230"/>
      <c r="KRP3" s="231"/>
      <c r="KRQ3" s="229" t="s">
        <v>13329</v>
      </c>
      <c r="KRR3" s="230"/>
      <c r="KRS3" s="230"/>
      <c r="KRT3" s="231"/>
      <c r="KRU3" s="229" t="s">
        <v>13329</v>
      </c>
      <c r="KRV3" s="230"/>
      <c r="KRW3" s="230"/>
      <c r="KRX3" s="231"/>
      <c r="KRY3" s="229" t="s">
        <v>13329</v>
      </c>
      <c r="KRZ3" s="230"/>
      <c r="KSA3" s="230"/>
      <c r="KSB3" s="231"/>
      <c r="KSC3" s="229" t="s">
        <v>13329</v>
      </c>
      <c r="KSD3" s="230"/>
      <c r="KSE3" s="230"/>
      <c r="KSF3" s="231"/>
      <c r="KSG3" s="229" t="s">
        <v>13329</v>
      </c>
      <c r="KSH3" s="230"/>
      <c r="KSI3" s="230"/>
      <c r="KSJ3" s="231"/>
      <c r="KSK3" s="229" t="s">
        <v>13329</v>
      </c>
      <c r="KSL3" s="230"/>
      <c r="KSM3" s="230"/>
      <c r="KSN3" s="231"/>
      <c r="KSO3" s="229" t="s">
        <v>13329</v>
      </c>
      <c r="KSP3" s="230"/>
      <c r="KSQ3" s="230"/>
      <c r="KSR3" s="231"/>
      <c r="KSS3" s="229" t="s">
        <v>13329</v>
      </c>
      <c r="KST3" s="230"/>
      <c r="KSU3" s="230"/>
      <c r="KSV3" s="231"/>
      <c r="KSW3" s="229" t="s">
        <v>13329</v>
      </c>
      <c r="KSX3" s="230"/>
      <c r="KSY3" s="230"/>
      <c r="KSZ3" s="231"/>
      <c r="KTA3" s="229" t="s">
        <v>13329</v>
      </c>
      <c r="KTB3" s="230"/>
      <c r="KTC3" s="230"/>
      <c r="KTD3" s="231"/>
      <c r="KTE3" s="229" t="s">
        <v>13329</v>
      </c>
      <c r="KTF3" s="230"/>
      <c r="KTG3" s="230"/>
      <c r="KTH3" s="231"/>
      <c r="KTI3" s="229" t="s">
        <v>13329</v>
      </c>
      <c r="KTJ3" s="230"/>
      <c r="KTK3" s="230"/>
      <c r="KTL3" s="231"/>
      <c r="KTM3" s="229" t="s">
        <v>13329</v>
      </c>
      <c r="KTN3" s="230"/>
      <c r="KTO3" s="230"/>
      <c r="KTP3" s="231"/>
      <c r="KTQ3" s="229" t="s">
        <v>13329</v>
      </c>
      <c r="KTR3" s="230"/>
      <c r="KTS3" s="230"/>
      <c r="KTT3" s="231"/>
      <c r="KTU3" s="229" t="s">
        <v>13329</v>
      </c>
      <c r="KTV3" s="230"/>
      <c r="KTW3" s="230"/>
      <c r="KTX3" s="231"/>
      <c r="KTY3" s="229" t="s">
        <v>13329</v>
      </c>
      <c r="KTZ3" s="230"/>
      <c r="KUA3" s="230"/>
      <c r="KUB3" s="231"/>
      <c r="KUC3" s="229" t="s">
        <v>13329</v>
      </c>
      <c r="KUD3" s="230"/>
      <c r="KUE3" s="230"/>
      <c r="KUF3" s="231"/>
      <c r="KUG3" s="229" t="s">
        <v>13329</v>
      </c>
      <c r="KUH3" s="230"/>
      <c r="KUI3" s="230"/>
      <c r="KUJ3" s="231"/>
      <c r="KUK3" s="229" t="s">
        <v>13329</v>
      </c>
      <c r="KUL3" s="230"/>
      <c r="KUM3" s="230"/>
      <c r="KUN3" s="231"/>
      <c r="KUO3" s="229" t="s">
        <v>13329</v>
      </c>
      <c r="KUP3" s="230"/>
      <c r="KUQ3" s="230"/>
      <c r="KUR3" s="231"/>
      <c r="KUS3" s="229" t="s">
        <v>13329</v>
      </c>
      <c r="KUT3" s="230"/>
      <c r="KUU3" s="230"/>
      <c r="KUV3" s="231"/>
      <c r="KUW3" s="229" t="s">
        <v>13329</v>
      </c>
      <c r="KUX3" s="230"/>
      <c r="KUY3" s="230"/>
      <c r="KUZ3" s="231"/>
      <c r="KVA3" s="229" t="s">
        <v>13329</v>
      </c>
      <c r="KVB3" s="230"/>
      <c r="KVC3" s="230"/>
      <c r="KVD3" s="231"/>
      <c r="KVE3" s="229" t="s">
        <v>13329</v>
      </c>
      <c r="KVF3" s="230"/>
      <c r="KVG3" s="230"/>
      <c r="KVH3" s="231"/>
      <c r="KVI3" s="229" t="s">
        <v>13329</v>
      </c>
      <c r="KVJ3" s="230"/>
      <c r="KVK3" s="230"/>
      <c r="KVL3" s="231"/>
      <c r="KVM3" s="229" t="s">
        <v>13329</v>
      </c>
      <c r="KVN3" s="230"/>
      <c r="KVO3" s="230"/>
      <c r="KVP3" s="231"/>
      <c r="KVQ3" s="229" t="s">
        <v>13329</v>
      </c>
      <c r="KVR3" s="230"/>
      <c r="KVS3" s="230"/>
      <c r="KVT3" s="231"/>
      <c r="KVU3" s="229" t="s">
        <v>13329</v>
      </c>
      <c r="KVV3" s="230"/>
      <c r="KVW3" s="230"/>
      <c r="KVX3" s="231"/>
      <c r="KVY3" s="229" t="s">
        <v>13329</v>
      </c>
      <c r="KVZ3" s="230"/>
      <c r="KWA3" s="230"/>
      <c r="KWB3" s="231"/>
      <c r="KWC3" s="229" t="s">
        <v>13329</v>
      </c>
      <c r="KWD3" s="230"/>
      <c r="KWE3" s="230"/>
      <c r="KWF3" s="231"/>
      <c r="KWG3" s="229" t="s">
        <v>13329</v>
      </c>
      <c r="KWH3" s="230"/>
      <c r="KWI3" s="230"/>
      <c r="KWJ3" s="231"/>
      <c r="KWK3" s="229" t="s">
        <v>13329</v>
      </c>
      <c r="KWL3" s="230"/>
      <c r="KWM3" s="230"/>
      <c r="KWN3" s="231"/>
      <c r="KWO3" s="229" t="s">
        <v>13329</v>
      </c>
      <c r="KWP3" s="230"/>
      <c r="KWQ3" s="230"/>
      <c r="KWR3" s="231"/>
      <c r="KWS3" s="229" t="s">
        <v>13329</v>
      </c>
      <c r="KWT3" s="230"/>
      <c r="KWU3" s="230"/>
      <c r="KWV3" s="231"/>
      <c r="KWW3" s="229" t="s">
        <v>13329</v>
      </c>
      <c r="KWX3" s="230"/>
      <c r="KWY3" s="230"/>
      <c r="KWZ3" s="231"/>
      <c r="KXA3" s="229" t="s">
        <v>13329</v>
      </c>
      <c r="KXB3" s="230"/>
      <c r="KXC3" s="230"/>
      <c r="KXD3" s="231"/>
      <c r="KXE3" s="229" t="s">
        <v>13329</v>
      </c>
      <c r="KXF3" s="230"/>
      <c r="KXG3" s="230"/>
      <c r="KXH3" s="231"/>
      <c r="KXI3" s="229" t="s">
        <v>13329</v>
      </c>
      <c r="KXJ3" s="230"/>
      <c r="KXK3" s="230"/>
      <c r="KXL3" s="231"/>
      <c r="KXM3" s="229" t="s">
        <v>13329</v>
      </c>
      <c r="KXN3" s="230"/>
      <c r="KXO3" s="230"/>
      <c r="KXP3" s="231"/>
      <c r="KXQ3" s="229" t="s">
        <v>13329</v>
      </c>
      <c r="KXR3" s="230"/>
      <c r="KXS3" s="230"/>
      <c r="KXT3" s="231"/>
      <c r="KXU3" s="229" t="s">
        <v>13329</v>
      </c>
      <c r="KXV3" s="230"/>
      <c r="KXW3" s="230"/>
      <c r="KXX3" s="231"/>
      <c r="KXY3" s="229" t="s">
        <v>13329</v>
      </c>
      <c r="KXZ3" s="230"/>
      <c r="KYA3" s="230"/>
      <c r="KYB3" s="231"/>
      <c r="KYC3" s="229" t="s">
        <v>13329</v>
      </c>
      <c r="KYD3" s="230"/>
      <c r="KYE3" s="230"/>
      <c r="KYF3" s="231"/>
      <c r="KYG3" s="229" t="s">
        <v>13329</v>
      </c>
      <c r="KYH3" s="230"/>
      <c r="KYI3" s="230"/>
      <c r="KYJ3" s="231"/>
      <c r="KYK3" s="229" t="s">
        <v>13329</v>
      </c>
      <c r="KYL3" s="230"/>
      <c r="KYM3" s="230"/>
      <c r="KYN3" s="231"/>
      <c r="KYO3" s="229" t="s">
        <v>13329</v>
      </c>
      <c r="KYP3" s="230"/>
      <c r="KYQ3" s="230"/>
      <c r="KYR3" s="231"/>
      <c r="KYS3" s="229" t="s">
        <v>13329</v>
      </c>
      <c r="KYT3" s="230"/>
      <c r="KYU3" s="230"/>
      <c r="KYV3" s="231"/>
      <c r="KYW3" s="229" t="s">
        <v>13329</v>
      </c>
      <c r="KYX3" s="230"/>
      <c r="KYY3" s="230"/>
      <c r="KYZ3" s="231"/>
      <c r="KZA3" s="229" t="s">
        <v>13329</v>
      </c>
      <c r="KZB3" s="230"/>
      <c r="KZC3" s="230"/>
      <c r="KZD3" s="231"/>
      <c r="KZE3" s="229" t="s">
        <v>13329</v>
      </c>
      <c r="KZF3" s="230"/>
      <c r="KZG3" s="230"/>
      <c r="KZH3" s="231"/>
      <c r="KZI3" s="229" t="s">
        <v>13329</v>
      </c>
      <c r="KZJ3" s="230"/>
      <c r="KZK3" s="230"/>
      <c r="KZL3" s="231"/>
      <c r="KZM3" s="229" t="s">
        <v>13329</v>
      </c>
      <c r="KZN3" s="230"/>
      <c r="KZO3" s="230"/>
      <c r="KZP3" s="231"/>
      <c r="KZQ3" s="229" t="s">
        <v>13329</v>
      </c>
      <c r="KZR3" s="230"/>
      <c r="KZS3" s="230"/>
      <c r="KZT3" s="231"/>
      <c r="KZU3" s="229" t="s">
        <v>13329</v>
      </c>
      <c r="KZV3" s="230"/>
      <c r="KZW3" s="230"/>
      <c r="KZX3" s="231"/>
      <c r="KZY3" s="229" t="s">
        <v>13329</v>
      </c>
      <c r="KZZ3" s="230"/>
      <c r="LAA3" s="230"/>
      <c r="LAB3" s="231"/>
      <c r="LAC3" s="229" t="s">
        <v>13329</v>
      </c>
      <c r="LAD3" s="230"/>
      <c r="LAE3" s="230"/>
      <c r="LAF3" s="231"/>
      <c r="LAG3" s="229" t="s">
        <v>13329</v>
      </c>
      <c r="LAH3" s="230"/>
      <c r="LAI3" s="230"/>
      <c r="LAJ3" s="231"/>
      <c r="LAK3" s="229" t="s">
        <v>13329</v>
      </c>
      <c r="LAL3" s="230"/>
      <c r="LAM3" s="230"/>
      <c r="LAN3" s="231"/>
      <c r="LAO3" s="229" t="s">
        <v>13329</v>
      </c>
      <c r="LAP3" s="230"/>
      <c r="LAQ3" s="230"/>
      <c r="LAR3" s="231"/>
      <c r="LAS3" s="229" t="s">
        <v>13329</v>
      </c>
      <c r="LAT3" s="230"/>
      <c r="LAU3" s="230"/>
      <c r="LAV3" s="231"/>
      <c r="LAW3" s="229" t="s">
        <v>13329</v>
      </c>
      <c r="LAX3" s="230"/>
      <c r="LAY3" s="230"/>
      <c r="LAZ3" s="231"/>
      <c r="LBA3" s="229" t="s">
        <v>13329</v>
      </c>
      <c r="LBB3" s="230"/>
      <c r="LBC3" s="230"/>
      <c r="LBD3" s="231"/>
      <c r="LBE3" s="229" t="s">
        <v>13329</v>
      </c>
      <c r="LBF3" s="230"/>
      <c r="LBG3" s="230"/>
      <c r="LBH3" s="231"/>
      <c r="LBI3" s="229" t="s">
        <v>13329</v>
      </c>
      <c r="LBJ3" s="230"/>
      <c r="LBK3" s="230"/>
      <c r="LBL3" s="231"/>
      <c r="LBM3" s="229" t="s">
        <v>13329</v>
      </c>
      <c r="LBN3" s="230"/>
      <c r="LBO3" s="230"/>
      <c r="LBP3" s="231"/>
      <c r="LBQ3" s="229" t="s">
        <v>13329</v>
      </c>
      <c r="LBR3" s="230"/>
      <c r="LBS3" s="230"/>
      <c r="LBT3" s="231"/>
      <c r="LBU3" s="229" t="s">
        <v>13329</v>
      </c>
      <c r="LBV3" s="230"/>
      <c r="LBW3" s="230"/>
      <c r="LBX3" s="231"/>
      <c r="LBY3" s="229" t="s">
        <v>13329</v>
      </c>
      <c r="LBZ3" s="230"/>
      <c r="LCA3" s="230"/>
      <c r="LCB3" s="231"/>
      <c r="LCC3" s="229" t="s">
        <v>13329</v>
      </c>
      <c r="LCD3" s="230"/>
      <c r="LCE3" s="230"/>
      <c r="LCF3" s="231"/>
      <c r="LCG3" s="229" t="s">
        <v>13329</v>
      </c>
      <c r="LCH3" s="230"/>
      <c r="LCI3" s="230"/>
      <c r="LCJ3" s="231"/>
      <c r="LCK3" s="229" t="s">
        <v>13329</v>
      </c>
      <c r="LCL3" s="230"/>
      <c r="LCM3" s="230"/>
      <c r="LCN3" s="231"/>
      <c r="LCO3" s="229" t="s">
        <v>13329</v>
      </c>
      <c r="LCP3" s="230"/>
      <c r="LCQ3" s="230"/>
      <c r="LCR3" s="231"/>
      <c r="LCS3" s="229" t="s">
        <v>13329</v>
      </c>
      <c r="LCT3" s="230"/>
      <c r="LCU3" s="230"/>
      <c r="LCV3" s="231"/>
      <c r="LCW3" s="229" t="s">
        <v>13329</v>
      </c>
      <c r="LCX3" s="230"/>
      <c r="LCY3" s="230"/>
      <c r="LCZ3" s="231"/>
      <c r="LDA3" s="229" t="s">
        <v>13329</v>
      </c>
      <c r="LDB3" s="230"/>
      <c r="LDC3" s="230"/>
      <c r="LDD3" s="231"/>
      <c r="LDE3" s="229" t="s">
        <v>13329</v>
      </c>
      <c r="LDF3" s="230"/>
      <c r="LDG3" s="230"/>
      <c r="LDH3" s="231"/>
      <c r="LDI3" s="229" t="s">
        <v>13329</v>
      </c>
      <c r="LDJ3" s="230"/>
      <c r="LDK3" s="230"/>
      <c r="LDL3" s="231"/>
      <c r="LDM3" s="229" t="s">
        <v>13329</v>
      </c>
      <c r="LDN3" s="230"/>
      <c r="LDO3" s="230"/>
      <c r="LDP3" s="231"/>
      <c r="LDQ3" s="229" t="s">
        <v>13329</v>
      </c>
      <c r="LDR3" s="230"/>
      <c r="LDS3" s="230"/>
      <c r="LDT3" s="231"/>
      <c r="LDU3" s="229" t="s">
        <v>13329</v>
      </c>
      <c r="LDV3" s="230"/>
      <c r="LDW3" s="230"/>
      <c r="LDX3" s="231"/>
      <c r="LDY3" s="229" t="s">
        <v>13329</v>
      </c>
      <c r="LDZ3" s="230"/>
      <c r="LEA3" s="230"/>
      <c r="LEB3" s="231"/>
      <c r="LEC3" s="229" t="s">
        <v>13329</v>
      </c>
      <c r="LED3" s="230"/>
      <c r="LEE3" s="230"/>
      <c r="LEF3" s="231"/>
      <c r="LEG3" s="229" t="s">
        <v>13329</v>
      </c>
      <c r="LEH3" s="230"/>
      <c r="LEI3" s="230"/>
      <c r="LEJ3" s="231"/>
      <c r="LEK3" s="229" t="s">
        <v>13329</v>
      </c>
      <c r="LEL3" s="230"/>
      <c r="LEM3" s="230"/>
      <c r="LEN3" s="231"/>
      <c r="LEO3" s="229" t="s">
        <v>13329</v>
      </c>
      <c r="LEP3" s="230"/>
      <c r="LEQ3" s="230"/>
      <c r="LER3" s="231"/>
      <c r="LES3" s="229" t="s">
        <v>13329</v>
      </c>
      <c r="LET3" s="230"/>
      <c r="LEU3" s="230"/>
      <c r="LEV3" s="231"/>
      <c r="LEW3" s="229" t="s">
        <v>13329</v>
      </c>
      <c r="LEX3" s="230"/>
      <c r="LEY3" s="230"/>
      <c r="LEZ3" s="231"/>
      <c r="LFA3" s="229" t="s">
        <v>13329</v>
      </c>
      <c r="LFB3" s="230"/>
      <c r="LFC3" s="230"/>
      <c r="LFD3" s="231"/>
      <c r="LFE3" s="229" t="s">
        <v>13329</v>
      </c>
      <c r="LFF3" s="230"/>
      <c r="LFG3" s="230"/>
      <c r="LFH3" s="231"/>
      <c r="LFI3" s="229" t="s">
        <v>13329</v>
      </c>
      <c r="LFJ3" s="230"/>
      <c r="LFK3" s="230"/>
      <c r="LFL3" s="231"/>
      <c r="LFM3" s="229" t="s">
        <v>13329</v>
      </c>
      <c r="LFN3" s="230"/>
      <c r="LFO3" s="230"/>
      <c r="LFP3" s="231"/>
      <c r="LFQ3" s="229" t="s">
        <v>13329</v>
      </c>
      <c r="LFR3" s="230"/>
      <c r="LFS3" s="230"/>
      <c r="LFT3" s="231"/>
      <c r="LFU3" s="229" t="s">
        <v>13329</v>
      </c>
      <c r="LFV3" s="230"/>
      <c r="LFW3" s="230"/>
      <c r="LFX3" s="231"/>
      <c r="LFY3" s="229" t="s">
        <v>13329</v>
      </c>
      <c r="LFZ3" s="230"/>
      <c r="LGA3" s="230"/>
      <c r="LGB3" s="231"/>
      <c r="LGC3" s="229" t="s">
        <v>13329</v>
      </c>
      <c r="LGD3" s="230"/>
      <c r="LGE3" s="230"/>
      <c r="LGF3" s="231"/>
      <c r="LGG3" s="229" t="s">
        <v>13329</v>
      </c>
      <c r="LGH3" s="230"/>
      <c r="LGI3" s="230"/>
      <c r="LGJ3" s="231"/>
      <c r="LGK3" s="229" t="s">
        <v>13329</v>
      </c>
      <c r="LGL3" s="230"/>
      <c r="LGM3" s="230"/>
      <c r="LGN3" s="231"/>
      <c r="LGO3" s="229" t="s">
        <v>13329</v>
      </c>
      <c r="LGP3" s="230"/>
      <c r="LGQ3" s="230"/>
      <c r="LGR3" s="231"/>
      <c r="LGS3" s="229" t="s">
        <v>13329</v>
      </c>
      <c r="LGT3" s="230"/>
      <c r="LGU3" s="230"/>
      <c r="LGV3" s="231"/>
      <c r="LGW3" s="229" t="s">
        <v>13329</v>
      </c>
      <c r="LGX3" s="230"/>
      <c r="LGY3" s="230"/>
      <c r="LGZ3" s="231"/>
      <c r="LHA3" s="229" t="s">
        <v>13329</v>
      </c>
      <c r="LHB3" s="230"/>
      <c r="LHC3" s="230"/>
      <c r="LHD3" s="231"/>
      <c r="LHE3" s="229" t="s">
        <v>13329</v>
      </c>
      <c r="LHF3" s="230"/>
      <c r="LHG3" s="230"/>
      <c r="LHH3" s="231"/>
      <c r="LHI3" s="229" t="s">
        <v>13329</v>
      </c>
      <c r="LHJ3" s="230"/>
      <c r="LHK3" s="230"/>
      <c r="LHL3" s="231"/>
      <c r="LHM3" s="229" t="s">
        <v>13329</v>
      </c>
      <c r="LHN3" s="230"/>
      <c r="LHO3" s="230"/>
      <c r="LHP3" s="231"/>
      <c r="LHQ3" s="229" t="s">
        <v>13329</v>
      </c>
      <c r="LHR3" s="230"/>
      <c r="LHS3" s="230"/>
      <c r="LHT3" s="231"/>
      <c r="LHU3" s="229" t="s">
        <v>13329</v>
      </c>
      <c r="LHV3" s="230"/>
      <c r="LHW3" s="230"/>
      <c r="LHX3" s="231"/>
      <c r="LHY3" s="229" t="s">
        <v>13329</v>
      </c>
      <c r="LHZ3" s="230"/>
      <c r="LIA3" s="230"/>
      <c r="LIB3" s="231"/>
      <c r="LIC3" s="229" t="s">
        <v>13329</v>
      </c>
      <c r="LID3" s="230"/>
      <c r="LIE3" s="230"/>
      <c r="LIF3" s="231"/>
      <c r="LIG3" s="229" t="s">
        <v>13329</v>
      </c>
      <c r="LIH3" s="230"/>
      <c r="LII3" s="230"/>
      <c r="LIJ3" s="231"/>
      <c r="LIK3" s="229" t="s">
        <v>13329</v>
      </c>
      <c r="LIL3" s="230"/>
      <c r="LIM3" s="230"/>
      <c r="LIN3" s="231"/>
      <c r="LIO3" s="229" t="s">
        <v>13329</v>
      </c>
      <c r="LIP3" s="230"/>
      <c r="LIQ3" s="230"/>
      <c r="LIR3" s="231"/>
      <c r="LIS3" s="229" t="s">
        <v>13329</v>
      </c>
      <c r="LIT3" s="230"/>
      <c r="LIU3" s="230"/>
      <c r="LIV3" s="231"/>
      <c r="LIW3" s="229" t="s">
        <v>13329</v>
      </c>
      <c r="LIX3" s="230"/>
      <c r="LIY3" s="230"/>
      <c r="LIZ3" s="231"/>
      <c r="LJA3" s="229" t="s">
        <v>13329</v>
      </c>
      <c r="LJB3" s="230"/>
      <c r="LJC3" s="230"/>
      <c r="LJD3" s="231"/>
      <c r="LJE3" s="229" t="s">
        <v>13329</v>
      </c>
      <c r="LJF3" s="230"/>
      <c r="LJG3" s="230"/>
      <c r="LJH3" s="231"/>
      <c r="LJI3" s="229" t="s">
        <v>13329</v>
      </c>
      <c r="LJJ3" s="230"/>
      <c r="LJK3" s="230"/>
      <c r="LJL3" s="231"/>
      <c r="LJM3" s="229" t="s">
        <v>13329</v>
      </c>
      <c r="LJN3" s="230"/>
      <c r="LJO3" s="230"/>
      <c r="LJP3" s="231"/>
      <c r="LJQ3" s="229" t="s">
        <v>13329</v>
      </c>
      <c r="LJR3" s="230"/>
      <c r="LJS3" s="230"/>
      <c r="LJT3" s="231"/>
      <c r="LJU3" s="229" t="s">
        <v>13329</v>
      </c>
      <c r="LJV3" s="230"/>
      <c r="LJW3" s="230"/>
      <c r="LJX3" s="231"/>
      <c r="LJY3" s="229" t="s">
        <v>13329</v>
      </c>
      <c r="LJZ3" s="230"/>
      <c r="LKA3" s="230"/>
      <c r="LKB3" s="231"/>
      <c r="LKC3" s="229" t="s">
        <v>13329</v>
      </c>
      <c r="LKD3" s="230"/>
      <c r="LKE3" s="230"/>
      <c r="LKF3" s="231"/>
      <c r="LKG3" s="229" t="s">
        <v>13329</v>
      </c>
      <c r="LKH3" s="230"/>
      <c r="LKI3" s="230"/>
      <c r="LKJ3" s="231"/>
      <c r="LKK3" s="229" t="s">
        <v>13329</v>
      </c>
      <c r="LKL3" s="230"/>
      <c r="LKM3" s="230"/>
      <c r="LKN3" s="231"/>
      <c r="LKO3" s="229" t="s">
        <v>13329</v>
      </c>
      <c r="LKP3" s="230"/>
      <c r="LKQ3" s="230"/>
      <c r="LKR3" s="231"/>
      <c r="LKS3" s="229" t="s">
        <v>13329</v>
      </c>
      <c r="LKT3" s="230"/>
      <c r="LKU3" s="230"/>
      <c r="LKV3" s="231"/>
      <c r="LKW3" s="229" t="s">
        <v>13329</v>
      </c>
      <c r="LKX3" s="230"/>
      <c r="LKY3" s="230"/>
      <c r="LKZ3" s="231"/>
      <c r="LLA3" s="229" t="s">
        <v>13329</v>
      </c>
      <c r="LLB3" s="230"/>
      <c r="LLC3" s="230"/>
      <c r="LLD3" s="231"/>
      <c r="LLE3" s="229" t="s">
        <v>13329</v>
      </c>
      <c r="LLF3" s="230"/>
      <c r="LLG3" s="230"/>
      <c r="LLH3" s="231"/>
      <c r="LLI3" s="229" t="s">
        <v>13329</v>
      </c>
      <c r="LLJ3" s="230"/>
      <c r="LLK3" s="230"/>
      <c r="LLL3" s="231"/>
      <c r="LLM3" s="229" t="s">
        <v>13329</v>
      </c>
      <c r="LLN3" s="230"/>
      <c r="LLO3" s="230"/>
      <c r="LLP3" s="231"/>
      <c r="LLQ3" s="229" t="s">
        <v>13329</v>
      </c>
      <c r="LLR3" s="230"/>
      <c r="LLS3" s="230"/>
      <c r="LLT3" s="231"/>
      <c r="LLU3" s="229" t="s">
        <v>13329</v>
      </c>
      <c r="LLV3" s="230"/>
      <c r="LLW3" s="230"/>
      <c r="LLX3" s="231"/>
      <c r="LLY3" s="229" t="s">
        <v>13329</v>
      </c>
      <c r="LLZ3" s="230"/>
      <c r="LMA3" s="230"/>
      <c r="LMB3" s="231"/>
      <c r="LMC3" s="229" t="s">
        <v>13329</v>
      </c>
      <c r="LMD3" s="230"/>
      <c r="LME3" s="230"/>
      <c r="LMF3" s="231"/>
      <c r="LMG3" s="229" t="s">
        <v>13329</v>
      </c>
      <c r="LMH3" s="230"/>
      <c r="LMI3" s="230"/>
      <c r="LMJ3" s="231"/>
      <c r="LMK3" s="229" t="s">
        <v>13329</v>
      </c>
      <c r="LML3" s="230"/>
      <c r="LMM3" s="230"/>
      <c r="LMN3" s="231"/>
      <c r="LMO3" s="229" t="s">
        <v>13329</v>
      </c>
      <c r="LMP3" s="230"/>
      <c r="LMQ3" s="230"/>
      <c r="LMR3" s="231"/>
      <c r="LMS3" s="229" t="s">
        <v>13329</v>
      </c>
      <c r="LMT3" s="230"/>
      <c r="LMU3" s="230"/>
      <c r="LMV3" s="231"/>
      <c r="LMW3" s="229" t="s">
        <v>13329</v>
      </c>
      <c r="LMX3" s="230"/>
      <c r="LMY3" s="230"/>
      <c r="LMZ3" s="231"/>
      <c r="LNA3" s="229" t="s">
        <v>13329</v>
      </c>
      <c r="LNB3" s="230"/>
      <c r="LNC3" s="230"/>
      <c r="LND3" s="231"/>
      <c r="LNE3" s="229" t="s">
        <v>13329</v>
      </c>
      <c r="LNF3" s="230"/>
      <c r="LNG3" s="230"/>
      <c r="LNH3" s="231"/>
      <c r="LNI3" s="229" t="s">
        <v>13329</v>
      </c>
      <c r="LNJ3" s="230"/>
      <c r="LNK3" s="230"/>
      <c r="LNL3" s="231"/>
      <c r="LNM3" s="229" t="s">
        <v>13329</v>
      </c>
      <c r="LNN3" s="230"/>
      <c r="LNO3" s="230"/>
      <c r="LNP3" s="231"/>
      <c r="LNQ3" s="229" t="s">
        <v>13329</v>
      </c>
      <c r="LNR3" s="230"/>
      <c r="LNS3" s="230"/>
      <c r="LNT3" s="231"/>
      <c r="LNU3" s="229" t="s">
        <v>13329</v>
      </c>
      <c r="LNV3" s="230"/>
      <c r="LNW3" s="230"/>
      <c r="LNX3" s="231"/>
      <c r="LNY3" s="229" t="s">
        <v>13329</v>
      </c>
      <c r="LNZ3" s="230"/>
      <c r="LOA3" s="230"/>
      <c r="LOB3" s="231"/>
      <c r="LOC3" s="229" t="s">
        <v>13329</v>
      </c>
      <c r="LOD3" s="230"/>
      <c r="LOE3" s="230"/>
      <c r="LOF3" s="231"/>
      <c r="LOG3" s="229" t="s">
        <v>13329</v>
      </c>
      <c r="LOH3" s="230"/>
      <c r="LOI3" s="230"/>
      <c r="LOJ3" s="231"/>
      <c r="LOK3" s="229" t="s">
        <v>13329</v>
      </c>
      <c r="LOL3" s="230"/>
      <c r="LOM3" s="230"/>
      <c r="LON3" s="231"/>
      <c r="LOO3" s="229" t="s">
        <v>13329</v>
      </c>
      <c r="LOP3" s="230"/>
      <c r="LOQ3" s="230"/>
      <c r="LOR3" s="231"/>
      <c r="LOS3" s="229" t="s">
        <v>13329</v>
      </c>
      <c r="LOT3" s="230"/>
      <c r="LOU3" s="230"/>
      <c r="LOV3" s="231"/>
      <c r="LOW3" s="229" t="s">
        <v>13329</v>
      </c>
      <c r="LOX3" s="230"/>
      <c r="LOY3" s="230"/>
      <c r="LOZ3" s="231"/>
      <c r="LPA3" s="229" t="s">
        <v>13329</v>
      </c>
      <c r="LPB3" s="230"/>
      <c r="LPC3" s="230"/>
      <c r="LPD3" s="231"/>
      <c r="LPE3" s="229" t="s">
        <v>13329</v>
      </c>
      <c r="LPF3" s="230"/>
      <c r="LPG3" s="230"/>
      <c r="LPH3" s="231"/>
      <c r="LPI3" s="229" t="s">
        <v>13329</v>
      </c>
      <c r="LPJ3" s="230"/>
      <c r="LPK3" s="230"/>
      <c r="LPL3" s="231"/>
      <c r="LPM3" s="229" t="s">
        <v>13329</v>
      </c>
      <c r="LPN3" s="230"/>
      <c r="LPO3" s="230"/>
      <c r="LPP3" s="231"/>
      <c r="LPQ3" s="229" t="s">
        <v>13329</v>
      </c>
      <c r="LPR3" s="230"/>
      <c r="LPS3" s="230"/>
      <c r="LPT3" s="231"/>
      <c r="LPU3" s="229" t="s">
        <v>13329</v>
      </c>
      <c r="LPV3" s="230"/>
      <c r="LPW3" s="230"/>
      <c r="LPX3" s="231"/>
      <c r="LPY3" s="229" t="s">
        <v>13329</v>
      </c>
      <c r="LPZ3" s="230"/>
      <c r="LQA3" s="230"/>
      <c r="LQB3" s="231"/>
      <c r="LQC3" s="229" t="s">
        <v>13329</v>
      </c>
      <c r="LQD3" s="230"/>
      <c r="LQE3" s="230"/>
      <c r="LQF3" s="231"/>
      <c r="LQG3" s="229" t="s">
        <v>13329</v>
      </c>
      <c r="LQH3" s="230"/>
      <c r="LQI3" s="230"/>
      <c r="LQJ3" s="231"/>
      <c r="LQK3" s="229" t="s">
        <v>13329</v>
      </c>
      <c r="LQL3" s="230"/>
      <c r="LQM3" s="230"/>
      <c r="LQN3" s="231"/>
      <c r="LQO3" s="229" t="s">
        <v>13329</v>
      </c>
      <c r="LQP3" s="230"/>
      <c r="LQQ3" s="230"/>
      <c r="LQR3" s="231"/>
      <c r="LQS3" s="229" t="s">
        <v>13329</v>
      </c>
      <c r="LQT3" s="230"/>
      <c r="LQU3" s="230"/>
      <c r="LQV3" s="231"/>
      <c r="LQW3" s="229" t="s">
        <v>13329</v>
      </c>
      <c r="LQX3" s="230"/>
      <c r="LQY3" s="230"/>
      <c r="LQZ3" s="231"/>
      <c r="LRA3" s="229" t="s">
        <v>13329</v>
      </c>
      <c r="LRB3" s="230"/>
      <c r="LRC3" s="230"/>
      <c r="LRD3" s="231"/>
      <c r="LRE3" s="229" t="s">
        <v>13329</v>
      </c>
      <c r="LRF3" s="230"/>
      <c r="LRG3" s="230"/>
      <c r="LRH3" s="231"/>
      <c r="LRI3" s="229" t="s">
        <v>13329</v>
      </c>
      <c r="LRJ3" s="230"/>
      <c r="LRK3" s="230"/>
      <c r="LRL3" s="231"/>
      <c r="LRM3" s="229" t="s">
        <v>13329</v>
      </c>
      <c r="LRN3" s="230"/>
      <c r="LRO3" s="230"/>
      <c r="LRP3" s="231"/>
      <c r="LRQ3" s="229" t="s">
        <v>13329</v>
      </c>
      <c r="LRR3" s="230"/>
      <c r="LRS3" s="230"/>
      <c r="LRT3" s="231"/>
      <c r="LRU3" s="229" t="s">
        <v>13329</v>
      </c>
      <c r="LRV3" s="230"/>
      <c r="LRW3" s="230"/>
      <c r="LRX3" s="231"/>
      <c r="LRY3" s="229" t="s">
        <v>13329</v>
      </c>
      <c r="LRZ3" s="230"/>
      <c r="LSA3" s="230"/>
      <c r="LSB3" s="231"/>
      <c r="LSC3" s="229" t="s">
        <v>13329</v>
      </c>
      <c r="LSD3" s="230"/>
      <c r="LSE3" s="230"/>
      <c r="LSF3" s="231"/>
      <c r="LSG3" s="229" t="s">
        <v>13329</v>
      </c>
      <c r="LSH3" s="230"/>
      <c r="LSI3" s="230"/>
      <c r="LSJ3" s="231"/>
      <c r="LSK3" s="229" t="s">
        <v>13329</v>
      </c>
      <c r="LSL3" s="230"/>
      <c r="LSM3" s="230"/>
      <c r="LSN3" s="231"/>
      <c r="LSO3" s="229" t="s">
        <v>13329</v>
      </c>
      <c r="LSP3" s="230"/>
      <c r="LSQ3" s="230"/>
      <c r="LSR3" s="231"/>
      <c r="LSS3" s="229" t="s">
        <v>13329</v>
      </c>
      <c r="LST3" s="230"/>
      <c r="LSU3" s="230"/>
      <c r="LSV3" s="231"/>
      <c r="LSW3" s="229" t="s">
        <v>13329</v>
      </c>
      <c r="LSX3" s="230"/>
      <c r="LSY3" s="230"/>
      <c r="LSZ3" s="231"/>
      <c r="LTA3" s="229" t="s">
        <v>13329</v>
      </c>
      <c r="LTB3" s="230"/>
      <c r="LTC3" s="230"/>
      <c r="LTD3" s="231"/>
      <c r="LTE3" s="229" t="s">
        <v>13329</v>
      </c>
      <c r="LTF3" s="230"/>
      <c r="LTG3" s="230"/>
      <c r="LTH3" s="231"/>
      <c r="LTI3" s="229" t="s">
        <v>13329</v>
      </c>
      <c r="LTJ3" s="230"/>
      <c r="LTK3" s="230"/>
      <c r="LTL3" s="231"/>
      <c r="LTM3" s="229" t="s">
        <v>13329</v>
      </c>
      <c r="LTN3" s="230"/>
      <c r="LTO3" s="230"/>
      <c r="LTP3" s="231"/>
      <c r="LTQ3" s="229" t="s">
        <v>13329</v>
      </c>
      <c r="LTR3" s="230"/>
      <c r="LTS3" s="230"/>
      <c r="LTT3" s="231"/>
      <c r="LTU3" s="229" t="s">
        <v>13329</v>
      </c>
      <c r="LTV3" s="230"/>
      <c r="LTW3" s="230"/>
      <c r="LTX3" s="231"/>
      <c r="LTY3" s="229" t="s">
        <v>13329</v>
      </c>
      <c r="LTZ3" s="230"/>
      <c r="LUA3" s="230"/>
      <c r="LUB3" s="231"/>
      <c r="LUC3" s="229" t="s">
        <v>13329</v>
      </c>
      <c r="LUD3" s="230"/>
      <c r="LUE3" s="230"/>
      <c r="LUF3" s="231"/>
      <c r="LUG3" s="229" t="s">
        <v>13329</v>
      </c>
      <c r="LUH3" s="230"/>
      <c r="LUI3" s="230"/>
      <c r="LUJ3" s="231"/>
      <c r="LUK3" s="229" t="s">
        <v>13329</v>
      </c>
      <c r="LUL3" s="230"/>
      <c r="LUM3" s="230"/>
      <c r="LUN3" s="231"/>
      <c r="LUO3" s="229" t="s">
        <v>13329</v>
      </c>
      <c r="LUP3" s="230"/>
      <c r="LUQ3" s="230"/>
      <c r="LUR3" s="231"/>
      <c r="LUS3" s="229" t="s">
        <v>13329</v>
      </c>
      <c r="LUT3" s="230"/>
      <c r="LUU3" s="230"/>
      <c r="LUV3" s="231"/>
      <c r="LUW3" s="229" t="s">
        <v>13329</v>
      </c>
      <c r="LUX3" s="230"/>
      <c r="LUY3" s="230"/>
      <c r="LUZ3" s="231"/>
      <c r="LVA3" s="229" t="s">
        <v>13329</v>
      </c>
      <c r="LVB3" s="230"/>
      <c r="LVC3" s="230"/>
      <c r="LVD3" s="231"/>
      <c r="LVE3" s="229" t="s">
        <v>13329</v>
      </c>
      <c r="LVF3" s="230"/>
      <c r="LVG3" s="230"/>
      <c r="LVH3" s="231"/>
      <c r="LVI3" s="229" t="s">
        <v>13329</v>
      </c>
      <c r="LVJ3" s="230"/>
      <c r="LVK3" s="230"/>
      <c r="LVL3" s="231"/>
      <c r="LVM3" s="229" t="s">
        <v>13329</v>
      </c>
      <c r="LVN3" s="230"/>
      <c r="LVO3" s="230"/>
      <c r="LVP3" s="231"/>
      <c r="LVQ3" s="229" t="s">
        <v>13329</v>
      </c>
      <c r="LVR3" s="230"/>
      <c r="LVS3" s="230"/>
      <c r="LVT3" s="231"/>
      <c r="LVU3" s="229" t="s">
        <v>13329</v>
      </c>
      <c r="LVV3" s="230"/>
      <c r="LVW3" s="230"/>
      <c r="LVX3" s="231"/>
      <c r="LVY3" s="229" t="s">
        <v>13329</v>
      </c>
      <c r="LVZ3" s="230"/>
      <c r="LWA3" s="230"/>
      <c r="LWB3" s="231"/>
      <c r="LWC3" s="229" t="s">
        <v>13329</v>
      </c>
      <c r="LWD3" s="230"/>
      <c r="LWE3" s="230"/>
      <c r="LWF3" s="231"/>
      <c r="LWG3" s="229" t="s">
        <v>13329</v>
      </c>
      <c r="LWH3" s="230"/>
      <c r="LWI3" s="230"/>
      <c r="LWJ3" s="231"/>
      <c r="LWK3" s="229" t="s">
        <v>13329</v>
      </c>
      <c r="LWL3" s="230"/>
      <c r="LWM3" s="230"/>
      <c r="LWN3" s="231"/>
      <c r="LWO3" s="229" t="s">
        <v>13329</v>
      </c>
      <c r="LWP3" s="230"/>
      <c r="LWQ3" s="230"/>
      <c r="LWR3" s="231"/>
      <c r="LWS3" s="229" t="s">
        <v>13329</v>
      </c>
      <c r="LWT3" s="230"/>
      <c r="LWU3" s="230"/>
      <c r="LWV3" s="231"/>
      <c r="LWW3" s="229" t="s">
        <v>13329</v>
      </c>
      <c r="LWX3" s="230"/>
      <c r="LWY3" s="230"/>
      <c r="LWZ3" s="231"/>
      <c r="LXA3" s="229" t="s">
        <v>13329</v>
      </c>
      <c r="LXB3" s="230"/>
      <c r="LXC3" s="230"/>
      <c r="LXD3" s="231"/>
      <c r="LXE3" s="229" t="s">
        <v>13329</v>
      </c>
      <c r="LXF3" s="230"/>
      <c r="LXG3" s="230"/>
      <c r="LXH3" s="231"/>
      <c r="LXI3" s="229" t="s">
        <v>13329</v>
      </c>
      <c r="LXJ3" s="230"/>
      <c r="LXK3" s="230"/>
      <c r="LXL3" s="231"/>
      <c r="LXM3" s="229" t="s">
        <v>13329</v>
      </c>
      <c r="LXN3" s="230"/>
      <c r="LXO3" s="230"/>
      <c r="LXP3" s="231"/>
      <c r="LXQ3" s="229" t="s">
        <v>13329</v>
      </c>
      <c r="LXR3" s="230"/>
      <c r="LXS3" s="230"/>
      <c r="LXT3" s="231"/>
      <c r="LXU3" s="229" t="s">
        <v>13329</v>
      </c>
      <c r="LXV3" s="230"/>
      <c r="LXW3" s="230"/>
      <c r="LXX3" s="231"/>
      <c r="LXY3" s="229" t="s">
        <v>13329</v>
      </c>
      <c r="LXZ3" s="230"/>
      <c r="LYA3" s="230"/>
      <c r="LYB3" s="231"/>
      <c r="LYC3" s="229" t="s">
        <v>13329</v>
      </c>
      <c r="LYD3" s="230"/>
      <c r="LYE3" s="230"/>
      <c r="LYF3" s="231"/>
      <c r="LYG3" s="229" t="s">
        <v>13329</v>
      </c>
      <c r="LYH3" s="230"/>
      <c r="LYI3" s="230"/>
      <c r="LYJ3" s="231"/>
      <c r="LYK3" s="229" t="s">
        <v>13329</v>
      </c>
      <c r="LYL3" s="230"/>
      <c r="LYM3" s="230"/>
      <c r="LYN3" s="231"/>
      <c r="LYO3" s="229" t="s">
        <v>13329</v>
      </c>
      <c r="LYP3" s="230"/>
      <c r="LYQ3" s="230"/>
      <c r="LYR3" s="231"/>
      <c r="LYS3" s="229" t="s">
        <v>13329</v>
      </c>
      <c r="LYT3" s="230"/>
      <c r="LYU3" s="230"/>
      <c r="LYV3" s="231"/>
      <c r="LYW3" s="229" t="s">
        <v>13329</v>
      </c>
      <c r="LYX3" s="230"/>
      <c r="LYY3" s="230"/>
      <c r="LYZ3" s="231"/>
      <c r="LZA3" s="229" t="s">
        <v>13329</v>
      </c>
      <c r="LZB3" s="230"/>
      <c r="LZC3" s="230"/>
      <c r="LZD3" s="231"/>
      <c r="LZE3" s="229" t="s">
        <v>13329</v>
      </c>
      <c r="LZF3" s="230"/>
      <c r="LZG3" s="230"/>
      <c r="LZH3" s="231"/>
      <c r="LZI3" s="229" t="s">
        <v>13329</v>
      </c>
      <c r="LZJ3" s="230"/>
      <c r="LZK3" s="230"/>
      <c r="LZL3" s="231"/>
      <c r="LZM3" s="229" t="s">
        <v>13329</v>
      </c>
      <c r="LZN3" s="230"/>
      <c r="LZO3" s="230"/>
      <c r="LZP3" s="231"/>
      <c r="LZQ3" s="229" t="s">
        <v>13329</v>
      </c>
      <c r="LZR3" s="230"/>
      <c r="LZS3" s="230"/>
      <c r="LZT3" s="231"/>
      <c r="LZU3" s="229" t="s">
        <v>13329</v>
      </c>
      <c r="LZV3" s="230"/>
      <c r="LZW3" s="230"/>
      <c r="LZX3" s="231"/>
      <c r="LZY3" s="229" t="s">
        <v>13329</v>
      </c>
      <c r="LZZ3" s="230"/>
      <c r="MAA3" s="230"/>
      <c r="MAB3" s="231"/>
      <c r="MAC3" s="229" t="s">
        <v>13329</v>
      </c>
      <c r="MAD3" s="230"/>
      <c r="MAE3" s="230"/>
      <c r="MAF3" s="231"/>
      <c r="MAG3" s="229" t="s">
        <v>13329</v>
      </c>
      <c r="MAH3" s="230"/>
      <c r="MAI3" s="230"/>
      <c r="MAJ3" s="231"/>
      <c r="MAK3" s="229" t="s">
        <v>13329</v>
      </c>
      <c r="MAL3" s="230"/>
      <c r="MAM3" s="230"/>
      <c r="MAN3" s="231"/>
      <c r="MAO3" s="229" t="s">
        <v>13329</v>
      </c>
      <c r="MAP3" s="230"/>
      <c r="MAQ3" s="230"/>
      <c r="MAR3" s="231"/>
      <c r="MAS3" s="229" t="s">
        <v>13329</v>
      </c>
      <c r="MAT3" s="230"/>
      <c r="MAU3" s="230"/>
      <c r="MAV3" s="231"/>
      <c r="MAW3" s="229" t="s">
        <v>13329</v>
      </c>
      <c r="MAX3" s="230"/>
      <c r="MAY3" s="230"/>
      <c r="MAZ3" s="231"/>
      <c r="MBA3" s="229" t="s">
        <v>13329</v>
      </c>
      <c r="MBB3" s="230"/>
      <c r="MBC3" s="230"/>
      <c r="MBD3" s="231"/>
      <c r="MBE3" s="229" t="s">
        <v>13329</v>
      </c>
      <c r="MBF3" s="230"/>
      <c r="MBG3" s="230"/>
      <c r="MBH3" s="231"/>
      <c r="MBI3" s="229" t="s">
        <v>13329</v>
      </c>
      <c r="MBJ3" s="230"/>
      <c r="MBK3" s="230"/>
      <c r="MBL3" s="231"/>
      <c r="MBM3" s="229" t="s">
        <v>13329</v>
      </c>
      <c r="MBN3" s="230"/>
      <c r="MBO3" s="230"/>
      <c r="MBP3" s="231"/>
      <c r="MBQ3" s="229" t="s">
        <v>13329</v>
      </c>
      <c r="MBR3" s="230"/>
      <c r="MBS3" s="230"/>
      <c r="MBT3" s="231"/>
      <c r="MBU3" s="229" t="s">
        <v>13329</v>
      </c>
      <c r="MBV3" s="230"/>
      <c r="MBW3" s="230"/>
      <c r="MBX3" s="231"/>
      <c r="MBY3" s="229" t="s">
        <v>13329</v>
      </c>
      <c r="MBZ3" s="230"/>
      <c r="MCA3" s="230"/>
      <c r="MCB3" s="231"/>
      <c r="MCC3" s="229" t="s">
        <v>13329</v>
      </c>
      <c r="MCD3" s="230"/>
      <c r="MCE3" s="230"/>
      <c r="MCF3" s="231"/>
      <c r="MCG3" s="229" t="s">
        <v>13329</v>
      </c>
      <c r="MCH3" s="230"/>
      <c r="MCI3" s="230"/>
      <c r="MCJ3" s="231"/>
      <c r="MCK3" s="229" t="s">
        <v>13329</v>
      </c>
      <c r="MCL3" s="230"/>
      <c r="MCM3" s="230"/>
      <c r="MCN3" s="231"/>
      <c r="MCO3" s="229" t="s">
        <v>13329</v>
      </c>
      <c r="MCP3" s="230"/>
      <c r="MCQ3" s="230"/>
      <c r="MCR3" s="231"/>
      <c r="MCS3" s="229" t="s">
        <v>13329</v>
      </c>
      <c r="MCT3" s="230"/>
      <c r="MCU3" s="230"/>
      <c r="MCV3" s="231"/>
      <c r="MCW3" s="229" t="s">
        <v>13329</v>
      </c>
      <c r="MCX3" s="230"/>
      <c r="MCY3" s="230"/>
      <c r="MCZ3" s="231"/>
      <c r="MDA3" s="229" t="s">
        <v>13329</v>
      </c>
      <c r="MDB3" s="230"/>
      <c r="MDC3" s="230"/>
      <c r="MDD3" s="231"/>
      <c r="MDE3" s="229" t="s">
        <v>13329</v>
      </c>
      <c r="MDF3" s="230"/>
      <c r="MDG3" s="230"/>
      <c r="MDH3" s="231"/>
      <c r="MDI3" s="229" t="s">
        <v>13329</v>
      </c>
      <c r="MDJ3" s="230"/>
      <c r="MDK3" s="230"/>
      <c r="MDL3" s="231"/>
      <c r="MDM3" s="229" t="s">
        <v>13329</v>
      </c>
      <c r="MDN3" s="230"/>
      <c r="MDO3" s="230"/>
      <c r="MDP3" s="231"/>
      <c r="MDQ3" s="229" t="s">
        <v>13329</v>
      </c>
      <c r="MDR3" s="230"/>
      <c r="MDS3" s="230"/>
      <c r="MDT3" s="231"/>
      <c r="MDU3" s="229" t="s">
        <v>13329</v>
      </c>
      <c r="MDV3" s="230"/>
      <c r="MDW3" s="230"/>
      <c r="MDX3" s="231"/>
      <c r="MDY3" s="229" t="s">
        <v>13329</v>
      </c>
      <c r="MDZ3" s="230"/>
      <c r="MEA3" s="230"/>
      <c r="MEB3" s="231"/>
      <c r="MEC3" s="229" t="s">
        <v>13329</v>
      </c>
      <c r="MED3" s="230"/>
      <c r="MEE3" s="230"/>
      <c r="MEF3" s="231"/>
      <c r="MEG3" s="229" t="s">
        <v>13329</v>
      </c>
      <c r="MEH3" s="230"/>
      <c r="MEI3" s="230"/>
      <c r="MEJ3" s="231"/>
      <c r="MEK3" s="229" t="s">
        <v>13329</v>
      </c>
      <c r="MEL3" s="230"/>
      <c r="MEM3" s="230"/>
      <c r="MEN3" s="231"/>
      <c r="MEO3" s="229" t="s">
        <v>13329</v>
      </c>
      <c r="MEP3" s="230"/>
      <c r="MEQ3" s="230"/>
      <c r="MER3" s="231"/>
      <c r="MES3" s="229" t="s">
        <v>13329</v>
      </c>
      <c r="MET3" s="230"/>
      <c r="MEU3" s="230"/>
      <c r="MEV3" s="231"/>
      <c r="MEW3" s="229" t="s">
        <v>13329</v>
      </c>
      <c r="MEX3" s="230"/>
      <c r="MEY3" s="230"/>
      <c r="MEZ3" s="231"/>
      <c r="MFA3" s="229" t="s">
        <v>13329</v>
      </c>
      <c r="MFB3" s="230"/>
      <c r="MFC3" s="230"/>
      <c r="MFD3" s="231"/>
      <c r="MFE3" s="229" t="s">
        <v>13329</v>
      </c>
      <c r="MFF3" s="230"/>
      <c r="MFG3" s="230"/>
      <c r="MFH3" s="231"/>
      <c r="MFI3" s="229" t="s">
        <v>13329</v>
      </c>
      <c r="MFJ3" s="230"/>
      <c r="MFK3" s="230"/>
      <c r="MFL3" s="231"/>
      <c r="MFM3" s="229" t="s">
        <v>13329</v>
      </c>
      <c r="MFN3" s="230"/>
      <c r="MFO3" s="230"/>
      <c r="MFP3" s="231"/>
      <c r="MFQ3" s="229" t="s">
        <v>13329</v>
      </c>
      <c r="MFR3" s="230"/>
      <c r="MFS3" s="230"/>
      <c r="MFT3" s="231"/>
      <c r="MFU3" s="229" t="s">
        <v>13329</v>
      </c>
      <c r="MFV3" s="230"/>
      <c r="MFW3" s="230"/>
      <c r="MFX3" s="231"/>
      <c r="MFY3" s="229" t="s">
        <v>13329</v>
      </c>
      <c r="MFZ3" s="230"/>
      <c r="MGA3" s="230"/>
      <c r="MGB3" s="231"/>
      <c r="MGC3" s="229" t="s">
        <v>13329</v>
      </c>
      <c r="MGD3" s="230"/>
      <c r="MGE3" s="230"/>
      <c r="MGF3" s="231"/>
      <c r="MGG3" s="229" t="s">
        <v>13329</v>
      </c>
      <c r="MGH3" s="230"/>
      <c r="MGI3" s="230"/>
      <c r="MGJ3" s="231"/>
      <c r="MGK3" s="229" t="s">
        <v>13329</v>
      </c>
      <c r="MGL3" s="230"/>
      <c r="MGM3" s="230"/>
      <c r="MGN3" s="231"/>
      <c r="MGO3" s="229" t="s">
        <v>13329</v>
      </c>
      <c r="MGP3" s="230"/>
      <c r="MGQ3" s="230"/>
      <c r="MGR3" s="231"/>
      <c r="MGS3" s="229" t="s">
        <v>13329</v>
      </c>
      <c r="MGT3" s="230"/>
      <c r="MGU3" s="230"/>
      <c r="MGV3" s="231"/>
      <c r="MGW3" s="229" t="s">
        <v>13329</v>
      </c>
      <c r="MGX3" s="230"/>
      <c r="MGY3" s="230"/>
      <c r="MGZ3" s="231"/>
      <c r="MHA3" s="229" t="s">
        <v>13329</v>
      </c>
      <c r="MHB3" s="230"/>
      <c r="MHC3" s="230"/>
      <c r="MHD3" s="231"/>
      <c r="MHE3" s="229" t="s">
        <v>13329</v>
      </c>
      <c r="MHF3" s="230"/>
      <c r="MHG3" s="230"/>
      <c r="MHH3" s="231"/>
      <c r="MHI3" s="229" t="s">
        <v>13329</v>
      </c>
      <c r="MHJ3" s="230"/>
      <c r="MHK3" s="230"/>
      <c r="MHL3" s="231"/>
      <c r="MHM3" s="229" t="s">
        <v>13329</v>
      </c>
      <c r="MHN3" s="230"/>
      <c r="MHO3" s="230"/>
      <c r="MHP3" s="231"/>
      <c r="MHQ3" s="229" t="s">
        <v>13329</v>
      </c>
      <c r="MHR3" s="230"/>
      <c r="MHS3" s="230"/>
      <c r="MHT3" s="231"/>
      <c r="MHU3" s="229" t="s">
        <v>13329</v>
      </c>
      <c r="MHV3" s="230"/>
      <c r="MHW3" s="230"/>
      <c r="MHX3" s="231"/>
      <c r="MHY3" s="229" t="s">
        <v>13329</v>
      </c>
      <c r="MHZ3" s="230"/>
      <c r="MIA3" s="230"/>
      <c r="MIB3" s="231"/>
      <c r="MIC3" s="229" t="s">
        <v>13329</v>
      </c>
      <c r="MID3" s="230"/>
      <c r="MIE3" s="230"/>
      <c r="MIF3" s="231"/>
      <c r="MIG3" s="229" t="s">
        <v>13329</v>
      </c>
      <c r="MIH3" s="230"/>
      <c r="MII3" s="230"/>
      <c r="MIJ3" s="231"/>
      <c r="MIK3" s="229" t="s">
        <v>13329</v>
      </c>
      <c r="MIL3" s="230"/>
      <c r="MIM3" s="230"/>
      <c r="MIN3" s="231"/>
      <c r="MIO3" s="229" t="s">
        <v>13329</v>
      </c>
      <c r="MIP3" s="230"/>
      <c r="MIQ3" s="230"/>
      <c r="MIR3" s="231"/>
      <c r="MIS3" s="229" t="s">
        <v>13329</v>
      </c>
      <c r="MIT3" s="230"/>
      <c r="MIU3" s="230"/>
      <c r="MIV3" s="231"/>
      <c r="MIW3" s="229" t="s">
        <v>13329</v>
      </c>
      <c r="MIX3" s="230"/>
      <c r="MIY3" s="230"/>
      <c r="MIZ3" s="231"/>
      <c r="MJA3" s="229" t="s">
        <v>13329</v>
      </c>
      <c r="MJB3" s="230"/>
      <c r="MJC3" s="230"/>
      <c r="MJD3" s="231"/>
      <c r="MJE3" s="229" t="s">
        <v>13329</v>
      </c>
      <c r="MJF3" s="230"/>
      <c r="MJG3" s="230"/>
      <c r="MJH3" s="231"/>
      <c r="MJI3" s="229" t="s">
        <v>13329</v>
      </c>
      <c r="MJJ3" s="230"/>
      <c r="MJK3" s="230"/>
      <c r="MJL3" s="231"/>
      <c r="MJM3" s="229" t="s">
        <v>13329</v>
      </c>
      <c r="MJN3" s="230"/>
      <c r="MJO3" s="230"/>
      <c r="MJP3" s="231"/>
      <c r="MJQ3" s="229" t="s">
        <v>13329</v>
      </c>
      <c r="MJR3" s="230"/>
      <c r="MJS3" s="230"/>
      <c r="MJT3" s="231"/>
      <c r="MJU3" s="229" t="s">
        <v>13329</v>
      </c>
      <c r="MJV3" s="230"/>
      <c r="MJW3" s="230"/>
      <c r="MJX3" s="231"/>
      <c r="MJY3" s="229" t="s">
        <v>13329</v>
      </c>
      <c r="MJZ3" s="230"/>
      <c r="MKA3" s="230"/>
      <c r="MKB3" s="231"/>
      <c r="MKC3" s="229" t="s">
        <v>13329</v>
      </c>
      <c r="MKD3" s="230"/>
      <c r="MKE3" s="230"/>
      <c r="MKF3" s="231"/>
      <c r="MKG3" s="229" t="s">
        <v>13329</v>
      </c>
      <c r="MKH3" s="230"/>
      <c r="MKI3" s="230"/>
      <c r="MKJ3" s="231"/>
      <c r="MKK3" s="229" t="s">
        <v>13329</v>
      </c>
      <c r="MKL3" s="230"/>
      <c r="MKM3" s="230"/>
      <c r="MKN3" s="231"/>
      <c r="MKO3" s="229" t="s">
        <v>13329</v>
      </c>
      <c r="MKP3" s="230"/>
      <c r="MKQ3" s="230"/>
      <c r="MKR3" s="231"/>
      <c r="MKS3" s="229" t="s">
        <v>13329</v>
      </c>
      <c r="MKT3" s="230"/>
      <c r="MKU3" s="230"/>
      <c r="MKV3" s="231"/>
      <c r="MKW3" s="229" t="s">
        <v>13329</v>
      </c>
      <c r="MKX3" s="230"/>
      <c r="MKY3" s="230"/>
      <c r="MKZ3" s="231"/>
      <c r="MLA3" s="229" t="s">
        <v>13329</v>
      </c>
      <c r="MLB3" s="230"/>
      <c r="MLC3" s="230"/>
      <c r="MLD3" s="231"/>
      <c r="MLE3" s="229" t="s">
        <v>13329</v>
      </c>
      <c r="MLF3" s="230"/>
      <c r="MLG3" s="230"/>
      <c r="MLH3" s="231"/>
      <c r="MLI3" s="229" t="s">
        <v>13329</v>
      </c>
      <c r="MLJ3" s="230"/>
      <c r="MLK3" s="230"/>
      <c r="MLL3" s="231"/>
      <c r="MLM3" s="229" t="s">
        <v>13329</v>
      </c>
      <c r="MLN3" s="230"/>
      <c r="MLO3" s="230"/>
      <c r="MLP3" s="231"/>
      <c r="MLQ3" s="229" t="s">
        <v>13329</v>
      </c>
      <c r="MLR3" s="230"/>
      <c r="MLS3" s="230"/>
      <c r="MLT3" s="231"/>
      <c r="MLU3" s="229" t="s">
        <v>13329</v>
      </c>
      <c r="MLV3" s="230"/>
      <c r="MLW3" s="230"/>
      <c r="MLX3" s="231"/>
      <c r="MLY3" s="229" t="s">
        <v>13329</v>
      </c>
      <c r="MLZ3" s="230"/>
      <c r="MMA3" s="230"/>
      <c r="MMB3" s="231"/>
      <c r="MMC3" s="229" t="s">
        <v>13329</v>
      </c>
      <c r="MMD3" s="230"/>
      <c r="MME3" s="230"/>
      <c r="MMF3" s="231"/>
      <c r="MMG3" s="229" t="s">
        <v>13329</v>
      </c>
      <c r="MMH3" s="230"/>
      <c r="MMI3" s="230"/>
      <c r="MMJ3" s="231"/>
      <c r="MMK3" s="229" t="s">
        <v>13329</v>
      </c>
      <c r="MML3" s="230"/>
      <c r="MMM3" s="230"/>
      <c r="MMN3" s="231"/>
      <c r="MMO3" s="229" t="s">
        <v>13329</v>
      </c>
      <c r="MMP3" s="230"/>
      <c r="MMQ3" s="230"/>
      <c r="MMR3" s="231"/>
      <c r="MMS3" s="229" t="s">
        <v>13329</v>
      </c>
      <c r="MMT3" s="230"/>
      <c r="MMU3" s="230"/>
      <c r="MMV3" s="231"/>
      <c r="MMW3" s="229" t="s">
        <v>13329</v>
      </c>
      <c r="MMX3" s="230"/>
      <c r="MMY3" s="230"/>
      <c r="MMZ3" s="231"/>
      <c r="MNA3" s="229" t="s">
        <v>13329</v>
      </c>
      <c r="MNB3" s="230"/>
      <c r="MNC3" s="230"/>
      <c r="MND3" s="231"/>
      <c r="MNE3" s="229" t="s">
        <v>13329</v>
      </c>
      <c r="MNF3" s="230"/>
      <c r="MNG3" s="230"/>
      <c r="MNH3" s="231"/>
      <c r="MNI3" s="229" t="s">
        <v>13329</v>
      </c>
      <c r="MNJ3" s="230"/>
      <c r="MNK3" s="230"/>
      <c r="MNL3" s="231"/>
      <c r="MNM3" s="229" t="s">
        <v>13329</v>
      </c>
      <c r="MNN3" s="230"/>
      <c r="MNO3" s="230"/>
      <c r="MNP3" s="231"/>
      <c r="MNQ3" s="229" t="s">
        <v>13329</v>
      </c>
      <c r="MNR3" s="230"/>
      <c r="MNS3" s="230"/>
      <c r="MNT3" s="231"/>
      <c r="MNU3" s="229" t="s">
        <v>13329</v>
      </c>
      <c r="MNV3" s="230"/>
      <c r="MNW3" s="230"/>
      <c r="MNX3" s="231"/>
      <c r="MNY3" s="229" t="s">
        <v>13329</v>
      </c>
      <c r="MNZ3" s="230"/>
      <c r="MOA3" s="230"/>
      <c r="MOB3" s="231"/>
      <c r="MOC3" s="229" t="s">
        <v>13329</v>
      </c>
      <c r="MOD3" s="230"/>
      <c r="MOE3" s="230"/>
      <c r="MOF3" s="231"/>
      <c r="MOG3" s="229" t="s">
        <v>13329</v>
      </c>
      <c r="MOH3" s="230"/>
      <c r="MOI3" s="230"/>
      <c r="MOJ3" s="231"/>
      <c r="MOK3" s="229" t="s">
        <v>13329</v>
      </c>
      <c r="MOL3" s="230"/>
      <c r="MOM3" s="230"/>
      <c r="MON3" s="231"/>
      <c r="MOO3" s="229" t="s">
        <v>13329</v>
      </c>
      <c r="MOP3" s="230"/>
      <c r="MOQ3" s="230"/>
      <c r="MOR3" s="231"/>
      <c r="MOS3" s="229" t="s">
        <v>13329</v>
      </c>
      <c r="MOT3" s="230"/>
      <c r="MOU3" s="230"/>
      <c r="MOV3" s="231"/>
      <c r="MOW3" s="229" t="s">
        <v>13329</v>
      </c>
      <c r="MOX3" s="230"/>
      <c r="MOY3" s="230"/>
      <c r="MOZ3" s="231"/>
      <c r="MPA3" s="229" t="s">
        <v>13329</v>
      </c>
      <c r="MPB3" s="230"/>
      <c r="MPC3" s="230"/>
      <c r="MPD3" s="231"/>
      <c r="MPE3" s="229" t="s">
        <v>13329</v>
      </c>
      <c r="MPF3" s="230"/>
      <c r="MPG3" s="230"/>
      <c r="MPH3" s="231"/>
      <c r="MPI3" s="229" t="s">
        <v>13329</v>
      </c>
      <c r="MPJ3" s="230"/>
      <c r="MPK3" s="230"/>
      <c r="MPL3" s="231"/>
      <c r="MPM3" s="229" t="s">
        <v>13329</v>
      </c>
      <c r="MPN3" s="230"/>
      <c r="MPO3" s="230"/>
      <c r="MPP3" s="231"/>
      <c r="MPQ3" s="229" t="s">
        <v>13329</v>
      </c>
      <c r="MPR3" s="230"/>
      <c r="MPS3" s="230"/>
      <c r="MPT3" s="231"/>
      <c r="MPU3" s="229" t="s">
        <v>13329</v>
      </c>
      <c r="MPV3" s="230"/>
      <c r="MPW3" s="230"/>
      <c r="MPX3" s="231"/>
      <c r="MPY3" s="229" t="s">
        <v>13329</v>
      </c>
      <c r="MPZ3" s="230"/>
      <c r="MQA3" s="230"/>
      <c r="MQB3" s="231"/>
      <c r="MQC3" s="229" t="s">
        <v>13329</v>
      </c>
      <c r="MQD3" s="230"/>
      <c r="MQE3" s="230"/>
      <c r="MQF3" s="231"/>
      <c r="MQG3" s="229" t="s">
        <v>13329</v>
      </c>
      <c r="MQH3" s="230"/>
      <c r="MQI3" s="230"/>
      <c r="MQJ3" s="231"/>
      <c r="MQK3" s="229" t="s">
        <v>13329</v>
      </c>
      <c r="MQL3" s="230"/>
      <c r="MQM3" s="230"/>
      <c r="MQN3" s="231"/>
      <c r="MQO3" s="229" t="s">
        <v>13329</v>
      </c>
      <c r="MQP3" s="230"/>
      <c r="MQQ3" s="230"/>
      <c r="MQR3" s="231"/>
      <c r="MQS3" s="229" t="s">
        <v>13329</v>
      </c>
      <c r="MQT3" s="230"/>
      <c r="MQU3" s="230"/>
      <c r="MQV3" s="231"/>
      <c r="MQW3" s="229" t="s">
        <v>13329</v>
      </c>
      <c r="MQX3" s="230"/>
      <c r="MQY3" s="230"/>
      <c r="MQZ3" s="231"/>
      <c r="MRA3" s="229" t="s">
        <v>13329</v>
      </c>
      <c r="MRB3" s="230"/>
      <c r="MRC3" s="230"/>
      <c r="MRD3" s="231"/>
      <c r="MRE3" s="229" t="s">
        <v>13329</v>
      </c>
      <c r="MRF3" s="230"/>
      <c r="MRG3" s="230"/>
      <c r="MRH3" s="231"/>
      <c r="MRI3" s="229" t="s">
        <v>13329</v>
      </c>
      <c r="MRJ3" s="230"/>
      <c r="MRK3" s="230"/>
      <c r="MRL3" s="231"/>
      <c r="MRM3" s="229" t="s">
        <v>13329</v>
      </c>
      <c r="MRN3" s="230"/>
      <c r="MRO3" s="230"/>
      <c r="MRP3" s="231"/>
      <c r="MRQ3" s="229" t="s">
        <v>13329</v>
      </c>
      <c r="MRR3" s="230"/>
      <c r="MRS3" s="230"/>
      <c r="MRT3" s="231"/>
      <c r="MRU3" s="229" t="s">
        <v>13329</v>
      </c>
      <c r="MRV3" s="230"/>
      <c r="MRW3" s="230"/>
      <c r="MRX3" s="231"/>
      <c r="MRY3" s="229" t="s">
        <v>13329</v>
      </c>
      <c r="MRZ3" s="230"/>
      <c r="MSA3" s="230"/>
      <c r="MSB3" s="231"/>
      <c r="MSC3" s="229" t="s">
        <v>13329</v>
      </c>
      <c r="MSD3" s="230"/>
      <c r="MSE3" s="230"/>
      <c r="MSF3" s="231"/>
      <c r="MSG3" s="229" t="s">
        <v>13329</v>
      </c>
      <c r="MSH3" s="230"/>
      <c r="MSI3" s="230"/>
      <c r="MSJ3" s="231"/>
      <c r="MSK3" s="229" t="s">
        <v>13329</v>
      </c>
      <c r="MSL3" s="230"/>
      <c r="MSM3" s="230"/>
      <c r="MSN3" s="231"/>
      <c r="MSO3" s="229" t="s">
        <v>13329</v>
      </c>
      <c r="MSP3" s="230"/>
      <c r="MSQ3" s="230"/>
      <c r="MSR3" s="231"/>
      <c r="MSS3" s="229" t="s">
        <v>13329</v>
      </c>
      <c r="MST3" s="230"/>
      <c r="MSU3" s="230"/>
      <c r="MSV3" s="231"/>
      <c r="MSW3" s="229" t="s">
        <v>13329</v>
      </c>
      <c r="MSX3" s="230"/>
      <c r="MSY3" s="230"/>
      <c r="MSZ3" s="231"/>
      <c r="MTA3" s="229" t="s">
        <v>13329</v>
      </c>
      <c r="MTB3" s="230"/>
      <c r="MTC3" s="230"/>
      <c r="MTD3" s="231"/>
      <c r="MTE3" s="229" t="s">
        <v>13329</v>
      </c>
      <c r="MTF3" s="230"/>
      <c r="MTG3" s="230"/>
      <c r="MTH3" s="231"/>
      <c r="MTI3" s="229" t="s">
        <v>13329</v>
      </c>
      <c r="MTJ3" s="230"/>
      <c r="MTK3" s="230"/>
      <c r="MTL3" s="231"/>
      <c r="MTM3" s="229" t="s">
        <v>13329</v>
      </c>
      <c r="MTN3" s="230"/>
      <c r="MTO3" s="230"/>
      <c r="MTP3" s="231"/>
      <c r="MTQ3" s="229" t="s">
        <v>13329</v>
      </c>
      <c r="MTR3" s="230"/>
      <c r="MTS3" s="230"/>
      <c r="MTT3" s="231"/>
      <c r="MTU3" s="229" t="s">
        <v>13329</v>
      </c>
      <c r="MTV3" s="230"/>
      <c r="MTW3" s="230"/>
      <c r="MTX3" s="231"/>
      <c r="MTY3" s="229" t="s">
        <v>13329</v>
      </c>
      <c r="MTZ3" s="230"/>
      <c r="MUA3" s="230"/>
      <c r="MUB3" s="231"/>
      <c r="MUC3" s="229" t="s">
        <v>13329</v>
      </c>
      <c r="MUD3" s="230"/>
      <c r="MUE3" s="230"/>
      <c r="MUF3" s="231"/>
      <c r="MUG3" s="229" t="s">
        <v>13329</v>
      </c>
      <c r="MUH3" s="230"/>
      <c r="MUI3" s="230"/>
      <c r="MUJ3" s="231"/>
      <c r="MUK3" s="229" t="s">
        <v>13329</v>
      </c>
      <c r="MUL3" s="230"/>
      <c r="MUM3" s="230"/>
      <c r="MUN3" s="231"/>
      <c r="MUO3" s="229" t="s">
        <v>13329</v>
      </c>
      <c r="MUP3" s="230"/>
      <c r="MUQ3" s="230"/>
      <c r="MUR3" s="231"/>
      <c r="MUS3" s="229" t="s">
        <v>13329</v>
      </c>
      <c r="MUT3" s="230"/>
      <c r="MUU3" s="230"/>
      <c r="MUV3" s="231"/>
      <c r="MUW3" s="229" t="s">
        <v>13329</v>
      </c>
      <c r="MUX3" s="230"/>
      <c r="MUY3" s="230"/>
      <c r="MUZ3" s="231"/>
      <c r="MVA3" s="229" t="s">
        <v>13329</v>
      </c>
      <c r="MVB3" s="230"/>
      <c r="MVC3" s="230"/>
      <c r="MVD3" s="231"/>
      <c r="MVE3" s="229" t="s">
        <v>13329</v>
      </c>
      <c r="MVF3" s="230"/>
      <c r="MVG3" s="230"/>
      <c r="MVH3" s="231"/>
      <c r="MVI3" s="229" t="s">
        <v>13329</v>
      </c>
      <c r="MVJ3" s="230"/>
      <c r="MVK3" s="230"/>
      <c r="MVL3" s="231"/>
      <c r="MVM3" s="229" t="s">
        <v>13329</v>
      </c>
      <c r="MVN3" s="230"/>
      <c r="MVO3" s="230"/>
      <c r="MVP3" s="231"/>
      <c r="MVQ3" s="229" t="s">
        <v>13329</v>
      </c>
      <c r="MVR3" s="230"/>
      <c r="MVS3" s="230"/>
      <c r="MVT3" s="231"/>
      <c r="MVU3" s="229" t="s">
        <v>13329</v>
      </c>
      <c r="MVV3" s="230"/>
      <c r="MVW3" s="230"/>
      <c r="MVX3" s="231"/>
      <c r="MVY3" s="229" t="s">
        <v>13329</v>
      </c>
      <c r="MVZ3" s="230"/>
      <c r="MWA3" s="230"/>
      <c r="MWB3" s="231"/>
      <c r="MWC3" s="229" t="s">
        <v>13329</v>
      </c>
      <c r="MWD3" s="230"/>
      <c r="MWE3" s="230"/>
      <c r="MWF3" s="231"/>
      <c r="MWG3" s="229" t="s">
        <v>13329</v>
      </c>
      <c r="MWH3" s="230"/>
      <c r="MWI3" s="230"/>
      <c r="MWJ3" s="231"/>
      <c r="MWK3" s="229" t="s">
        <v>13329</v>
      </c>
      <c r="MWL3" s="230"/>
      <c r="MWM3" s="230"/>
      <c r="MWN3" s="231"/>
      <c r="MWO3" s="229" t="s">
        <v>13329</v>
      </c>
      <c r="MWP3" s="230"/>
      <c r="MWQ3" s="230"/>
      <c r="MWR3" s="231"/>
      <c r="MWS3" s="229" t="s">
        <v>13329</v>
      </c>
      <c r="MWT3" s="230"/>
      <c r="MWU3" s="230"/>
      <c r="MWV3" s="231"/>
      <c r="MWW3" s="229" t="s">
        <v>13329</v>
      </c>
      <c r="MWX3" s="230"/>
      <c r="MWY3" s="230"/>
      <c r="MWZ3" s="231"/>
      <c r="MXA3" s="229" t="s">
        <v>13329</v>
      </c>
      <c r="MXB3" s="230"/>
      <c r="MXC3" s="230"/>
      <c r="MXD3" s="231"/>
      <c r="MXE3" s="229" t="s">
        <v>13329</v>
      </c>
      <c r="MXF3" s="230"/>
      <c r="MXG3" s="230"/>
      <c r="MXH3" s="231"/>
      <c r="MXI3" s="229" t="s">
        <v>13329</v>
      </c>
      <c r="MXJ3" s="230"/>
      <c r="MXK3" s="230"/>
      <c r="MXL3" s="231"/>
      <c r="MXM3" s="229" t="s">
        <v>13329</v>
      </c>
      <c r="MXN3" s="230"/>
      <c r="MXO3" s="230"/>
      <c r="MXP3" s="231"/>
      <c r="MXQ3" s="229" t="s">
        <v>13329</v>
      </c>
      <c r="MXR3" s="230"/>
      <c r="MXS3" s="230"/>
      <c r="MXT3" s="231"/>
      <c r="MXU3" s="229" t="s">
        <v>13329</v>
      </c>
      <c r="MXV3" s="230"/>
      <c r="MXW3" s="230"/>
      <c r="MXX3" s="231"/>
      <c r="MXY3" s="229" t="s">
        <v>13329</v>
      </c>
      <c r="MXZ3" s="230"/>
      <c r="MYA3" s="230"/>
      <c r="MYB3" s="231"/>
      <c r="MYC3" s="229" t="s">
        <v>13329</v>
      </c>
      <c r="MYD3" s="230"/>
      <c r="MYE3" s="230"/>
      <c r="MYF3" s="231"/>
      <c r="MYG3" s="229" t="s">
        <v>13329</v>
      </c>
      <c r="MYH3" s="230"/>
      <c r="MYI3" s="230"/>
      <c r="MYJ3" s="231"/>
      <c r="MYK3" s="229" t="s">
        <v>13329</v>
      </c>
      <c r="MYL3" s="230"/>
      <c r="MYM3" s="230"/>
      <c r="MYN3" s="231"/>
      <c r="MYO3" s="229" t="s">
        <v>13329</v>
      </c>
      <c r="MYP3" s="230"/>
      <c r="MYQ3" s="230"/>
      <c r="MYR3" s="231"/>
      <c r="MYS3" s="229" t="s">
        <v>13329</v>
      </c>
      <c r="MYT3" s="230"/>
      <c r="MYU3" s="230"/>
      <c r="MYV3" s="231"/>
      <c r="MYW3" s="229" t="s">
        <v>13329</v>
      </c>
      <c r="MYX3" s="230"/>
      <c r="MYY3" s="230"/>
      <c r="MYZ3" s="231"/>
      <c r="MZA3" s="229" t="s">
        <v>13329</v>
      </c>
      <c r="MZB3" s="230"/>
      <c r="MZC3" s="230"/>
      <c r="MZD3" s="231"/>
      <c r="MZE3" s="229" t="s">
        <v>13329</v>
      </c>
      <c r="MZF3" s="230"/>
      <c r="MZG3" s="230"/>
      <c r="MZH3" s="231"/>
      <c r="MZI3" s="229" t="s">
        <v>13329</v>
      </c>
      <c r="MZJ3" s="230"/>
      <c r="MZK3" s="230"/>
      <c r="MZL3" s="231"/>
      <c r="MZM3" s="229" t="s">
        <v>13329</v>
      </c>
      <c r="MZN3" s="230"/>
      <c r="MZO3" s="230"/>
      <c r="MZP3" s="231"/>
      <c r="MZQ3" s="229" t="s">
        <v>13329</v>
      </c>
      <c r="MZR3" s="230"/>
      <c r="MZS3" s="230"/>
      <c r="MZT3" s="231"/>
      <c r="MZU3" s="229" t="s">
        <v>13329</v>
      </c>
      <c r="MZV3" s="230"/>
      <c r="MZW3" s="230"/>
      <c r="MZX3" s="231"/>
      <c r="MZY3" s="229" t="s">
        <v>13329</v>
      </c>
      <c r="MZZ3" s="230"/>
      <c r="NAA3" s="230"/>
      <c r="NAB3" s="231"/>
      <c r="NAC3" s="229" t="s">
        <v>13329</v>
      </c>
      <c r="NAD3" s="230"/>
      <c r="NAE3" s="230"/>
      <c r="NAF3" s="231"/>
      <c r="NAG3" s="229" t="s">
        <v>13329</v>
      </c>
      <c r="NAH3" s="230"/>
      <c r="NAI3" s="230"/>
      <c r="NAJ3" s="231"/>
      <c r="NAK3" s="229" t="s">
        <v>13329</v>
      </c>
      <c r="NAL3" s="230"/>
      <c r="NAM3" s="230"/>
      <c r="NAN3" s="231"/>
      <c r="NAO3" s="229" t="s">
        <v>13329</v>
      </c>
      <c r="NAP3" s="230"/>
      <c r="NAQ3" s="230"/>
      <c r="NAR3" s="231"/>
      <c r="NAS3" s="229" t="s">
        <v>13329</v>
      </c>
      <c r="NAT3" s="230"/>
      <c r="NAU3" s="230"/>
      <c r="NAV3" s="231"/>
      <c r="NAW3" s="229" t="s">
        <v>13329</v>
      </c>
      <c r="NAX3" s="230"/>
      <c r="NAY3" s="230"/>
      <c r="NAZ3" s="231"/>
      <c r="NBA3" s="229" t="s">
        <v>13329</v>
      </c>
      <c r="NBB3" s="230"/>
      <c r="NBC3" s="230"/>
      <c r="NBD3" s="231"/>
      <c r="NBE3" s="229" t="s">
        <v>13329</v>
      </c>
      <c r="NBF3" s="230"/>
      <c r="NBG3" s="230"/>
      <c r="NBH3" s="231"/>
      <c r="NBI3" s="229" t="s">
        <v>13329</v>
      </c>
      <c r="NBJ3" s="230"/>
      <c r="NBK3" s="230"/>
      <c r="NBL3" s="231"/>
      <c r="NBM3" s="229" t="s">
        <v>13329</v>
      </c>
      <c r="NBN3" s="230"/>
      <c r="NBO3" s="230"/>
      <c r="NBP3" s="231"/>
      <c r="NBQ3" s="229" t="s">
        <v>13329</v>
      </c>
      <c r="NBR3" s="230"/>
      <c r="NBS3" s="230"/>
      <c r="NBT3" s="231"/>
      <c r="NBU3" s="229" t="s">
        <v>13329</v>
      </c>
      <c r="NBV3" s="230"/>
      <c r="NBW3" s="230"/>
      <c r="NBX3" s="231"/>
      <c r="NBY3" s="229" t="s">
        <v>13329</v>
      </c>
      <c r="NBZ3" s="230"/>
      <c r="NCA3" s="230"/>
      <c r="NCB3" s="231"/>
      <c r="NCC3" s="229" t="s">
        <v>13329</v>
      </c>
      <c r="NCD3" s="230"/>
      <c r="NCE3" s="230"/>
      <c r="NCF3" s="231"/>
      <c r="NCG3" s="229" t="s">
        <v>13329</v>
      </c>
      <c r="NCH3" s="230"/>
      <c r="NCI3" s="230"/>
      <c r="NCJ3" s="231"/>
      <c r="NCK3" s="229" t="s">
        <v>13329</v>
      </c>
      <c r="NCL3" s="230"/>
      <c r="NCM3" s="230"/>
      <c r="NCN3" s="231"/>
      <c r="NCO3" s="229" t="s">
        <v>13329</v>
      </c>
      <c r="NCP3" s="230"/>
      <c r="NCQ3" s="230"/>
      <c r="NCR3" s="231"/>
      <c r="NCS3" s="229" t="s">
        <v>13329</v>
      </c>
      <c r="NCT3" s="230"/>
      <c r="NCU3" s="230"/>
      <c r="NCV3" s="231"/>
      <c r="NCW3" s="229" t="s">
        <v>13329</v>
      </c>
      <c r="NCX3" s="230"/>
      <c r="NCY3" s="230"/>
      <c r="NCZ3" s="231"/>
      <c r="NDA3" s="229" t="s">
        <v>13329</v>
      </c>
      <c r="NDB3" s="230"/>
      <c r="NDC3" s="230"/>
      <c r="NDD3" s="231"/>
      <c r="NDE3" s="229" t="s">
        <v>13329</v>
      </c>
      <c r="NDF3" s="230"/>
      <c r="NDG3" s="230"/>
      <c r="NDH3" s="231"/>
      <c r="NDI3" s="229" t="s">
        <v>13329</v>
      </c>
      <c r="NDJ3" s="230"/>
      <c r="NDK3" s="230"/>
      <c r="NDL3" s="231"/>
      <c r="NDM3" s="229" t="s">
        <v>13329</v>
      </c>
      <c r="NDN3" s="230"/>
      <c r="NDO3" s="230"/>
      <c r="NDP3" s="231"/>
      <c r="NDQ3" s="229" t="s">
        <v>13329</v>
      </c>
      <c r="NDR3" s="230"/>
      <c r="NDS3" s="230"/>
      <c r="NDT3" s="231"/>
      <c r="NDU3" s="229" t="s">
        <v>13329</v>
      </c>
      <c r="NDV3" s="230"/>
      <c r="NDW3" s="230"/>
      <c r="NDX3" s="231"/>
      <c r="NDY3" s="229" t="s">
        <v>13329</v>
      </c>
      <c r="NDZ3" s="230"/>
      <c r="NEA3" s="230"/>
      <c r="NEB3" s="231"/>
      <c r="NEC3" s="229" t="s">
        <v>13329</v>
      </c>
      <c r="NED3" s="230"/>
      <c r="NEE3" s="230"/>
      <c r="NEF3" s="231"/>
      <c r="NEG3" s="229" t="s">
        <v>13329</v>
      </c>
      <c r="NEH3" s="230"/>
      <c r="NEI3" s="230"/>
      <c r="NEJ3" s="231"/>
      <c r="NEK3" s="229" t="s">
        <v>13329</v>
      </c>
      <c r="NEL3" s="230"/>
      <c r="NEM3" s="230"/>
      <c r="NEN3" s="231"/>
      <c r="NEO3" s="229" t="s">
        <v>13329</v>
      </c>
      <c r="NEP3" s="230"/>
      <c r="NEQ3" s="230"/>
      <c r="NER3" s="231"/>
      <c r="NES3" s="229" t="s">
        <v>13329</v>
      </c>
      <c r="NET3" s="230"/>
      <c r="NEU3" s="230"/>
      <c r="NEV3" s="231"/>
      <c r="NEW3" s="229" t="s">
        <v>13329</v>
      </c>
      <c r="NEX3" s="230"/>
      <c r="NEY3" s="230"/>
      <c r="NEZ3" s="231"/>
      <c r="NFA3" s="229" t="s">
        <v>13329</v>
      </c>
      <c r="NFB3" s="230"/>
      <c r="NFC3" s="230"/>
      <c r="NFD3" s="231"/>
      <c r="NFE3" s="229" t="s">
        <v>13329</v>
      </c>
      <c r="NFF3" s="230"/>
      <c r="NFG3" s="230"/>
      <c r="NFH3" s="231"/>
      <c r="NFI3" s="229" t="s">
        <v>13329</v>
      </c>
      <c r="NFJ3" s="230"/>
      <c r="NFK3" s="230"/>
      <c r="NFL3" s="231"/>
      <c r="NFM3" s="229" t="s">
        <v>13329</v>
      </c>
      <c r="NFN3" s="230"/>
      <c r="NFO3" s="230"/>
      <c r="NFP3" s="231"/>
      <c r="NFQ3" s="229" t="s">
        <v>13329</v>
      </c>
      <c r="NFR3" s="230"/>
      <c r="NFS3" s="230"/>
      <c r="NFT3" s="231"/>
      <c r="NFU3" s="229" t="s">
        <v>13329</v>
      </c>
      <c r="NFV3" s="230"/>
      <c r="NFW3" s="230"/>
      <c r="NFX3" s="231"/>
      <c r="NFY3" s="229" t="s">
        <v>13329</v>
      </c>
      <c r="NFZ3" s="230"/>
      <c r="NGA3" s="230"/>
      <c r="NGB3" s="231"/>
      <c r="NGC3" s="229" t="s">
        <v>13329</v>
      </c>
      <c r="NGD3" s="230"/>
      <c r="NGE3" s="230"/>
      <c r="NGF3" s="231"/>
      <c r="NGG3" s="229" t="s">
        <v>13329</v>
      </c>
      <c r="NGH3" s="230"/>
      <c r="NGI3" s="230"/>
      <c r="NGJ3" s="231"/>
      <c r="NGK3" s="229" t="s">
        <v>13329</v>
      </c>
      <c r="NGL3" s="230"/>
      <c r="NGM3" s="230"/>
      <c r="NGN3" s="231"/>
      <c r="NGO3" s="229" t="s">
        <v>13329</v>
      </c>
      <c r="NGP3" s="230"/>
      <c r="NGQ3" s="230"/>
      <c r="NGR3" s="231"/>
      <c r="NGS3" s="229" t="s">
        <v>13329</v>
      </c>
      <c r="NGT3" s="230"/>
      <c r="NGU3" s="230"/>
      <c r="NGV3" s="231"/>
      <c r="NGW3" s="229" t="s">
        <v>13329</v>
      </c>
      <c r="NGX3" s="230"/>
      <c r="NGY3" s="230"/>
      <c r="NGZ3" s="231"/>
      <c r="NHA3" s="229" t="s">
        <v>13329</v>
      </c>
      <c r="NHB3" s="230"/>
      <c r="NHC3" s="230"/>
      <c r="NHD3" s="231"/>
      <c r="NHE3" s="229" t="s">
        <v>13329</v>
      </c>
      <c r="NHF3" s="230"/>
      <c r="NHG3" s="230"/>
      <c r="NHH3" s="231"/>
      <c r="NHI3" s="229" t="s">
        <v>13329</v>
      </c>
      <c r="NHJ3" s="230"/>
      <c r="NHK3" s="230"/>
      <c r="NHL3" s="231"/>
      <c r="NHM3" s="229" t="s">
        <v>13329</v>
      </c>
      <c r="NHN3" s="230"/>
      <c r="NHO3" s="230"/>
      <c r="NHP3" s="231"/>
      <c r="NHQ3" s="229" t="s">
        <v>13329</v>
      </c>
      <c r="NHR3" s="230"/>
      <c r="NHS3" s="230"/>
      <c r="NHT3" s="231"/>
      <c r="NHU3" s="229" t="s">
        <v>13329</v>
      </c>
      <c r="NHV3" s="230"/>
      <c r="NHW3" s="230"/>
      <c r="NHX3" s="231"/>
      <c r="NHY3" s="229" t="s">
        <v>13329</v>
      </c>
      <c r="NHZ3" s="230"/>
      <c r="NIA3" s="230"/>
      <c r="NIB3" s="231"/>
      <c r="NIC3" s="229" t="s">
        <v>13329</v>
      </c>
      <c r="NID3" s="230"/>
      <c r="NIE3" s="230"/>
      <c r="NIF3" s="231"/>
      <c r="NIG3" s="229" t="s">
        <v>13329</v>
      </c>
      <c r="NIH3" s="230"/>
      <c r="NII3" s="230"/>
      <c r="NIJ3" s="231"/>
      <c r="NIK3" s="229" t="s">
        <v>13329</v>
      </c>
      <c r="NIL3" s="230"/>
      <c r="NIM3" s="230"/>
      <c r="NIN3" s="231"/>
      <c r="NIO3" s="229" t="s">
        <v>13329</v>
      </c>
      <c r="NIP3" s="230"/>
      <c r="NIQ3" s="230"/>
      <c r="NIR3" s="231"/>
      <c r="NIS3" s="229" t="s">
        <v>13329</v>
      </c>
      <c r="NIT3" s="230"/>
      <c r="NIU3" s="230"/>
      <c r="NIV3" s="231"/>
      <c r="NIW3" s="229" t="s">
        <v>13329</v>
      </c>
      <c r="NIX3" s="230"/>
      <c r="NIY3" s="230"/>
      <c r="NIZ3" s="231"/>
      <c r="NJA3" s="229" t="s">
        <v>13329</v>
      </c>
      <c r="NJB3" s="230"/>
      <c r="NJC3" s="230"/>
      <c r="NJD3" s="231"/>
      <c r="NJE3" s="229" t="s">
        <v>13329</v>
      </c>
      <c r="NJF3" s="230"/>
      <c r="NJG3" s="230"/>
      <c r="NJH3" s="231"/>
      <c r="NJI3" s="229" t="s">
        <v>13329</v>
      </c>
      <c r="NJJ3" s="230"/>
      <c r="NJK3" s="230"/>
      <c r="NJL3" s="231"/>
      <c r="NJM3" s="229" t="s">
        <v>13329</v>
      </c>
      <c r="NJN3" s="230"/>
      <c r="NJO3" s="230"/>
      <c r="NJP3" s="231"/>
      <c r="NJQ3" s="229" t="s">
        <v>13329</v>
      </c>
      <c r="NJR3" s="230"/>
      <c r="NJS3" s="230"/>
      <c r="NJT3" s="231"/>
      <c r="NJU3" s="229" t="s">
        <v>13329</v>
      </c>
      <c r="NJV3" s="230"/>
      <c r="NJW3" s="230"/>
      <c r="NJX3" s="231"/>
      <c r="NJY3" s="229" t="s">
        <v>13329</v>
      </c>
      <c r="NJZ3" s="230"/>
      <c r="NKA3" s="230"/>
      <c r="NKB3" s="231"/>
      <c r="NKC3" s="229" t="s">
        <v>13329</v>
      </c>
      <c r="NKD3" s="230"/>
      <c r="NKE3" s="230"/>
      <c r="NKF3" s="231"/>
      <c r="NKG3" s="229" t="s">
        <v>13329</v>
      </c>
      <c r="NKH3" s="230"/>
      <c r="NKI3" s="230"/>
      <c r="NKJ3" s="231"/>
      <c r="NKK3" s="229" t="s">
        <v>13329</v>
      </c>
      <c r="NKL3" s="230"/>
      <c r="NKM3" s="230"/>
      <c r="NKN3" s="231"/>
      <c r="NKO3" s="229" t="s">
        <v>13329</v>
      </c>
      <c r="NKP3" s="230"/>
      <c r="NKQ3" s="230"/>
      <c r="NKR3" s="231"/>
      <c r="NKS3" s="229" t="s">
        <v>13329</v>
      </c>
      <c r="NKT3" s="230"/>
      <c r="NKU3" s="230"/>
      <c r="NKV3" s="231"/>
      <c r="NKW3" s="229" t="s">
        <v>13329</v>
      </c>
      <c r="NKX3" s="230"/>
      <c r="NKY3" s="230"/>
      <c r="NKZ3" s="231"/>
      <c r="NLA3" s="229" t="s">
        <v>13329</v>
      </c>
      <c r="NLB3" s="230"/>
      <c r="NLC3" s="230"/>
      <c r="NLD3" s="231"/>
      <c r="NLE3" s="229" t="s">
        <v>13329</v>
      </c>
      <c r="NLF3" s="230"/>
      <c r="NLG3" s="230"/>
      <c r="NLH3" s="231"/>
      <c r="NLI3" s="229" t="s">
        <v>13329</v>
      </c>
      <c r="NLJ3" s="230"/>
      <c r="NLK3" s="230"/>
      <c r="NLL3" s="231"/>
      <c r="NLM3" s="229" t="s">
        <v>13329</v>
      </c>
      <c r="NLN3" s="230"/>
      <c r="NLO3" s="230"/>
      <c r="NLP3" s="231"/>
      <c r="NLQ3" s="229" t="s">
        <v>13329</v>
      </c>
      <c r="NLR3" s="230"/>
      <c r="NLS3" s="230"/>
      <c r="NLT3" s="231"/>
      <c r="NLU3" s="229" t="s">
        <v>13329</v>
      </c>
      <c r="NLV3" s="230"/>
      <c r="NLW3" s="230"/>
      <c r="NLX3" s="231"/>
      <c r="NLY3" s="229" t="s">
        <v>13329</v>
      </c>
      <c r="NLZ3" s="230"/>
      <c r="NMA3" s="230"/>
      <c r="NMB3" s="231"/>
      <c r="NMC3" s="229" t="s">
        <v>13329</v>
      </c>
      <c r="NMD3" s="230"/>
      <c r="NME3" s="230"/>
      <c r="NMF3" s="231"/>
      <c r="NMG3" s="229" t="s">
        <v>13329</v>
      </c>
      <c r="NMH3" s="230"/>
      <c r="NMI3" s="230"/>
      <c r="NMJ3" s="231"/>
      <c r="NMK3" s="229" t="s">
        <v>13329</v>
      </c>
      <c r="NML3" s="230"/>
      <c r="NMM3" s="230"/>
      <c r="NMN3" s="231"/>
      <c r="NMO3" s="229" t="s">
        <v>13329</v>
      </c>
      <c r="NMP3" s="230"/>
      <c r="NMQ3" s="230"/>
      <c r="NMR3" s="231"/>
      <c r="NMS3" s="229" t="s">
        <v>13329</v>
      </c>
      <c r="NMT3" s="230"/>
      <c r="NMU3" s="230"/>
      <c r="NMV3" s="231"/>
      <c r="NMW3" s="229" t="s">
        <v>13329</v>
      </c>
      <c r="NMX3" s="230"/>
      <c r="NMY3" s="230"/>
      <c r="NMZ3" s="231"/>
      <c r="NNA3" s="229" t="s">
        <v>13329</v>
      </c>
      <c r="NNB3" s="230"/>
      <c r="NNC3" s="230"/>
      <c r="NND3" s="231"/>
      <c r="NNE3" s="229" t="s">
        <v>13329</v>
      </c>
      <c r="NNF3" s="230"/>
      <c r="NNG3" s="230"/>
      <c r="NNH3" s="231"/>
      <c r="NNI3" s="229" t="s">
        <v>13329</v>
      </c>
      <c r="NNJ3" s="230"/>
      <c r="NNK3" s="230"/>
      <c r="NNL3" s="231"/>
      <c r="NNM3" s="229" t="s">
        <v>13329</v>
      </c>
      <c r="NNN3" s="230"/>
      <c r="NNO3" s="230"/>
      <c r="NNP3" s="231"/>
      <c r="NNQ3" s="229" t="s">
        <v>13329</v>
      </c>
      <c r="NNR3" s="230"/>
      <c r="NNS3" s="230"/>
      <c r="NNT3" s="231"/>
      <c r="NNU3" s="229" t="s">
        <v>13329</v>
      </c>
      <c r="NNV3" s="230"/>
      <c r="NNW3" s="230"/>
      <c r="NNX3" s="231"/>
      <c r="NNY3" s="229" t="s">
        <v>13329</v>
      </c>
      <c r="NNZ3" s="230"/>
      <c r="NOA3" s="230"/>
      <c r="NOB3" s="231"/>
      <c r="NOC3" s="229" t="s">
        <v>13329</v>
      </c>
      <c r="NOD3" s="230"/>
      <c r="NOE3" s="230"/>
      <c r="NOF3" s="231"/>
      <c r="NOG3" s="229" t="s">
        <v>13329</v>
      </c>
      <c r="NOH3" s="230"/>
      <c r="NOI3" s="230"/>
      <c r="NOJ3" s="231"/>
      <c r="NOK3" s="229" t="s">
        <v>13329</v>
      </c>
      <c r="NOL3" s="230"/>
      <c r="NOM3" s="230"/>
      <c r="NON3" s="231"/>
      <c r="NOO3" s="229" t="s">
        <v>13329</v>
      </c>
      <c r="NOP3" s="230"/>
      <c r="NOQ3" s="230"/>
      <c r="NOR3" s="231"/>
      <c r="NOS3" s="229" t="s">
        <v>13329</v>
      </c>
      <c r="NOT3" s="230"/>
      <c r="NOU3" s="230"/>
      <c r="NOV3" s="231"/>
      <c r="NOW3" s="229" t="s">
        <v>13329</v>
      </c>
      <c r="NOX3" s="230"/>
      <c r="NOY3" s="230"/>
      <c r="NOZ3" s="231"/>
      <c r="NPA3" s="229" t="s">
        <v>13329</v>
      </c>
      <c r="NPB3" s="230"/>
      <c r="NPC3" s="230"/>
      <c r="NPD3" s="231"/>
      <c r="NPE3" s="229" t="s">
        <v>13329</v>
      </c>
      <c r="NPF3" s="230"/>
      <c r="NPG3" s="230"/>
      <c r="NPH3" s="231"/>
      <c r="NPI3" s="229" t="s">
        <v>13329</v>
      </c>
      <c r="NPJ3" s="230"/>
      <c r="NPK3" s="230"/>
      <c r="NPL3" s="231"/>
      <c r="NPM3" s="229" t="s">
        <v>13329</v>
      </c>
      <c r="NPN3" s="230"/>
      <c r="NPO3" s="230"/>
      <c r="NPP3" s="231"/>
      <c r="NPQ3" s="229" t="s">
        <v>13329</v>
      </c>
      <c r="NPR3" s="230"/>
      <c r="NPS3" s="230"/>
      <c r="NPT3" s="231"/>
      <c r="NPU3" s="229" t="s">
        <v>13329</v>
      </c>
      <c r="NPV3" s="230"/>
      <c r="NPW3" s="230"/>
      <c r="NPX3" s="231"/>
      <c r="NPY3" s="229" t="s">
        <v>13329</v>
      </c>
      <c r="NPZ3" s="230"/>
      <c r="NQA3" s="230"/>
      <c r="NQB3" s="231"/>
      <c r="NQC3" s="229" t="s">
        <v>13329</v>
      </c>
      <c r="NQD3" s="230"/>
      <c r="NQE3" s="230"/>
      <c r="NQF3" s="231"/>
      <c r="NQG3" s="229" t="s">
        <v>13329</v>
      </c>
      <c r="NQH3" s="230"/>
      <c r="NQI3" s="230"/>
      <c r="NQJ3" s="231"/>
      <c r="NQK3" s="229" t="s">
        <v>13329</v>
      </c>
      <c r="NQL3" s="230"/>
      <c r="NQM3" s="230"/>
      <c r="NQN3" s="231"/>
      <c r="NQO3" s="229" t="s">
        <v>13329</v>
      </c>
      <c r="NQP3" s="230"/>
      <c r="NQQ3" s="230"/>
      <c r="NQR3" s="231"/>
      <c r="NQS3" s="229" t="s">
        <v>13329</v>
      </c>
      <c r="NQT3" s="230"/>
      <c r="NQU3" s="230"/>
      <c r="NQV3" s="231"/>
      <c r="NQW3" s="229" t="s">
        <v>13329</v>
      </c>
      <c r="NQX3" s="230"/>
      <c r="NQY3" s="230"/>
      <c r="NQZ3" s="231"/>
      <c r="NRA3" s="229" t="s">
        <v>13329</v>
      </c>
      <c r="NRB3" s="230"/>
      <c r="NRC3" s="230"/>
      <c r="NRD3" s="231"/>
      <c r="NRE3" s="229" t="s">
        <v>13329</v>
      </c>
      <c r="NRF3" s="230"/>
      <c r="NRG3" s="230"/>
      <c r="NRH3" s="231"/>
      <c r="NRI3" s="229" t="s">
        <v>13329</v>
      </c>
      <c r="NRJ3" s="230"/>
      <c r="NRK3" s="230"/>
      <c r="NRL3" s="231"/>
      <c r="NRM3" s="229" t="s">
        <v>13329</v>
      </c>
      <c r="NRN3" s="230"/>
      <c r="NRO3" s="230"/>
      <c r="NRP3" s="231"/>
      <c r="NRQ3" s="229" t="s">
        <v>13329</v>
      </c>
      <c r="NRR3" s="230"/>
      <c r="NRS3" s="230"/>
      <c r="NRT3" s="231"/>
      <c r="NRU3" s="229" t="s">
        <v>13329</v>
      </c>
      <c r="NRV3" s="230"/>
      <c r="NRW3" s="230"/>
      <c r="NRX3" s="231"/>
      <c r="NRY3" s="229" t="s">
        <v>13329</v>
      </c>
      <c r="NRZ3" s="230"/>
      <c r="NSA3" s="230"/>
      <c r="NSB3" s="231"/>
      <c r="NSC3" s="229" t="s">
        <v>13329</v>
      </c>
      <c r="NSD3" s="230"/>
      <c r="NSE3" s="230"/>
      <c r="NSF3" s="231"/>
      <c r="NSG3" s="229" t="s">
        <v>13329</v>
      </c>
      <c r="NSH3" s="230"/>
      <c r="NSI3" s="230"/>
      <c r="NSJ3" s="231"/>
      <c r="NSK3" s="229" t="s">
        <v>13329</v>
      </c>
      <c r="NSL3" s="230"/>
      <c r="NSM3" s="230"/>
      <c r="NSN3" s="231"/>
      <c r="NSO3" s="229" t="s">
        <v>13329</v>
      </c>
      <c r="NSP3" s="230"/>
      <c r="NSQ3" s="230"/>
      <c r="NSR3" s="231"/>
      <c r="NSS3" s="229" t="s">
        <v>13329</v>
      </c>
      <c r="NST3" s="230"/>
      <c r="NSU3" s="230"/>
      <c r="NSV3" s="231"/>
      <c r="NSW3" s="229" t="s">
        <v>13329</v>
      </c>
      <c r="NSX3" s="230"/>
      <c r="NSY3" s="230"/>
      <c r="NSZ3" s="231"/>
      <c r="NTA3" s="229" t="s">
        <v>13329</v>
      </c>
      <c r="NTB3" s="230"/>
      <c r="NTC3" s="230"/>
      <c r="NTD3" s="231"/>
      <c r="NTE3" s="229" t="s">
        <v>13329</v>
      </c>
      <c r="NTF3" s="230"/>
      <c r="NTG3" s="230"/>
      <c r="NTH3" s="231"/>
      <c r="NTI3" s="229" t="s">
        <v>13329</v>
      </c>
      <c r="NTJ3" s="230"/>
      <c r="NTK3" s="230"/>
      <c r="NTL3" s="231"/>
      <c r="NTM3" s="229" t="s">
        <v>13329</v>
      </c>
      <c r="NTN3" s="230"/>
      <c r="NTO3" s="230"/>
      <c r="NTP3" s="231"/>
      <c r="NTQ3" s="229" t="s">
        <v>13329</v>
      </c>
      <c r="NTR3" s="230"/>
      <c r="NTS3" s="230"/>
      <c r="NTT3" s="231"/>
      <c r="NTU3" s="229" t="s">
        <v>13329</v>
      </c>
      <c r="NTV3" s="230"/>
      <c r="NTW3" s="230"/>
      <c r="NTX3" s="231"/>
      <c r="NTY3" s="229" t="s">
        <v>13329</v>
      </c>
      <c r="NTZ3" s="230"/>
      <c r="NUA3" s="230"/>
      <c r="NUB3" s="231"/>
      <c r="NUC3" s="229" t="s">
        <v>13329</v>
      </c>
      <c r="NUD3" s="230"/>
      <c r="NUE3" s="230"/>
      <c r="NUF3" s="231"/>
      <c r="NUG3" s="229" t="s">
        <v>13329</v>
      </c>
      <c r="NUH3" s="230"/>
      <c r="NUI3" s="230"/>
      <c r="NUJ3" s="231"/>
      <c r="NUK3" s="229" t="s">
        <v>13329</v>
      </c>
      <c r="NUL3" s="230"/>
      <c r="NUM3" s="230"/>
      <c r="NUN3" s="231"/>
      <c r="NUO3" s="229" t="s">
        <v>13329</v>
      </c>
      <c r="NUP3" s="230"/>
      <c r="NUQ3" s="230"/>
      <c r="NUR3" s="231"/>
      <c r="NUS3" s="229" t="s">
        <v>13329</v>
      </c>
      <c r="NUT3" s="230"/>
      <c r="NUU3" s="230"/>
      <c r="NUV3" s="231"/>
      <c r="NUW3" s="229" t="s">
        <v>13329</v>
      </c>
      <c r="NUX3" s="230"/>
      <c r="NUY3" s="230"/>
      <c r="NUZ3" s="231"/>
      <c r="NVA3" s="229" t="s">
        <v>13329</v>
      </c>
      <c r="NVB3" s="230"/>
      <c r="NVC3" s="230"/>
      <c r="NVD3" s="231"/>
      <c r="NVE3" s="229" t="s">
        <v>13329</v>
      </c>
      <c r="NVF3" s="230"/>
      <c r="NVG3" s="230"/>
      <c r="NVH3" s="231"/>
      <c r="NVI3" s="229" t="s">
        <v>13329</v>
      </c>
      <c r="NVJ3" s="230"/>
      <c r="NVK3" s="230"/>
      <c r="NVL3" s="231"/>
      <c r="NVM3" s="229" t="s">
        <v>13329</v>
      </c>
      <c r="NVN3" s="230"/>
      <c r="NVO3" s="230"/>
      <c r="NVP3" s="231"/>
      <c r="NVQ3" s="229" t="s">
        <v>13329</v>
      </c>
      <c r="NVR3" s="230"/>
      <c r="NVS3" s="230"/>
      <c r="NVT3" s="231"/>
      <c r="NVU3" s="229" t="s">
        <v>13329</v>
      </c>
      <c r="NVV3" s="230"/>
      <c r="NVW3" s="230"/>
      <c r="NVX3" s="231"/>
      <c r="NVY3" s="229" t="s">
        <v>13329</v>
      </c>
      <c r="NVZ3" s="230"/>
      <c r="NWA3" s="230"/>
      <c r="NWB3" s="231"/>
      <c r="NWC3" s="229" t="s">
        <v>13329</v>
      </c>
      <c r="NWD3" s="230"/>
      <c r="NWE3" s="230"/>
      <c r="NWF3" s="231"/>
      <c r="NWG3" s="229" t="s">
        <v>13329</v>
      </c>
      <c r="NWH3" s="230"/>
      <c r="NWI3" s="230"/>
      <c r="NWJ3" s="231"/>
      <c r="NWK3" s="229" t="s">
        <v>13329</v>
      </c>
      <c r="NWL3" s="230"/>
      <c r="NWM3" s="230"/>
      <c r="NWN3" s="231"/>
      <c r="NWO3" s="229" t="s">
        <v>13329</v>
      </c>
      <c r="NWP3" s="230"/>
      <c r="NWQ3" s="230"/>
      <c r="NWR3" s="231"/>
      <c r="NWS3" s="229" t="s">
        <v>13329</v>
      </c>
      <c r="NWT3" s="230"/>
      <c r="NWU3" s="230"/>
      <c r="NWV3" s="231"/>
      <c r="NWW3" s="229" t="s">
        <v>13329</v>
      </c>
      <c r="NWX3" s="230"/>
      <c r="NWY3" s="230"/>
      <c r="NWZ3" s="231"/>
      <c r="NXA3" s="229" t="s">
        <v>13329</v>
      </c>
      <c r="NXB3" s="230"/>
      <c r="NXC3" s="230"/>
      <c r="NXD3" s="231"/>
      <c r="NXE3" s="229" t="s">
        <v>13329</v>
      </c>
      <c r="NXF3" s="230"/>
      <c r="NXG3" s="230"/>
      <c r="NXH3" s="231"/>
      <c r="NXI3" s="229" t="s">
        <v>13329</v>
      </c>
      <c r="NXJ3" s="230"/>
      <c r="NXK3" s="230"/>
      <c r="NXL3" s="231"/>
      <c r="NXM3" s="229" t="s">
        <v>13329</v>
      </c>
      <c r="NXN3" s="230"/>
      <c r="NXO3" s="230"/>
      <c r="NXP3" s="231"/>
      <c r="NXQ3" s="229" t="s">
        <v>13329</v>
      </c>
      <c r="NXR3" s="230"/>
      <c r="NXS3" s="230"/>
      <c r="NXT3" s="231"/>
      <c r="NXU3" s="229" t="s">
        <v>13329</v>
      </c>
      <c r="NXV3" s="230"/>
      <c r="NXW3" s="230"/>
      <c r="NXX3" s="231"/>
      <c r="NXY3" s="229" t="s">
        <v>13329</v>
      </c>
      <c r="NXZ3" s="230"/>
      <c r="NYA3" s="230"/>
      <c r="NYB3" s="231"/>
      <c r="NYC3" s="229" t="s">
        <v>13329</v>
      </c>
      <c r="NYD3" s="230"/>
      <c r="NYE3" s="230"/>
      <c r="NYF3" s="231"/>
      <c r="NYG3" s="229" t="s">
        <v>13329</v>
      </c>
      <c r="NYH3" s="230"/>
      <c r="NYI3" s="230"/>
      <c r="NYJ3" s="231"/>
      <c r="NYK3" s="229" t="s">
        <v>13329</v>
      </c>
      <c r="NYL3" s="230"/>
      <c r="NYM3" s="230"/>
      <c r="NYN3" s="231"/>
      <c r="NYO3" s="229" t="s">
        <v>13329</v>
      </c>
      <c r="NYP3" s="230"/>
      <c r="NYQ3" s="230"/>
      <c r="NYR3" s="231"/>
      <c r="NYS3" s="229" t="s">
        <v>13329</v>
      </c>
      <c r="NYT3" s="230"/>
      <c r="NYU3" s="230"/>
      <c r="NYV3" s="231"/>
      <c r="NYW3" s="229" t="s">
        <v>13329</v>
      </c>
      <c r="NYX3" s="230"/>
      <c r="NYY3" s="230"/>
      <c r="NYZ3" s="231"/>
      <c r="NZA3" s="229" t="s">
        <v>13329</v>
      </c>
      <c r="NZB3" s="230"/>
      <c r="NZC3" s="230"/>
      <c r="NZD3" s="231"/>
      <c r="NZE3" s="229" t="s">
        <v>13329</v>
      </c>
      <c r="NZF3" s="230"/>
      <c r="NZG3" s="230"/>
      <c r="NZH3" s="231"/>
      <c r="NZI3" s="229" t="s">
        <v>13329</v>
      </c>
      <c r="NZJ3" s="230"/>
      <c r="NZK3" s="230"/>
      <c r="NZL3" s="231"/>
      <c r="NZM3" s="229" t="s">
        <v>13329</v>
      </c>
      <c r="NZN3" s="230"/>
      <c r="NZO3" s="230"/>
      <c r="NZP3" s="231"/>
      <c r="NZQ3" s="229" t="s">
        <v>13329</v>
      </c>
      <c r="NZR3" s="230"/>
      <c r="NZS3" s="230"/>
      <c r="NZT3" s="231"/>
      <c r="NZU3" s="229" t="s">
        <v>13329</v>
      </c>
      <c r="NZV3" s="230"/>
      <c r="NZW3" s="230"/>
      <c r="NZX3" s="231"/>
      <c r="NZY3" s="229" t="s">
        <v>13329</v>
      </c>
      <c r="NZZ3" s="230"/>
      <c r="OAA3" s="230"/>
      <c r="OAB3" s="231"/>
      <c r="OAC3" s="229" t="s">
        <v>13329</v>
      </c>
      <c r="OAD3" s="230"/>
      <c r="OAE3" s="230"/>
      <c r="OAF3" s="231"/>
      <c r="OAG3" s="229" t="s">
        <v>13329</v>
      </c>
      <c r="OAH3" s="230"/>
      <c r="OAI3" s="230"/>
      <c r="OAJ3" s="231"/>
      <c r="OAK3" s="229" t="s">
        <v>13329</v>
      </c>
      <c r="OAL3" s="230"/>
      <c r="OAM3" s="230"/>
      <c r="OAN3" s="231"/>
      <c r="OAO3" s="229" t="s">
        <v>13329</v>
      </c>
      <c r="OAP3" s="230"/>
      <c r="OAQ3" s="230"/>
      <c r="OAR3" s="231"/>
      <c r="OAS3" s="229" t="s">
        <v>13329</v>
      </c>
      <c r="OAT3" s="230"/>
      <c r="OAU3" s="230"/>
      <c r="OAV3" s="231"/>
      <c r="OAW3" s="229" t="s">
        <v>13329</v>
      </c>
      <c r="OAX3" s="230"/>
      <c r="OAY3" s="230"/>
      <c r="OAZ3" s="231"/>
      <c r="OBA3" s="229" t="s">
        <v>13329</v>
      </c>
      <c r="OBB3" s="230"/>
      <c r="OBC3" s="230"/>
      <c r="OBD3" s="231"/>
      <c r="OBE3" s="229" t="s">
        <v>13329</v>
      </c>
      <c r="OBF3" s="230"/>
      <c r="OBG3" s="230"/>
      <c r="OBH3" s="231"/>
      <c r="OBI3" s="229" t="s">
        <v>13329</v>
      </c>
      <c r="OBJ3" s="230"/>
      <c r="OBK3" s="230"/>
      <c r="OBL3" s="231"/>
      <c r="OBM3" s="229" t="s">
        <v>13329</v>
      </c>
      <c r="OBN3" s="230"/>
      <c r="OBO3" s="230"/>
      <c r="OBP3" s="231"/>
      <c r="OBQ3" s="229" t="s">
        <v>13329</v>
      </c>
      <c r="OBR3" s="230"/>
      <c r="OBS3" s="230"/>
      <c r="OBT3" s="231"/>
      <c r="OBU3" s="229" t="s">
        <v>13329</v>
      </c>
      <c r="OBV3" s="230"/>
      <c r="OBW3" s="230"/>
      <c r="OBX3" s="231"/>
      <c r="OBY3" s="229" t="s">
        <v>13329</v>
      </c>
      <c r="OBZ3" s="230"/>
      <c r="OCA3" s="230"/>
      <c r="OCB3" s="231"/>
      <c r="OCC3" s="229" t="s">
        <v>13329</v>
      </c>
      <c r="OCD3" s="230"/>
      <c r="OCE3" s="230"/>
      <c r="OCF3" s="231"/>
      <c r="OCG3" s="229" t="s">
        <v>13329</v>
      </c>
      <c r="OCH3" s="230"/>
      <c r="OCI3" s="230"/>
      <c r="OCJ3" s="231"/>
      <c r="OCK3" s="229" t="s">
        <v>13329</v>
      </c>
      <c r="OCL3" s="230"/>
      <c r="OCM3" s="230"/>
      <c r="OCN3" s="231"/>
      <c r="OCO3" s="229" t="s">
        <v>13329</v>
      </c>
      <c r="OCP3" s="230"/>
      <c r="OCQ3" s="230"/>
      <c r="OCR3" s="231"/>
      <c r="OCS3" s="229" t="s">
        <v>13329</v>
      </c>
      <c r="OCT3" s="230"/>
      <c r="OCU3" s="230"/>
      <c r="OCV3" s="231"/>
      <c r="OCW3" s="229" t="s">
        <v>13329</v>
      </c>
      <c r="OCX3" s="230"/>
      <c r="OCY3" s="230"/>
      <c r="OCZ3" s="231"/>
      <c r="ODA3" s="229" t="s">
        <v>13329</v>
      </c>
      <c r="ODB3" s="230"/>
      <c r="ODC3" s="230"/>
      <c r="ODD3" s="231"/>
      <c r="ODE3" s="229" t="s">
        <v>13329</v>
      </c>
      <c r="ODF3" s="230"/>
      <c r="ODG3" s="230"/>
      <c r="ODH3" s="231"/>
      <c r="ODI3" s="229" t="s">
        <v>13329</v>
      </c>
      <c r="ODJ3" s="230"/>
      <c r="ODK3" s="230"/>
      <c r="ODL3" s="231"/>
      <c r="ODM3" s="229" t="s">
        <v>13329</v>
      </c>
      <c r="ODN3" s="230"/>
      <c r="ODO3" s="230"/>
      <c r="ODP3" s="231"/>
      <c r="ODQ3" s="229" t="s">
        <v>13329</v>
      </c>
      <c r="ODR3" s="230"/>
      <c r="ODS3" s="230"/>
      <c r="ODT3" s="231"/>
      <c r="ODU3" s="229" t="s">
        <v>13329</v>
      </c>
      <c r="ODV3" s="230"/>
      <c r="ODW3" s="230"/>
      <c r="ODX3" s="231"/>
      <c r="ODY3" s="229" t="s">
        <v>13329</v>
      </c>
      <c r="ODZ3" s="230"/>
      <c r="OEA3" s="230"/>
      <c r="OEB3" s="231"/>
      <c r="OEC3" s="229" t="s">
        <v>13329</v>
      </c>
      <c r="OED3" s="230"/>
      <c r="OEE3" s="230"/>
      <c r="OEF3" s="231"/>
      <c r="OEG3" s="229" t="s">
        <v>13329</v>
      </c>
      <c r="OEH3" s="230"/>
      <c r="OEI3" s="230"/>
      <c r="OEJ3" s="231"/>
      <c r="OEK3" s="229" t="s">
        <v>13329</v>
      </c>
      <c r="OEL3" s="230"/>
      <c r="OEM3" s="230"/>
      <c r="OEN3" s="231"/>
      <c r="OEO3" s="229" t="s">
        <v>13329</v>
      </c>
      <c r="OEP3" s="230"/>
      <c r="OEQ3" s="230"/>
      <c r="OER3" s="231"/>
      <c r="OES3" s="229" t="s">
        <v>13329</v>
      </c>
      <c r="OET3" s="230"/>
      <c r="OEU3" s="230"/>
      <c r="OEV3" s="231"/>
      <c r="OEW3" s="229" t="s">
        <v>13329</v>
      </c>
      <c r="OEX3" s="230"/>
      <c r="OEY3" s="230"/>
      <c r="OEZ3" s="231"/>
      <c r="OFA3" s="229" t="s">
        <v>13329</v>
      </c>
      <c r="OFB3" s="230"/>
      <c r="OFC3" s="230"/>
      <c r="OFD3" s="231"/>
      <c r="OFE3" s="229" t="s">
        <v>13329</v>
      </c>
      <c r="OFF3" s="230"/>
      <c r="OFG3" s="230"/>
      <c r="OFH3" s="231"/>
      <c r="OFI3" s="229" t="s">
        <v>13329</v>
      </c>
      <c r="OFJ3" s="230"/>
      <c r="OFK3" s="230"/>
      <c r="OFL3" s="231"/>
      <c r="OFM3" s="229" t="s">
        <v>13329</v>
      </c>
      <c r="OFN3" s="230"/>
      <c r="OFO3" s="230"/>
      <c r="OFP3" s="231"/>
      <c r="OFQ3" s="229" t="s">
        <v>13329</v>
      </c>
      <c r="OFR3" s="230"/>
      <c r="OFS3" s="230"/>
      <c r="OFT3" s="231"/>
      <c r="OFU3" s="229" t="s">
        <v>13329</v>
      </c>
      <c r="OFV3" s="230"/>
      <c r="OFW3" s="230"/>
      <c r="OFX3" s="231"/>
      <c r="OFY3" s="229" t="s">
        <v>13329</v>
      </c>
      <c r="OFZ3" s="230"/>
      <c r="OGA3" s="230"/>
      <c r="OGB3" s="231"/>
      <c r="OGC3" s="229" t="s">
        <v>13329</v>
      </c>
      <c r="OGD3" s="230"/>
      <c r="OGE3" s="230"/>
      <c r="OGF3" s="231"/>
      <c r="OGG3" s="229" t="s">
        <v>13329</v>
      </c>
      <c r="OGH3" s="230"/>
      <c r="OGI3" s="230"/>
      <c r="OGJ3" s="231"/>
      <c r="OGK3" s="229" t="s">
        <v>13329</v>
      </c>
      <c r="OGL3" s="230"/>
      <c r="OGM3" s="230"/>
      <c r="OGN3" s="231"/>
      <c r="OGO3" s="229" t="s">
        <v>13329</v>
      </c>
      <c r="OGP3" s="230"/>
      <c r="OGQ3" s="230"/>
      <c r="OGR3" s="231"/>
      <c r="OGS3" s="229" t="s">
        <v>13329</v>
      </c>
      <c r="OGT3" s="230"/>
      <c r="OGU3" s="230"/>
      <c r="OGV3" s="231"/>
      <c r="OGW3" s="229" t="s">
        <v>13329</v>
      </c>
      <c r="OGX3" s="230"/>
      <c r="OGY3" s="230"/>
      <c r="OGZ3" s="231"/>
      <c r="OHA3" s="229" t="s">
        <v>13329</v>
      </c>
      <c r="OHB3" s="230"/>
      <c r="OHC3" s="230"/>
      <c r="OHD3" s="231"/>
      <c r="OHE3" s="229" t="s">
        <v>13329</v>
      </c>
      <c r="OHF3" s="230"/>
      <c r="OHG3" s="230"/>
      <c r="OHH3" s="231"/>
      <c r="OHI3" s="229" t="s">
        <v>13329</v>
      </c>
      <c r="OHJ3" s="230"/>
      <c r="OHK3" s="230"/>
      <c r="OHL3" s="231"/>
      <c r="OHM3" s="229" t="s">
        <v>13329</v>
      </c>
      <c r="OHN3" s="230"/>
      <c r="OHO3" s="230"/>
      <c r="OHP3" s="231"/>
      <c r="OHQ3" s="229" t="s">
        <v>13329</v>
      </c>
      <c r="OHR3" s="230"/>
      <c r="OHS3" s="230"/>
      <c r="OHT3" s="231"/>
      <c r="OHU3" s="229" t="s">
        <v>13329</v>
      </c>
      <c r="OHV3" s="230"/>
      <c r="OHW3" s="230"/>
      <c r="OHX3" s="231"/>
      <c r="OHY3" s="229" t="s">
        <v>13329</v>
      </c>
      <c r="OHZ3" s="230"/>
      <c r="OIA3" s="230"/>
      <c r="OIB3" s="231"/>
      <c r="OIC3" s="229" t="s">
        <v>13329</v>
      </c>
      <c r="OID3" s="230"/>
      <c r="OIE3" s="230"/>
      <c r="OIF3" s="231"/>
      <c r="OIG3" s="229" t="s">
        <v>13329</v>
      </c>
      <c r="OIH3" s="230"/>
      <c r="OII3" s="230"/>
      <c r="OIJ3" s="231"/>
      <c r="OIK3" s="229" t="s">
        <v>13329</v>
      </c>
      <c r="OIL3" s="230"/>
      <c r="OIM3" s="230"/>
      <c r="OIN3" s="231"/>
      <c r="OIO3" s="229" t="s">
        <v>13329</v>
      </c>
      <c r="OIP3" s="230"/>
      <c r="OIQ3" s="230"/>
      <c r="OIR3" s="231"/>
      <c r="OIS3" s="229" t="s">
        <v>13329</v>
      </c>
      <c r="OIT3" s="230"/>
      <c r="OIU3" s="230"/>
      <c r="OIV3" s="231"/>
      <c r="OIW3" s="229" t="s">
        <v>13329</v>
      </c>
      <c r="OIX3" s="230"/>
      <c r="OIY3" s="230"/>
      <c r="OIZ3" s="231"/>
      <c r="OJA3" s="229" t="s">
        <v>13329</v>
      </c>
      <c r="OJB3" s="230"/>
      <c r="OJC3" s="230"/>
      <c r="OJD3" s="231"/>
      <c r="OJE3" s="229" t="s">
        <v>13329</v>
      </c>
      <c r="OJF3" s="230"/>
      <c r="OJG3" s="230"/>
      <c r="OJH3" s="231"/>
      <c r="OJI3" s="229" t="s">
        <v>13329</v>
      </c>
      <c r="OJJ3" s="230"/>
      <c r="OJK3" s="230"/>
      <c r="OJL3" s="231"/>
      <c r="OJM3" s="229" t="s">
        <v>13329</v>
      </c>
      <c r="OJN3" s="230"/>
      <c r="OJO3" s="230"/>
      <c r="OJP3" s="231"/>
      <c r="OJQ3" s="229" t="s">
        <v>13329</v>
      </c>
      <c r="OJR3" s="230"/>
      <c r="OJS3" s="230"/>
      <c r="OJT3" s="231"/>
      <c r="OJU3" s="229" t="s">
        <v>13329</v>
      </c>
      <c r="OJV3" s="230"/>
      <c r="OJW3" s="230"/>
      <c r="OJX3" s="231"/>
      <c r="OJY3" s="229" t="s">
        <v>13329</v>
      </c>
      <c r="OJZ3" s="230"/>
      <c r="OKA3" s="230"/>
      <c r="OKB3" s="231"/>
      <c r="OKC3" s="229" t="s">
        <v>13329</v>
      </c>
      <c r="OKD3" s="230"/>
      <c r="OKE3" s="230"/>
      <c r="OKF3" s="231"/>
      <c r="OKG3" s="229" t="s">
        <v>13329</v>
      </c>
      <c r="OKH3" s="230"/>
      <c r="OKI3" s="230"/>
      <c r="OKJ3" s="231"/>
      <c r="OKK3" s="229" t="s">
        <v>13329</v>
      </c>
      <c r="OKL3" s="230"/>
      <c r="OKM3" s="230"/>
      <c r="OKN3" s="231"/>
      <c r="OKO3" s="229" t="s">
        <v>13329</v>
      </c>
      <c r="OKP3" s="230"/>
      <c r="OKQ3" s="230"/>
      <c r="OKR3" s="231"/>
      <c r="OKS3" s="229" t="s">
        <v>13329</v>
      </c>
      <c r="OKT3" s="230"/>
      <c r="OKU3" s="230"/>
      <c r="OKV3" s="231"/>
      <c r="OKW3" s="229" t="s">
        <v>13329</v>
      </c>
      <c r="OKX3" s="230"/>
      <c r="OKY3" s="230"/>
      <c r="OKZ3" s="231"/>
      <c r="OLA3" s="229" t="s">
        <v>13329</v>
      </c>
      <c r="OLB3" s="230"/>
      <c r="OLC3" s="230"/>
      <c r="OLD3" s="231"/>
      <c r="OLE3" s="229" t="s">
        <v>13329</v>
      </c>
      <c r="OLF3" s="230"/>
      <c r="OLG3" s="230"/>
      <c r="OLH3" s="231"/>
      <c r="OLI3" s="229" t="s">
        <v>13329</v>
      </c>
      <c r="OLJ3" s="230"/>
      <c r="OLK3" s="230"/>
      <c r="OLL3" s="231"/>
      <c r="OLM3" s="229" t="s">
        <v>13329</v>
      </c>
      <c r="OLN3" s="230"/>
      <c r="OLO3" s="230"/>
      <c r="OLP3" s="231"/>
      <c r="OLQ3" s="229" t="s">
        <v>13329</v>
      </c>
      <c r="OLR3" s="230"/>
      <c r="OLS3" s="230"/>
      <c r="OLT3" s="231"/>
      <c r="OLU3" s="229" t="s">
        <v>13329</v>
      </c>
      <c r="OLV3" s="230"/>
      <c r="OLW3" s="230"/>
      <c r="OLX3" s="231"/>
      <c r="OLY3" s="229" t="s">
        <v>13329</v>
      </c>
      <c r="OLZ3" s="230"/>
      <c r="OMA3" s="230"/>
      <c r="OMB3" s="231"/>
      <c r="OMC3" s="229" t="s">
        <v>13329</v>
      </c>
      <c r="OMD3" s="230"/>
      <c r="OME3" s="230"/>
      <c r="OMF3" s="231"/>
      <c r="OMG3" s="229" t="s">
        <v>13329</v>
      </c>
      <c r="OMH3" s="230"/>
      <c r="OMI3" s="230"/>
      <c r="OMJ3" s="231"/>
      <c r="OMK3" s="229" t="s">
        <v>13329</v>
      </c>
      <c r="OML3" s="230"/>
      <c r="OMM3" s="230"/>
      <c r="OMN3" s="231"/>
      <c r="OMO3" s="229" t="s">
        <v>13329</v>
      </c>
      <c r="OMP3" s="230"/>
      <c r="OMQ3" s="230"/>
      <c r="OMR3" s="231"/>
      <c r="OMS3" s="229" t="s">
        <v>13329</v>
      </c>
      <c r="OMT3" s="230"/>
      <c r="OMU3" s="230"/>
      <c r="OMV3" s="231"/>
      <c r="OMW3" s="229" t="s">
        <v>13329</v>
      </c>
      <c r="OMX3" s="230"/>
      <c r="OMY3" s="230"/>
      <c r="OMZ3" s="231"/>
      <c r="ONA3" s="229" t="s">
        <v>13329</v>
      </c>
      <c r="ONB3" s="230"/>
      <c r="ONC3" s="230"/>
      <c r="OND3" s="231"/>
      <c r="ONE3" s="229" t="s">
        <v>13329</v>
      </c>
      <c r="ONF3" s="230"/>
      <c r="ONG3" s="230"/>
      <c r="ONH3" s="231"/>
      <c r="ONI3" s="229" t="s">
        <v>13329</v>
      </c>
      <c r="ONJ3" s="230"/>
      <c r="ONK3" s="230"/>
      <c r="ONL3" s="231"/>
      <c r="ONM3" s="229" t="s">
        <v>13329</v>
      </c>
      <c r="ONN3" s="230"/>
      <c r="ONO3" s="230"/>
      <c r="ONP3" s="231"/>
      <c r="ONQ3" s="229" t="s">
        <v>13329</v>
      </c>
      <c r="ONR3" s="230"/>
      <c r="ONS3" s="230"/>
      <c r="ONT3" s="231"/>
      <c r="ONU3" s="229" t="s">
        <v>13329</v>
      </c>
      <c r="ONV3" s="230"/>
      <c r="ONW3" s="230"/>
      <c r="ONX3" s="231"/>
      <c r="ONY3" s="229" t="s">
        <v>13329</v>
      </c>
      <c r="ONZ3" s="230"/>
      <c r="OOA3" s="230"/>
      <c r="OOB3" s="231"/>
      <c r="OOC3" s="229" t="s">
        <v>13329</v>
      </c>
      <c r="OOD3" s="230"/>
      <c r="OOE3" s="230"/>
      <c r="OOF3" s="231"/>
      <c r="OOG3" s="229" t="s">
        <v>13329</v>
      </c>
      <c r="OOH3" s="230"/>
      <c r="OOI3" s="230"/>
      <c r="OOJ3" s="231"/>
      <c r="OOK3" s="229" t="s">
        <v>13329</v>
      </c>
      <c r="OOL3" s="230"/>
      <c r="OOM3" s="230"/>
      <c r="OON3" s="231"/>
      <c r="OOO3" s="229" t="s">
        <v>13329</v>
      </c>
      <c r="OOP3" s="230"/>
      <c r="OOQ3" s="230"/>
      <c r="OOR3" s="231"/>
      <c r="OOS3" s="229" t="s">
        <v>13329</v>
      </c>
      <c r="OOT3" s="230"/>
      <c r="OOU3" s="230"/>
      <c r="OOV3" s="231"/>
      <c r="OOW3" s="229" t="s">
        <v>13329</v>
      </c>
      <c r="OOX3" s="230"/>
      <c r="OOY3" s="230"/>
      <c r="OOZ3" s="231"/>
      <c r="OPA3" s="229" t="s">
        <v>13329</v>
      </c>
      <c r="OPB3" s="230"/>
      <c r="OPC3" s="230"/>
      <c r="OPD3" s="231"/>
      <c r="OPE3" s="229" t="s">
        <v>13329</v>
      </c>
      <c r="OPF3" s="230"/>
      <c r="OPG3" s="230"/>
      <c r="OPH3" s="231"/>
      <c r="OPI3" s="229" t="s">
        <v>13329</v>
      </c>
      <c r="OPJ3" s="230"/>
      <c r="OPK3" s="230"/>
      <c r="OPL3" s="231"/>
      <c r="OPM3" s="229" t="s">
        <v>13329</v>
      </c>
      <c r="OPN3" s="230"/>
      <c r="OPO3" s="230"/>
      <c r="OPP3" s="231"/>
      <c r="OPQ3" s="229" t="s">
        <v>13329</v>
      </c>
      <c r="OPR3" s="230"/>
      <c r="OPS3" s="230"/>
      <c r="OPT3" s="231"/>
      <c r="OPU3" s="229" t="s">
        <v>13329</v>
      </c>
      <c r="OPV3" s="230"/>
      <c r="OPW3" s="230"/>
      <c r="OPX3" s="231"/>
      <c r="OPY3" s="229" t="s">
        <v>13329</v>
      </c>
      <c r="OPZ3" s="230"/>
      <c r="OQA3" s="230"/>
      <c r="OQB3" s="231"/>
      <c r="OQC3" s="229" t="s">
        <v>13329</v>
      </c>
      <c r="OQD3" s="230"/>
      <c r="OQE3" s="230"/>
      <c r="OQF3" s="231"/>
      <c r="OQG3" s="229" t="s">
        <v>13329</v>
      </c>
      <c r="OQH3" s="230"/>
      <c r="OQI3" s="230"/>
      <c r="OQJ3" s="231"/>
      <c r="OQK3" s="229" t="s">
        <v>13329</v>
      </c>
      <c r="OQL3" s="230"/>
      <c r="OQM3" s="230"/>
      <c r="OQN3" s="231"/>
      <c r="OQO3" s="229" t="s">
        <v>13329</v>
      </c>
      <c r="OQP3" s="230"/>
      <c r="OQQ3" s="230"/>
      <c r="OQR3" s="231"/>
      <c r="OQS3" s="229" t="s">
        <v>13329</v>
      </c>
      <c r="OQT3" s="230"/>
      <c r="OQU3" s="230"/>
      <c r="OQV3" s="231"/>
      <c r="OQW3" s="229" t="s">
        <v>13329</v>
      </c>
      <c r="OQX3" s="230"/>
      <c r="OQY3" s="230"/>
      <c r="OQZ3" s="231"/>
      <c r="ORA3" s="229" t="s">
        <v>13329</v>
      </c>
      <c r="ORB3" s="230"/>
      <c r="ORC3" s="230"/>
      <c r="ORD3" s="231"/>
      <c r="ORE3" s="229" t="s">
        <v>13329</v>
      </c>
      <c r="ORF3" s="230"/>
      <c r="ORG3" s="230"/>
      <c r="ORH3" s="231"/>
      <c r="ORI3" s="229" t="s">
        <v>13329</v>
      </c>
      <c r="ORJ3" s="230"/>
      <c r="ORK3" s="230"/>
      <c r="ORL3" s="231"/>
      <c r="ORM3" s="229" t="s">
        <v>13329</v>
      </c>
      <c r="ORN3" s="230"/>
      <c r="ORO3" s="230"/>
      <c r="ORP3" s="231"/>
      <c r="ORQ3" s="229" t="s">
        <v>13329</v>
      </c>
      <c r="ORR3" s="230"/>
      <c r="ORS3" s="230"/>
      <c r="ORT3" s="231"/>
      <c r="ORU3" s="229" t="s">
        <v>13329</v>
      </c>
      <c r="ORV3" s="230"/>
      <c r="ORW3" s="230"/>
      <c r="ORX3" s="231"/>
      <c r="ORY3" s="229" t="s">
        <v>13329</v>
      </c>
      <c r="ORZ3" s="230"/>
      <c r="OSA3" s="230"/>
      <c r="OSB3" s="231"/>
      <c r="OSC3" s="229" t="s">
        <v>13329</v>
      </c>
      <c r="OSD3" s="230"/>
      <c r="OSE3" s="230"/>
      <c r="OSF3" s="231"/>
      <c r="OSG3" s="229" t="s">
        <v>13329</v>
      </c>
      <c r="OSH3" s="230"/>
      <c r="OSI3" s="230"/>
      <c r="OSJ3" s="231"/>
      <c r="OSK3" s="229" t="s">
        <v>13329</v>
      </c>
      <c r="OSL3" s="230"/>
      <c r="OSM3" s="230"/>
      <c r="OSN3" s="231"/>
      <c r="OSO3" s="229" t="s">
        <v>13329</v>
      </c>
      <c r="OSP3" s="230"/>
      <c r="OSQ3" s="230"/>
      <c r="OSR3" s="231"/>
      <c r="OSS3" s="229" t="s">
        <v>13329</v>
      </c>
      <c r="OST3" s="230"/>
      <c r="OSU3" s="230"/>
      <c r="OSV3" s="231"/>
      <c r="OSW3" s="229" t="s">
        <v>13329</v>
      </c>
      <c r="OSX3" s="230"/>
      <c r="OSY3" s="230"/>
      <c r="OSZ3" s="231"/>
      <c r="OTA3" s="229" t="s">
        <v>13329</v>
      </c>
      <c r="OTB3" s="230"/>
      <c r="OTC3" s="230"/>
      <c r="OTD3" s="231"/>
      <c r="OTE3" s="229" t="s">
        <v>13329</v>
      </c>
      <c r="OTF3" s="230"/>
      <c r="OTG3" s="230"/>
      <c r="OTH3" s="231"/>
      <c r="OTI3" s="229" t="s">
        <v>13329</v>
      </c>
      <c r="OTJ3" s="230"/>
      <c r="OTK3" s="230"/>
      <c r="OTL3" s="231"/>
      <c r="OTM3" s="229" t="s">
        <v>13329</v>
      </c>
      <c r="OTN3" s="230"/>
      <c r="OTO3" s="230"/>
      <c r="OTP3" s="231"/>
      <c r="OTQ3" s="229" t="s">
        <v>13329</v>
      </c>
      <c r="OTR3" s="230"/>
      <c r="OTS3" s="230"/>
      <c r="OTT3" s="231"/>
      <c r="OTU3" s="229" t="s">
        <v>13329</v>
      </c>
      <c r="OTV3" s="230"/>
      <c r="OTW3" s="230"/>
      <c r="OTX3" s="231"/>
      <c r="OTY3" s="229" t="s">
        <v>13329</v>
      </c>
      <c r="OTZ3" s="230"/>
      <c r="OUA3" s="230"/>
      <c r="OUB3" s="231"/>
      <c r="OUC3" s="229" t="s">
        <v>13329</v>
      </c>
      <c r="OUD3" s="230"/>
      <c r="OUE3" s="230"/>
      <c r="OUF3" s="231"/>
      <c r="OUG3" s="229" t="s">
        <v>13329</v>
      </c>
      <c r="OUH3" s="230"/>
      <c r="OUI3" s="230"/>
      <c r="OUJ3" s="231"/>
      <c r="OUK3" s="229" t="s">
        <v>13329</v>
      </c>
      <c r="OUL3" s="230"/>
      <c r="OUM3" s="230"/>
      <c r="OUN3" s="231"/>
      <c r="OUO3" s="229" t="s">
        <v>13329</v>
      </c>
      <c r="OUP3" s="230"/>
      <c r="OUQ3" s="230"/>
      <c r="OUR3" s="231"/>
      <c r="OUS3" s="229" t="s">
        <v>13329</v>
      </c>
      <c r="OUT3" s="230"/>
      <c r="OUU3" s="230"/>
      <c r="OUV3" s="231"/>
      <c r="OUW3" s="229" t="s">
        <v>13329</v>
      </c>
      <c r="OUX3" s="230"/>
      <c r="OUY3" s="230"/>
      <c r="OUZ3" s="231"/>
      <c r="OVA3" s="229" t="s">
        <v>13329</v>
      </c>
      <c r="OVB3" s="230"/>
      <c r="OVC3" s="230"/>
      <c r="OVD3" s="231"/>
      <c r="OVE3" s="229" t="s">
        <v>13329</v>
      </c>
      <c r="OVF3" s="230"/>
      <c r="OVG3" s="230"/>
      <c r="OVH3" s="231"/>
      <c r="OVI3" s="229" t="s">
        <v>13329</v>
      </c>
      <c r="OVJ3" s="230"/>
      <c r="OVK3" s="230"/>
      <c r="OVL3" s="231"/>
      <c r="OVM3" s="229" t="s">
        <v>13329</v>
      </c>
      <c r="OVN3" s="230"/>
      <c r="OVO3" s="230"/>
      <c r="OVP3" s="231"/>
      <c r="OVQ3" s="229" t="s">
        <v>13329</v>
      </c>
      <c r="OVR3" s="230"/>
      <c r="OVS3" s="230"/>
      <c r="OVT3" s="231"/>
      <c r="OVU3" s="229" t="s">
        <v>13329</v>
      </c>
      <c r="OVV3" s="230"/>
      <c r="OVW3" s="230"/>
      <c r="OVX3" s="231"/>
      <c r="OVY3" s="229" t="s">
        <v>13329</v>
      </c>
      <c r="OVZ3" s="230"/>
      <c r="OWA3" s="230"/>
      <c r="OWB3" s="231"/>
      <c r="OWC3" s="229" t="s">
        <v>13329</v>
      </c>
      <c r="OWD3" s="230"/>
      <c r="OWE3" s="230"/>
      <c r="OWF3" s="231"/>
      <c r="OWG3" s="229" t="s">
        <v>13329</v>
      </c>
      <c r="OWH3" s="230"/>
      <c r="OWI3" s="230"/>
      <c r="OWJ3" s="231"/>
      <c r="OWK3" s="229" t="s">
        <v>13329</v>
      </c>
      <c r="OWL3" s="230"/>
      <c r="OWM3" s="230"/>
      <c r="OWN3" s="231"/>
      <c r="OWO3" s="229" t="s">
        <v>13329</v>
      </c>
      <c r="OWP3" s="230"/>
      <c r="OWQ3" s="230"/>
      <c r="OWR3" s="231"/>
      <c r="OWS3" s="229" t="s">
        <v>13329</v>
      </c>
      <c r="OWT3" s="230"/>
      <c r="OWU3" s="230"/>
      <c r="OWV3" s="231"/>
      <c r="OWW3" s="229" t="s">
        <v>13329</v>
      </c>
      <c r="OWX3" s="230"/>
      <c r="OWY3" s="230"/>
      <c r="OWZ3" s="231"/>
      <c r="OXA3" s="229" t="s">
        <v>13329</v>
      </c>
      <c r="OXB3" s="230"/>
      <c r="OXC3" s="230"/>
      <c r="OXD3" s="231"/>
      <c r="OXE3" s="229" t="s">
        <v>13329</v>
      </c>
      <c r="OXF3" s="230"/>
      <c r="OXG3" s="230"/>
      <c r="OXH3" s="231"/>
      <c r="OXI3" s="229" t="s">
        <v>13329</v>
      </c>
      <c r="OXJ3" s="230"/>
      <c r="OXK3" s="230"/>
      <c r="OXL3" s="231"/>
      <c r="OXM3" s="229" t="s">
        <v>13329</v>
      </c>
      <c r="OXN3" s="230"/>
      <c r="OXO3" s="230"/>
      <c r="OXP3" s="231"/>
      <c r="OXQ3" s="229" t="s">
        <v>13329</v>
      </c>
      <c r="OXR3" s="230"/>
      <c r="OXS3" s="230"/>
      <c r="OXT3" s="231"/>
      <c r="OXU3" s="229" t="s">
        <v>13329</v>
      </c>
      <c r="OXV3" s="230"/>
      <c r="OXW3" s="230"/>
      <c r="OXX3" s="231"/>
      <c r="OXY3" s="229" t="s">
        <v>13329</v>
      </c>
      <c r="OXZ3" s="230"/>
      <c r="OYA3" s="230"/>
      <c r="OYB3" s="231"/>
      <c r="OYC3" s="229" t="s">
        <v>13329</v>
      </c>
      <c r="OYD3" s="230"/>
      <c r="OYE3" s="230"/>
      <c r="OYF3" s="231"/>
      <c r="OYG3" s="229" t="s">
        <v>13329</v>
      </c>
      <c r="OYH3" s="230"/>
      <c r="OYI3" s="230"/>
      <c r="OYJ3" s="231"/>
      <c r="OYK3" s="229" t="s">
        <v>13329</v>
      </c>
      <c r="OYL3" s="230"/>
      <c r="OYM3" s="230"/>
      <c r="OYN3" s="231"/>
      <c r="OYO3" s="229" t="s">
        <v>13329</v>
      </c>
      <c r="OYP3" s="230"/>
      <c r="OYQ3" s="230"/>
      <c r="OYR3" s="231"/>
      <c r="OYS3" s="229" t="s">
        <v>13329</v>
      </c>
      <c r="OYT3" s="230"/>
      <c r="OYU3" s="230"/>
      <c r="OYV3" s="231"/>
      <c r="OYW3" s="229" t="s">
        <v>13329</v>
      </c>
      <c r="OYX3" s="230"/>
      <c r="OYY3" s="230"/>
      <c r="OYZ3" s="231"/>
      <c r="OZA3" s="229" t="s">
        <v>13329</v>
      </c>
      <c r="OZB3" s="230"/>
      <c r="OZC3" s="230"/>
      <c r="OZD3" s="231"/>
      <c r="OZE3" s="229" t="s">
        <v>13329</v>
      </c>
      <c r="OZF3" s="230"/>
      <c r="OZG3" s="230"/>
      <c r="OZH3" s="231"/>
      <c r="OZI3" s="229" t="s">
        <v>13329</v>
      </c>
      <c r="OZJ3" s="230"/>
      <c r="OZK3" s="230"/>
      <c r="OZL3" s="231"/>
      <c r="OZM3" s="229" t="s">
        <v>13329</v>
      </c>
      <c r="OZN3" s="230"/>
      <c r="OZO3" s="230"/>
      <c r="OZP3" s="231"/>
      <c r="OZQ3" s="229" t="s">
        <v>13329</v>
      </c>
      <c r="OZR3" s="230"/>
      <c r="OZS3" s="230"/>
      <c r="OZT3" s="231"/>
      <c r="OZU3" s="229" t="s">
        <v>13329</v>
      </c>
      <c r="OZV3" s="230"/>
      <c r="OZW3" s="230"/>
      <c r="OZX3" s="231"/>
      <c r="OZY3" s="229" t="s">
        <v>13329</v>
      </c>
      <c r="OZZ3" s="230"/>
      <c r="PAA3" s="230"/>
      <c r="PAB3" s="231"/>
      <c r="PAC3" s="229" t="s">
        <v>13329</v>
      </c>
      <c r="PAD3" s="230"/>
      <c r="PAE3" s="230"/>
      <c r="PAF3" s="231"/>
      <c r="PAG3" s="229" t="s">
        <v>13329</v>
      </c>
      <c r="PAH3" s="230"/>
      <c r="PAI3" s="230"/>
      <c r="PAJ3" s="231"/>
      <c r="PAK3" s="229" t="s">
        <v>13329</v>
      </c>
      <c r="PAL3" s="230"/>
      <c r="PAM3" s="230"/>
      <c r="PAN3" s="231"/>
      <c r="PAO3" s="229" t="s">
        <v>13329</v>
      </c>
      <c r="PAP3" s="230"/>
      <c r="PAQ3" s="230"/>
      <c r="PAR3" s="231"/>
      <c r="PAS3" s="229" t="s">
        <v>13329</v>
      </c>
      <c r="PAT3" s="230"/>
      <c r="PAU3" s="230"/>
      <c r="PAV3" s="231"/>
      <c r="PAW3" s="229" t="s">
        <v>13329</v>
      </c>
      <c r="PAX3" s="230"/>
      <c r="PAY3" s="230"/>
      <c r="PAZ3" s="231"/>
      <c r="PBA3" s="229" t="s">
        <v>13329</v>
      </c>
      <c r="PBB3" s="230"/>
      <c r="PBC3" s="230"/>
      <c r="PBD3" s="231"/>
      <c r="PBE3" s="229" t="s">
        <v>13329</v>
      </c>
      <c r="PBF3" s="230"/>
      <c r="PBG3" s="230"/>
      <c r="PBH3" s="231"/>
      <c r="PBI3" s="229" t="s">
        <v>13329</v>
      </c>
      <c r="PBJ3" s="230"/>
      <c r="PBK3" s="230"/>
      <c r="PBL3" s="231"/>
      <c r="PBM3" s="229" t="s">
        <v>13329</v>
      </c>
      <c r="PBN3" s="230"/>
      <c r="PBO3" s="230"/>
      <c r="PBP3" s="231"/>
      <c r="PBQ3" s="229" t="s">
        <v>13329</v>
      </c>
      <c r="PBR3" s="230"/>
      <c r="PBS3" s="230"/>
      <c r="PBT3" s="231"/>
      <c r="PBU3" s="229" t="s">
        <v>13329</v>
      </c>
      <c r="PBV3" s="230"/>
      <c r="PBW3" s="230"/>
      <c r="PBX3" s="231"/>
      <c r="PBY3" s="229" t="s">
        <v>13329</v>
      </c>
      <c r="PBZ3" s="230"/>
      <c r="PCA3" s="230"/>
      <c r="PCB3" s="231"/>
      <c r="PCC3" s="229" t="s">
        <v>13329</v>
      </c>
      <c r="PCD3" s="230"/>
      <c r="PCE3" s="230"/>
      <c r="PCF3" s="231"/>
      <c r="PCG3" s="229" t="s">
        <v>13329</v>
      </c>
      <c r="PCH3" s="230"/>
      <c r="PCI3" s="230"/>
      <c r="PCJ3" s="231"/>
      <c r="PCK3" s="229" t="s">
        <v>13329</v>
      </c>
      <c r="PCL3" s="230"/>
      <c r="PCM3" s="230"/>
      <c r="PCN3" s="231"/>
      <c r="PCO3" s="229" t="s">
        <v>13329</v>
      </c>
      <c r="PCP3" s="230"/>
      <c r="PCQ3" s="230"/>
      <c r="PCR3" s="231"/>
      <c r="PCS3" s="229" t="s">
        <v>13329</v>
      </c>
      <c r="PCT3" s="230"/>
      <c r="PCU3" s="230"/>
      <c r="PCV3" s="231"/>
      <c r="PCW3" s="229" t="s">
        <v>13329</v>
      </c>
      <c r="PCX3" s="230"/>
      <c r="PCY3" s="230"/>
      <c r="PCZ3" s="231"/>
      <c r="PDA3" s="229" t="s">
        <v>13329</v>
      </c>
      <c r="PDB3" s="230"/>
      <c r="PDC3" s="230"/>
      <c r="PDD3" s="231"/>
      <c r="PDE3" s="229" t="s">
        <v>13329</v>
      </c>
      <c r="PDF3" s="230"/>
      <c r="PDG3" s="230"/>
      <c r="PDH3" s="231"/>
      <c r="PDI3" s="229" t="s">
        <v>13329</v>
      </c>
      <c r="PDJ3" s="230"/>
      <c r="PDK3" s="230"/>
      <c r="PDL3" s="231"/>
      <c r="PDM3" s="229" t="s">
        <v>13329</v>
      </c>
      <c r="PDN3" s="230"/>
      <c r="PDO3" s="230"/>
      <c r="PDP3" s="231"/>
      <c r="PDQ3" s="229" t="s">
        <v>13329</v>
      </c>
      <c r="PDR3" s="230"/>
      <c r="PDS3" s="230"/>
      <c r="PDT3" s="231"/>
      <c r="PDU3" s="229" t="s">
        <v>13329</v>
      </c>
      <c r="PDV3" s="230"/>
      <c r="PDW3" s="230"/>
      <c r="PDX3" s="231"/>
      <c r="PDY3" s="229" t="s">
        <v>13329</v>
      </c>
      <c r="PDZ3" s="230"/>
      <c r="PEA3" s="230"/>
      <c r="PEB3" s="231"/>
      <c r="PEC3" s="229" t="s">
        <v>13329</v>
      </c>
      <c r="PED3" s="230"/>
      <c r="PEE3" s="230"/>
      <c r="PEF3" s="231"/>
      <c r="PEG3" s="229" t="s">
        <v>13329</v>
      </c>
      <c r="PEH3" s="230"/>
      <c r="PEI3" s="230"/>
      <c r="PEJ3" s="231"/>
      <c r="PEK3" s="229" t="s">
        <v>13329</v>
      </c>
      <c r="PEL3" s="230"/>
      <c r="PEM3" s="230"/>
      <c r="PEN3" s="231"/>
      <c r="PEO3" s="229" t="s">
        <v>13329</v>
      </c>
      <c r="PEP3" s="230"/>
      <c r="PEQ3" s="230"/>
      <c r="PER3" s="231"/>
      <c r="PES3" s="229" t="s">
        <v>13329</v>
      </c>
      <c r="PET3" s="230"/>
      <c r="PEU3" s="230"/>
      <c r="PEV3" s="231"/>
      <c r="PEW3" s="229" t="s">
        <v>13329</v>
      </c>
      <c r="PEX3" s="230"/>
      <c r="PEY3" s="230"/>
      <c r="PEZ3" s="231"/>
      <c r="PFA3" s="229" t="s">
        <v>13329</v>
      </c>
      <c r="PFB3" s="230"/>
      <c r="PFC3" s="230"/>
      <c r="PFD3" s="231"/>
      <c r="PFE3" s="229" t="s">
        <v>13329</v>
      </c>
      <c r="PFF3" s="230"/>
      <c r="PFG3" s="230"/>
      <c r="PFH3" s="231"/>
      <c r="PFI3" s="229" t="s">
        <v>13329</v>
      </c>
      <c r="PFJ3" s="230"/>
      <c r="PFK3" s="230"/>
      <c r="PFL3" s="231"/>
      <c r="PFM3" s="229" t="s">
        <v>13329</v>
      </c>
      <c r="PFN3" s="230"/>
      <c r="PFO3" s="230"/>
      <c r="PFP3" s="231"/>
      <c r="PFQ3" s="229" t="s">
        <v>13329</v>
      </c>
      <c r="PFR3" s="230"/>
      <c r="PFS3" s="230"/>
      <c r="PFT3" s="231"/>
      <c r="PFU3" s="229" t="s">
        <v>13329</v>
      </c>
      <c r="PFV3" s="230"/>
      <c r="PFW3" s="230"/>
      <c r="PFX3" s="231"/>
      <c r="PFY3" s="229" t="s">
        <v>13329</v>
      </c>
      <c r="PFZ3" s="230"/>
      <c r="PGA3" s="230"/>
      <c r="PGB3" s="231"/>
      <c r="PGC3" s="229" t="s">
        <v>13329</v>
      </c>
      <c r="PGD3" s="230"/>
      <c r="PGE3" s="230"/>
      <c r="PGF3" s="231"/>
      <c r="PGG3" s="229" t="s">
        <v>13329</v>
      </c>
      <c r="PGH3" s="230"/>
      <c r="PGI3" s="230"/>
      <c r="PGJ3" s="231"/>
      <c r="PGK3" s="229" t="s">
        <v>13329</v>
      </c>
      <c r="PGL3" s="230"/>
      <c r="PGM3" s="230"/>
      <c r="PGN3" s="231"/>
      <c r="PGO3" s="229" t="s">
        <v>13329</v>
      </c>
      <c r="PGP3" s="230"/>
      <c r="PGQ3" s="230"/>
      <c r="PGR3" s="231"/>
      <c r="PGS3" s="229" t="s">
        <v>13329</v>
      </c>
      <c r="PGT3" s="230"/>
      <c r="PGU3" s="230"/>
      <c r="PGV3" s="231"/>
      <c r="PGW3" s="229" t="s">
        <v>13329</v>
      </c>
      <c r="PGX3" s="230"/>
      <c r="PGY3" s="230"/>
      <c r="PGZ3" s="231"/>
      <c r="PHA3" s="229" t="s">
        <v>13329</v>
      </c>
      <c r="PHB3" s="230"/>
      <c r="PHC3" s="230"/>
      <c r="PHD3" s="231"/>
      <c r="PHE3" s="229" t="s">
        <v>13329</v>
      </c>
      <c r="PHF3" s="230"/>
      <c r="PHG3" s="230"/>
      <c r="PHH3" s="231"/>
      <c r="PHI3" s="229" t="s">
        <v>13329</v>
      </c>
      <c r="PHJ3" s="230"/>
      <c r="PHK3" s="230"/>
      <c r="PHL3" s="231"/>
      <c r="PHM3" s="229" t="s">
        <v>13329</v>
      </c>
      <c r="PHN3" s="230"/>
      <c r="PHO3" s="230"/>
      <c r="PHP3" s="231"/>
      <c r="PHQ3" s="229" t="s">
        <v>13329</v>
      </c>
      <c r="PHR3" s="230"/>
      <c r="PHS3" s="230"/>
      <c r="PHT3" s="231"/>
      <c r="PHU3" s="229" t="s">
        <v>13329</v>
      </c>
      <c r="PHV3" s="230"/>
      <c r="PHW3" s="230"/>
      <c r="PHX3" s="231"/>
      <c r="PHY3" s="229" t="s">
        <v>13329</v>
      </c>
      <c r="PHZ3" s="230"/>
      <c r="PIA3" s="230"/>
      <c r="PIB3" s="231"/>
      <c r="PIC3" s="229" t="s">
        <v>13329</v>
      </c>
      <c r="PID3" s="230"/>
      <c r="PIE3" s="230"/>
      <c r="PIF3" s="231"/>
      <c r="PIG3" s="229" t="s">
        <v>13329</v>
      </c>
      <c r="PIH3" s="230"/>
      <c r="PII3" s="230"/>
      <c r="PIJ3" s="231"/>
      <c r="PIK3" s="229" t="s">
        <v>13329</v>
      </c>
      <c r="PIL3" s="230"/>
      <c r="PIM3" s="230"/>
      <c r="PIN3" s="231"/>
      <c r="PIO3" s="229" t="s">
        <v>13329</v>
      </c>
      <c r="PIP3" s="230"/>
      <c r="PIQ3" s="230"/>
      <c r="PIR3" s="231"/>
      <c r="PIS3" s="229" t="s">
        <v>13329</v>
      </c>
      <c r="PIT3" s="230"/>
      <c r="PIU3" s="230"/>
      <c r="PIV3" s="231"/>
      <c r="PIW3" s="229" t="s">
        <v>13329</v>
      </c>
      <c r="PIX3" s="230"/>
      <c r="PIY3" s="230"/>
      <c r="PIZ3" s="231"/>
      <c r="PJA3" s="229" t="s">
        <v>13329</v>
      </c>
      <c r="PJB3" s="230"/>
      <c r="PJC3" s="230"/>
      <c r="PJD3" s="231"/>
      <c r="PJE3" s="229" t="s">
        <v>13329</v>
      </c>
      <c r="PJF3" s="230"/>
      <c r="PJG3" s="230"/>
      <c r="PJH3" s="231"/>
      <c r="PJI3" s="229" t="s">
        <v>13329</v>
      </c>
      <c r="PJJ3" s="230"/>
      <c r="PJK3" s="230"/>
      <c r="PJL3" s="231"/>
      <c r="PJM3" s="229" t="s">
        <v>13329</v>
      </c>
      <c r="PJN3" s="230"/>
      <c r="PJO3" s="230"/>
      <c r="PJP3" s="231"/>
      <c r="PJQ3" s="229" t="s">
        <v>13329</v>
      </c>
      <c r="PJR3" s="230"/>
      <c r="PJS3" s="230"/>
      <c r="PJT3" s="231"/>
      <c r="PJU3" s="229" t="s">
        <v>13329</v>
      </c>
      <c r="PJV3" s="230"/>
      <c r="PJW3" s="230"/>
      <c r="PJX3" s="231"/>
      <c r="PJY3" s="229" t="s">
        <v>13329</v>
      </c>
      <c r="PJZ3" s="230"/>
      <c r="PKA3" s="230"/>
      <c r="PKB3" s="231"/>
      <c r="PKC3" s="229" t="s">
        <v>13329</v>
      </c>
      <c r="PKD3" s="230"/>
      <c r="PKE3" s="230"/>
      <c r="PKF3" s="231"/>
      <c r="PKG3" s="229" t="s">
        <v>13329</v>
      </c>
      <c r="PKH3" s="230"/>
      <c r="PKI3" s="230"/>
      <c r="PKJ3" s="231"/>
      <c r="PKK3" s="229" t="s">
        <v>13329</v>
      </c>
      <c r="PKL3" s="230"/>
      <c r="PKM3" s="230"/>
      <c r="PKN3" s="231"/>
      <c r="PKO3" s="229" t="s">
        <v>13329</v>
      </c>
      <c r="PKP3" s="230"/>
      <c r="PKQ3" s="230"/>
      <c r="PKR3" s="231"/>
      <c r="PKS3" s="229" t="s">
        <v>13329</v>
      </c>
      <c r="PKT3" s="230"/>
      <c r="PKU3" s="230"/>
      <c r="PKV3" s="231"/>
      <c r="PKW3" s="229" t="s">
        <v>13329</v>
      </c>
      <c r="PKX3" s="230"/>
      <c r="PKY3" s="230"/>
      <c r="PKZ3" s="231"/>
      <c r="PLA3" s="229" t="s">
        <v>13329</v>
      </c>
      <c r="PLB3" s="230"/>
      <c r="PLC3" s="230"/>
      <c r="PLD3" s="231"/>
      <c r="PLE3" s="229" t="s">
        <v>13329</v>
      </c>
      <c r="PLF3" s="230"/>
      <c r="PLG3" s="230"/>
      <c r="PLH3" s="231"/>
      <c r="PLI3" s="229" t="s">
        <v>13329</v>
      </c>
      <c r="PLJ3" s="230"/>
      <c r="PLK3" s="230"/>
      <c r="PLL3" s="231"/>
      <c r="PLM3" s="229" t="s">
        <v>13329</v>
      </c>
      <c r="PLN3" s="230"/>
      <c r="PLO3" s="230"/>
      <c r="PLP3" s="231"/>
      <c r="PLQ3" s="229" t="s">
        <v>13329</v>
      </c>
      <c r="PLR3" s="230"/>
      <c r="PLS3" s="230"/>
      <c r="PLT3" s="231"/>
      <c r="PLU3" s="229" t="s">
        <v>13329</v>
      </c>
      <c r="PLV3" s="230"/>
      <c r="PLW3" s="230"/>
      <c r="PLX3" s="231"/>
      <c r="PLY3" s="229" t="s">
        <v>13329</v>
      </c>
      <c r="PLZ3" s="230"/>
      <c r="PMA3" s="230"/>
      <c r="PMB3" s="231"/>
      <c r="PMC3" s="229" t="s">
        <v>13329</v>
      </c>
      <c r="PMD3" s="230"/>
      <c r="PME3" s="230"/>
      <c r="PMF3" s="231"/>
      <c r="PMG3" s="229" t="s">
        <v>13329</v>
      </c>
      <c r="PMH3" s="230"/>
      <c r="PMI3" s="230"/>
      <c r="PMJ3" s="231"/>
      <c r="PMK3" s="229" t="s">
        <v>13329</v>
      </c>
      <c r="PML3" s="230"/>
      <c r="PMM3" s="230"/>
      <c r="PMN3" s="231"/>
      <c r="PMO3" s="229" t="s">
        <v>13329</v>
      </c>
      <c r="PMP3" s="230"/>
      <c r="PMQ3" s="230"/>
      <c r="PMR3" s="231"/>
      <c r="PMS3" s="229" t="s">
        <v>13329</v>
      </c>
      <c r="PMT3" s="230"/>
      <c r="PMU3" s="230"/>
      <c r="PMV3" s="231"/>
      <c r="PMW3" s="229" t="s">
        <v>13329</v>
      </c>
      <c r="PMX3" s="230"/>
      <c r="PMY3" s="230"/>
      <c r="PMZ3" s="231"/>
      <c r="PNA3" s="229" t="s">
        <v>13329</v>
      </c>
      <c r="PNB3" s="230"/>
      <c r="PNC3" s="230"/>
      <c r="PND3" s="231"/>
      <c r="PNE3" s="229" t="s">
        <v>13329</v>
      </c>
      <c r="PNF3" s="230"/>
      <c r="PNG3" s="230"/>
      <c r="PNH3" s="231"/>
      <c r="PNI3" s="229" t="s">
        <v>13329</v>
      </c>
      <c r="PNJ3" s="230"/>
      <c r="PNK3" s="230"/>
      <c r="PNL3" s="231"/>
      <c r="PNM3" s="229" t="s">
        <v>13329</v>
      </c>
      <c r="PNN3" s="230"/>
      <c r="PNO3" s="230"/>
      <c r="PNP3" s="231"/>
      <c r="PNQ3" s="229" t="s">
        <v>13329</v>
      </c>
      <c r="PNR3" s="230"/>
      <c r="PNS3" s="230"/>
      <c r="PNT3" s="231"/>
      <c r="PNU3" s="229" t="s">
        <v>13329</v>
      </c>
      <c r="PNV3" s="230"/>
      <c r="PNW3" s="230"/>
      <c r="PNX3" s="231"/>
      <c r="PNY3" s="229" t="s">
        <v>13329</v>
      </c>
      <c r="PNZ3" s="230"/>
      <c r="POA3" s="230"/>
      <c r="POB3" s="231"/>
      <c r="POC3" s="229" t="s">
        <v>13329</v>
      </c>
      <c r="POD3" s="230"/>
      <c r="POE3" s="230"/>
      <c r="POF3" s="231"/>
      <c r="POG3" s="229" t="s">
        <v>13329</v>
      </c>
      <c r="POH3" s="230"/>
      <c r="POI3" s="230"/>
      <c r="POJ3" s="231"/>
      <c r="POK3" s="229" t="s">
        <v>13329</v>
      </c>
      <c r="POL3" s="230"/>
      <c r="POM3" s="230"/>
      <c r="PON3" s="231"/>
      <c r="POO3" s="229" t="s">
        <v>13329</v>
      </c>
      <c r="POP3" s="230"/>
      <c r="POQ3" s="230"/>
      <c r="POR3" s="231"/>
      <c r="POS3" s="229" t="s">
        <v>13329</v>
      </c>
      <c r="POT3" s="230"/>
      <c r="POU3" s="230"/>
      <c r="POV3" s="231"/>
      <c r="POW3" s="229" t="s">
        <v>13329</v>
      </c>
      <c r="POX3" s="230"/>
      <c r="POY3" s="230"/>
      <c r="POZ3" s="231"/>
      <c r="PPA3" s="229" t="s">
        <v>13329</v>
      </c>
      <c r="PPB3" s="230"/>
      <c r="PPC3" s="230"/>
      <c r="PPD3" s="231"/>
      <c r="PPE3" s="229" t="s">
        <v>13329</v>
      </c>
      <c r="PPF3" s="230"/>
      <c r="PPG3" s="230"/>
      <c r="PPH3" s="231"/>
      <c r="PPI3" s="229" t="s">
        <v>13329</v>
      </c>
      <c r="PPJ3" s="230"/>
      <c r="PPK3" s="230"/>
      <c r="PPL3" s="231"/>
      <c r="PPM3" s="229" t="s">
        <v>13329</v>
      </c>
      <c r="PPN3" s="230"/>
      <c r="PPO3" s="230"/>
      <c r="PPP3" s="231"/>
      <c r="PPQ3" s="229" t="s">
        <v>13329</v>
      </c>
      <c r="PPR3" s="230"/>
      <c r="PPS3" s="230"/>
      <c r="PPT3" s="231"/>
      <c r="PPU3" s="229" t="s">
        <v>13329</v>
      </c>
      <c r="PPV3" s="230"/>
      <c r="PPW3" s="230"/>
      <c r="PPX3" s="231"/>
      <c r="PPY3" s="229" t="s">
        <v>13329</v>
      </c>
      <c r="PPZ3" s="230"/>
      <c r="PQA3" s="230"/>
      <c r="PQB3" s="231"/>
      <c r="PQC3" s="229" t="s">
        <v>13329</v>
      </c>
      <c r="PQD3" s="230"/>
      <c r="PQE3" s="230"/>
      <c r="PQF3" s="231"/>
      <c r="PQG3" s="229" t="s">
        <v>13329</v>
      </c>
      <c r="PQH3" s="230"/>
      <c r="PQI3" s="230"/>
      <c r="PQJ3" s="231"/>
      <c r="PQK3" s="229" t="s">
        <v>13329</v>
      </c>
      <c r="PQL3" s="230"/>
      <c r="PQM3" s="230"/>
      <c r="PQN3" s="231"/>
      <c r="PQO3" s="229" t="s">
        <v>13329</v>
      </c>
      <c r="PQP3" s="230"/>
      <c r="PQQ3" s="230"/>
      <c r="PQR3" s="231"/>
      <c r="PQS3" s="229" t="s">
        <v>13329</v>
      </c>
      <c r="PQT3" s="230"/>
      <c r="PQU3" s="230"/>
      <c r="PQV3" s="231"/>
      <c r="PQW3" s="229" t="s">
        <v>13329</v>
      </c>
      <c r="PQX3" s="230"/>
      <c r="PQY3" s="230"/>
      <c r="PQZ3" s="231"/>
      <c r="PRA3" s="229" t="s">
        <v>13329</v>
      </c>
      <c r="PRB3" s="230"/>
      <c r="PRC3" s="230"/>
      <c r="PRD3" s="231"/>
      <c r="PRE3" s="229" t="s">
        <v>13329</v>
      </c>
      <c r="PRF3" s="230"/>
      <c r="PRG3" s="230"/>
      <c r="PRH3" s="231"/>
      <c r="PRI3" s="229" t="s">
        <v>13329</v>
      </c>
      <c r="PRJ3" s="230"/>
      <c r="PRK3" s="230"/>
      <c r="PRL3" s="231"/>
      <c r="PRM3" s="229" t="s">
        <v>13329</v>
      </c>
      <c r="PRN3" s="230"/>
      <c r="PRO3" s="230"/>
      <c r="PRP3" s="231"/>
      <c r="PRQ3" s="229" t="s">
        <v>13329</v>
      </c>
      <c r="PRR3" s="230"/>
      <c r="PRS3" s="230"/>
      <c r="PRT3" s="231"/>
      <c r="PRU3" s="229" t="s">
        <v>13329</v>
      </c>
      <c r="PRV3" s="230"/>
      <c r="PRW3" s="230"/>
      <c r="PRX3" s="231"/>
      <c r="PRY3" s="229" t="s">
        <v>13329</v>
      </c>
      <c r="PRZ3" s="230"/>
      <c r="PSA3" s="230"/>
      <c r="PSB3" s="231"/>
      <c r="PSC3" s="229" t="s">
        <v>13329</v>
      </c>
      <c r="PSD3" s="230"/>
      <c r="PSE3" s="230"/>
      <c r="PSF3" s="231"/>
      <c r="PSG3" s="229" t="s">
        <v>13329</v>
      </c>
      <c r="PSH3" s="230"/>
      <c r="PSI3" s="230"/>
      <c r="PSJ3" s="231"/>
      <c r="PSK3" s="229" t="s">
        <v>13329</v>
      </c>
      <c r="PSL3" s="230"/>
      <c r="PSM3" s="230"/>
      <c r="PSN3" s="231"/>
      <c r="PSO3" s="229" t="s">
        <v>13329</v>
      </c>
      <c r="PSP3" s="230"/>
      <c r="PSQ3" s="230"/>
      <c r="PSR3" s="231"/>
      <c r="PSS3" s="229" t="s">
        <v>13329</v>
      </c>
      <c r="PST3" s="230"/>
      <c r="PSU3" s="230"/>
      <c r="PSV3" s="231"/>
      <c r="PSW3" s="229" t="s">
        <v>13329</v>
      </c>
      <c r="PSX3" s="230"/>
      <c r="PSY3" s="230"/>
      <c r="PSZ3" s="231"/>
      <c r="PTA3" s="229" t="s">
        <v>13329</v>
      </c>
      <c r="PTB3" s="230"/>
      <c r="PTC3" s="230"/>
      <c r="PTD3" s="231"/>
      <c r="PTE3" s="229" t="s">
        <v>13329</v>
      </c>
      <c r="PTF3" s="230"/>
      <c r="PTG3" s="230"/>
      <c r="PTH3" s="231"/>
      <c r="PTI3" s="229" t="s">
        <v>13329</v>
      </c>
      <c r="PTJ3" s="230"/>
      <c r="PTK3" s="230"/>
      <c r="PTL3" s="231"/>
      <c r="PTM3" s="229" t="s">
        <v>13329</v>
      </c>
      <c r="PTN3" s="230"/>
      <c r="PTO3" s="230"/>
      <c r="PTP3" s="231"/>
      <c r="PTQ3" s="229" t="s">
        <v>13329</v>
      </c>
      <c r="PTR3" s="230"/>
      <c r="PTS3" s="230"/>
      <c r="PTT3" s="231"/>
      <c r="PTU3" s="229" t="s">
        <v>13329</v>
      </c>
      <c r="PTV3" s="230"/>
      <c r="PTW3" s="230"/>
      <c r="PTX3" s="231"/>
      <c r="PTY3" s="229" t="s">
        <v>13329</v>
      </c>
      <c r="PTZ3" s="230"/>
      <c r="PUA3" s="230"/>
      <c r="PUB3" s="231"/>
      <c r="PUC3" s="229" t="s">
        <v>13329</v>
      </c>
      <c r="PUD3" s="230"/>
      <c r="PUE3" s="230"/>
      <c r="PUF3" s="231"/>
      <c r="PUG3" s="229" t="s">
        <v>13329</v>
      </c>
      <c r="PUH3" s="230"/>
      <c r="PUI3" s="230"/>
      <c r="PUJ3" s="231"/>
      <c r="PUK3" s="229" t="s">
        <v>13329</v>
      </c>
      <c r="PUL3" s="230"/>
      <c r="PUM3" s="230"/>
      <c r="PUN3" s="231"/>
      <c r="PUO3" s="229" t="s">
        <v>13329</v>
      </c>
      <c r="PUP3" s="230"/>
      <c r="PUQ3" s="230"/>
      <c r="PUR3" s="231"/>
      <c r="PUS3" s="229" t="s">
        <v>13329</v>
      </c>
      <c r="PUT3" s="230"/>
      <c r="PUU3" s="230"/>
      <c r="PUV3" s="231"/>
      <c r="PUW3" s="229" t="s">
        <v>13329</v>
      </c>
      <c r="PUX3" s="230"/>
      <c r="PUY3" s="230"/>
      <c r="PUZ3" s="231"/>
      <c r="PVA3" s="229" t="s">
        <v>13329</v>
      </c>
      <c r="PVB3" s="230"/>
      <c r="PVC3" s="230"/>
      <c r="PVD3" s="231"/>
      <c r="PVE3" s="229" t="s">
        <v>13329</v>
      </c>
      <c r="PVF3" s="230"/>
      <c r="PVG3" s="230"/>
      <c r="PVH3" s="231"/>
      <c r="PVI3" s="229" t="s">
        <v>13329</v>
      </c>
      <c r="PVJ3" s="230"/>
      <c r="PVK3" s="230"/>
      <c r="PVL3" s="231"/>
      <c r="PVM3" s="229" t="s">
        <v>13329</v>
      </c>
      <c r="PVN3" s="230"/>
      <c r="PVO3" s="230"/>
      <c r="PVP3" s="231"/>
      <c r="PVQ3" s="229" t="s">
        <v>13329</v>
      </c>
      <c r="PVR3" s="230"/>
      <c r="PVS3" s="230"/>
      <c r="PVT3" s="231"/>
      <c r="PVU3" s="229" t="s">
        <v>13329</v>
      </c>
      <c r="PVV3" s="230"/>
      <c r="PVW3" s="230"/>
      <c r="PVX3" s="231"/>
      <c r="PVY3" s="229" t="s">
        <v>13329</v>
      </c>
      <c r="PVZ3" s="230"/>
      <c r="PWA3" s="230"/>
      <c r="PWB3" s="231"/>
      <c r="PWC3" s="229" t="s">
        <v>13329</v>
      </c>
      <c r="PWD3" s="230"/>
      <c r="PWE3" s="230"/>
      <c r="PWF3" s="231"/>
      <c r="PWG3" s="229" t="s">
        <v>13329</v>
      </c>
      <c r="PWH3" s="230"/>
      <c r="PWI3" s="230"/>
      <c r="PWJ3" s="231"/>
      <c r="PWK3" s="229" t="s">
        <v>13329</v>
      </c>
      <c r="PWL3" s="230"/>
      <c r="PWM3" s="230"/>
      <c r="PWN3" s="231"/>
      <c r="PWO3" s="229" t="s">
        <v>13329</v>
      </c>
      <c r="PWP3" s="230"/>
      <c r="PWQ3" s="230"/>
      <c r="PWR3" s="231"/>
      <c r="PWS3" s="229" t="s">
        <v>13329</v>
      </c>
      <c r="PWT3" s="230"/>
      <c r="PWU3" s="230"/>
      <c r="PWV3" s="231"/>
      <c r="PWW3" s="229" t="s">
        <v>13329</v>
      </c>
      <c r="PWX3" s="230"/>
      <c r="PWY3" s="230"/>
      <c r="PWZ3" s="231"/>
      <c r="PXA3" s="229" t="s">
        <v>13329</v>
      </c>
      <c r="PXB3" s="230"/>
      <c r="PXC3" s="230"/>
      <c r="PXD3" s="231"/>
      <c r="PXE3" s="229" t="s">
        <v>13329</v>
      </c>
      <c r="PXF3" s="230"/>
      <c r="PXG3" s="230"/>
      <c r="PXH3" s="231"/>
      <c r="PXI3" s="229" t="s">
        <v>13329</v>
      </c>
      <c r="PXJ3" s="230"/>
      <c r="PXK3" s="230"/>
      <c r="PXL3" s="231"/>
      <c r="PXM3" s="229" t="s">
        <v>13329</v>
      </c>
      <c r="PXN3" s="230"/>
      <c r="PXO3" s="230"/>
      <c r="PXP3" s="231"/>
      <c r="PXQ3" s="229" t="s">
        <v>13329</v>
      </c>
      <c r="PXR3" s="230"/>
      <c r="PXS3" s="230"/>
      <c r="PXT3" s="231"/>
      <c r="PXU3" s="229" t="s">
        <v>13329</v>
      </c>
      <c r="PXV3" s="230"/>
      <c r="PXW3" s="230"/>
      <c r="PXX3" s="231"/>
      <c r="PXY3" s="229" t="s">
        <v>13329</v>
      </c>
      <c r="PXZ3" s="230"/>
      <c r="PYA3" s="230"/>
      <c r="PYB3" s="231"/>
      <c r="PYC3" s="229" t="s">
        <v>13329</v>
      </c>
      <c r="PYD3" s="230"/>
      <c r="PYE3" s="230"/>
      <c r="PYF3" s="231"/>
      <c r="PYG3" s="229" t="s">
        <v>13329</v>
      </c>
      <c r="PYH3" s="230"/>
      <c r="PYI3" s="230"/>
      <c r="PYJ3" s="231"/>
      <c r="PYK3" s="229" t="s">
        <v>13329</v>
      </c>
      <c r="PYL3" s="230"/>
      <c r="PYM3" s="230"/>
      <c r="PYN3" s="231"/>
      <c r="PYO3" s="229" t="s">
        <v>13329</v>
      </c>
      <c r="PYP3" s="230"/>
      <c r="PYQ3" s="230"/>
      <c r="PYR3" s="231"/>
      <c r="PYS3" s="229" t="s">
        <v>13329</v>
      </c>
      <c r="PYT3" s="230"/>
      <c r="PYU3" s="230"/>
      <c r="PYV3" s="231"/>
      <c r="PYW3" s="229" t="s">
        <v>13329</v>
      </c>
      <c r="PYX3" s="230"/>
      <c r="PYY3" s="230"/>
      <c r="PYZ3" s="231"/>
      <c r="PZA3" s="229" t="s">
        <v>13329</v>
      </c>
      <c r="PZB3" s="230"/>
      <c r="PZC3" s="230"/>
      <c r="PZD3" s="231"/>
      <c r="PZE3" s="229" t="s">
        <v>13329</v>
      </c>
      <c r="PZF3" s="230"/>
      <c r="PZG3" s="230"/>
      <c r="PZH3" s="231"/>
      <c r="PZI3" s="229" t="s">
        <v>13329</v>
      </c>
      <c r="PZJ3" s="230"/>
      <c r="PZK3" s="230"/>
      <c r="PZL3" s="231"/>
      <c r="PZM3" s="229" t="s">
        <v>13329</v>
      </c>
      <c r="PZN3" s="230"/>
      <c r="PZO3" s="230"/>
      <c r="PZP3" s="231"/>
      <c r="PZQ3" s="229" t="s">
        <v>13329</v>
      </c>
      <c r="PZR3" s="230"/>
      <c r="PZS3" s="230"/>
      <c r="PZT3" s="231"/>
      <c r="PZU3" s="229" t="s">
        <v>13329</v>
      </c>
      <c r="PZV3" s="230"/>
      <c r="PZW3" s="230"/>
      <c r="PZX3" s="231"/>
      <c r="PZY3" s="229" t="s">
        <v>13329</v>
      </c>
      <c r="PZZ3" s="230"/>
      <c r="QAA3" s="230"/>
      <c r="QAB3" s="231"/>
      <c r="QAC3" s="229" t="s">
        <v>13329</v>
      </c>
      <c r="QAD3" s="230"/>
      <c r="QAE3" s="230"/>
      <c r="QAF3" s="231"/>
      <c r="QAG3" s="229" t="s">
        <v>13329</v>
      </c>
      <c r="QAH3" s="230"/>
      <c r="QAI3" s="230"/>
      <c r="QAJ3" s="231"/>
      <c r="QAK3" s="229" t="s">
        <v>13329</v>
      </c>
      <c r="QAL3" s="230"/>
      <c r="QAM3" s="230"/>
      <c r="QAN3" s="231"/>
      <c r="QAO3" s="229" t="s">
        <v>13329</v>
      </c>
      <c r="QAP3" s="230"/>
      <c r="QAQ3" s="230"/>
      <c r="QAR3" s="231"/>
      <c r="QAS3" s="229" t="s">
        <v>13329</v>
      </c>
      <c r="QAT3" s="230"/>
      <c r="QAU3" s="230"/>
      <c r="QAV3" s="231"/>
      <c r="QAW3" s="229" t="s">
        <v>13329</v>
      </c>
      <c r="QAX3" s="230"/>
      <c r="QAY3" s="230"/>
      <c r="QAZ3" s="231"/>
      <c r="QBA3" s="229" t="s">
        <v>13329</v>
      </c>
      <c r="QBB3" s="230"/>
      <c r="QBC3" s="230"/>
      <c r="QBD3" s="231"/>
      <c r="QBE3" s="229" t="s">
        <v>13329</v>
      </c>
      <c r="QBF3" s="230"/>
      <c r="QBG3" s="230"/>
      <c r="QBH3" s="231"/>
      <c r="QBI3" s="229" t="s">
        <v>13329</v>
      </c>
      <c r="QBJ3" s="230"/>
      <c r="QBK3" s="230"/>
      <c r="QBL3" s="231"/>
      <c r="QBM3" s="229" t="s">
        <v>13329</v>
      </c>
      <c r="QBN3" s="230"/>
      <c r="QBO3" s="230"/>
      <c r="QBP3" s="231"/>
      <c r="QBQ3" s="229" t="s">
        <v>13329</v>
      </c>
      <c r="QBR3" s="230"/>
      <c r="QBS3" s="230"/>
      <c r="QBT3" s="231"/>
      <c r="QBU3" s="229" t="s">
        <v>13329</v>
      </c>
      <c r="QBV3" s="230"/>
      <c r="QBW3" s="230"/>
      <c r="QBX3" s="231"/>
      <c r="QBY3" s="229" t="s">
        <v>13329</v>
      </c>
      <c r="QBZ3" s="230"/>
      <c r="QCA3" s="230"/>
      <c r="QCB3" s="231"/>
      <c r="QCC3" s="229" t="s">
        <v>13329</v>
      </c>
      <c r="QCD3" s="230"/>
      <c r="QCE3" s="230"/>
      <c r="QCF3" s="231"/>
      <c r="QCG3" s="229" t="s">
        <v>13329</v>
      </c>
      <c r="QCH3" s="230"/>
      <c r="QCI3" s="230"/>
      <c r="QCJ3" s="231"/>
      <c r="QCK3" s="229" t="s">
        <v>13329</v>
      </c>
      <c r="QCL3" s="230"/>
      <c r="QCM3" s="230"/>
      <c r="QCN3" s="231"/>
      <c r="QCO3" s="229" t="s">
        <v>13329</v>
      </c>
      <c r="QCP3" s="230"/>
      <c r="QCQ3" s="230"/>
      <c r="QCR3" s="231"/>
      <c r="QCS3" s="229" t="s">
        <v>13329</v>
      </c>
      <c r="QCT3" s="230"/>
      <c r="QCU3" s="230"/>
      <c r="QCV3" s="231"/>
      <c r="QCW3" s="229" t="s">
        <v>13329</v>
      </c>
      <c r="QCX3" s="230"/>
      <c r="QCY3" s="230"/>
      <c r="QCZ3" s="231"/>
      <c r="QDA3" s="229" t="s">
        <v>13329</v>
      </c>
      <c r="QDB3" s="230"/>
      <c r="QDC3" s="230"/>
      <c r="QDD3" s="231"/>
      <c r="QDE3" s="229" t="s">
        <v>13329</v>
      </c>
      <c r="QDF3" s="230"/>
      <c r="QDG3" s="230"/>
      <c r="QDH3" s="231"/>
      <c r="QDI3" s="229" t="s">
        <v>13329</v>
      </c>
      <c r="QDJ3" s="230"/>
      <c r="QDK3" s="230"/>
      <c r="QDL3" s="231"/>
      <c r="QDM3" s="229" t="s">
        <v>13329</v>
      </c>
      <c r="QDN3" s="230"/>
      <c r="QDO3" s="230"/>
      <c r="QDP3" s="231"/>
      <c r="QDQ3" s="229" t="s">
        <v>13329</v>
      </c>
      <c r="QDR3" s="230"/>
      <c r="QDS3" s="230"/>
      <c r="QDT3" s="231"/>
      <c r="QDU3" s="229" t="s">
        <v>13329</v>
      </c>
      <c r="QDV3" s="230"/>
      <c r="QDW3" s="230"/>
      <c r="QDX3" s="231"/>
      <c r="QDY3" s="229" t="s">
        <v>13329</v>
      </c>
      <c r="QDZ3" s="230"/>
      <c r="QEA3" s="230"/>
      <c r="QEB3" s="231"/>
      <c r="QEC3" s="229" t="s">
        <v>13329</v>
      </c>
      <c r="QED3" s="230"/>
      <c r="QEE3" s="230"/>
      <c r="QEF3" s="231"/>
      <c r="QEG3" s="229" t="s">
        <v>13329</v>
      </c>
      <c r="QEH3" s="230"/>
      <c r="QEI3" s="230"/>
      <c r="QEJ3" s="231"/>
      <c r="QEK3" s="229" t="s">
        <v>13329</v>
      </c>
      <c r="QEL3" s="230"/>
      <c r="QEM3" s="230"/>
      <c r="QEN3" s="231"/>
      <c r="QEO3" s="229" t="s">
        <v>13329</v>
      </c>
      <c r="QEP3" s="230"/>
      <c r="QEQ3" s="230"/>
      <c r="QER3" s="231"/>
      <c r="QES3" s="229" t="s">
        <v>13329</v>
      </c>
      <c r="QET3" s="230"/>
      <c r="QEU3" s="230"/>
      <c r="QEV3" s="231"/>
      <c r="QEW3" s="229" t="s">
        <v>13329</v>
      </c>
      <c r="QEX3" s="230"/>
      <c r="QEY3" s="230"/>
      <c r="QEZ3" s="231"/>
      <c r="QFA3" s="229" t="s">
        <v>13329</v>
      </c>
      <c r="QFB3" s="230"/>
      <c r="QFC3" s="230"/>
      <c r="QFD3" s="231"/>
      <c r="QFE3" s="229" t="s">
        <v>13329</v>
      </c>
      <c r="QFF3" s="230"/>
      <c r="QFG3" s="230"/>
      <c r="QFH3" s="231"/>
      <c r="QFI3" s="229" t="s">
        <v>13329</v>
      </c>
      <c r="QFJ3" s="230"/>
      <c r="QFK3" s="230"/>
      <c r="QFL3" s="231"/>
      <c r="QFM3" s="229" t="s">
        <v>13329</v>
      </c>
      <c r="QFN3" s="230"/>
      <c r="QFO3" s="230"/>
      <c r="QFP3" s="231"/>
      <c r="QFQ3" s="229" t="s">
        <v>13329</v>
      </c>
      <c r="QFR3" s="230"/>
      <c r="QFS3" s="230"/>
      <c r="QFT3" s="231"/>
      <c r="QFU3" s="229" t="s">
        <v>13329</v>
      </c>
      <c r="QFV3" s="230"/>
      <c r="QFW3" s="230"/>
      <c r="QFX3" s="231"/>
      <c r="QFY3" s="229" t="s">
        <v>13329</v>
      </c>
      <c r="QFZ3" s="230"/>
      <c r="QGA3" s="230"/>
      <c r="QGB3" s="231"/>
      <c r="QGC3" s="229" t="s">
        <v>13329</v>
      </c>
      <c r="QGD3" s="230"/>
      <c r="QGE3" s="230"/>
      <c r="QGF3" s="231"/>
      <c r="QGG3" s="229" t="s">
        <v>13329</v>
      </c>
      <c r="QGH3" s="230"/>
      <c r="QGI3" s="230"/>
      <c r="QGJ3" s="231"/>
      <c r="QGK3" s="229" t="s">
        <v>13329</v>
      </c>
      <c r="QGL3" s="230"/>
      <c r="QGM3" s="230"/>
      <c r="QGN3" s="231"/>
      <c r="QGO3" s="229" t="s">
        <v>13329</v>
      </c>
      <c r="QGP3" s="230"/>
      <c r="QGQ3" s="230"/>
      <c r="QGR3" s="231"/>
      <c r="QGS3" s="229" t="s">
        <v>13329</v>
      </c>
      <c r="QGT3" s="230"/>
      <c r="QGU3" s="230"/>
      <c r="QGV3" s="231"/>
      <c r="QGW3" s="229" t="s">
        <v>13329</v>
      </c>
      <c r="QGX3" s="230"/>
      <c r="QGY3" s="230"/>
      <c r="QGZ3" s="231"/>
      <c r="QHA3" s="229" t="s">
        <v>13329</v>
      </c>
      <c r="QHB3" s="230"/>
      <c r="QHC3" s="230"/>
      <c r="QHD3" s="231"/>
      <c r="QHE3" s="229" t="s">
        <v>13329</v>
      </c>
      <c r="QHF3" s="230"/>
      <c r="QHG3" s="230"/>
      <c r="QHH3" s="231"/>
      <c r="QHI3" s="229" t="s">
        <v>13329</v>
      </c>
      <c r="QHJ3" s="230"/>
      <c r="QHK3" s="230"/>
      <c r="QHL3" s="231"/>
      <c r="QHM3" s="229" t="s">
        <v>13329</v>
      </c>
      <c r="QHN3" s="230"/>
      <c r="QHO3" s="230"/>
      <c r="QHP3" s="231"/>
      <c r="QHQ3" s="229" t="s">
        <v>13329</v>
      </c>
      <c r="QHR3" s="230"/>
      <c r="QHS3" s="230"/>
      <c r="QHT3" s="231"/>
      <c r="QHU3" s="229" t="s">
        <v>13329</v>
      </c>
      <c r="QHV3" s="230"/>
      <c r="QHW3" s="230"/>
      <c r="QHX3" s="231"/>
      <c r="QHY3" s="229" t="s">
        <v>13329</v>
      </c>
      <c r="QHZ3" s="230"/>
      <c r="QIA3" s="230"/>
      <c r="QIB3" s="231"/>
      <c r="QIC3" s="229" t="s">
        <v>13329</v>
      </c>
      <c r="QID3" s="230"/>
      <c r="QIE3" s="230"/>
      <c r="QIF3" s="231"/>
      <c r="QIG3" s="229" t="s">
        <v>13329</v>
      </c>
      <c r="QIH3" s="230"/>
      <c r="QII3" s="230"/>
      <c r="QIJ3" s="231"/>
      <c r="QIK3" s="229" t="s">
        <v>13329</v>
      </c>
      <c r="QIL3" s="230"/>
      <c r="QIM3" s="230"/>
      <c r="QIN3" s="231"/>
      <c r="QIO3" s="229" t="s">
        <v>13329</v>
      </c>
      <c r="QIP3" s="230"/>
      <c r="QIQ3" s="230"/>
      <c r="QIR3" s="231"/>
      <c r="QIS3" s="229" t="s">
        <v>13329</v>
      </c>
      <c r="QIT3" s="230"/>
      <c r="QIU3" s="230"/>
      <c r="QIV3" s="231"/>
      <c r="QIW3" s="229" t="s">
        <v>13329</v>
      </c>
      <c r="QIX3" s="230"/>
      <c r="QIY3" s="230"/>
      <c r="QIZ3" s="231"/>
      <c r="QJA3" s="229" t="s">
        <v>13329</v>
      </c>
      <c r="QJB3" s="230"/>
      <c r="QJC3" s="230"/>
      <c r="QJD3" s="231"/>
      <c r="QJE3" s="229" t="s">
        <v>13329</v>
      </c>
      <c r="QJF3" s="230"/>
      <c r="QJG3" s="230"/>
      <c r="QJH3" s="231"/>
      <c r="QJI3" s="229" t="s">
        <v>13329</v>
      </c>
      <c r="QJJ3" s="230"/>
      <c r="QJK3" s="230"/>
      <c r="QJL3" s="231"/>
      <c r="QJM3" s="229" t="s">
        <v>13329</v>
      </c>
      <c r="QJN3" s="230"/>
      <c r="QJO3" s="230"/>
      <c r="QJP3" s="231"/>
      <c r="QJQ3" s="229" t="s">
        <v>13329</v>
      </c>
      <c r="QJR3" s="230"/>
      <c r="QJS3" s="230"/>
      <c r="QJT3" s="231"/>
      <c r="QJU3" s="229" t="s">
        <v>13329</v>
      </c>
      <c r="QJV3" s="230"/>
      <c r="QJW3" s="230"/>
      <c r="QJX3" s="231"/>
      <c r="QJY3" s="229" t="s">
        <v>13329</v>
      </c>
      <c r="QJZ3" s="230"/>
      <c r="QKA3" s="230"/>
      <c r="QKB3" s="231"/>
      <c r="QKC3" s="229" t="s">
        <v>13329</v>
      </c>
      <c r="QKD3" s="230"/>
      <c r="QKE3" s="230"/>
      <c r="QKF3" s="231"/>
      <c r="QKG3" s="229" t="s">
        <v>13329</v>
      </c>
      <c r="QKH3" s="230"/>
      <c r="QKI3" s="230"/>
      <c r="QKJ3" s="231"/>
      <c r="QKK3" s="229" t="s">
        <v>13329</v>
      </c>
      <c r="QKL3" s="230"/>
      <c r="QKM3" s="230"/>
      <c r="QKN3" s="231"/>
      <c r="QKO3" s="229" t="s">
        <v>13329</v>
      </c>
      <c r="QKP3" s="230"/>
      <c r="QKQ3" s="230"/>
      <c r="QKR3" s="231"/>
      <c r="QKS3" s="229" t="s">
        <v>13329</v>
      </c>
      <c r="QKT3" s="230"/>
      <c r="QKU3" s="230"/>
      <c r="QKV3" s="231"/>
      <c r="QKW3" s="229" t="s">
        <v>13329</v>
      </c>
      <c r="QKX3" s="230"/>
      <c r="QKY3" s="230"/>
      <c r="QKZ3" s="231"/>
      <c r="QLA3" s="229" t="s">
        <v>13329</v>
      </c>
      <c r="QLB3" s="230"/>
      <c r="QLC3" s="230"/>
      <c r="QLD3" s="231"/>
      <c r="QLE3" s="229" t="s">
        <v>13329</v>
      </c>
      <c r="QLF3" s="230"/>
      <c r="QLG3" s="230"/>
      <c r="QLH3" s="231"/>
      <c r="QLI3" s="229" t="s">
        <v>13329</v>
      </c>
      <c r="QLJ3" s="230"/>
      <c r="QLK3" s="230"/>
      <c r="QLL3" s="231"/>
      <c r="QLM3" s="229" t="s">
        <v>13329</v>
      </c>
      <c r="QLN3" s="230"/>
      <c r="QLO3" s="230"/>
      <c r="QLP3" s="231"/>
      <c r="QLQ3" s="229" t="s">
        <v>13329</v>
      </c>
      <c r="QLR3" s="230"/>
      <c r="QLS3" s="230"/>
      <c r="QLT3" s="231"/>
      <c r="QLU3" s="229" t="s">
        <v>13329</v>
      </c>
      <c r="QLV3" s="230"/>
      <c r="QLW3" s="230"/>
      <c r="QLX3" s="231"/>
      <c r="QLY3" s="229" t="s">
        <v>13329</v>
      </c>
      <c r="QLZ3" s="230"/>
      <c r="QMA3" s="230"/>
      <c r="QMB3" s="231"/>
      <c r="QMC3" s="229" t="s">
        <v>13329</v>
      </c>
      <c r="QMD3" s="230"/>
      <c r="QME3" s="230"/>
      <c r="QMF3" s="231"/>
      <c r="QMG3" s="229" t="s">
        <v>13329</v>
      </c>
      <c r="QMH3" s="230"/>
      <c r="QMI3" s="230"/>
      <c r="QMJ3" s="231"/>
      <c r="QMK3" s="229" t="s">
        <v>13329</v>
      </c>
      <c r="QML3" s="230"/>
      <c r="QMM3" s="230"/>
      <c r="QMN3" s="231"/>
      <c r="QMO3" s="229" t="s">
        <v>13329</v>
      </c>
      <c r="QMP3" s="230"/>
      <c r="QMQ3" s="230"/>
      <c r="QMR3" s="231"/>
      <c r="QMS3" s="229" t="s">
        <v>13329</v>
      </c>
      <c r="QMT3" s="230"/>
      <c r="QMU3" s="230"/>
      <c r="QMV3" s="231"/>
      <c r="QMW3" s="229" t="s">
        <v>13329</v>
      </c>
      <c r="QMX3" s="230"/>
      <c r="QMY3" s="230"/>
      <c r="QMZ3" s="231"/>
      <c r="QNA3" s="229" t="s">
        <v>13329</v>
      </c>
      <c r="QNB3" s="230"/>
      <c r="QNC3" s="230"/>
      <c r="QND3" s="231"/>
      <c r="QNE3" s="229" t="s">
        <v>13329</v>
      </c>
      <c r="QNF3" s="230"/>
      <c r="QNG3" s="230"/>
      <c r="QNH3" s="231"/>
      <c r="QNI3" s="229" t="s">
        <v>13329</v>
      </c>
      <c r="QNJ3" s="230"/>
      <c r="QNK3" s="230"/>
      <c r="QNL3" s="231"/>
      <c r="QNM3" s="229" t="s">
        <v>13329</v>
      </c>
      <c r="QNN3" s="230"/>
      <c r="QNO3" s="230"/>
      <c r="QNP3" s="231"/>
      <c r="QNQ3" s="229" t="s">
        <v>13329</v>
      </c>
      <c r="QNR3" s="230"/>
      <c r="QNS3" s="230"/>
      <c r="QNT3" s="231"/>
      <c r="QNU3" s="229" t="s">
        <v>13329</v>
      </c>
      <c r="QNV3" s="230"/>
      <c r="QNW3" s="230"/>
      <c r="QNX3" s="231"/>
      <c r="QNY3" s="229" t="s">
        <v>13329</v>
      </c>
      <c r="QNZ3" s="230"/>
      <c r="QOA3" s="230"/>
      <c r="QOB3" s="231"/>
      <c r="QOC3" s="229" t="s">
        <v>13329</v>
      </c>
      <c r="QOD3" s="230"/>
      <c r="QOE3" s="230"/>
      <c r="QOF3" s="231"/>
      <c r="QOG3" s="229" t="s">
        <v>13329</v>
      </c>
      <c r="QOH3" s="230"/>
      <c r="QOI3" s="230"/>
      <c r="QOJ3" s="231"/>
      <c r="QOK3" s="229" t="s">
        <v>13329</v>
      </c>
      <c r="QOL3" s="230"/>
      <c r="QOM3" s="230"/>
      <c r="QON3" s="231"/>
      <c r="QOO3" s="229" t="s">
        <v>13329</v>
      </c>
      <c r="QOP3" s="230"/>
      <c r="QOQ3" s="230"/>
      <c r="QOR3" s="231"/>
      <c r="QOS3" s="229" t="s">
        <v>13329</v>
      </c>
      <c r="QOT3" s="230"/>
      <c r="QOU3" s="230"/>
      <c r="QOV3" s="231"/>
      <c r="QOW3" s="229" t="s">
        <v>13329</v>
      </c>
      <c r="QOX3" s="230"/>
      <c r="QOY3" s="230"/>
      <c r="QOZ3" s="231"/>
      <c r="QPA3" s="229" t="s">
        <v>13329</v>
      </c>
      <c r="QPB3" s="230"/>
      <c r="QPC3" s="230"/>
      <c r="QPD3" s="231"/>
      <c r="QPE3" s="229" t="s">
        <v>13329</v>
      </c>
      <c r="QPF3" s="230"/>
      <c r="QPG3" s="230"/>
      <c r="QPH3" s="231"/>
      <c r="QPI3" s="229" t="s">
        <v>13329</v>
      </c>
      <c r="QPJ3" s="230"/>
      <c r="QPK3" s="230"/>
      <c r="QPL3" s="231"/>
      <c r="QPM3" s="229" t="s">
        <v>13329</v>
      </c>
      <c r="QPN3" s="230"/>
      <c r="QPO3" s="230"/>
      <c r="QPP3" s="231"/>
      <c r="QPQ3" s="229" t="s">
        <v>13329</v>
      </c>
      <c r="QPR3" s="230"/>
      <c r="QPS3" s="230"/>
      <c r="QPT3" s="231"/>
      <c r="QPU3" s="229" t="s">
        <v>13329</v>
      </c>
      <c r="QPV3" s="230"/>
      <c r="QPW3" s="230"/>
      <c r="QPX3" s="231"/>
      <c r="QPY3" s="229" t="s">
        <v>13329</v>
      </c>
      <c r="QPZ3" s="230"/>
      <c r="QQA3" s="230"/>
      <c r="QQB3" s="231"/>
      <c r="QQC3" s="229" t="s">
        <v>13329</v>
      </c>
      <c r="QQD3" s="230"/>
      <c r="QQE3" s="230"/>
      <c r="QQF3" s="231"/>
      <c r="QQG3" s="229" t="s">
        <v>13329</v>
      </c>
      <c r="QQH3" s="230"/>
      <c r="QQI3" s="230"/>
      <c r="QQJ3" s="231"/>
      <c r="QQK3" s="229" t="s">
        <v>13329</v>
      </c>
      <c r="QQL3" s="230"/>
      <c r="QQM3" s="230"/>
      <c r="QQN3" s="231"/>
      <c r="QQO3" s="229" t="s">
        <v>13329</v>
      </c>
      <c r="QQP3" s="230"/>
      <c r="QQQ3" s="230"/>
      <c r="QQR3" s="231"/>
      <c r="QQS3" s="229" t="s">
        <v>13329</v>
      </c>
      <c r="QQT3" s="230"/>
      <c r="QQU3" s="230"/>
      <c r="QQV3" s="231"/>
      <c r="QQW3" s="229" t="s">
        <v>13329</v>
      </c>
      <c r="QQX3" s="230"/>
      <c r="QQY3" s="230"/>
      <c r="QQZ3" s="231"/>
      <c r="QRA3" s="229" t="s">
        <v>13329</v>
      </c>
      <c r="QRB3" s="230"/>
      <c r="QRC3" s="230"/>
      <c r="QRD3" s="231"/>
      <c r="QRE3" s="229" t="s">
        <v>13329</v>
      </c>
      <c r="QRF3" s="230"/>
      <c r="QRG3" s="230"/>
      <c r="QRH3" s="231"/>
      <c r="QRI3" s="229" t="s">
        <v>13329</v>
      </c>
      <c r="QRJ3" s="230"/>
      <c r="QRK3" s="230"/>
      <c r="QRL3" s="231"/>
      <c r="QRM3" s="229" t="s">
        <v>13329</v>
      </c>
      <c r="QRN3" s="230"/>
      <c r="QRO3" s="230"/>
      <c r="QRP3" s="231"/>
      <c r="QRQ3" s="229" t="s">
        <v>13329</v>
      </c>
      <c r="QRR3" s="230"/>
      <c r="QRS3" s="230"/>
      <c r="QRT3" s="231"/>
      <c r="QRU3" s="229" t="s">
        <v>13329</v>
      </c>
      <c r="QRV3" s="230"/>
      <c r="QRW3" s="230"/>
      <c r="QRX3" s="231"/>
      <c r="QRY3" s="229" t="s">
        <v>13329</v>
      </c>
      <c r="QRZ3" s="230"/>
      <c r="QSA3" s="230"/>
      <c r="QSB3" s="231"/>
      <c r="QSC3" s="229" t="s">
        <v>13329</v>
      </c>
      <c r="QSD3" s="230"/>
      <c r="QSE3" s="230"/>
      <c r="QSF3" s="231"/>
      <c r="QSG3" s="229" t="s">
        <v>13329</v>
      </c>
      <c r="QSH3" s="230"/>
      <c r="QSI3" s="230"/>
      <c r="QSJ3" s="231"/>
      <c r="QSK3" s="229" t="s">
        <v>13329</v>
      </c>
      <c r="QSL3" s="230"/>
      <c r="QSM3" s="230"/>
      <c r="QSN3" s="231"/>
      <c r="QSO3" s="229" t="s">
        <v>13329</v>
      </c>
      <c r="QSP3" s="230"/>
      <c r="QSQ3" s="230"/>
      <c r="QSR3" s="231"/>
      <c r="QSS3" s="229" t="s">
        <v>13329</v>
      </c>
      <c r="QST3" s="230"/>
      <c r="QSU3" s="230"/>
      <c r="QSV3" s="231"/>
      <c r="QSW3" s="229" t="s">
        <v>13329</v>
      </c>
      <c r="QSX3" s="230"/>
      <c r="QSY3" s="230"/>
      <c r="QSZ3" s="231"/>
      <c r="QTA3" s="229" t="s">
        <v>13329</v>
      </c>
      <c r="QTB3" s="230"/>
      <c r="QTC3" s="230"/>
      <c r="QTD3" s="231"/>
      <c r="QTE3" s="229" t="s">
        <v>13329</v>
      </c>
      <c r="QTF3" s="230"/>
      <c r="QTG3" s="230"/>
      <c r="QTH3" s="231"/>
      <c r="QTI3" s="229" t="s">
        <v>13329</v>
      </c>
      <c r="QTJ3" s="230"/>
      <c r="QTK3" s="230"/>
      <c r="QTL3" s="231"/>
      <c r="QTM3" s="229" t="s">
        <v>13329</v>
      </c>
      <c r="QTN3" s="230"/>
      <c r="QTO3" s="230"/>
      <c r="QTP3" s="231"/>
      <c r="QTQ3" s="229" t="s">
        <v>13329</v>
      </c>
      <c r="QTR3" s="230"/>
      <c r="QTS3" s="230"/>
      <c r="QTT3" s="231"/>
      <c r="QTU3" s="229" t="s">
        <v>13329</v>
      </c>
      <c r="QTV3" s="230"/>
      <c r="QTW3" s="230"/>
      <c r="QTX3" s="231"/>
      <c r="QTY3" s="229" t="s">
        <v>13329</v>
      </c>
      <c r="QTZ3" s="230"/>
      <c r="QUA3" s="230"/>
      <c r="QUB3" s="231"/>
      <c r="QUC3" s="229" t="s">
        <v>13329</v>
      </c>
      <c r="QUD3" s="230"/>
      <c r="QUE3" s="230"/>
      <c r="QUF3" s="231"/>
      <c r="QUG3" s="229" t="s">
        <v>13329</v>
      </c>
      <c r="QUH3" s="230"/>
      <c r="QUI3" s="230"/>
      <c r="QUJ3" s="231"/>
      <c r="QUK3" s="229" t="s">
        <v>13329</v>
      </c>
      <c r="QUL3" s="230"/>
      <c r="QUM3" s="230"/>
      <c r="QUN3" s="231"/>
      <c r="QUO3" s="229" t="s">
        <v>13329</v>
      </c>
      <c r="QUP3" s="230"/>
      <c r="QUQ3" s="230"/>
      <c r="QUR3" s="231"/>
      <c r="QUS3" s="229" t="s">
        <v>13329</v>
      </c>
      <c r="QUT3" s="230"/>
      <c r="QUU3" s="230"/>
      <c r="QUV3" s="231"/>
      <c r="QUW3" s="229" t="s">
        <v>13329</v>
      </c>
      <c r="QUX3" s="230"/>
      <c r="QUY3" s="230"/>
      <c r="QUZ3" s="231"/>
      <c r="QVA3" s="229" t="s">
        <v>13329</v>
      </c>
      <c r="QVB3" s="230"/>
      <c r="QVC3" s="230"/>
      <c r="QVD3" s="231"/>
      <c r="QVE3" s="229" t="s">
        <v>13329</v>
      </c>
      <c r="QVF3" s="230"/>
      <c r="QVG3" s="230"/>
      <c r="QVH3" s="231"/>
      <c r="QVI3" s="229" t="s">
        <v>13329</v>
      </c>
      <c r="QVJ3" s="230"/>
      <c r="QVK3" s="230"/>
      <c r="QVL3" s="231"/>
      <c r="QVM3" s="229" t="s">
        <v>13329</v>
      </c>
      <c r="QVN3" s="230"/>
      <c r="QVO3" s="230"/>
      <c r="QVP3" s="231"/>
      <c r="QVQ3" s="229" t="s">
        <v>13329</v>
      </c>
      <c r="QVR3" s="230"/>
      <c r="QVS3" s="230"/>
      <c r="QVT3" s="231"/>
      <c r="QVU3" s="229" t="s">
        <v>13329</v>
      </c>
      <c r="QVV3" s="230"/>
      <c r="QVW3" s="230"/>
      <c r="QVX3" s="231"/>
      <c r="QVY3" s="229" t="s">
        <v>13329</v>
      </c>
      <c r="QVZ3" s="230"/>
      <c r="QWA3" s="230"/>
      <c r="QWB3" s="231"/>
      <c r="QWC3" s="229" t="s">
        <v>13329</v>
      </c>
      <c r="QWD3" s="230"/>
      <c r="QWE3" s="230"/>
      <c r="QWF3" s="231"/>
      <c r="QWG3" s="229" t="s">
        <v>13329</v>
      </c>
      <c r="QWH3" s="230"/>
      <c r="QWI3" s="230"/>
      <c r="QWJ3" s="231"/>
      <c r="QWK3" s="229" t="s">
        <v>13329</v>
      </c>
      <c r="QWL3" s="230"/>
      <c r="QWM3" s="230"/>
      <c r="QWN3" s="231"/>
      <c r="QWO3" s="229" t="s">
        <v>13329</v>
      </c>
      <c r="QWP3" s="230"/>
      <c r="QWQ3" s="230"/>
      <c r="QWR3" s="231"/>
      <c r="QWS3" s="229" t="s">
        <v>13329</v>
      </c>
      <c r="QWT3" s="230"/>
      <c r="QWU3" s="230"/>
      <c r="QWV3" s="231"/>
      <c r="QWW3" s="229" t="s">
        <v>13329</v>
      </c>
      <c r="QWX3" s="230"/>
      <c r="QWY3" s="230"/>
      <c r="QWZ3" s="231"/>
      <c r="QXA3" s="229" t="s">
        <v>13329</v>
      </c>
      <c r="QXB3" s="230"/>
      <c r="QXC3" s="230"/>
      <c r="QXD3" s="231"/>
      <c r="QXE3" s="229" t="s">
        <v>13329</v>
      </c>
      <c r="QXF3" s="230"/>
      <c r="QXG3" s="230"/>
      <c r="QXH3" s="231"/>
      <c r="QXI3" s="229" t="s">
        <v>13329</v>
      </c>
      <c r="QXJ3" s="230"/>
      <c r="QXK3" s="230"/>
      <c r="QXL3" s="231"/>
      <c r="QXM3" s="229" t="s">
        <v>13329</v>
      </c>
      <c r="QXN3" s="230"/>
      <c r="QXO3" s="230"/>
      <c r="QXP3" s="231"/>
      <c r="QXQ3" s="229" t="s">
        <v>13329</v>
      </c>
      <c r="QXR3" s="230"/>
      <c r="QXS3" s="230"/>
      <c r="QXT3" s="231"/>
      <c r="QXU3" s="229" t="s">
        <v>13329</v>
      </c>
      <c r="QXV3" s="230"/>
      <c r="QXW3" s="230"/>
      <c r="QXX3" s="231"/>
      <c r="QXY3" s="229" t="s">
        <v>13329</v>
      </c>
      <c r="QXZ3" s="230"/>
      <c r="QYA3" s="230"/>
      <c r="QYB3" s="231"/>
      <c r="QYC3" s="229" t="s">
        <v>13329</v>
      </c>
      <c r="QYD3" s="230"/>
      <c r="QYE3" s="230"/>
      <c r="QYF3" s="231"/>
      <c r="QYG3" s="229" t="s">
        <v>13329</v>
      </c>
      <c r="QYH3" s="230"/>
      <c r="QYI3" s="230"/>
      <c r="QYJ3" s="231"/>
      <c r="QYK3" s="229" t="s">
        <v>13329</v>
      </c>
      <c r="QYL3" s="230"/>
      <c r="QYM3" s="230"/>
      <c r="QYN3" s="231"/>
      <c r="QYO3" s="229" t="s">
        <v>13329</v>
      </c>
      <c r="QYP3" s="230"/>
      <c r="QYQ3" s="230"/>
      <c r="QYR3" s="231"/>
      <c r="QYS3" s="229" t="s">
        <v>13329</v>
      </c>
      <c r="QYT3" s="230"/>
      <c r="QYU3" s="230"/>
      <c r="QYV3" s="231"/>
      <c r="QYW3" s="229" t="s">
        <v>13329</v>
      </c>
      <c r="QYX3" s="230"/>
      <c r="QYY3" s="230"/>
      <c r="QYZ3" s="231"/>
      <c r="QZA3" s="229" t="s">
        <v>13329</v>
      </c>
      <c r="QZB3" s="230"/>
      <c r="QZC3" s="230"/>
      <c r="QZD3" s="231"/>
      <c r="QZE3" s="229" t="s">
        <v>13329</v>
      </c>
      <c r="QZF3" s="230"/>
      <c r="QZG3" s="230"/>
      <c r="QZH3" s="231"/>
      <c r="QZI3" s="229" t="s">
        <v>13329</v>
      </c>
      <c r="QZJ3" s="230"/>
      <c r="QZK3" s="230"/>
      <c r="QZL3" s="231"/>
      <c r="QZM3" s="229" t="s">
        <v>13329</v>
      </c>
      <c r="QZN3" s="230"/>
      <c r="QZO3" s="230"/>
      <c r="QZP3" s="231"/>
      <c r="QZQ3" s="229" t="s">
        <v>13329</v>
      </c>
      <c r="QZR3" s="230"/>
      <c r="QZS3" s="230"/>
      <c r="QZT3" s="231"/>
      <c r="QZU3" s="229" t="s">
        <v>13329</v>
      </c>
      <c r="QZV3" s="230"/>
      <c r="QZW3" s="230"/>
      <c r="QZX3" s="231"/>
      <c r="QZY3" s="229" t="s">
        <v>13329</v>
      </c>
      <c r="QZZ3" s="230"/>
      <c r="RAA3" s="230"/>
      <c r="RAB3" s="231"/>
      <c r="RAC3" s="229" t="s">
        <v>13329</v>
      </c>
      <c r="RAD3" s="230"/>
      <c r="RAE3" s="230"/>
      <c r="RAF3" s="231"/>
      <c r="RAG3" s="229" t="s">
        <v>13329</v>
      </c>
      <c r="RAH3" s="230"/>
      <c r="RAI3" s="230"/>
      <c r="RAJ3" s="231"/>
      <c r="RAK3" s="229" t="s">
        <v>13329</v>
      </c>
      <c r="RAL3" s="230"/>
      <c r="RAM3" s="230"/>
      <c r="RAN3" s="231"/>
      <c r="RAO3" s="229" t="s">
        <v>13329</v>
      </c>
      <c r="RAP3" s="230"/>
      <c r="RAQ3" s="230"/>
      <c r="RAR3" s="231"/>
      <c r="RAS3" s="229" t="s">
        <v>13329</v>
      </c>
      <c r="RAT3" s="230"/>
      <c r="RAU3" s="230"/>
      <c r="RAV3" s="231"/>
      <c r="RAW3" s="229" t="s">
        <v>13329</v>
      </c>
      <c r="RAX3" s="230"/>
      <c r="RAY3" s="230"/>
      <c r="RAZ3" s="231"/>
      <c r="RBA3" s="229" t="s">
        <v>13329</v>
      </c>
      <c r="RBB3" s="230"/>
      <c r="RBC3" s="230"/>
      <c r="RBD3" s="231"/>
      <c r="RBE3" s="229" t="s">
        <v>13329</v>
      </c>
      <c r="RBF3" s="230"/>
      <c r="RBG3" s="230"/>
      <c r="RBH3" s="231"/>
      <c r="RBI3" s="229" t="s">
        <v>13329</v>
      </c>
      <c r="RBJ3" s="230"/>
      <c r="RBK3" s="230"/>
      <c r="RBL3" s="231"/>
      <c r="RBM3" s="229" t="s">
        <v>13329</v>
      </c>
      <c r="RBN3" s="230"/>
      <c r="RBO3" s="230"/>
      <c r="RBP3" s="231"/>
      <c r="RBQ3" s="229" t="s">
        <v>13329</v>
      </c>
      <c r="RBR3" s="230"/>
      <c r="RBS3" s="230"/>
      <c r="RBT3" s="231"/>
      <c r="RBU3" s="229" t="s">
        <v>13329</v>
      </c>
      <c r="RBV3" s="230"/>
      <c r="RBW3" s="230"/>
      <c r="RBX3" s="231"/>
      <c r="RBY3" s="229" t="s">
        <v>13329</v>
      </c>
      <c r="RBZ3" s="230"/>
      <c r="RCA3" s="230"/>
      <c r="RCB3" s="231"/>
      <c r="RCC3" s="229" t="s">
        <v>13329</v>
      </c>
      <c r="RCD3" s="230"/>
      <c r="RCE3" s="230"/>
      <c r="RCF3" s="231"/>
      <c r="RCG3" s="229" t="s">
        <v>13329</v>
      </c>
      <c r="RCH3" s="230"/>
      <c r="RCI3" s="230"/>
      <c r="RCJ3" s="231"/>
      <c r="RCK3" s="229" t="s">
        <v>13329</v>
      </c>
      <c r="RCL3" s="230"/>
      <c r="RCM3" s="230"/>
      <c r="RCN3" s="231"/>
      <c r="RCO3" s="229" t="s">
        <v>13329</v>
      </c>
      <c r="RCP3" s="230"/>
      <c r="RCQ3" s="230"/>
      <c r="RCR3" s="231"/>
      <c r="RCS3" s="229" t="s">
        <v>13329</v>
      </c>
      <c r="RCT3" s="230"/>
      <c r="RCU3" s="230"/>
      <c r="RCV3" s="231"/>
      <c r="RCW3" s="229" t="s">
        <v>13329</v>
      </c>
      <c r="RCX3" s="230"/>
      <c r="RCY3" s="230"/>
      <c r="RCZ3" s="231"/>
      <c r="RDA3" s="229" t="s">
        <v>13329</v>
      </c>
      <c r="RDB3" s="230"/>
      <c r="RDC3" s="230"/>
      <c r="RDD3" s="231"/>
      <c r="RDE3" s="229" t="s">
        <v>13329</v>
      </c>
      <c r="RDF3" s="230"/>
      <c r="RDG3" s="230"/>
      <c r="RDH3" s="231"/>
      <c r="RDI3" s="229" t="s">
        <v>13329</v>
      </c>
      <c r="RDJ3" s="230"/>
      <c r="RDK3" s="230"/>
      <c r="RDL3" s="231"/>
      <c r="RDM3" s="229" t="s">
        <v>13329</v>
      </c>
      <c r="RDN3" s="230"/>
      <c r="RDO3" s="230"/>
      <c r="RDP3" s="231"/>
      <c r="RDQ3" s="229" t="s">
        <v>13329</v>
      </c>
      <c r="RDR3" s="230"/>
      <c r="RDS3" s="230"/>
      <c r="RDT3" s="231"/>
      <c r="RDU3" s="229" t="s">
        <v>13329</v>
      </c>
      <c r="RDV3" s="230"/>
      <c r="RDW3" s="230"/>
      <c r="RDX3" s="231"/>
      <c r="RDY3" s="229" t="s">
        <v>13329</v>
      </c>
      <c r="RDZ3" s="230"/>
      <c r="REA3" s="230"/>
      <c r="REB3" s="231"/>
      <c r="REC3" s="229" t="s">
        <v>13329</v>
      </c>
      <c r="RED3" s="230"/>
      <c r="REE3" s="230"/>
      <c r="REF3" s="231"/>
      <c r="REG3" s="229" t="s">
        <v>13329</v>
      </c>
      <c r="REH3" s="230"/>
      <c r="REI3" s="230"/>
      <c r="REJ3" s="231"/>
      <c r="REK3" s="229" t="s">
        <v>13329</v>
      </c>
      <c r="REL3" s="230"/>
      <c r="REM3" s="230"/>
      <c r="REN3" s="231"/>
      <c r="REO3" s="229" t="s">
        <v>13329</v>
      </c>
      <c r="REP3" s="230"/>
      <c r="REQ3" s="230"/>
      <c r="RER3" s="231"/>
      <c r="RES3" s="229" t="s">
        <v>13329</v>
      </c>
      <c r="RET3" s="230"/>
      <c r="REU3" s="230"/>
      <c r="REV3" s="231"/>
      <c r="REW3" s="229" t="s">
        <v>13329</v>
      </c>
      <c r="REX3" s="230"/>
      <c r="REY3" s="230"/>
      <c r="REZ3" s="231"/>
      <c r="RFA3" s="229" t="s">
        <v>13329</v>
      </c>
      <c r="RFB3" s="230"/>
      <c r="RFC3" s="230"/>
      <c r="RFD3" s="231"/>
      <c r="RFE3" s="229" t="s">
        <v>13329</v>
      </c>
      <c r="RFF3" s="230"/>
      <c r="RFG3" s="230"/>
      <c r="RFH3" s="231"/>
      <c r="RFI3" s="229" t="s">
        <v>13329</v>
      </c>
      <c r="RFJ3" s="230"/>
      <c r="RFK3" s="230"/>
      <c r="RFL3" s="231"/>
      <c r="RFM3" s="229" t="s">
        <v>13329</v>
      </c>
      <c r="RFN3" s="230"/>
      <c r="RFO3" s="230"/>
      <c r="RFP3" s="231"/>
      <c r="RFQ3" s="229" t="s">
        <v>13329</v>
      </c>
      <c r="RFR3" s="230"/>
      <c r="RFS3" s="230"/>
      <c r="RFT3" s="231"/>
      <c r="RFU3" s="229" t="s">
        <v>13329</v>
      </c>
      <c r="RFV3" s="230"/>
      <c r="RFW3" s="230"/>
      <c r="RFX3" s="231"/>
      <c r="RFY3" s="229" t="s">
        <v>13329</v>
      </c>
      <c r="RFZ3" s="230"/>
      <c r="RGA3" s="230"/>
      <c r="RGB3" s="231"/>
      <c r="RGC3" s="229" t="s">
        <v>13329</v>
      </c>
      <c r="RGD3" s="230"/>
      <c r="RGE3" s="230"/>
      <c r="RGF3" s="231"/>
      <c r="RGG3" s="229" t="s">
        <v>13329</v>
      </c>
      <c r="RGH3" s="230"/>
      <c r="RGI3" s="230"/>
      <c r="RGJ3" s="231"/>
      <c r="RGK3" s="229" t="s">
        <v>13329</v>
      </c>
      <c r="RGL3" s="230"/>
      <c r="RGM3" s="230"/>
      <c r="RGN3" s="231"/>
      <c r="RGO3" s="229" t="s">
        <v>13329</v>
      </c>
      <c r="RGP3" s="230"/>
      <c r="RGQ3" s="230"/>
      <c r="RGR3" s="231"/>
      <c r="RGS3" s="229" t="s">
        <v>13329</v>
      </c>
      <c r="RGT3" s="230"/>
      <c r="RGU3" s="230"/>
      <c r="RGV3" s="231"/>
      <c r="RGW3" s="229" t="s">
        <v>13329</v>
      </c>
      <c r="RGX3" s="230"/>
      <c r="RGY3" s="230"/>
      <c r="RGZ3" s="231"/>
      <c r="RHA3" s="229" t="s">
        <v>13329</v>
      </c>
      <c r="RHB3" s="230"/>
      <c r="RHC3" s="230"/>
      <c r="RHD3" s="231"/>
      <c r="RHE3" s="229" t="s">
        <v>13329</v>
      </c>
      <c r="RHF3" s="230"/>
      <c r="RHG3" s="230"/>
      <c r="RHH3" s="231"/>
      <c r="RHI3" s="229" t="s">
        <v>13329</v>
      </c>
      <c r="RHJ3" s="230"/>
      <c r="RHK3" s="230"/>
      <c r="RHL3" s="231"/>
      <c r="RHM3" s="229" t="s">
        <v>13329</v>
      </c>
      <c r="RHN3" s="230"/>
      <c r="RHO3" s="230"/>
      <c r="RHP3" s="231"/>
      <c r="RHQ3" s="229" t="s">
        <v>13329</v>
      </c>
      <c r="RHR3" s="230"/>
      <c r="RHS3" s="230"/>
      <c r="RHT3" s="231"/>
      <c r="RHU3" s="229" t="s">
        <v>13329</v>
      </c>
      <c r="RHV3" s="230"/>
      <c r="RHW3" s="230"/>
      <c r="RHX3" s="231"/>
      <c r="RHY3" s="229" t="s">
        <v>13329</v>
      </c>
      <c r="RHZ3" s="230"/>
      <c r="RIA3" s="230"/>
      <c r="RIB3" s="231"/>
      <c r="RIC3" s="229" t="s">
        <v>13329</v>
      </c>
      <c r="RID3" s="230"/>
      <c r="RIE3" s="230"/>
      <c r="RIF3" s="231"/>
      <c r="RIG3" s="229" t="s">
        <v>13329</v>
      </c>
      <c r="RIH3" s="230"/>
      <c r="RII3" s="230"/>
      <c r="RIJ3" s="231"/>
      <c r="RIK3" s="229" t="s">
        <v>13329</v>
      </c>
      <c r="RIL3" s="230"/>
      <c r="RIM3" s="230"/>
      <c r="RIN3" s="231"/>
      <c r="RIO3" s="229" t="s">
        <v>13329</v>
      </c>
      <c r="RIP3" s="230"/>
      <c r="RIQ3" s="230"/>
      <c r="RIR3" s="231"/>
      <c r="RIS3" s="229" t="s">
        <v>13329</v>
      </c>
      <c r="RIT3" s="230"/>
      <c r="RIU3" s="230"/>
      <c r="RIV3" s="231"/>
      <c r="RIW3" s="229" t="s">
        <v>13329</v>
      </c>
      <c r="RIX3" s="230"/>
      <c r="RIY3" s="230"/>
      <c r="RIZ3" s="231"/>
      <c r="RJA3" s="229" t="s">
        <v>13329</v>
      </c>
      <c r="RJB3" s="230"/>
      <c r="RJC3" s="230"/>
      <c r="RJD3" s="231"/>
      <c r="RJE3" s="229" t="s">
        <v>13329</v>
      </c>
      <c r="RJF3" s="230"/>
      <c r="RJG3" s="230"/>
      <c r="RJH3" s="231"/>
      <c r="RJI3" s="229" t="s">
        <v>13329</v>
      </c>
      <c r="RJJ3" s="230"/>
      <c r="RJK3" s="230"/>
      <c r="RJL3" s="231"/>
      <c r="RJM3" s="229" t="s">
        <v>13329</v>
      </c>
      <c r="RJN3" s="230"/>
      <c r="RJO3" s="230"/>
      <c r="RJP3" s="231"/>
      <c r="RJQ3" s="229" t="s">
        <v>13329</v>
      </c>
      <c r="RJR3" s="230"/>
      <c r="RJS3" s="230"/>
      <c r="RJT3" s="231"/>
      <c r="RJU3" s="229" t="s">
        <v>13329</v>
      </c>
      <c r="RJV3" s="230"/>
      <c r="RJW3" s="230"/>
      <c r="RJX3" s="231"/>
      <c r="RJY3" s="229" t="s">
        <v>13329</v>
      </c>
      <c r="RJZ3" s="230"/>
      <c r="RKA3" s="230"/>
      <c r="RKB3" s="231"/>
      <c r="RKC3" s="229" t="s">
        <v>13329</v>
      </c>
      <c r="RKD3" s="230"/>
      <c r="RKE3" s="230"/>
      <c r="RKF3" s="231"/>
      <c r="RKG3" s="229" t="s">
        <v>13329</v>
      </c>
      <c r="RKH3" s="230"/>
      <c r="RKI3" s="230"/>
      <c r="RKJ3" s="231"/>
      <c r="RKK3" s="229" t="s">
        <v>13329</v>
      </c>
      <c r="RKL3" s="230"/>
      <c r="RKM3" s="230"/>
      <c r="RKN3" s="231"/>
      <c r="RKO3" s="229" t="s">
        <v>13329</v>
      </c>
      <c r="RKP3" s="230"/>
      <c r="RKQ3" s="230"/>
      <c r="RKR3" s="231"/>
      <c r="RKS3" s="229" t="s">
        <v>13329</v>
      </c>
      <c r="RKT3" s="230"/>
      <c r="RKU3" s="230"/>
      <c r="RKV3" s="231"/>
      <c r="RKW3" s="229" t="s">
        <v>13329</v>
      </c>
      <c r="RKX3" s="230"/>
      <c r="RKY3" s="230"/>
      <c r="RKZ3" s="231"/>
      <c r="RLA3" s="229" t="s">
        <v>13329</v>
      </c>
      <c r="RLB3" s="230"/>
      <c r="RLC3" s="230"/>
      <c r="RLD3" s="231"/>
      <c r="RLE3" s="229" t="s">
        <v>13329</v>
      </c>
      <c r="RLF3" s="230"/>
      <c r="RLG3" s="230"/>
      <c r="RLH3" s="231"/>
      <c r="RLI3" s="229" t="s">
        <v>13329</v>
      </c>
      <c r="RLJ3" s="230"/>
      <c r="RLK3" s="230"/>
      <c r="RLL3" s="231"/>
      <c r="RLM3" s="229" t="s">
        <v>13329</v>
      </c>
      <c r="RLN3" s="230"/>
      <c r="RLO3" s="230"/>
      <c r="RLP3" s="231"/>
      <c r="RLQ3" s="229" t="s">
        <v>13329</v>
      </c>
      <c r="RLR3" s="230"/>
      <c r="RLS3" s="230"/>
      <c r="RLT3" s="231"/>
      <c r="RLU3" s="229" t="s">
        <v>13329</v>
      </c>
      <c r="RLV3" s="230"/>
      <c r="RLW3" s="230"/>
      <c r="RLX3" s="231"/>
      <c r="RLY3" s="229" t="s">
        <v>13329</v>
      </c>
      <c r="RLZ3" s="230"/>
      <c r="RMA3" s="230"/>
      <c r="RMB3" s="231"/>
      <c r="RMC3" s="229" t="s">
        <v>13329</v>
      </c>
      <c r="RMD3" s="230"/>
      <c r="RME3" s="230"/>
      <c r="RMF3" s="231"/>
      <c r="RMG3" s="229" t="s">
        <v>13329</v>
      </c>
      <c r="RMH3" s="230"/>
      <c r="RMI3" s="230"/>
      <c r="RMJ3" s="231"/>
      <c r="RMK3" s="229" t="s">
        <v>13329</v>
      </c>
      <c r="RML3" s="230"/>
      <c r="RMM3" s="230"/>
      <c r="RMN3" s="231"/>
      <c r="RMO3" s="229" t="s">
        <v>13329</v>
      </c>
      <c r="RMP3" s="230"/>
      <c r="RMQ3" s="230"/>
      <c r="RMR3" s="231"/>
      <c r="RMS3" s="229" t="s">
        <v>13329</v>
      </c>
      <c r="RMT3" s="230"/>
      <c r="RMU3" s="230"/>
      <c r="RMV3" s="231"/>
      <c r="RMW3" s="229" t="s">
        <v>13329</v>
      </c>
      <c r="RMX3" s="230"/>
      <c r="RMY3" s="230"/>
      <c r="RMZ3" s="231"/>
      <c r="RNA3" s="229" t="s">
        <v>13329</v>
      </c>
      <c r="RNB3" s="230"/>
      <c r="RNC3" s="230"/>
      <c r="RND3" s="231"/>
      <c r="RNE3" s="229" t="s">
        <v>13329</v>
      </c>
      <c r="RNF3" s="230"/>
      <c r="RNG3" s="230"/>
      <c r="RNH3" s="231"/>
      <c r="RNI3" s="229" t="s">
        <v>13329</v>
      </c>
      <c r="RNJ3" s="230"/>
      <c r="RNK3" s="230"/>
      <c r="RNL3" s="231"/>
      <c r="RNM3" s="229" t="s">
        <v>13329</v>
      </c>
      <c r="RNN3" s="230"/>
      <c r="RNO3" s="230"/>
      <c r="RNP3" s="231"/>
      <c r="RNQ3" s="229" t="s">
        <v>13329</v>
      </c>
      <c r="RNR3" s="230"/>
      <c r="RNS3" s="230"/>
      <c r="RNT3" s="231"/>
      <c r="RNU3" s="229" t="s">
        <v>13329</v>
      </c>
      <c r="RNV3" s="230"/>
      <c r="RNW3" s="230"/>
      <c r="RNX3" s="231"/>
      <c r="RNY3" s="229" t="s">
        <v>13329</v>
      </c>
      <c r="RNZ3" s="230"/>
      <c r="ROA3" s="230"/>
      <c r="ROB3" s="231"/>
      <c r="ROC3" s="229" t="s">
        <v>13329</v>
      </c>
      <c r="ROD3" s="230"/>
      <c r="ROE3" s="230"/>
      <c r="ROF3" s="231"/>
      <c r="ROG3" s="229" t="s">
        <v>13329</v>
      </c>
      <c r="ROH3" s="230"/>
      <c r="ROI3" s="230"/>
      <c r="ROJ3" s="231"/>
      <c r="ROK3" s="229" t="s">
        <v>13329</v>
      </c>
      <c r="ROL3" s="230"/>
      <c r="ROM3" s="230"/>
      <c r="RON3" s="231"/>
      <c r="ROO3" s="229" t="s">
        <v>13329</v>
      </c>
      <c r="ROP3" s="230"/>
      <c r="ROQ3" s="230"/>
      <c r="ROR3" s="231"/>
      <c r="ROS3" s="229" t="s">
        <v>13329</v>
      </c>
      <c r="ROT3" s="230"/>
      <c r="ROU3" s="230"/>
      <c r="ROV3" s="231"/>
      <c r="ROW3" s="229" t="s">
        <v>13329</v>
      </c>
      <c r="ROX3" s="230"/>
      <c r="ROY3" s="230"/>
      <c r="ROZ3" s="231"/>
      <c r="RPA3" s="229" t="s">
        <v>13329</v>
      </c>
      <c r="RPB3" s="230"/>
      <c r="RPC3" s="230"/>
      <c r="RPD3" s="231"/>
      <c r="RPE3" s="229" t="s">
        <v>13329</v>
      </c>
      <c r="RPF3" s="230"/>
      <c r="RPG3" s="230"/>
      <c r="RPH3" s="231"/>
      <c r="RPI3" s="229" t="s">
        <v>13329</v>
      </c>
      <c r="RPJ3" s="230"/>
      <c r="RPK3" s="230"/>
      <c r="RPL3" s="231"/>
      <c r="RPM3" s="229" t="s">
        <v>13329</v>
      </c>
      <c r="RPN3" s="230"/>
      <c r="RPO3" s="230"/>
      <c r="RPP3" s="231"/>
      <c r="RPQ3" s="229" t="s">
        <v>13329</v>
      </c>
      <c r="RPR3" s="230"/>
      <c r="RPS3" s="230"/>
      <c r="RPT3" s="231"/>
      <c r="RPU3" s="229" t="s">
        <v>13329</v>
      </c>
      <c r="RPV3" s="230"/>
      <c r="RPW3" s="230"/>
      <c r="RPX3" s="231"/>
      <c r="RPY3" s="229" t="s">
        <v>13329</v>
      </c>
      <c r="RPZ3" s="230"/>
      <c r="RQA3" s="230"/>
      <c r="RQB3" s="231"/>
      <c r="RQC3" s="229" t="s">
        <v>13329</v>
      </c>
      <c r="RQD3" s="230"/>
      <c r="RQE3" s="230"/>
      <c r="RQF3" s="231"/>
      <c r="RQG3" s="229" t="s">
        <v>13329</v>
      </c>
      <c r="RQH3" s="230"/>
      <c r="RQI3" s="230"/>
      <c r="RQJ3" s="231"/>
      <c r="RQK3" s="229" t="s">
        <v>13329</v>
      </c>
      <c r="RQL3" s="230"/>
      <c r="RQM3" s="230"/>
      <c r="RQN3" s="231"/>
      <c r="RQO3" s="229" t="s">
        <v>13329</v>
      </c>
      <c r="RQP3" s="230"/>
      <c r="RQQ3" s="230"/>
      <c r="RQR3" s="231"/>
      <c r="RQS3" s="229" t="s">
        <v>13329</v>
      </c>
      <c r="RQT3" s="230"/>
      <c r="RQU3" s="230"/>
      <c r="RQV3" s="231"/>
      <c r="RQW3" s="229" t="s">
        <v>13329</v>
      </c>
      <c r="RQX3" s="230"/>
      <c r="RQY3" s="230"/>
      <c r="RQZ3" s="231"/>
      <c r="RRA3" s="229" t="s">
        <v>13329</v>
      </c>
      <c r="RRB3" s="230"/>
      <c r="RRC3" s="230"/>
      <c r="RRD3" s="231"/>
      <c r="RRE3" s="229" t="s">
        <v>13329</v>
      </c>
      <c r="RRF3" s="230"/>
      <c r="RRG3" s="230"/>
      <c r="RRH3" s="231"/>
      <c r="RRI3" s="229" t="s">
        <v>13329</v>
      </c>
      <c r="RRJ3" s="230"/>
      <c r="RRK3" s="230"/>
      <c r="RRL3" s="231"/>
      <c r="RRM3" s="229" t="s">
        <v>13329</v>
      </c>
      <c r="RRN3" s="230"/>
      <c r="RRO3" s="230"/>
      <c r="RRP3" s="231"/>
      <c r="RRQ3" s="229" t="s">
        <v>13329</v>
      </c>
      <c r="RRR3" s="230"/>
      <c r="RRS3" s="230"/>
      <c r="RRT3" s="231"/>
      <c r="RRU3" s="229" t="s">
        <v>13329</v>
      </c>
      <c r="RRV3" s="230"/>
      <c r="RRW3" s="230"/>
      <c r="RRX3" s="231"/>
      <c r="RRY3" s="229" t="s">
        <v>13329</v>
      </c>
      <c r="RRZ3" s="230"/>
      <c r="RSA3" s="230"/>
      <c r="RSB3" s="231"/>
      <c r="RSC3" s="229" t="s">
        <v>13329</v>
      </c>
      <c r="RSD3" s="230"/>
      <c r="RSE3" s="230"/>
      <c r="RSF3" s="231"/>
      <c r="RSG3" s="229" t="s">
        <v>13329</v>
      </c>
      <c r="RSH3" s="230"/>
      <c r="RSI3" s="230"/>
      <c r="RSJ3" s="231"/>
      <c r="RSK3" s="229" t="s">
        <v>13329</v>
      </c>
      <c r="RSL3" s="230"/>
      <c r="RSM3" s="230"/>
      <c r="RSN3" s="231"/>
      <c r="RSO3" s="229" t="s">
        <v>13329</v>
      </c>
      <c r="RSP3" s="230"/>
      <c r="RSQ3" s="230"/>
      <c r="RSR3" s="231"/>
      <c r="RSS3" s="229" t="s">
        <v>13329</v>
      </c>
      <c r="RST3" s="230"/>
      <c r="RSU3" s="230"/>
      <c r="RSV3" s="231"/>
      <c r="RSW3" s="229" t="s">
        <v>13329</v>
      </c>
      <c r="RSX3" s="230"/>
      <c r="RSY3" s="230"/>
      <c r="RSZ3" s="231"/>
      <c r="RTA3" s="229" t="s">
        <v>13329</v>
      </c>
      <c r="RTB3" s="230"/>
      <c r="RTC3" s="230"/>
      <c r="RTD3" s="231"/>
      <c r="RTE3" s="229" t="s">
        <v>13329</v>
      </c>
      <c r="RTF3" s="230"/>
      <c r="RTG3" s="230"/>
      <c r="RTH3" s="231"/>
      <c r="RTI3" s="229" t="s">
        <v>13329</v>
      </c>
      <c r="RTJ3" s="230"/>
      <c r="RTK3" s="230"/>
      <c r="RTL3" s="231"/>
      <c r="RTM3" s="229" t="s">
        <v>13329</v>
      </c>
      <c r="RTN3" s="230"/>
      <c r="RTO3" s="230"/>
      <c r="RTP3" s="231"/>
      <c r="RTQ3" s="229" t="s">
        <v>13329</v>
      </c>
      <c r="RTR3" s="230"/>
      <c r="RTS3" s="230"/>
      <c r="RTT3" s="231"/>
      <c r="RTU3" s="229" t="s">
        <v>13329</v>
      </c>
      <c r="RTV3" s="230"/>
      <c r="RTW3" s="230"/>
      <c r="RTX3" s="231"/>
      <c r="RTY3" s="229" t="s">
        <v>13329</v>
      </c>
      <c r="RTZ3" s="230"/>
      <c r="RUA3" s="230"/>
      <c r="RUB3" s="231"/>
      <c r="RUC3" s="229" t="s">
        <v>13329</v>
      </c>
      <c r="RUD3" s="230"/>
      <c r="RUE3" s="230"/>
      <c r="RUF3" s="231"/>
      <c r="RUG3" s="229" t="s">
        <v>13329</v>
      </c>
      <c r="RUH3" s="230"/>
      <c r="RUI3" s="230"/>
      <c r="RUJ3" s="231"/>
      <c r="RUK3" s="229" t="s">
        <v>13329</v>
      </c>
      <c r="RUL3" s="230"/>
      <c r="RUM3" s="230"/>
      <c r="RUN3" s="231"/>
      <c r="RUO3" s="229" t="s">
        <v>13329</v>
      </c>
      <c r="RUP3" s="230"/>
      <c r="RUQ3" s="230"/>
      <c r="RUR3" s="231"/>
      <c r="RUS3" s="229" t="s">
        <v>13329</v>
      </c>
      <c r="RUT3" s="230"/>
      <c r="RUU3" s="230"/>
      <c r="RUV3" s="231"/>
      <c r="RUW3" s="229" t="s">
        <v>13329</v>
      </c>
      <c r="RUX3" s="230"/>
      <c r="RUY3" s="230"/>
      <c r="RUZ3" s="231"/>
      <c r="RVA3" s="229" t="s">
        <v>13329</v>
      </c>
      <c r="RVB3" s="230"/>
      <c r="RVC3" s="230"/>
      <c r="RVD3" s="231"/>
      <c r="RVE3" s="229" t="s">
        <v>13329</v>
      </c>
      <c r="RVF3" s="230"/>
      <c r="RVG3" s="230"/>
      <c r="RVH3" s="231"/>
      <c r="RVI3" s="229" t="s">
        <v>13329</v>
      </c>
      <c r="RVJ3" s="230"/>
      <c r="RVK3" s="230"/>
      <c r="RVL3" s="231"/>
      <c r="RVM3" s="229" t="s">
        <v>13329</v>
      </c>
      <c r="RVN3" s="230"/>
      <c r="RVO3" s="230"/>
      <c r="RVP3" s="231"/>
      <c r="RVQ3" s="229" t="s">
        <v>13329</v>
      </c>
      <c r="RVR3" s="230"/>
      <c r="RVS3" s="230"/>
      <c r="RVT3" s="231"/>
      <c r="RVU3" s="229" t="s">
        <v>13329</v>
      </c>
      <c r="RVV3" s="230"/>
      <c r="RVW3" s="230"/>
      <c r="RVX3" s="231"/>
      <c r="RVY3" s="229" t="s">
        <v>13329</v>
      </c>
      <c r="RVZ3" s="230"/>
      <c r="RWA3" s="230"/>
      <c r="RWB3" s="231"/>
      <c r="RWC3" s="229" t="s">
        <v>13329</v>
      </c>
      <c r="RWD3" s="230"/>
      <c r="RWE3" s="230"/>
      <c r="RWF3" s="231"/>
      <c r="RWG3" s="229" t="s">
        <v>13329</v>
      </c>
      <c r="RWH3" s="230"/>
      <c r="RWI3" s="230"/>
      <c r="RWJ3" s="231"/>
      <c r="RWK3" s="229" t="s">
        <v>13329</v>
      </c>
      <c r="RWL3" s="230"/>
      <c r="RWM3" s="230"/>
      <c r="RWN3" s="231"/>
      <c r="RWO3" s="229" t="s">
        <v>13329</v>
      </c>
      <c r="RWP3" s="230"/>
      <c r="RWQ3" s="230"/>
      <c r="RWR3" s="231"/>
      <c r="RWS3" s="229" t="s">
        <v>13329</v>
      </c>
      <c r="RWT3" s="230"/>
      <c r="RWU3" s="230"/>
      <c r="RWV3" s="231"/>
      <c r="RWW3" s="229" t="s">
        <v>13329</v>
      </c>
      <c r="RWX3" s="230"/>
      <c r="RWY3" s="230"/>
      <c r="RWZ3" s="231"/>
      <c r="RXA3" s="229" t="s">
        <v>13329</v>
      </c>
      <c r="RXB3" s="230"/>
      <c r="RXC3" s="230"/>
      <c r="RXD3" s="231"/>
      <c r="RXE3" s="229" t="s">
        <v>13329</v>
      </c>
      <c r="RXF3" s="230"/>
      <c r="RXG3" s="230"/>
      <c r="RXH3" s="231"/>
      <c r="RXI3" s="229" t="s">
        <v>13329</v>
      </c>
      <c r="RXJ3" s="230"/>
      <c r="RXK3" s="230"/>
      <c r="RXL3" s="231"/>
      <c r="RXM3" s="229" t="s">
        <v>13329</v>
      </c>
      <c r="RXN3" s="230"/>
      <c r="RXO3" s="230"/>
      <c r="RXP3" s="231"/>
      <c r="RXQ3" s="229" t="s">
        <v>13329</v>
      </c>
      <c r="RXR3" s="230"/>
      <c r="RXS3" s="230"/>
      <c r="RXT3" s="231"/>
      <c r="RXU3" s="229" t="s">
        <v>13329</v>
      </c>
      <c r="RXV3" s="230"/>
      <c r="RXW3" s="230"/>
      <c r="RXX3" s="231"/>
      <c r="RXY3" s="229" t="s">
        <v>13329</v>
      </c>
      <c r="RXZ3" s="230"/>
      <c r="RYA3" s="230"/>
      <c r="RYB3" s="231"/>
      <c r="RYC3" s="229" t="s">
        <v>13329</v>
      </c>
      <c r="RYD3" s="230"/>
      <c r="RYE3" s="230"/>
      <c r="RYF3" s="231"/>
      <c r="RYG3" s="229" t="s">
        <v>13329</v>
      </c>
      <c r="RYH3" s="230"/>
      <c r="RYI3" s="230"/>
      <c r="RYJ3" s="231"/>
      <c r="RYK3" s="229" t="s">
        <v>13329</v>
      </c>
      <c r="RYL3" s="230"/>
      <c r="RYM3" s="230"/>
      <c r="RYN3" s="231"/>
      <c r="RYO3" s="229" t="s">
        <v>13329</v>
      </c>
      <c r="RYP3" s="230"/>
      <c r="RYQ3" s="230"/>
      <c r="RYR3" s="231"/>
      <c r="RYS3" s="229" t="s">
        <v>13329</v>
      </c>
      <c r="RYT3" s="230"/>
      <c r="RYU3" s="230"/>
      <c r="RYV3" s="231"/>
      <c r="RYW3" s="229" t="s">
        <v>13329</v>
      </c>
      <c r="RYX3" s="230"/>
      <c r="RYY3" s="230"/>
      <c r="RYZ3" s="231"/>
      <c r="RZA3" s="229" t="s">
        <v>13329</v>
      </c>
      <c r="RZB3" s="230"/>
      <c r="RZC3" s="230"/>
      <c r="RZD3" s="231"/>
      <c r="RZE3" s="229" t="s">
        <v>13329</v>
      </c>
      <c r="RZF3" s="230"/>
      <c r="RZG3" s="230"/>
      <c r="RZH3" s="231"/>
      <c r="RZI3" s="229" t="s">
        <v>13329</v>
      </c>
      <c r="RZJ3" s="230"/>
      <c r="RZK3" s="230"/>
      <c r="RZL3" s="231"/>
      <c r="RZM3" s="229" t="s">
        <v>13329</v>
      </c>
      <c r="RZN3" s="230"/>
      <c r="RZO3" s="230"/>
      <c r="RZP3" s="231"/>
      <c r="RZQ3" s="229" t="s">
        <v>13329</v>
      </c>
      <c r="RZR3" s="230"/>
      <c r="RZS3" s="230"/>
      <c r="RZT3" s="231"/>
      <c r="RZU3" s="229" t="s">
        <v>13329</v>
      </c>
      <c r="RZV3" s="230"/>
      <c r="RZW3" s="230"/>
      <c r="RZX3" s="231"/>
      <c r="RZY3" s="229" t="s">
        <v>13329</v>
      </c>
      <c r="RZZ3" s="230"/>
      <c r="SAA3" s="230"/>
      <c r="SAB3" s="231"/>
      <c r="SAC3" s="229" t="s">
        <v>13329</v>
      </c>
      <c r="SAD3" s="230"/>
      <c r="SAE3" s="230"/>
      <c r="SAF3" s="231"/>
      <c r="SAG3" s="229" t="s">
        <v>13329</v>
      </c>
      <c r="SAH3" s="230"/>
      <c r="SAI3" s="230"/>
      <c r="SAJ3" s="231"/>
      <c r="SAK3" s="229" t="s">
        <v>13329</v>
      </c>
      <c r="SAL3" s="230"/>
      <c r="SAM3" s="230"/>
      <c r="SAN3" s="231"/>
      <c r="SAO3" s="229" t="s">
        <v>13329</v>
      </c>
      <c r="SAP3" s="230"/>
      <c r="SAQ3" s="230"/>
      <c r="SAR3" s="231"/>
      <c r="SAS3" s="229" t="s">
        <v>13329</v>
      </c>
      <c r="SAT3" s="230"/>
      <c r="SAU3" s="230"/>
      <c r="SAV3" s="231"/>
      <c r="SAW3" s="229" t="s">
        <v>13329</v>
      </c>
      <c r="SAX3" s="230"/>
      <c r="SAY3" s="230"/>
      <c r="SAZ3" s="231"/>
      <c r="SBA3" s="229" t="s">
        <v>13329</v>
      </c>
      <c r="SBB3" s="230"/>
      <c r="SBC3" s="230"/>
      <c r="SBD3" s="231"/>
      <c r="SBE3" s="229" t="s">
        <v>13329</v>
      </c>
      <c r="SBF3" s="230"/>
      <c r="SBG3" s="230"/>
      <c r="SBH3" s="231"/>
      <c r="SBI3" s="229" t="s">
        <v>13329</v>
      </c>
      <c r="SBJ3" s="230"/>
      <c r="SBK3" s="230"/>
      <c r="SBL3" s="231"/>
      <c r="SBM3" s="229" t="s">
        <v>13329</v>
      </c>
      <c r="SBN3" s="230"/>
      <c r="SBO3" s="230"/>
      <c r="SBP3" s="231"/>
      <c r="SBQ3" s="229" t="s">
        <v>13329</v>
      </c>
      <c r="SBR3" s="230"/>
      <c r="SBS3" s="230"/>
      <c r="SBT3" s="231"/>
      <c r="SBU3" s="229" t="s">
        <v>13329</v>
      </c>
      <c r="SBV3" s="230"/>
      <c r="SBW3" s="230"/>
      <c r="SBX3" s="231"/>
      <c r="SBY3" s="229" t="s">
        <v>13329</v>
      </c>
      <c r="SBZ3" s="230"/>
      <c r="SCA3" s="230"/>
      <c r="SCB3" s="231"/>
      <c r="SCC3" s="229" t="s">
        <v>13329</v>
      </c>
      <c r="SCD3" s="230"/>
      <c r="SCE3" s="230"/>
      <c r="SCF3" s="231"/>
      <c r="SCG3" s="229" t="s">
        <v>13329</v>
      </c>
      <c r="SCH3" s="230"/>
      <c r="SCI3" s="230"/>
      <c r="SCJ3" s="231"/>
      <c r="SCK3" s="229" t="s">
        <v>13329</v>
      </c>
      <c r="SCL3" s="230"/>
      <c r="SCM3" s="230"/>
      <c r="SCN3" s="231"/>
      <c r="SCO3" s="229" t="s">
        <v>13329</v>
      </c>
      <c r="SCP3" s="230"/>
      <c r="SCQ3" s="230"/>
      <c r="SCR3" s="231"/>
      <c r="SCS3" s="229" t="s">
        <v>13329</v>
      </c>
      <c r="SCT3" s="230"/>
      <c r="SCU3" s="230"/>
      <c r="SCV3" s="231"/>
      <c r="SCW3" s="229" t="s">
        <v>13329</v>
      </c>
      <c r="SCX3" s="230"/>
      <c r="SCY3" s="230"/>
      <c r="SCZ3" s="231"/>
      <c r="SDA3" s="229" t="s">
        <v>13329</v>
      </c>
      <c r="SDB3" s="230"/>
      <c r="SDC3" s="230"/>
      <c r="SDD3" s="231"/>
      <c r="SDE3" s="229" t="s">
        <v>13329</v>
      </c>
      <c r="SDF3" s="230"/>
      <c r="SDG3" s="230"/>
      <c r="SDH3" s="231"/>
      <c r="SDI3" s="229" t="s">
        <v>13329</v>
      </c>
      <c r="SDJ3" s="230"/>
      <c r="SDK3" s="230"/>
      <c r="SDL3" s="231"/>
      <c r="SDM3" s="229" t="s">
        <v>13329</v>
      </c>
      <c r="SDN3" s="230"/>
      <c r="SDO3" s="230"/>
      <c r="SDP3" s="231"/>
      <c r="SDQ3" s="229" t="s">
        <v>13329</v>
      </c>
      <c r="SDR3" s="230"/>
      <c r="SDS3" s="230"/>
      <c r="SDT3" s="231"/>
      <c r="SDU3" s="229" t="s">
        <v>13329</v>
      </c>
      <c r="SDV3" s="230"/>
      <c r="SDW3" s="230"/>
      <c r="SDX3" s="231"/>
      <c r="SDY3" s="229" t="s">
        <v>13329</v>
      </c>
      <c r="SDZ3" s="230"/>
      <c r="SEA3" s="230"/>
      <c r="SEB3" s="231"/>
      <c r="SEC3" s="229" t="s">
        <v>13329</v>
      </c>
      <c r="SED3" s="230"/>
      <c r="SEE3" s="230"/>
      <c r="SEF3" s="231"/>
      <c r="SEG3" s="229" t="s">
        <v>13329</v>
      </c>
      <c r="SEH3" s="230"/>
      <c r="SEI3" s="230"/>
      <c r="SEJ3" s="231"/>
      <c r="SEK3" s="229" t="s">
        <v>13329</v>
      </c>
      <c r="SEL3" s="230"/>
      <c r="SEM3" s="230"/>
      <c r="SEN3" s="231"/>
      <c r="SEO3" s="229" t="s">
        <v>13329</v>
      </c>
      <c r="SEP3" s="230"/>
      <c r="SEQ3" s="230"/>
      <c r="SER3" s="231"/>
      <c r="SES3" s="229" t="s">
        <v>13329</v>
      </c>
      <c r="SET3" s="230"/>
      <c r="SEU3" s="230"/>
      <c r="SEV3" s="231"/>
      <c r="SEW3" s="229" t="s">
        <v>13329</v>
      </c>
      <c r="SEX3" s="230"/>
      <c r="SEY3" s="230"/>
      <c r="SEZ3" s="231"/>
      <c r="SFA3" s="229" t="s">
        <v>13329</v>
      </c>
      <c r="SFB3" s="230"/>
      <c r="SFC3" s="230"/>
      <c r="SFD3" s="231"/>
      <c r="SFE3" s="229" t="s">
        <v>13329</v>
      </c>
      <c r="SFF3" s="230"/>
      <c r="SFG3" s="230"/>
      <c r="SFH3" s="231"/>
      <c r="SFI3" s="229" t="s">
        <v>13329</v>
      </c>
      <c r="SFJ3" s="230"/>
      <c r="SFK3" s="230"/>
      <c r="SFL3" s="231"/>
      <c r="SFM3" s="229" t="s">
        <v>13329</v>
      </c>
      <c r="SFN3" s="230"/>
      <c r="SFO3" s="230"/>
      <c r="SFP3" s="231"/>
      <c r="SFQ3" s="229" t="s">
        <v>13329</v>
      </c>
      <c r="SFR3" s="230"/>
      <c r="SFS3" s="230"/>
      <c r="SFT3" s="231"/>
      <c r="SFU3" s="229" t="s">
        <v>13329</v>
      </c>
      <c r="SFV3" s="230"/>
      <c r="SFW3" s="230"/>
      <c r="SFX3" s="231"/>
      <c r="SFY3" s="229" t="s">
        <v>13329</v>
      </c>
      <c r="SFZ3" s="230"/>
      <c r="SGA3" s="230"/>
      <c r="SGB3" s="231"/>
      <c r="SGC3" s="229" t="s">
        <v>13329</v>
      </c>
      <c r="SGD3" s="230"/>
      <c r="SGE3" s="230"/>
      <c r="SGF3" s="231"/>
      <c r="SGG3" s="229" t="s">
        <v>13329</v>
      </c>
      <c r="SGH3" s="230"/>
      <c r="SGI3" s="230"/>
      <c r="SGJ3" s="231"/>
      <c r="SGK3" s="229" t="s">
        <v>13329</v>
      </c>
      <c r="SGL3" s="230"/>
      <c r="SGM3" s="230"/>
      <c r="SGN3" s="231"/>
      <c r="SGO3" s="229" t="s">
        <v>13329</v>
      </c>
      <c r="SGP3" s="230"/>
      <c r="SGQ3" s="230"/>
      <c r="SGR3" s="231"/>
      <c r="SGS3" s="229" t="s">
        <v>13329</v>
      </c>
      <c r="SGT3" s="230"/>
      <c r="SGU3" s="230"/>
      <c r="SGV3" s="231"/>
      <c r="SGW3" s="229" t="s">
        <v>13329</v>
      </c>
      <c r="SGX3" s="230"/>
      <c r="SGY3" s="230"/>
      <c r="SGZ3" s="231"/>
      <c r="SHA3" s="229" t="s">
        <v>13329</v>
      </c>
      <c r="SHB3" s="230"/>
      <c r="SHC3" s="230"/>
      <c r="SHD3" s="231"/>
      <c r="SHE3" s="229" t="s">
        <v>13329</v>
      </c>
      <c r="SHF3" s="230"/>
      <c r="SHG3" s="230"/>
      <c r="SHH3" s="231"/>
      <c r="SHI3" s="229" t="s">
        <v>13329</v>
      </c>
      <c r="SHJ3" s="230"/>
      <c r="SHK3" s="230"/>
      <c r="SHL3" s="231"/>
      <c r="SHM3" s="229" t="s">
        <v>13329</v>
      </c>
      <c r="SHN3" s="230"/>
      <c r="SHO3" s="230"/>
      <c r="SHP3" s="231"/>
      <c r="SHQ3" s="229" t="s">
        <v>13329</v>
      </c>
      <c r="SHR3" s="230"/>
      <c r="SHS3" s="230"/>
      <c r="SHT3" s="231"/>
      <c r="SHU3" s="229" t="s">
        <v>13329</v>
      </c>
      <c r="SHV3" s="230"/>
      <c r="SHW3" s="230"/>
      <c r="SHX3" s="231"/>
      <c r="SHY3" s="229" t="s">
        <v>13329</v>
      </c>
      <c r="SHZ3" s="230"/>
      <c r="SIA3" s="230"/>
      <c r="SIB3" s="231"/>
      <c r="SIC3" s="229" t="s">
        <v>13329</v>
      </c>
      <c r="SID3" s="230"/>
      <c r="SIE3" s="230"/>
      <c r="SIF3" s="231"/>
      <c r="SIG3" s="229" t="s">
        <v>13329</v>
      </c>
      <c r="SIH3" s="230"/>
      <c r="SII3" s="230"/>
      <c r="SIJ3" s="231"/>
      <c r="SIK3" s="229" t="s">
        <v>13329</v>
      </c>
      <c r="SIL3" s="230"/>
      <c r="SIM3" s="230"/>
      <c r="SIN3" s="231"/>
      <c r="SIO3" s="229" t="s">
        <v>13329</v>
      </c>
      <c r="SIP3" s="230"/>
      <c r="SIQ3" s="230"/>
      <c r="SIR3" s="231"/>
      <c r="SIS3" s="229" t="s">
        <v>13329</v>
      </c>
      <c r="SIT3" s="230"/>
      <c r="SIU3" s="230"/>
      <c r="SIV3" s="231"/>
      <c r="SIW3" s="229" t="s">
        <v>13329</v>
      </c>
      <c r="SIX3" s="230"/>
      <c r="SIY3" s="230"/>
      <c r="SIZ3" s="231"/>
      <c r="SJA3" s="229" t="s">
        <v>13329</v>
      </c>
      <c r="SJB3" s="230"/>
      <c r="SJC3" s="230"/>
      <c r="SJD3" s="231"/>
      <c r="SJE3" s="229" t="s">
        <v>13329</v>
      </c>
      <c r="SJF3" s="230"/>
      <c r="SJG3" s="230"/>
      <c r="SJH3" s="231"/>
      <c r="SJI3" s="229" t="s">
        <v>13329</v>
      </c>
      <c r="SJJ3" s="230"/>
      <c r="SJK3" s="230"/>
      <c r="SJL3" s="231"/>
      <c r="SJM3" s="229" t="s">
        <v>13329</v>
      </c>
      <c r="SJN3" s="230"/>
      <c r="SJO3" s="230"/>
      <c r="SJP3" s="231"/>
      <c r="SJQ3" s="229" t="s">
        <v>13329</v>
      </c>
      <c r="SJR3" s="230"/>
      <c r="SJS3" s="230"/>
      <c r="SJT3" s="231"/>
      <c r="SJU3" s="229" t="s">
        <v>13329</v>
      </c>
      <c r="SJV3" s="230"/>
      <c r="SJW3" s="230"/>
      <c r="SJX3" s="231"/>
      <c r="SJY3" s="229" t="s">
        <v>13329</v>
      </c>
      <c r="SJZ3" s="230"/>
      <c r="SKA3" s="230"/>
      <c r="SKB3" s="231"/>
      <c r="SKC3" s="229" t="s">
        <v>13329</v>
      </c>
      <c r="SKD3" s="230"/>
      <c r="SKE3" s="230"/>
      <c r="SKF3" s="231"/>
      <c r="SKG3" s="229" t="s">
        <v>13329</v>
      </c>
      <c r="SKH3" s="230"/>
      <c r="SKI3" s="230"/>
      <c r="SKJ3" s="231"/>
      <c r="SKK3" s="229" t="s">
        <v>13329</v>
      </c>
      <c r="SKL3" s="230"/>
      <c r="SKM3" s="230"/>
      <c r="SKN3" s="231"/>
      <c r="SKO3" s="229" t="s">
        <v>13329</v>
      </c>
      <c r="SKP3" s="230"/>
      <c r="SKQ3" s="230"/>
      <c r="SKR3" s="231"/>
      <c r="SKS3" s="229" t="s">
        <v>13329</v>
      </c>
      <c r="SKT3" s="230"/>
      <c r="SKU3" s="230"/>
      <c r="SKV3" s="231"/>
      <c r="SKW3" s="229" t="s">
        <v>13329</v>
      </c>
      <c r="SKX3" s="230"/>
      <c r="SKY3" s="230"/>
      <c r="SKZ3" s="231"/>
      <c r="SLA3" s="229" t="s">
        <v>13329</v>
      </c>
      <c r="SLB3" s="230"/>
      <c r="SLC3" s="230"/>
      <c r="SLD3" s="231"/>
      <c r="SLE3" s="229" t="s">
        <v>13329</v>
      </c>
      <c r="SLF3" s="230"/>
      <c r="SLG3" s="230"/>
      <c r="SLH3" s="231"/>
      <c r="SLI3" s="229" t="s">
        <v>13329</v>
      </c>
      <c r="SLJ3" s="230"/>
      <c r="SLK3" s="230"/>
      <c r="SLL3" s="231"/>
      <c r="SLM3" s="229" t="s">
        <v>13329</v>
      </c>
      <c r="SLN3" s="230"/>
      <c r="SLO3" s="230"/>
      <c r="SLP3" s="231"/>
      <c r="SLQ3" s="229" t="s">
        <v>13329</v>
      </c>
      <c r="SLR3" s="230"/>
      <c r="SLS3" s="230"/>
      <c r="SLT3" s="231"/>
      <c r="SLU3" s="229" t="s">
        <v>13329</v>
      </c>
      <c r="SLV3" s="230"/>
      <c r="SLW3" s="230"/>
      <c r="SLX3" s="231"/>
      <c r="SLY3" s="229" t="s">
        <v>13329</v>
      </c>
      <c r="SLZ3" s="230"/>
      <c r="SMA3" s="230"/>
      <c r="SMB3" s="231"/>
      <c r="SMC3" s="229" t="s">
        <v>13329</v>
      </c>
      <c r="SMD3" s="230"/>
      <c r="SME3" s="230"/>
      <c r="SMF3" s="231"/>
      <c r="SMG3" s="229" t="s">
        <v>13329</v>
      </c>
      <c r="SMH3" s="230"/>
      <c r="SMI3" s="230"/>
      <c r="SMJ3" s="231"/>
      <c r="SMK3" s="229" t="s">
        <v>13329</v>
      </c>
      <c r="SML3" s="230"/>
      <c r="SMM3" s="230"/>
      <c r="SMN3" s="231"/>
      <c r="SMO3" s="229" t="s">
        <v>13329</v>
      </c>
      <c r="SMP3" s="230"/>
      <c r="SMQ3" s="230"/>
      <c r="SMR3" s="231"/>
      <c r="SMS3" s="229" t="s">
        <v>13329</v>
      </c>
      <c r="SMT3" s="230"/>
      <c r="SMU3" s="230"/>
      <c r="SMV3" s="231"/>
      <c r="SMW3" s="229" t="s">
        <v>13329</v>
      </c>
      <c r="SMX3" s="230"/>
      <c r="SMY3" s="230"/>
      <c r="SMZ3" s="231"/>
      <c r="SNA3" s="229" t="s">
        <v>13329</v>
      </c>
      <c r="SNB3" s="230"/>
      <c r="SNC3" s="230"/>
      <c r="SND3" s="231"/>
      <c r="SNE3" s="229" t="s">
        <v>13329</v>
      </c>
      <c r="SNF3" s="230"/>
      <c r="SNG3" s="230"/>
      <c r="SNH3" s="231"/>
      <c r="SNI3" s="229" t="s">
        <v>13329</v>
      </c>
      <c r="SNJ3" s="230"/>
      <c r="SNK3" s="230"/>
      <c r="SNL3" s="231"/>
      <c r="SNM3" s="229" t="s">
        <v>13329</v>
      </c>
      <c r="SNN3" s="230"/>
      <c r="SNO3" s="230"/>
      <c r="SNP3" s="231"/>
      <c r="SNQ3" s="229" t="s">
        <v>13329</v>
      </c>
      <c r="SNR3" s="230"/>
      <c r="SNS3" s="230"/>
      <c r="SNT3" s="231"/>
      <c r="SNU3" s="229" t="s">
        <v>13329</v>
      </c>
      <c r="SNV3" s="230"/>
      <c r="SNW3" s="230"/>
      <c r="SNX3" s="231"/>
      <c r="SNY3" s="229" t="s">
        <v>13329</v>
      </c>
      <c r="SNZ3" s="230"/>
      <c r="SOA3" s="230"/>
      <c r="SOB3" s="231"/>
      <c r="SOC3" s="229" t="s">
        <v>13329</v>
      </c>
      <c r="SOD3" s="230"/>
      <c r="SOE3" s="230"/>
      <c r="SOF3" s="231"/>
      <c r="SOG3" s="229" t="s">
        <v>13329</v>
      </c>
      <c r="SOH3" s="230"/>
      <c r="SOI3" s="230"/>
      <c r="SOJ3" s="231"/>
      <c r="SOK3" s="229" t="s">
        <v>13329</v>
      </c>
      <c r="SOL3" s="230"/>
      <c r="SOM3" s="230"/>
      <c r="SON3" s="231"/>
      <c r="SOO3" s="229" t="s">
        <v>13329</v>
      </c>
      <c r="SOP3" s="230"/>
      <c r="SOQ3" s="230"/>
      <c r="SOR3" s="231"/>
      <c r="SOS3" s="229" t="s">
        <v>13329</v>
      </c>
      <c r="SOT3" s="230"/>
      <c r="SOU3" s="230"/>
      <c r="SOV3" s="231"/>
      <c r="SOW3" s="229" t="s">
        <v>13329</v>
      </c>
      <c r="SOX3" s="230"/>
      <c r="SOY3" s="230"/>
      <c r="SOZ3" s="231"/>
      <c r="SPA3" s="229" t="s">
        <v>13329</v>
      </c>
      <c r="SPB3" s="230"/>
      <c r="SPC3" s="230"/>
      <c r="SPD3" s="231"/>
      <c r="SPE3" s="229" t="s">
        <v>13329</v>
      </c>
      <c r="SPF3" s="230"/>
      <c r="SPG3" s="230"/>
      <c r="SPH3" s="231"/>
      <c r="SPI3" s="229" t="s">
        <v>13329</v>
      </c>
      <c r="SPJ3" s="230"/>
      <c r="SPK3" s="230"/>
      <c r="SPL3" s="231"/>
      <c r="SPM3" s="229" t="s">
        <v>13329</v>
      </c>
      <c r="SPN3" s="230"/>
      <c r="SPO3" s="230"/>
      <c r="SPP3" s="231"/>
      <c r="SPQ3" s="229" t="s">
        <v>13329</v>
      </c>
      <c r="SPR3" s="230"/>
      <c r="SPS3" s="230"/>
      <c r="SPT3" s="231"/>
      <c r="SPU3" s="229" t="s">
        <v>13329</v>
      </c>
      <c r="SPV3" s="230"/>
      <c r="SPW3" s="230"/>
      <c r="SPX3" s="231"/>
      <c r="SPY3" s="229" t="s">
        <v>13329</v>
      </c>
      <c r="SPZ3" s="230"/>
      <c r="SQA3" s="230"/>
      <c r="SQB3" s="231"/>
      <c r="SQC3" s="229" t="s">
        <v>13329</v>
      </c>
      <c r="SQD3" s="230"/>
      <c r="SQE3" s="230"/>
      <c r="SQF3" s="231"/>
      <c r="SQG3" s="229" t="s">
        <v>13329</v>
      </c>
      <c r="SQH3" s="230"/>
      <c r="SQI3" s="230"/>
      <c r="SQJ3" s="231"/>
      <c r="SQK3" s="229" t="s">
        <v>13329</v>
      </c>
      <c r="SQL3" s="230"/>
      <c r="SQM3" s="230"/>
      <c r="SQN3" s="231"/>
      <c r="SQO3" s="229" t="s">
        <v>13329</v>
      </c>
      <c r="SQP3" s="230"/>
      <c r="SQQ3" s="230"/>
      <c r="SQR3" s="231"/>
      <c r="SQS3" s="229" t="s">
        <v>13329</v>
      </c>
      <c r="SQT3" s="230"/>
      <c r="SQU3" s="230"/>
      <c r="SQV3" s="231"/>
      <c r="SQW3" s="229" t="s">
        <v>13329</v>
      </c>
      <c r="SQX3" s="230"/>
      <c r="SQY3" s="230"/>
      <c r="SQZ3" s="231"/>
      <c r="SRA3" s="229" t="s">
        <v>13329</v>
      </c>
      <c r="SRB3" s="230"/>
      <c r="SRC3" s="230"/>
      <c r="SRD3" s="231"/>
      <c r="SRE3" s="229" t="s">
        <v>13329</v>
      </c>
      <c r="SRF3" s="230"/>
      <c r="SRG3" s="230"/>
      <c r="SRH3" s="231"/>
      <c r="SRI3" s="229" t="s">
        <v>13329</v>
      </c>
      <c r="SRJ3" s="230"/>
      <c r="SRK3" s="230"/>
      <c r="SRL3" s="231"/>
      <c r="SRM3" s="229" t="s">
        <v>13329</v>
      </c>
      <c r="SRN3" s="230"/>
      <c r="SRO3" s="230"/>
      <c r="SRP3" s="231"/>
      <c r="SRQ3" s="229" t="s">
        <v>13329</v>
      </c>
      <c r="SRR3" s="230"/>
      <c r="SRS3" s="230"/>
      <c r="SRT3" s="231"/>
      <c r="SRU3" s="229" t="s">
        <v>13329</v>
      </c>
      <c r="SRV3" s="230"/>
      <c r="SRW3" s="230"/>
      <c r="SRX3" s="231"/>
      <c r="SRY3" s="229" t="s">
        <v>13329</v>
      </c>
      <c r="SRZ3" s="230"/>
      <c r="SSA3" s="230"/>
      <c r="SSB3" s="231"/>
      <c r="SSC3" s="229" t="s">
        <v>13329</v>
      </c>
      <c r="SSD3" s="230"/>
      <c r="SSE3" s="230"/>
      <c r="SSF3" s="231"/>
      <c r="SSG3" s="229" t="s">
        <v>13329</v>
      </c>
      <c r="SSH3" s="230"/>
      <c r="SSI3" s="230"/>
      <c r="SSJ3" s="231"/>
      <c r="SSK3" s="229" t="s">
        <v>13329</v>
      </c>
      <c r="SSL3" s="230"/>
      <c r="SSM3" s="230"/>
      <c r="SSN3" s="231"/>
      <c r="SSO3" s="229" t="s">
        <v>13329</v>
      </c>
      <c r="SSP3" s="230"/>
      <c r="SSQ3" s="230"/>
      <c r="SSR3" s="231"/>
      <c r="SSS3" s="229" t="s">
        <v>13329</v>
      </c>
      <c r="SST3" s="230"/>
      <c r="SSU3" s="230"/>
      <c r="SSV3" s="231"/>
      <c r="SSW3" s="229" t="s">
        <v>13329</v>
      </c>
      <c r="SSX3" s="230"/>
      <c r="SSY3" s="230"/>
      <c r="SSZ3" s="231"/>
      <c r="STA3" s="229" t="s">
        <v>13329</v>
      </c>
      <c r="STB3" s="230"/>
      <c r="STC3" s="230"/>
      <c r="STD3" s="231"/>
      <c r="STE3" s="229" t="s">
        <v>13329</v>
      </c>
      <c r="STF3" s="230"/>
      <c r="STG3" s="230"/>
      <c r="STH3" s="231"/>
      <c r="STI3" s="229" t="s">
        <v>13329</v>
      </c>
      <c r="STJ3" s="230"/>
      <c r="STK3" s="230"/>
      <c r="STL3" s="231"/>
      <c r="STM3" s="229" t="s">
        <v>13329</v>
      </c>
      <c r="STN3" s="230"/>
      <c r="STO3" s="230"/>
      <c r="STP3" s="231"/>
      <c r="STQ3" s="229" t="s">
        <v>13329</v>
      </c>
      <c r="STR3" s="230"/>
      <c r="STS3" s="230"/>
      <c r="STT3" s="231"/>
      <c r="STU3" s="229" t="s">
        <v>13329</v>
      </c>
      <c r="STV3" s="230"/>
      <c r="STW3" s="230"/>
      <c r="STX3" s="231"/>
      <c r="STY3" s="229" t="s">
        <v>13329</v>
      </c>
      <c r="STZ3" s="230"/>
      <c r="SUA3" s="230"/>
      <c r="SUB3" s="231"/>
      <c r="SUC3" s="229" t="s">
        <v>13329</v>
      </c>
      <c r="SUD3" s="230"/>
      <c r="SUE3" s="230"/>
      <c r="SUF3" s="231"/>
      <c r="SUG3" s="229" t="s">
        <v>13329</v>
      </c>
      <c r="SUH3" s="230"/>
      <c r="SUI3" s="230"/>
      <c r="SUJ3" s="231"/>
      <c r="SUK3" s="229" t="s">
        <v>13329</v>
      </c>
      <c r="SUL3" s="230"/>
      <c r="SUM3" s="230"/>
      <c r="SUN3" s="231"/>
      <c r="SUO3" s="229" t="s">
        <v>13329</v>
      </c>
      <c r="SUP3" s="230"/>
      <c r="SUQ3" s="230"/>
      <c r="SUR3" s="231"/>
      <c r="SUS3" s="229" t="s">
        <v>13329</v>
      </c>
      <c r="SUT3" s="230"/>
      <c r="SUU3" s="230"/>
      <c r="SUV3" s="231"/>
      <c r="SUW3" s="229" t="s">
        <v>13329</v>
      </c>
      <c r="SUX3" s="230"/>
      <c r="SUY3" s="230"/>
      <c r="SUZ3" s="231"/>
      <c r="SVA3" s="229" t="s">
        <v>13329</v>
      </c>
      <c r="SVB3" s="230"/>
      <c r="SVC3" s="230"/>
      <c r="SVD3" s="231"/>
      <c r="SVE3" s="229" t="s">
        <v>13329</v>
      </c>
      <c r="SVF3" s="230"/>
      <c r="SVG3" s="230"/>
      <c r="SVH3" s="231"/>
      <c r="SVI3" s="229" t="s">
        <v>13329</v>
      </c>
      <c r="SVJ3" s="230"/>
      <c r="SVK3" s="230"/>
      <c r="SVL3" s="231"/>
      <c r="SVM3" s="229" t="s">
        <v>13329</v>
      </c>
      <c r="SVN3" s="230"/>
      <c r="SVO3" s="230"/>
      <c r="SVP3" s="231"/>
      <c r="SVQ3" s="229" t="s">
        <v>13329</v>
      </c>
      <c r="SVR3" s="230"/>
      <c r="SVS3" s="230"/>
      <c r="SVT3" s="231"/>
      <c r="SVU3" s="229" t="s">
        <v>13329</v>
      </c>
      <c r="SVV3" s="230"/>
      <c r="SVW3" s="230"/>
      <c r="SVX3" s="231"/>
      <c r="SVY3" s="229" t="s">
        <v>13329</v>
      </c>
      <c r="SVZ3" s="230"/>
      <c r="SWA3" s="230"/>
      <c r="SWB3" s="231"/>
      <c r="SWC3" s="229" t="s">
        <v>13329</v>
      </c>
      <c r="SWD3" s="230"/>
      <c r="SWE3" s="230"/>
      <c r="SWF3" s="231"/>
      <c r="SWG3" s="229" t="s">
        <v>13329</v>
      </c>
      <c r="SWH3" s="230"/>
      <c r="SWI3" s="230"/>
      <c r="SWJ3" s="231"/>
      <c r="SWK3" s="229" t="s">
        <v>13329</v>
      </c>
      <c r="SWL3" s="230"/>
      <c r="SWM3" s="230"/>
      <c r="SWN3" s="231"/>
      <c r="SWO3" s="229" t="s">
        <v>13329</v>
      </c>
      <c r="SWP3" s="230"/>
      <c r="SWQ3" s="230"/>
      <c r="SWR3" s="231"/>
      <c r="SWS3" s="229" t="s">
        <v>13329</v>
      </c>
      <c r="SWT3" s="230"/>
      <c r="SWU3" s="230"/>
      <c r="SWV3" s="231"/>
      <c r="SWW3" s="229" t="s">
        <v>13329</v>
      </c>
      <c r="SWX3" s="230"/>
      <c r="SWY3" s="230"/>
      <c r="SWZ3" s="231"/>
      <c r="SXA3" s="229" t="s">
        <v>13329</v>
      </c>
      <c r="SXB3" s="230"/>
      <c r="SXC3" s="230"/>
      <c r="SXD3" s="231"/>
      <c r="SXE3" s="229" t="s">
        <v>13329</v>
      </c>
      <c r="SXF3" s="230"/>
      <c r="SXG3" s="230"/>
      <c r="SXH3" s="231"/>
      <c r="SXI3" s="229" t="s">
        <v>13329</v>
      </c>
      <c r="SXJ3" s="230"/>
      <c r="SXK3" s="230"/>
      <c r="SXL3" s="231"/>
      <c r="SXM3" s="229" t="s">
        <v>13329</v>
      </c>
      <c r="SXN3" s="230"/>
      <c r="SXO3" s="230"/>
      <c r="SXP3" s="231"/>
      <c r="SXQ3" s="229" t="s">
        <v>13329</v>
      </c>
      <c r="SXR3" s="230"/>
      <c r="SXS3" s="230"/>
      <c r="SXT3" s="231"/>
      <c r="SXU3" s="229" t="s">
        <v>13329</v>
      </c>
      <c r="SXV3" s="230"/>
      <c r="SXW3" s="230"/>
      <c r="SXX3" s="231"/>
      <c r="SXY3" s="229" t="s">
        <v>13329</v>
      </c>
      <c r="SXZ3" s="230"/>
      <c r="SYA3" s="230"/>
      <c r="SYB3" s="231"/>
      <c r="SYC3" s="229" t="s">
        <v>13329</v>
      </c>
      <c r="SYD3" s="230"/>
      <c r="SYE3" s="230"/>
      <c r="SYF3" s="231"/>
      <c r="SYG3" s="229" t="s">
        <v>13329</v>
      </c>
      <c r="SYH3" s="230"/>
      <c r="SYI3" s="230"/>
      <c r="SYJ3" s="231"/>
      <c r="SYK3" s="229" t="s">
        <v>13329</v>
      </c>
      <c r="SYL3" s="230"/>
      <c r="SYM3" s="230"/>
      <c r="SYN3" s="231"/>
      <c r="SYO3" s="229" t="s">
        <v>13329</v>
      </c>
      <c r="SYP3" s="230"/>
      <c r="SYQ3" s="230"/>
      <c r="SYR3" s="231"/>
      <c r="SYS3" s="229" t="s">
        <v>13329</v>
      </c>
      <c r="SYT3" s="230"/>
      <c r="SYU3" s="230"/>
      <c r="SYV3" s="231"/>
      <c r="SYW3" s="229" t="s">
        <v>13329</v>
      </c>
      <c r="SYX3" s="230"/>
      <c r="SYY3" s="230"/>
      <c r="SYZ3" s="231"/>
      <c r="SZA3" s="229" t="s">
        <v>13329</v>
      </c>
      <c r="SZB3" s="230"/>
      <c r="SZC3" s="230"/>
      <c r="SZD3" s="231"/>
      <c r="SZE3" s="229" t="s">
        <v>13329</v>
      </c>
      <c r="SZF3" s="230"/>
      <c r="SZG3" s="230"/>
      <c r="SZH3" s="231"/>
      <c r="SZI3" s="229" t="s">
        <v>13329</v>
      </c>
      <c r="SZJ3" s="230"/>
      <c r="SZK3" s="230"/>
      <c r="SZL3" s="231"/>
      <c r="SZM3" s="229" t="s">
        <v>13329</v>
      </c>
      <c r="SZN3" s="230"/>
      <c r="SZO3" s="230"/>
      <c r="SZP3" s="231"/>
      <c r="SZQ3" s="229" t="s">
        <v>13329</v>
      </c>
      <c r="SZR3" s="230"/>
      <c r="SZS3" s="230"/>
      <c r="SZT3" s="231"/>
      <c r="SZU3" s="229" t="s">
        <v>13329</v>
      </c>
      <c r="SZV3" s="230"/>
      <c r="SZW3" s="230"/>
      <c r="SZX3" s="231"/>
      <c r="SZY3" s="229" t="s">
        <v>13329</v>
      </c>
      <c r="SZZ3" s="230"/>
      <c r="TAA3" s="230"/>
      <c r="TAB3" s="231"/>
      <c r="TAC3" s="229" t="s">
        <v>13329</v>
      </c>
      <c r="TAD3" s="230"/>
      <c r="TAE3" s="230"/>
      <c r="TAF3" s="231"/>
      <c r="TAG3" s="229" t="s">
        <v>13329</v>
      </c>
      <c r="TAH3" s="230"/>
      <c r="TAI3" s="230"/>
      <c r="TAJ3" s="231"/>
      <c r="TAK3" s="229" t="s">
        <v>13329</v>
      </c>
      <c r="TAL3" s="230"/>
      <c r="TAM3" s="230"/>
      <c r="TAN3" s="231"/>
      <c r="TAO3" s="229" t="s">
        <v>13329</v>
      </c>
      <c r="TAP3" s="230"/>
      <c r="TAQ3" s="230"/>
      <c r="TAR3" s="231"/>
      <c r="TAS3" s="229" t="s">
        <v>13329</v>
      </c>
      <c r="TAT3" s="230"/>
      <c r="TAU3" s="230"/>
      <c r="TAV3" s="231"/>
      <c r="TAW3" s="229" t="s">
        <v>13329</v>
      </c>
      <c r="TAX3" s="230"/>
      <c r="TAY3" s="230"/>
      <c r="TAZ3" s="231"/>
      <c r="TBA3" s="229" t="s">
        <v>13329</v>
      </c>
      <c r="TBB3" s="230"/>
      <c r="TBC3" s="230"/>
      <c r="TBD3" s="231"/>
      <c r="TBE3" s="229" t="s">
        <v>13329</v>
      </c>
      <c r="TBF3" s="230"/>
      <c r="TBG3" s="230"/>
      <c r="TBH3" s="231"/>
      <c r="TBI3" s="229" t="s">
        <v>13329</v>
      </c>
      <c r="TBJ3" s="230"/>
      <c r="TBK3" s="230"/>
      <c r="TBL3" s="231"/>
      <c r="TBM3" s="229" t="s">
        <v>13329</v>
      </c>
      <c r="TBN3" s="230"/>
      <c r="TBO3" s="230"/>
      <c r="TBP3" s="231"/>
      <c r="TBQ3" s="229" t="s">
        <v>13329</v>
      </c>
      <c r="TBR3" s="230"/>
      <c r="TBS3" s="230"/>
      <c r="TBT3" s="231"/>
      <c r="TBU3" s="229" t="s">
        <v>13329</v>
      </c>
      <c r="TBV3" s="230"/>
      <c r="TBW3" s="230"/>
      <c r="TBX3" s="231"/>
      <c r="TBY3" s="229" t="s">
        <v>13329</v>
      </c>
      <c r="TBZ3" s="230"/>
      <c r="TCA3" s="230"/>
      <c r="TCB3" s="231"/>
      <c r="TCC3" s="229" t="s">
        <v>13329</v>
      </c>
      <c r="TCD3" s="230"/>
      <c r="TCE3" s="230"/>
      <c r="TCF3" s="231"/>
      <c r="TCG3" s="229" t="s">
        <v>13329</v>
      </c>
      <c r="TCH3" s="230"/>
      <c r="TCI3" s="230"/>
      <c r="TCJ3" s="231"/>
      <c r="TCK3" s="229" t="s">
        <v>13329</v>
      </c>
      <c r="TCL3" s="230"/>
      <c r="TCM3" s="230"/>
      <c r="TCN3" s="231"/>
      <c r="TCO3" s="229" t="s">
        <v>13329</v>
      </c>
      <c r="TCP3" s="230"/>
      <c r="TCQ3" s="230"/>
      <c r="TCR3" s="231"/>
      <c r="TCS3" s="229" t="s">
        <v>13329</v>
      </c>
      <c r="TCT3" s="230"/>
      <c r="TCU3" s="230"/>
      <c r="TCV3" s="231"/>
      <c r="TCW3" s="229" t="s">
        <v>13329</v>
      </c>
      <c r="TCX3" s="230"/>
      <c r="TCY3" s="230"/>
      <c r="TCZ3" s="231"/>
      <c r="TDA3" s="229" t="s">
        <v>13329</v>
      </c>
      <c r="TDB3" s="230"/>
      <c r="TDC3" s="230"/>
      <c r="TDD3" s="231"/>
      <c r="TDE3" s="229" t="s">
        <v>13329</v>
      </c>
      <c r="TDF3" s="230"/>
      <c r="TDG3" s="230"/>
      <c r="TDH3" s="231"/>
      <c r="TDI3" s="229" t="s">
        <v>13329</v>
      </c>
      <c r="TDJ3" s="230"/>
      <c r="TDK3" s="230"/>
      <c r="TDL3" s="231"/>
      <c r="TDM3" s="229" t="s">
        <v>13329</v>
      </c>
      <c r="TDN3" s="230"/>
      <c r="TDO3" s="230"/>
      <c r="TDP3" s="231"/>
      <c r="TDQ3" s="229" t="s">
        <v>13329</v>
      </c>
      <c r="TDR3" s="230"/>
      <c r="TDS3" s="230"/>
      <c r="TDT3" s="231"/>
      <c r="TDU3" s="229" t="s">
        <v>13329</v>
      </c>
      <c r="TDV3" s="230"/>
      <c r="TDW3" s="230"/>
      <c r="TDX3" s="231"/>
      <c r="TDY3" s="229" t="s">
        <v>13329</v>
      </c>
      <c r="TDZ3" s="230"/>
      <c r="TEA3" s="230"/>
      <c r="TEB3" s="231"/>
      <c r="TEC3" s="229" t="s">
        <v>13329</v>
      </c>
      <c r="TED3" s="230"/>
      <c r="TEE3" s="230"/>
      <c r="TEF3" s="231"/>
      <c r="TEG3" s="229" t="s">
        <v>13329</v>
      </c>
      <c r="TEH3" s="230"/>
      <c r="TEI3" s="230"/>
      <c r="TEJ3" s="231"/>
      <c r="TEK3" s="229" t="s">
        <v>13329</v>
      </c>
      <c r="TEL3" s="230"/>
      <c r="TEM3" s="230"/>
      <c r="TEN3" s="231"/>
      <c r="TEO3" s="229" t="s">
        <v>13329</v>
      </c>
      <c r="TEP3" s="230"/>
      <c r="TEQ3" s="230"/>
      <c r="TER3" s="231"/>
      <c r="TES3" s="229" t="s">
        <v>13329</v>
      </c>
      <c r="TET3" s="230"/>
      <c r="TEU3" s="230"/>
      <c r="TEV3" s="231"/>
      <c r="TEW3" s="229" t="s">
        <v>13329</v>
      </c>
      <c r="TEX3" s="230"/>
      <c r="TEY3" s="230"/>
      <c r="TEZ3" s="231"/>
      <c r="TFA3" s="229" t="s">
        <v>13329</v>
      </c>
      <c r="TFB3" s="230"/>
      <c r="TFC3" s="230"/>
      <c r="TFD3" s="231"/>
      <c r="TFE3" s="229" t="s">
        <v>13329</v>
      </c>
      <c r="TFF3" s="230"/>
      <c r="TFG3" s="230"/>
      <c r="TFH3" s="231"/>
      <c r="TFI3" s="229" t="s">
        <v>13329</v>
      </c>
      <c r="TFJ3" s="230"/>
      <c r="TFK3" s="230"/>
      <c r="TFL3" s="231"/>
      <c r="TFM3" s="229" t="s">
        <v>13329</v>
      </c>
      <c r="TFN3" s="230"/>
      <c r="TFO3" s="230"/>
      <c r="TFP3" s="231"/>
      <c r="TFQ3" s="229" t="s">
        <v>13329</v>
      </c>
      <c r="TFR3" s="230"/>
      <c r="TFS3" s="230"/>
      <c r="TFT3" s="231"/>
      <c r="TFU3" s="229" t="s">
        <v>13329</v>
      </c>
      <c r="TFV3" s="230"/>
      <c r="TFW3" s="230"/>
      <c r="TFX3" s="231"/>
      <c r="TFY3" s="229" t="s">
        <v>13329</v>
      </c>
      <c r="TFZ3" s="230"/>
      <c r="TGA3" s="230"/>
      <c r="TGB3" s="231"/>
      <c r="TGC3" s="229" t="s">
        <v>13329</v>
      </c>
      <c r="TGD3" s="230"/>
      <c r="TGE3" s="230"/>
      <c r="TGF3" s="231"/>
      <c r="TGG3" s="229" t="s">
        <v>13329</v>
      </c>
      <c r="TGH3" s="230"/>
      <c r="TGI3" s="230"/>
      <c r="TGJ3" s="231"/>
      <c r="TGK3" s="229" t="s">
        <v>13329</v>
      </c>
      <c r="TGL3" s="230"/>
      <c r="TGM3" s="230"/>
      <c r="TGN3" s="231"/>
      <c r="TGO3" s="229" t="s">
        <v>13329</v>
      </c>
      <c r="TGP3" s="230"/>
      <c r="TGQ3" s="230"/>
      <c r="TGR3" s="231"/>
      <c r="TGS3" s="229" t="s">
        <v>13329</v>
      </c>
      <c r="TGT3" s="230"/>
      <c r="TGU3" s="230"/>
      <c r="TGV3" s="231"/>
      <c r="TGW3" s="229" t="s">
        <v>13329</v>
      </c>
      <c r="TGX3" s="230"/>
      <c r="TGY3" s="230"/>
      <c r="TGZ3" s="231"/>
      <c r="THA3" s="229" t="s">
        <v>13329</v>
      </c>
      <c r="THB3" s="230"/>
      <c r="THC3" s="230"/>
      <c r="THD3" s="231"/>
      <c r="THE3" s="229" t="s">
        <v>13329</v>
      </c>
      <c r="THF3" s="230"/>
      <c r="THG3" s="230"/>
      <c r="THH3" s="231"/>
      <c r="THI3" s="229" t="s">
        <v>13329</v>
      </c>
      <c r="THJ3" s="230"/>
      <c r="THK3" s="230"/>
      <c r="THL3" s="231"/>
      <c r="THM3" s="229" t="s">
        <v>13329</v>
      </c>
      <c r="THN3" s="230"/>
      <c r="THO3" s="230"/>
      <c r="THP3" s="231"/>
      <c r="THQ3" s="229" t="s">
        <v>13329</v>
      </c>
      <c r="THR3" s="230"/>
      <c r="THS3" s="230"/>
      <c r="THT3" s="231"/>
      <c r="THU3" s="229" t="s">
        <v>13329</v>
      </c>
      <c r="THV3" s="230"/>
      <c r="THW3" s="230"/>
      <c r="THX3" s="231"/>
      <c r="THY3" s="229" t="s">
        <v>13329</v>
      </c>
      <c r="THZ3" s="230"/>
      <c r="TIA3" s="230"/>
      <c r="TIB3" s="231"/>
      <c r="TIC3" s="229" t="s">
        <v>13329</v>
      </c>
      <c r="TID3" s="230"/>
      <c r="TIE3" s="230"/>
      <c r="TIF3" s="231"/>
      <c r="TIG3" s="229" t="s">
        <v>13329</v>
      </c>
      <c r="TIH3" s="230"/>
      <c r="TII3" s="230"/>
      <c r="TIJ3" s="231"/>
      <c r="TIK3" s="229" t="s">
        <v>13329</v>
      </c>
      <c r="TIL3" s="230"/>
      <c r="TIM3" s="230"/>
      <c r="TIN3" s="231"/>
      <c r="TIO3" s="229" t="s">
        <v>13329</v>
      </c>
      <c r="TIP3" s="230"/>
      <c r="TIQ3" s="230"/>
      <c r="TIR3" s="231"/>
      <c r="TIS3" s="229" t="s">
        <v>13329</v>
      </c>
      <c r="TIT3" s="230"/>
      <c r="TIU3" s="230"/>
      <c r="TIV3" s="231"/>
      <c r="TIW3" s="229" t="s">
        <v>13329</v>
      </c>
      <c r="TIX3" s="230"/>
      <c r="TIY3" s="230"/>
      <c r="TIZ3" s="231"/>
      <c r="TJA3" s="229" t="s">
        <v>13329</v>
      </c>
      <c r="TJB3" s="230"/>
      <c r="TJC3" s="230"/>
      <c r="TJD3" s="231"/>
      <c r="TJE3" s="229" t="s">
        <v>13329</v>
      </c>
      <c r="TJF3" s="230"/>
      <c r="TJG3" s="230"/>
      <c r="TJH3" s="231"/>
      <c r="TJI3" s="229" t="s">
        <v>13329</v>
      </c>
      <c r="TJJ3" s="230"/>
      <c r="TJK3" s="230"/>
      <c r="TJL3" s="231"/>
      <c r="TJM3" s="229" t="s">
        <v>13329</v>
      </c>
      <c r="TJN3" s="230"/>
      <c r="TJO3" s="230"/>
      <c r="TJP3" s="231"/>
      <c r="TJQ3" s="229" t="s">
        <v>13329</v>
      </c>
      <c r="TJR3" s="230"/>
      <c r="TJS3" s="230"/>
      <c r="TJT3" s="231"/>
      <c r="TJU3" s="229" t="s">
        <v>13329</v>
      </c>
      <c r="TJV3" s="230"/>
      <c r="TJW3" s="230"/>
      <c r="TJX3" s="231"/>
      <c r="TJY3" s="229" t="s">
        <v>13329</v>
      </c>
      <c r="TJZ3" s="230"/>
      <c r="TKA3" s="230"/>
      <c r="TKB3" s="231"/>
      <c r="TKC3" s="229" t="s">
        <v>13329</v>
      </c>
      <c r="TKD3" s="230"/>
      <c r="TKE3" s="230"/>
      <c r="TKF3" s="231"/>
      <c r="TKG3" s="229" t="s">
        <v>13329</v>
      </c>
      <c r="TKH3" s="230"/>
      <c r="TKI3" s="230"/>
      <c r="TKJ3" s="231"/>
      <c r="TKK3" s="229" t="s">
        <v>13329</v>
      </c>
      <c r="TKL3" s="230"/>
      <c r="TKM3" s="230"/>
      <c r="TKN3" s="231"/>
      <c r="TKO3" s="229" t="s">
        <v>13329</v>
      </c>
      <c r="TKP3" s="230"/>
      <c r="TKQ3" s="230"/>
      <c r="TKR3" s="231"/>
      <c r="TKS3" s="229" t="s">
        <v>13329</v>
      </c>
      <c r="TKT3" s="230"/>
      <c r="TKU3" s="230"/>
      <c r="TKV3" s="231"/>
      <c r="TKW3" s="229" t="s">
        <v>13329</v>
      </c>
      <c r="TKX3" s="230"/>
      <c r="TKY3" s="230"/>
      <c r="TKZ3" s="231"/>
      <c r="TLA3" s="229" t="s">
        <v>13329</v>
      </c>
      <c r="TLB3" s="230"/>
      <c r="TLC3" s="230"/>
      <c r="TLD3" s="231"/>
      <c r="TLE3" s="229" t="s">
        <v>13329</v>
      </c>
      <c r="TLF3" s="230"/>
      <c r="TLG3" s="230"/>
      <c r="TLH3" s="231"/>
      <c r="TLI3" s="229" t="s">
        <v>13329</v>
      </c>
      <c r="TLJ3" s="230"/>
      <c r="TLK3" s="230"/>
      <c r="TLL3" s="231"/>
      <c r="TLM3" s="229" t="s">
        <v>13329</v>
      </c>
      <c r="TLN3" s="230"/>
      <c r="TLO3" s="230"/>
      <c r="TLP3" s="231"/>
      <c r="TLQ3" s="229" t="s">
        <v>13329</v>
      </c>
      <c r="TLR3" s="230"/>
      <c r="TLS3" s="230"/>
      <c r="TLT3" s="231"/>
      <c r="TLU3" s="229" t="s">
        <v>13329</v>
      </c>
      <c r="TLV3" s="230"/>
      <c r="TLW3" s="230"/>
      <c r="TLX3" s="231"/>
      <c r="TLY3" s="229" t="s">
        <v>13329</v>
      </c>
      <c r="TLZ3" s="230"/>
      <c r="TMA3" s="230"/>
      <c r="TMB3" s="231"/>
      <c r="TMC3" s="229" t="s">
        <v>13329</v>
      </c>
      <c r="TMD3" s="230"/>
      <c r="TME3" s="230"/>
      <c r="TMF3" s="231"/>
      <c r="TMG3" s="229" t="s">
        <v>13329</v>
      </c>
      <c r="TMH3" s="230"/>
      <c r="TMI3" s="230"/>
      <c r="TMJ3" s="231"/>
      <c r="TMK3" s="229" t="s">
        <v>13329</v>
      </c>
      <c r="TML3" s="230"/>
      <c r="TMM3" s="230"/>
      <c r="TMN3" s="231"/>
      <c r="TMO3" s="229" t="s">
        <v>13329</v>
      </c>
      <c r="TMP3" s="230"/>
      <c r="TMQ3" s="230"/>
      <c r="TMR3" s="231"/>
      <c r="TMS3" s="229" t="s">
        <v>13329</v>
      </c>
      <c r="TMT3" s="230"/>
      <c r="TMU3" s="230"/>
      <c r="TMV3" s="231"/>
      <c r="TMW3" s="229" t="s">
        <v>13329</v>
      </c>
      <c r="TMX3" s="230"/>
      <c r="TMY3" s="230"/>
      <c r="TMZ3" s="231"/>
      <c r="TNA3" s="229" t="s">
        <v>13329</v>
      </c>
      <c r="TNB3" s="230"/>
      <c r="TNC3" s="230"/>
      <c r="TND3" s="231"/>
      <c r="TNE3" s="229" t="s">
        <v>13329</v>
      </c>
      <c r="TNF3" s="230"/>
      <c r="TNG3" s="230"/>
      <c r="TNH3" s="231"/>
      <c r="TNI3" s="229" t="s">
        <v>13329</v>
      </c>
      <c r="TNJ3" s="230"/>
      <c r="TNK3" s="230"/>
      <c r="TNL3" s="231"/>
      <c r="TNM3" s="229" t="s">
        <v>13329</v>
      </c>
      <c r="TNN3" s="230"/>
      <c r="TNO3" s="230"/>
      <c r="TNP3" s="231"/>
      <c r="TNQ3" s="229" t="s">
        <v>13329</v>
      </c>
      <c r="TNR3" s="230"/>
      <c r="TNS3" s="230"/>
      <c r="TNT3" s="231"/>
      <c r="TNU3" s="229" t="s">
        <v>13329</v>
      </c>
      <c r="TNV3" s="230"/>
      <c r="TNW3" s="230"/>
      <c r="TNX3" s="231"/>
      <c r="TNY3" s="229" t="s">
        <v>13329</v>
      </c>
      <c r="TNZ3" s="230"/>
      <c r="TOA3" s="230"/>
      <c r="TOB3" s="231"/>
      <c r="TOC3" s="229" t="s">
        <v>13329</v>
      </c>
      <c r="TOD3" s="230"/>
      <c r="TOE3" s="230"/>
      <c r="TOF3" s="231"/>
      <c r="TOG3" s="229" t="s">
        <v>13329</v>
      </c>
      <c r="TOH3" s="230"/>
      <c r="TOI3" s="230"/>
      <c r="TOJ3" s="231"/>
      <c r="TOK3" s="229" t="s">
        <v>13329</v>
      </c>
      <c r="TOL3" s="230"/>
      <c r="TOM3" s="230"/>
      <c r="TON3" s="231"/>
      <c r="TOO3" s="229" t="s">
        <v>13329</v>
      </c>
      <c r="TOP3" s="230"/>
      <c r="TOQ3" s="230"/>
      <c r="TOR3" s="231"/>
      <c r="TOS3" s="229" t="s">
        <v>13329</v>
      </c>
      <c r="TOT3" s="230"/>
      <c r="TOU3" s="230"/>
      <c r="TOV3" s="231"/>
      <c r="TOW3" s="229" t="s">
        <v>13329</v>
      </c>
      <c r="TOX3" s="230"/>
      <c r="TOY3" s="230"/>
      <c r="TOZ3" s="231"/>
      <c r="TPA3" s="229" t="s">
        <v>13329</v>
      </c>
      <c r="TPB3" s="230"/>
      <c r="TPC3" s="230"/>
      <c r="TPD3" s="231"/>
      <c r="TPE3" s="229" t="s">
        <v>13329</v>
      </c>
      <c r="TPF3" s="230"/>
      <c r="TPG3" s="230"/>
      <c r="TPH3" s="231"/>
      <c r="TPI3" s="229" t="s">
        <v>13329</v>
      </c>
      <c r="TPJ3" s="230"/>
      <c r="TPK3" s="230"/>
      <c r="TPL3" s="231"/>
      <c r="TPM3" s="229" t="s">
        <v>13329</v>
      </c>
      <c r="TPN3" s="230"/>
      <c r="TPO3" s="230"/>
      <c r="TPP3" s="231"/>
      <c r="TPQ3" s="229" t="s">
        <v>13329</v>
      </c>
      <c r="TPR3" s="230"/>
      <c r="TPS3" s="230"/>
      <c r="TPT3" s="231"/>
      <c r="TPU3" s="229" t="s">
        <v>13329</v>
      </c>
      <c r="TPV3" s="230"/>
      <c r="TPW3" s="230"/>
      <c r="TPX3" s="231"/>
      <c r="TPY3" s="229" t="s">
        <v>13329</v>
      </c>
      <c r="TPZ3" s="230"/>
      <c r="TQA3" s="230"/>
      <c r="TQB3" s="231"/>
      <c r="TQC3" s="229" t="s">
        <v>13329</v>
      </c>
      <c r="TQD3" s="230"/>
      <c r="TQE3" s="230"/>
      <c r="TQF3" s="231"/>
      <c r="TQG3" s="229" t="s">
        <v>13329</v>
      </c>
      <c r="TQH3" s="230"/>
      <c r="TQI3" s="230"/>
      <c r="TQJ3" s="231"/>
      <c r="TQK3" s="229" t="s">
        <v>13329</v>
      </c>
      <c r="TQL3" s="230"/>
      <c r="TQM3" s="230"/>
      <c r="TQN3" s="231"/>
      <c r="TQO3" s="229" t="s">
        <v>13329</v>
      </c>
      <c r="TQP3" s="230"/>
      <c r="TQQ3" s="230"/>
      <c r="TQR3" s="231"/>
      <c r="TQS3" s="229" t="s">
        <v>13329</v>
      </c>
      <c r="TQT3" s="230"/>
      <c r="TQU3" s="230"/>
      <c r="TQV3" s="231"/>
      <c r="TQW3" s="229" t="s">
        <v>13329</v>
      </c>
      <c r="TQX3" s="230"/>
      <c r="TQY3" s="230"/>
      <c r="TQZ3" s="231"/>
      <c r="TRA3" s="229" t="s">
        <v>13329</v>
      </c>
      <c r="TRB3" s="230"/>
      <c r="TRC3" s="230"/>
      <c r="TRD3" s="231"/>
      <c r="TRE3" s="229" t="s">
        <v>13329</v>
      </c>
      <c r="TRF3" s="230"/>
      <c r="TRG3" s="230"/>
      <c r="TRH3" s="231"/>
      <c r="TRI3" s="229" t="s">
        <v>13329</v>
      </c>
      <c r="TRJ3" s="230"/>
      <c r="TRK3" s="230"/>
      <c r="TRL3" s="231"/>
      <c r="TRM3" s="229" t="s">
        <v>13329</v>
      </c>
      <c r="TRN3" s="230"/>
      <c r="TRO3" s="230"/>
      <c r="TRP3" s="231"/>
      <c r="TRQ3" s="229" t="s">
        <v>13329</v>
      </c>
      <c r="TRR3" s="230"/>
      <c r="TRS3" s="230"/>
      <c r="TRT3" s="231"/>
      <c r="TRU3" s="229" t="s">
        <v>13329</v>
      </c>
      <c r="TRV3" s="230"/>
      <c r="TRW3" s="230"/>
      <c r="TRX3" s="231"/>
      <c r="TRY3" s="229" t="s">
        <v>13329</v>
      </c>
      <c r="TRZ3" s="230"/>
      <c r="TSA3" s="230"/>
      <c r="TSB3" s="231"/>
      <c r="TSC3" s="229" t="s">
        <v>13329</v>
      </c>
      <c r="TSD3" s="230"/>
      <c r="TSE3" s="230"/>
      <c r="TSF3" s="231"/>
      <c r="TSG3" s="229" t="s">
        <v>13329</v>
      </c>
      <c r="TSH3" s="230"/>
      <c r="TSI3" s="230"/>
      <c r="TSJ3" s="231"/>
      <c r="TSK3" s="229" t="s">
        <v>13329</v>
      </c>
      <c r="TSL3" s="230"/>
      <c r="TSM3" s="230"/>
      <c r="TSN3" s="231"/>
      <c r="TSO3" s="229" t="s">
        <v>13329</v>
      </c>
      <c r="TSP3" s="230"/>
      <c r="TSQ3" s="230"/>
      <c r="TSR3" s="231"/>
      <c r="TSS3" s="229" t="s">
        <v>13329</v>
      </c>
      <c r="TST3" s="230"/>
      <c r="TSU3" s="230"/>
      <c r="TSV3" s="231"/>
      <c r="TSW3" s="229" t="s">
        <v>13329</v>
      </c>
      <c r="TSX3" s="230"/>
      <c r="TSY3" s="230"/>
      <c r="TSZ3" s="231"/>
      <c r="TTA3" s="229" t="s">
        <v>13329</v>
      </c>
      <c r="TTB3" s="230"/>
      <c r="TTC3" s="230"/>
      <c r="TTD3" s="231"/>
      <c r="TTE3" s="229" t="s">
        <v>13329</v>
      </c>
      <c r="TTF3" s="230"/>
      <c r="TTG3" s="230"/>
      <c r="TTH3" s="231"/>
      <c r="TTI3" s="229" t="s">
        <v>13329</v>
      </c>
      <c r="TTJ3" s="230"/>
      <c r="TTK3" s="230"/>
      <c r="TTL3" s="231"/>
      <c r="TTM3" s="229" t="s">
        <v>13329</v>
      </c>
      <c r="TTN3" s="230"/>
      <c r="TTO3" s="230"/>
      <c r="TTP3" s="231"/>
      <c r="TTQ3" s="229" t="s">
        <v>13329</v>
      </c>
      <c r="TTR3" s="230"/>
      <c r="TTS3" s="230"/>
      <c r="TTT3" s="231"/>
      <c r="TTU3" s="229" t="s">
        <v>13329</v>
      </c>
      <c r="TTV3" s="230"/>
      <c r="TTW3" s="230"/>
      <c r="TTX3" s="231"/>
      <c r="TTY3" s="229" t="s">
        <v>13329</v>
      </c>
      <c r="TTZ3" s="230"/>
      <c r="TUA3" s="230"/>
      <c r="TUB3" s="231"/>
      <c r="TUC3" s="229" t="s">
        <v>13329</v>
      </c>
      <c r="TUD3" s="230"/>
      <c r="TUE3" s="230"/>
      <c r="TUF3" s="231"/>
      <c r="TUG3" s="229" t="s">
        <v>13329</v>
      </c>
      <c r="TUH3" s="230"/>
      <c r="TUI3" s="230"/>
      <c r="TUJ3" s="231"/>
      <c r="TUK3" s="229" t="s">
        <v>13329</v>
      </c>
      <c r="TUL3" s="230"/>
      <c r="TUM3" s="230"/>
      <c r="TUN3" s="231"/>
      <c r="TUO3" s="229" t="s">
        <v>13329</v>
      </c>
      <c r="TUP3" s="230"/>
      <c r="TUQ3" s="230"/>
      <c r="TUR3" s="231"/>
      <c r="TUS3" s="229" t="s">
        <v>13329</v>
      </c>
      <c r="TUT3" s="230"/>
      <c r="TUU3" s="230"/>
      <c r="TUV3" s="231"/>
      <c r="TUW3" s="229" t="s">
        <v>13329</v>
      </c>
      <c r="TUX3" s="230"/>
      <c r="TUY3" s="230"/>
      <c r="TUZ3" s="231"/>
      <c r="TVA3" s="229" t="s">
        <v>13329</v>
      </c>
      <c r="TVB3" s="230"/>
      <c r="TVC3" s="230"/>
      <c r="TVD3" s="231"/>
      <c r="TVE3" s="229" t="s">
        <v>13329</v>
      </c>
      <c r="TVF3" s="230"/>
      <c r="TVG3" s="230"/>
      <c r="TVH3" s="231"/>
      <c r="TVI3" s="229" t="s">
        <v>13329</v>
      </c>
      <c r="TVJ3" s="230"/>
      <c r="TVK3" s="230"/>
      <c r="TVL3" s="231"/>
      <c r="TVM3" s="229" t="s">
        <v>13329</v>
      </c>
      <c r="TVN3" s="230"/>
      <c r="TVO3" s="230"/>
      <c r="TVP3" s="231"/>
      <c r="TVQ3" s="229" t="s">
        <v>13329</v>
      </c>
      <c r="TVR3" s="230"/>
      <c r="TVS3" s="230"/>
      <c r="TVT3" s="231"/>
      <c r="TVU3" s="229" t="s">
        <v>13329</v>
      </c>
      <c r="TVV3" s="230"/>
      <c r="TVW3" s="230"/>
      <c r="TVX3" s="231"/>
      <c r="TVY3" s="229" t="s">
        <v>13329</v>
      </c>
      <c r="TVZ3" s="230"/>
      <c r="TWA3" s="230"/>
      <c r="TWB3" s="231"/>
      <c r="TWC3" s="229" t="s">
        <v>13329</v>
      </c>
      <c r="TWD3" s="230"/>
      <c r="TWE3" s="230"/>
      <c r="TWF3" s="231"/>
      <c r="TWG3" s="229" t="s">
        <v>13329</v>
      </c>
      <c r="TWH3" s="230"/>
      <c r="TWI3" s="230"/>
      <c r="TWJ3" s="231"/>
      <c r="TWK3" s="229" t="s">
        <v>13329</v>
      </c>
      <c r="TWL3" s="230"/>
      <c r="TWM3" s="230"/>
      <c r="TWN3" s="231"/>
      <c r="TWO3" s="229" t="s">
        <v>13329</v>
      </c>
      <c r="TWP3" s="230"/>
      <c r="TWQ3" s="230"/>
      <c r="TWR3" s="231"/>
      <c r="TWS3" s="229" t="s">
        <v>13329</v>
      </c>
      <c r="TWT3" s="230"/>
      <c r="TWU3" s="230"/>
      <c r="TWV3" s="231"/>
      <c r="TWW3" s="229" t="s">
        <v>13329</v>
      </c>
      <c r="TWX3" s="230"/>
      <c r="TWY3" s="230"/>
      <c r="TWZ3" s="231"/>
      <c r="TXA3" s="229" t="s">
        <v>13329</v>
      </c>
      <c r="TXB3" s="230"/>
      <c r="TXC3" s="230"/>
      <c r="TXD3" s="231"/>
      <c r="TXE3" s="229" t="s">
        <v>13329</v>
      </c>
      <c r="TXF3" s="230"/>
      <c r="TXG3" s="230"/>
      <c r="TXH3" s="231"/>
      <c r="TXI3" s="229" t="s">
        <v>13329</v>
      </c>
      <c r="TXJ3" s="230"/>
      <c r="TXK3" s="230"/>
      <c r="TXL3" s="231"/>
      <c r="TXM3" s="229" t="s">
        <v>13329</v>
      </c>
      <c r="TXN3" s="230"/>
      <c r="TXO3" s="230"/>
      <c r="TXP3" s="231"/>
      <c r="TXQ3" s="229" t="s">
        <v>13329</v>
      </c>
      <c r="TXR3" s="230"/>
      <c r="TXS3" s="230"/>
      <c r="TXT3" s="231"/>
      <c r="TXU3" s="229" t="s">
        <v>13329</v>
      </c>
      <c r="TXV3" s="230"/>
      <c r="TXW3" s="230"/>
      <c r="TXX3" s="231"/>
      <c r="TXY3" s="229" t="s">
        <v>13329</v>
      </c>
      <c r="TXZ3" s="230"/>
      <c r="TYA3" s="230"/>
      <c r="TYB3" s="231"/>
      <c r="TYC3" s="229" t="s">
        <v>13329</v>
      </c>
      <c r="TYD3" s="230"/>
      <c r="TYE3" s="230"/>
      <c r="TYF3" s="231"/>
      <c r="TYG3" s="229" t="s">
        <v>13329</v>
      </c>
      <c r="TYH3" s="230"/>
      <c r="TYI3" s="230"/>
      <c r="TYJ3" s="231"/>
      <c r="TYK3" s="229" t="s">
        <v>13329</v>
      </c>
      <c r="TYL3" s="230"/>
      <c r="TYM3" s="230"/>
      <c r="TYN3" s="231"/>
      <c r="TYO3" s="229" t="s">
        <v>13329</v>
      </c>
      <c r="TYP3" s="230"/>
      <c r="TYQ3" s="230"/>
      <c r="TYR3" s="231"/>
      <c r="TYS3" s="229" t="s">
        <v>13329</v>
      </c>
      <c r="TYT3" s="230"/>
      <c r="TYU3" s="230"/>
      <c r="TYV3" s="231"/>
      <c r="TYW3" s="229" t="s">
        <v>13329</v>
      </c>
      <c r="TYX3" s="230"/>
      <c r="TYY3" s="230"/>
      <c r="TYZ3" s="231"/>
      <c r="TZA3" s="229" t="s">
        <v>13329</v>
      </c>
      <c r="TZB3" s="230"/>
      <c r="TZC3" s="230"/>
      <c r="TZD3" s="231"/>
      <c r="TZE3" s="229" t="s">
        <v>13329</v>
      </c>
      <c r="TZF3" s="230"/>
      <c r="TZG3" s="230"/>
      <c r="TZH3" s="231"/>
      <c r="TZI3" s="229" t="s">
        <v>13329</v>
      </c>
      <c r="TZJ3" s="230"/>
      <c r="TZK3" s="230"/>
      <c r="TZL3" s="231"/>
      <c r="TZM3" s="229" t="s">
        <v>13329</v>
      </c>
      <c r="TZN3" s="230"/>
      <c r="TZO3" s="230"/>
      <c r="TZP3" s="231"/>
      <c r="TZQ3" s="229" t="s">
        <v>13329</v>
      </c>
      <c r="TZR3" s="230"/>
      <c r="TZS3" s="230"/>
      <c r="TZT3" s="231"/>
      <c r="TZU3" s="229" t="s">
        <v>13329</v>
      </c>
      <c r="TZV3" s="230"/>
      <c r="TZW3" s="230"/>
      <c r="TZX3" s="231"/>
      <c r="TZY3" s="229" t="s">
        <v>13329</v>
      </c>
      <c r="TZZ3" s="230"/>
      <c r="UAA3" s="230"/>
      <c r="UAB3" s="231"/>
      <c r="UAC3" s="229" t="s">
        <v>13329</v>
      </c>
      <c r="UAD3" s="230"/>
      <c r="UAE3" s="230"/>
      <c r="UAF3" s="231"/>
      <c r="UAG3" s="229" t="s">
        <v>13329</v>
      </c>
      <c r="UAH3" s="230"/>
      <c r="UAI3" s="230"/>
      <c r="UAJ3" s="231"/>
      <c r="UAK3" s="229" t="s">
        <v>13329</v>
      </c>
      <c r="UAL3" s="230"/>
      <c r="UAM3" s="230"/>
      <c r="UAN3" s="231"/>
      <c r="UAO3" s="229" t="s">
        <v>13329</v>
      </c>
      <c r="UAP3" s="230"/>
      <c r="UAQ3" s="230"/>
      <c r="UAR3" s="231"/>
      <c r="UAS3" s="229" t="s">
        <v>13329</v>
      </c>
      <c r="UAT3" s="230"/>
      <c r="UAU3" s="230"/>
      <c r="UAV3" s="231"/>
      <c r="UAW3" s="229" t="s">
        <v>13329</v>
      </c>
      <c r="UAX3" s="230"/>
      <c r="UAY3" s="230"/>
      <c r="UAZ3" s="231"/>
      <c r="UBA3" s="229" t="s">
        <v>13329</v>
      </c>
      <c r="UBB3" s="230"/>
      <c r="UBC3" s="230"/>
      <c r="UBD3" s="231"/>
      <c r="UBE3" s="229" t="s">
        <v>13329</v>
      </c>
      <c r="UBF3" s="230"/>
      <c r="UBG3" s="230"/>
      <c r="UBH3" s="231"/>
      <c r="UBI3" s="229" t="s">
        <v>13329</v>
      </c>
      <c r="UBJ3" s="230"/>
      <c r="UBK3" s="230"/>
      <c r="UBL3" s="231"/>
      <c r="UBM3" s="229" t="s">
        <v>13329</v>
      </c>
      <c r="UBN3" s="230"/>
      <c r="UBO3" s="230"/>
      <c r="UBP3" s="231"/>
      <c r="UBQ3" s="229" t="s">
        <v>13329</v>
      </c>
      <c r="UBR3" s="230"/>
      <c r="UBS3" s="230"/>
      <c r="UBT3" s="231"/>
      <c r="UBU3" s="229" t="s">
        <v>13329</v>
      </c>
      <c r="UBV3" s="230"/>
      <c r="UBW3" s="230"/>
      <c r="UBX3" s="231"/>
      <c r="UBY3" s="229" t="s">
        <v>13329</v>
      </c>
      <c r="UBZ3" s="230"/>
      <c r="UCA3" s="230"/>
      <c r="UCB3" s="231"/>
      <c r="UCC3" s="229" t="s">
        <v>13329</v>
      </c>
      <c r="UCD3" s="230"/>
      <c r="UCE3" s="230"/>
      <c r="UCF3" s="231"/>
      <c r="UCG3" s="229" t="s">
        <v>13329</v>
      </c>
      <c r="UCH3" s="230"/>
      <c r="UCI3" s="230"/>
      <c r="UCJ3" s="231"/>
      <c r="UCK3" s="229" t="s">
        <v>13329</v>
      </c>
      <c r="UCL3" s="230"/>
      <c r="UCM3" s="230"/>
      <c r="UCN3" s="231"/>
      <c r="UCO3" s="229" t="s">
        <v>13329</v>
      </c>
      <c r="UCP3" s="230"/>
      <c r="UCQ3" s="230"/>
      <c r="UCR3" s="231"/>
      <c r="UCS3" s="229" t="s">
        <v>13329</v>
      </c>
      <c r="UCT3" s="230"/>
      <c r="UCU3" s="230"/>
      <c r="UCV3" s="231"/>
      <c r="UCW3" s="229" t="s">
        <v>13329</v>
      </c>
      <c r="UCX3" s="230"/>
      <c r="UCY3" s="230"/>
      <c r="UCZ3" s="231"/>
      <c r="UDA3" s="229" t="s">
        <v>13329</v>
      </c>
      <c r="UDB3" s="230"/>
      <c r="UDC3" s="230"/>
      <c r="UDD3" s="231"/>
      <c r="UDE3" s="229" t="s">
        <v>13329</v>
      </c>
      <c r="UDF3" s="230"/>
      <c r="UDG3" s="230"/>
      <c r="UDH3" s="231"/>
      <c r="UDI3" s="229" t="s">
        <v>13329</v>
      </c>
      <c r="UDJ3" s="230"/>
      <c r="UDK3" s="230"/>
      <c r="UDL3" s="231"/>
      <c r="UDM3" s="229" t="s">
        <v>13329</v>
      </c>
      <c r="UDN3" s="230"/>
      <c r="UDO3" s="230"/>
      <c r="UDP3" s="231"/>
      <c r="UDQ3" s="229" t="s">
        <v>13329</v>
      </c>
      <c r="UDR3" s="230"/>
      <c r="UDS3" s="230"/>
      <c r="UDT3" s="231"/>
      <c r="UDU3" s="229" t="s">
        <v>13329</v>
      </c>
      <c r="UDV3" s="230"/>
      <c r="UDW3" s="230"/>
      <c r="UDX3" s="231"/>
      <c r="UDY3" s="229" t="s">
        <v>13329</v>
      </c>
      <c r="UDZ3" s="230"/>
      <c r="UEA3" s="230"/>
      <c r="UEB3" s="231"/>
      <c r="UEC3" s="229" t="s">
        <v>13329</v>
      </c>
      <c r="UED3" s="230"/>
      <c r="UEE3" s="230"/>
      <c r="UEF3" s="231"/>
      <c r="UEG3" s="229" t="s">
        <v>13329</v>
      </c>
      <c r="UEH3" s="230"/>
      <c r="UEI3" s="230"/>
      <c r="UEJ3" s="231"/>
      <c r="UEK3" s="229" t="s">
        <v>13329</v>
      </c>
      <c r="UEL3" s="230"/>
      <c r="UEM3" s="230"/>
      <c r="UEN3" s="231"/>
      <c r="UEO3" s="229" t="s">
        <v>13329</v>
      </c>
      <c r="UEP3" s="230"/>
      <c r="UEQ3" s="230"/>
      <c r="UER3" s="231"/>
      <c r="UES3" s="229" t="s">
        <v>13329</v>
      </c>
      <c r="UET3" s="230"/>
      <c r="UEU3" s="230"/>
      <c r="UEV3" s="231"/>
      <c r="UEW3" s="229" t="s">
        <v>13329</v>
      </c>
      <c r="UEX3" s="230"/>
      <c r="UEY3" s="230"/>
      <c r="UEZ3" s="231"/>
      <c r="UFA3" s="229" t="s">
        <v>13329</v>
      </c>
      <c r="UFB3" s="230"/>
      <c r="UFC3" s="230"/>
      <c r="UFD3" s="231"/>
      <c r="UFE3" s="229" t="s">
        <v>13329</v>
      </c>
      <c r="UFF3" s="230"/>
      <c r="UFG3" s="230"/>
      <c r="UFH3" s="231"/>
      <c r="UFI3" s="229" t="s">
        <v>13329</v>
      </c>
      <c r="UFJ3" s="230"/>
      <c r="UFK3" s="230"/>
      <c r="UFL3" s="231"/>
      <c r="UFM3" s="229" t="s">
        <v>13329</v>
      </c>
      <c r="UFN3" s="230"/>
      <c r="UFO3" s="230"/>
      <c r="UFP3" s="231"/>
      <c r="UFQ3" s="229" t="s">
        <v>13329</v>
      </c>
      <c r="UFR3" s="230"/>
      <c r="UFS3" s="230"/>
      <c r="UFT3" s="231"/>
      <c r="UFU3" s="229" t="s">
        <v>13329</v>
      </c>
      <c r="UFV3" s="230"/>
      <c r="UFW3" s="230"/>
      <c r="UFX3" s="231"/>
      <c r="UFY3" s="229" t="s">
        <v>13329</v>
      </c>
      <c r="UFZ3" s="230"/>
      <c r="UGA3" s="230"/>
      <c r="UGB3" s="231"/>
      <c r="UGC3" s="229" t="s">
        <v>13329</v>
      </c>
      <c r="UGD3" s="230"/>
      <c r="UGE3" s="230"/>
      <c r="UGF3" s="231"/>
      <c r="UGG3" s="229" t="s">
        <v>13329</v>
      </c>
      <c r="UGH3" s="230"/>
      <c r="UGI3" s="230"/>
      <c r="UGJ3" s="231"/>
      <c r="UGK3" s="229" t="s">
        <v>13329</v>
      </c>
      <c r="UGL3" s="230"/>
      <c r="UGM3" s="230"/>
      <c r="UGN3" s="231"/>
      <c r="UGO3" s="229" t="s">
        <v>13329</v>
      </c>
      <c r="UGP3" s="230"/>
      <c r="UGQ3" s="230"/>
      <c r="UGR3" s="231"/>
      <c r="UGS3" s="229" t="s">
        <v>13329</v>
      </c>
      <c r="UGT3" s="230"/>
      <c r="UGU3" s="230"/>
      <c r="UGV3" s="231"/>
      <c r="UGW3" s="229" t="s">
        <v>13329</v>
      </c>
      <c r="UGX3" s="230"/>
      <c r="UGY3" s="230"/>
      <c r="UGZ3" s="231"/>
      <c r="UHA3" s="229" t="s">
        <v>13329</v>
      </c>
      <c r="UHB3" s="230"/>
      <c r="UHC3" s="230"/>
      <c r="UHD3" s="231"/>
      <c r="UHE3" s="229" t="s">
        <v>13329</v>
      </c>
      <c r="UHF3" s="230"/>
      <c r="UHG3" s="230"/>
      <c r="UHH3" s="231"/>
      <c r="UHI3" s="229" t="s">
        <v>13329</v>
      </c>
      <c r="UHJ3" s="230"/>
      <c r="UHK3" s="230"/>
      <c r="UHL3" s="231"/>
      <c r="UHM3" s="229" t="s">
        <v>13329</v>
      </c>
      <c r="UHN3" s="230"/>
      <c r="UHO3" s="230"/>
      <c r="UHP3" s="231"/>
      <c r="UHQ3" s="229" t="s">
        <v>13329</v>
      </c>
      <c r="UHR3" s="230"/>
      <c r="UHS3" s="230"/>
      <c r="UHT3" s="231"/>
      <c r="UHU3" s="229" t="s">
        <v>13329</v>
      </c>
      <c r="UHV3" s="230"/>
      <c r="UHW3" s="230"/>
      <c r="UHX3" s="231"/>
      <c r="UHY3" s="229" t="s">
        <v>13329</v>
      </c>
      <c r="UHZ3" s="230"/>
      <c r="UIA3" s="230"/>
      <c r="UIB3" s="231"/>
      <c r="UIC3" s="229" t="s">
        <v>13329</v>
      </c>
      <c r="UID3" s="230"/>
      <c r="UIE3" s="230"/>
      <c r="UIF3" s="231"/>
      <c r="UIG3" s="229" t="s">
        <v>13329</v>
      </c>
      <c r="UIH3" s="230"/>
      <c r="UII3" s="230"/>
      <c r="UIJ3" s="231"/>
      <c r="UIK3" s="229" t="s">
        <v>13329</v>
      </c>
      <c r="UIL3" s="230"/>
      <c r="UIM3" s="230"/>
      <c r="UIN3" s="231"/>
      <c r="UIO3" s="229" t="s">
        <v>13329</v>
      </c>
      <c r="UIP3" s="230"/>
      <c r="UIQ3" s="230"/>
      <c r="UIR3" s="231"/>
      <c r="UIS3" s="229" t="s">
        <v>13329</v>
      </c>
      <c r="UIT3" s="230"/>
      <c r="UIU3" s="230"/>
      <c r="UIV3" s="231"/>
      <c r="UIW3" s="229" t="s">
        <v>13329</v>
      </c>
      <c r="UIX3" s="230"/>
      <c r="UIY3" s="230"/>
      <c r="UIZ3" s="231"/>
      <c r="UJA3" s="229" t="s">
        <v>13329</v>
      </c>
      <c r="UJB3" s="230"/>
      <c r="UJC3" s="230"/>
      <c r="UJD3" s="231"/>
      <c r="UJE3" s="229" t="s">
        <v>13329</v>
      </c>
      <c r="UJF3" s="230"/>
      <c r="UJG3" s="230"/>
      <c r="UJH3" s="231"/>
      <c r="UJI3" s="229" t="s">
        <v>13329</v>
      </c>
      <c r="UJJ3" s="230"/>
      <c r="UJK3" s="230"/>
      <c r="UJL3" s="231"/>
      <c r="UJM3" s="229" t="s">
        <v>13329</v>
      </c>
      <c r="UJN3" s="230"/>
      <c r="UJO3" s="230"/>
      <c r="UJP3" s="231"/>
      <c r="UJQ3" s="229" t="s">
        <v>13329</v>
      </c>
      <c r="UJR3" s="230"/>
      <c r="UJS3" s="230"/>
      <c r="UJT3" s="231"/>
      <c r="UJU3" s="229" t="s">
        <v>13329</v>
      </c>
      <c r="UJV3" s="230"/>
      <c r="UJW3" s="230"/>
      <c r="UJX3" s="231"/>
      <c r="UJY3" s="229" t="s">
        <v>13329</v>
      </c>
      <c r="UJZ3" s="230"/>
      <c r="UKA3" s="230"/>
      <c r="UKB3" s="231"/>
      <c r="UKC3" s="229" t="s">
        <v>13329</v>
      </c>
      <c r="UKD3" s="230"/>
      <c r="UKE3" s="230"/>
      <c r="UKF3" s="231"/>
      <c r="UKG3" s="229" t="s">
        <v>13329</v>
      </c>
      <c r="UKH3" s="230"/>
      <c r="UKI3" s="230"/>
      <c r="UKJ3" s="231"/>
      <c r="UKK3" s="229" t="s">
        <v>13329</v>
      </c>
      <c r="UKL3" s="230"/>
      <c r="UKM3" s="230"/>
      <c r="UKN3" s="231"/>
      <c r="UKO3" s="229" t="s">
        <v>13329</v>
      </c>
      <c r="UKP3" s="230"/>
      <c r="UKQ3" s="230"/>
      <c r="UKR3" s="231"/>
      <c r="UKS3" s="229" t="s">
        <v>13329</v>
      </c>
      <c r="UKT3" s="230"/>
      <c r="UKU3" s="230"/>
      <c r="UKV3" s="231"/>
      <c r="UKW3" s="229" t="s">
        <v>13329</v>
      </c>
      <c r="UKX3" s="230"/>
      <c r="UKY3" s="230"/>
      <c r="UKZ3" s="231"/>
      <c r="ULA3" s="229" t="s">
        <v>13329</v>
      </c>
      <c r="ULB3" s="230"/>
      <c r="ULC3" s="230"/>
      <c r="ULD3" s="231"/>
      <c r="ULE3" s="229" t="s">
        <v>13329</v>
      </c>
      <c r="ULF3" s="230"/>
      <c r="ULG3" s="230"/>
      <c r="ULH3" s="231"/>
      <c r="ULI3" s="229" t="s">
        <v>13329</v>
      </c>
      <c r="ULJ3" s="230"/>
      <c r="ULK3" s="230"/>
      <c r="ULL3" s="231"/>
      <c r="ULM3" s="229" t="s">
        <v>13329</v>
      </c>
      <c r="ULN3" s="230"/>
      <c r="ULO3" s="230"/>
      <c r="ULP3" s="231"/>
      <c r="ULQ3" s="229" t="s">
        <v>13329</v>
      </c>
      <c r="ULR3" s="230"/>
      <c r="ULS3" s="230"/>
      <c r="ULT3" s="231"/>
      <c r="ULU3" s="229" t="s">
        <v>13329</v>
      </c>
      <c r="ULV3" s="230"/>
      <c r="ULW3" s="230"/>
      <c r="ULX3" s="231"/>
      <c r="ULY3" s="229" t="s">
        <v>13329</v>
      </c>
      <c r="ULZ3" s="230"/>
      <c r="UMA3" s="230"/>
      <c r="UMB3" s="231"/>
      <c r="UMC3" s="229" t="s">
        <v>13329</v>
      </c>
      <c r="UMD3" s="230"/>
      <c r="UME3" s="230"/>
      <c r="UMF3" s="231"/>
      <c r="UMG3" s="229" t="s">
        <v>13329</v>
      </c>
      <c r="UMH3" s="230"/>
      <c r="UMI3" s="230"/>
      <c r="UMJ3" s="231"/>
      <c r="UMK3" s="229" t="s">
        <v>13329</v>
      </c>
      <c r="UML3" s="230"/>
      <c r="UMM3" s="230"/>
      <c r="UMN3" s="231"/>
      <c r="UMO3" s="229" t="s">
        <v>13329</v>
      </c>
      <c r="UMP3" s="230"/>
      <c r="UMQ3" s="230"/>
      <c r="UMR3" s="231"/>
      <c r="UMS3" s="229" t="s">
        <v>13329</v>
      </c>
      <c r="UMT3" s="230"/>
      <c r="UMU3" s="230"/>
      <c r="UMV3" s="231"/>
      <c r="UMW3" s="229" t="s">
        <v>13329</v>
      </c>
      <c r="UMX3" s="230"/>
      <c r="UMY3" s="230"/>
      <c r="UMZ3" s="231"/>
      <c r="UNA3" s="229" t="s">
        <v>13329</v>
      </c>
      <c r="UNB3" s="230"/>
      <c r="UNC3" s="230"/>
      <c r="UND3" s="231"/>
      <c r="UNE3" s="229" t="s">
        <v>13329</v>
      </c>
      <c r="UNF3" s="230"/>
      <c r="UNG3" s="230"/>
      <c r="UNH3" s="231"/>
      <c r="UNI3" s="229" t="s">
        <v>13329</v>
      </c>
      <c r="UNJ3" s="230"/>
      <c r="UNK3" s="230"/>
      <c r="UNL3" s="231"/>
      <c r="UNM3" s="229" t="s">
        <v>13329</v>
      </c>
      <c r="UNN3" s="230"/>
      <c r="UNO3" s="230"/>
      <c r="UNP3" s="231"/>
      <c r="UNQ3" s="229" t="s">
        <v>13329</v>
      </c>
      <c r="UNR3" s="230"/>
      <c r="UNS3" s="230"/>
      <c r="UNT3" s="231"/>
      <c r="UNU3" s="229" t="s">
        <v>13329</v>
      </c>
      <c r="UNV3" s="230"/>
      <c r="UNW3" s="230"/>
      <c r="UNX3" s="231"/>
      <c r="UNY3" s="229" t="s">
        <v>13329</v>
      </c>
      <c r="UNZ3" s="230"/>
      <c r="UOA3" s="230"/>
      <c r="UOB3" s="231"/>
      <c r="UOC3" s="229" t="s">
        <v>13329</v>
      </c>
      <c r="UOD3" s="230"/>
      <c r="UOE3" s="230"/>
      <c r="UOF3" s="231"/>
      <c r="UOG3" s="229" t="s">
        <v>13329</v>
      </c>
      <c r="UOH3" s="230"/>
      <c r="UOI3" s="230"/>
      <c r="UOJ3" s="231"/>
      <c r="UOK3" s="229" t="s">
        <v>13329</v>
      </c>
      <c r="UOL3" s="230"/>
      <c r="UOM3" s="230"/>
      <c r="UON3" s="231"/>
      <c r="UOO3" s="229" t="s">
        <v>13329</v>
      </c>
      <c r="UOP3" s="230"/>
      <c r="UOQ3" s="230"/>
      <c r="UOR3" s="231"/>
      <c r="UOS3" s="229" t="s">
        <v>13329</v>
      </c>
      <c r="UOT3" s="230"/>
      <c r="UOU3" s="230"/>
      <c r="UOV3" s="231"/>
      <c r="UOW3" s="229" t="s">
        <v>13329</v>
      </c>
      <c r="UOX3" s="230"/>
      <c r="UOY3" s="230"/>
      <c r="UOZ3" s="231"/>
      <c r="UPA3" s="229" t="s">
        <v>13329</v>
      </c>
      <c r="UPB3" s="230"/>
      <c r="UPC3" s="230"/>
      <c r="UPD3" s="231"/>
      <c r="UPE3" s="229" t="s">
        <v>13329</v>
      </c>
      <c r="UPF3" s="230"/>
      <c r="UPG3" s="230"/>
      <c r="UPH3" s="231"/>
      <c r="UPI3" s="229" t="s">
        <v>13329</v>
      </c>
      <c r="UPJ3" s="230"/>
      <c r="UPK3" s="230"/>
      <c r="UPL3" s="231"/>
      <c r="UPM3" s="229" t="s">
        <v>13329</v>
      </c>
      <c r="UPN3" s="230"/>
      <c r="UPO3" s="230"/>
      <c r="UPP3" s="231"/>
      <c r="UPQ3" s="229" t="s">
        <v>13329</v>
      </c>
      <c r="UPR3" s="230"/>
      <c r="UPS3" s="230"/>
      <c r="UPT3" s="231"/>
      <c r="UPU3" s="229" t="s">
        <v>13329</v>
      </c>
      <c r="UPV3" s="230"/>
      <c r="UPW3" s="230"/>
      <c r="UPX3" s="231"/>
      <c r="UPY3" s="229" t="s">
        <v>13329</v>
      </c>
      <c r="UPZ3" s="230"/>
      <c r="UQA3" s="230"/>
      <c r="UQB3" s="231"/>
      <c r="UQC3" s="229" t="s">
        <v>13329</v>
      </c>
      <c r="UQD3" s="230"/>
      <c r="UQE3" s="230"/>
      <c r="UQF3" s="231"/>
      <c r="UQG3" s="229" t="s">
        <v>13329</v>
      </c>
      <c r="UQH3" s="230"/>
      <c r="UQI3" s="230"/>
      <c r="UQJ3" s="231"/>
      <c r="UQK3" s="229" t="s">
        <v>13329</v>
      </c>
      <c r="UQL3" s="230"/>
      <c r="UQM3" s="230"/>
      <c r="UQN3" s="231"/>
      <c r="UQO3" s="229" t="s">
        <v>13329</v>
      </c>
      <c r="UQP3" s="230"/>
      <c r="UQQ3" s="230"/>
      <c r="UQR3" s="231"/>
      <c r="UQS3" s="229" t="s">
        <v>13329</v>
      </c>
      <c r="UQT3" s="230"/>
      <c r="UQU3" s="230"/>
      <c r="UQV3" s="231"/>
      <c r="UQW3" s="229" t="s">
        <v>13329</v>
      </c>
      <c r="UQX3" s="230"/>
      <c r="UQY3" s="230"/>
      <c r="UQZ3" s="231"/>
      <c r="URA3" s="229" t="s">
        <v>13329</v>
      </c>
      <c r="URB3" s="230"/>
      <c r="URC3" s="230"/>
      <c r="URD3" s="231"/>
      <c r="URE3" s="229" t="s">
        <v>13329</v>
      </c>
      <c r="URF3" s="230"/>
      <c r="URG3" s="230"/>
      <c r="URH3" s="231"/>
      <c r="URI3" s="229" t="s">
        <v>13329</v>
      </c>
      <c r="URJ3" s="230"/>
      <c r="URK3" s="230"/>
      <c r="URL3" s="231"/>
      <c r="URM3" s="229" t="s">
        <v>13329</v>
      </c>
      <c r="URN3" s="230"/>
      <c r="URO3" s="230"/>
      <c r="URP3" s="231"/>
      <c r="URQ3" s="229" t="s">
        <v>13329</v>
      </c>
      <c r="URR3" s="230"/>
      <c r="URS3" s="230"/>
      <c r="URT3" s="231"/>
      <c r="URU3" s="229" t="s">
        <v>13329</v>
      </c>
      <c r="URV3" s="230"/>
      <c r="URW3" s="230"/>
      <c r="URX3" s="231"/>
      <c r="URY3" s="229" t="s">
        <v>13329</v>
      </c>
      <c r="URZ3" s="230"/>
      <c r="USA3" s="230"/>
      <c r="USB3" s="231"/>
      <c r="USC3" s="229" t="s">
        <v>13329</v>
      </c>
      <c r="USD3" s="230"/>
      <c r="USE3" s="230"/>
      <c r="USF3" s="231"/>
      <c r="USG3" s="229" t="s">
        <v>13329</v>
      </c>
      <c r="USH3" s="230"/>
      <c r="USI3" s="230"/>
      <c r="USJ3" s="231"/>
      <c r="USK3" s="229" t="s">
        <v>13329</v>
      </c>
      <c r="USL3" s="230"/>
      <c r="USM3" s="230"/>
      <c r="USN3" s="231"/>
      <c r="USO3" s="229" t="s">
        <v>13329</v>
      </c>
      <c r="USP3" s="230"/>
      <c r="USQ3" s="230"/>
      <c r="USR3" s="231"/>
      <c r="USS3" s="229" t="s">
        <v>13329</v>
      </c>
      <c r="UST3" s="230"/>
      <c r="USU3" s="230"/>
      <c r="USV3" s="231"/>
      <c r="USW3" s="229" t="s">
        <v>13329</v>
      </c>
      <c r="USX3" s="230"/>
      <c r="USY3" s="230"/>
      <c r="USZ3" s="231"/>
      <c r="UTA3" s="229" t="s">
        <v>13329</v>
      </c>
      <c r="UTB3" s="230"/>
      <c r="UTC3" s="230"/>
      <c r="UTD3" s="231"/>
      <c r="UTE3" s="229" t="s">
        <v>13329</v>
      </c>
      <c r="UTF3" s="230"/>
      <c r="UTG3" s="230"/>
      <c r="UTH3" s="231"/>
      <c r="UTI3" s="229" t="s">
        <v>13329</v>
      </c>
      <c r="UTJ3" s="230"/>
      <c r="UTK3" s="230"/>
      <c r="UTL3" s="231"/>
      <c r="UTM3" s="229" t="s">
        <v>13329</v>
      </c>
      <c r="UTN3" s="230"/>
      <c r="UTO3" s="230"/>
      <c r="UTP3" s="231"/>
      <c r="UTQ3" s="229" t="s">
        <v>13329</v>
      </c>
      <c r="UTR3" s="230"/>
      <c r="UTS3" s="230"/>
      <c r="UTT3" s="231"/>
      <c r="UTU3" s="229" t="s">
        <v>13329</v>
      </c>
      <c r="UTV3" s="230"/>
      <c r="UTW3" s="230"/>
      <c r="UTX3" s="231"/>
      <c r="UTY3" s="229" t="s">
        <v>13329</v>
      </c>
      <c r="UTZ3" s="230"/>
      <c r="UUA3" s="230"/>
      <c r="UUB3" s="231"/>
      <c r="UUC3" s="229" t="s">
        <v>13329</v>
      </c>
      <c r="UUD3" s="230"/>
      <c r="UUE3" s="230"/>
      <c r="UUF3" s="231"/>
      <c r="UUG3" s="229" t="s">
        <v>13329</v>
      </c>
      <c r="UUH3" s="230"/>
      <c r="UUI3" s="230"/>
      <c r="UUJ3" s="231"/>
      <c r="UUK3" s="229" t="s">
        <v>13329</v>
      </c>
      <c r="UUL3" s="230"/>
      <c r="UUM3" s="230"/>
      <c r="UUN3" s="231"/>
      <c r="UUO3" s="229" t="s">
        <v>13329</v>
      </c>
      <c r="UUP3" s="230"/>
      <c r="UUQ3" s="230"/>
      <c r="UUR3" s="231"/>
      <c r="UUS3" s="229" t="s">
        <v>13329</v>
      </c>
      <c r="UUT3" s="230"/>
      <c r="UUU3" s="230"/>
      <c r="UUV3" s="231"/>
      <c r="UUW3" s="229" t="s">
        <v>13329</v>
      </c>
      <c r="UUX3" s="230"/>
      <c r="UUY3" s="230"/>
      <c r="UUZ3" s="231"/>
      <c r="UVA3" s="229" t="s">
        <v>13329</v>
      </c>
      <c r="UVB3" s="230"/>
      <c r="UVC3" s="230"/>
      <c r="UVD3" s="231"/>
      <c r="UVE3" s="229" t="s">
        <v>13329</v>
      </c>
      <c r="UVF3" s="230"/>
      <c r="UVG3" s="230"/>
      <c r="UVH3" s="231"/>
      <c r="UVI3" s="229" t="s">
        <v>13329</v>
      </c>
      <c r="UVJ3" s="230"/>
      <c r="UVK3" s="230"/>
      <c r="UVL3" s="231"/>
      <c r="UVM3" s="229" t="s">
        <v>13329</v>
      </c>
      <c r="UVN3" s="230"/>
      <c r="UVO3" s="230"/>
      <c r="UVP3" s="231"/>
      <c r="UVQ3" s="229" t="s">
        <v>13329</v>
      </c>
      <c r="UVR3" s="230"/>
      <c r="UVS3" s="230"/>
      <c r="UVT3" s="231"/>
      <c r="UVU3" s="229" t="s">
        <v>13329</v>
      </c>
      <c r="UVV3" s="230"/>
      <c r="UVW3" s="230"/>
      <c r="UVX3" s="231"/>
      <c r="UVY3" s="229" t="s">
        <v>13329</v>
      </c>
      <c r="UVZ3" s="230"/>
      <c r="UWA3" s="230"/>
      <c r="UWB3" s="231"/>
      <c r="UWC3" s="229" t="s">
        <v>13329</v>
      </c>
      <c r="UWD3" s="230"/>
      <c r="UWE3" s="230"/>
      <c r="UWF3" s="231"/>
      <c r="UWG3" s="229" t="s">
        <v>13329</v>
      </c>
      <c r="UWH3" s="230"/>
      <c r="UWI3" s="230"/>
      <c r="UWJ3" s="231"/>
      <c r="UWK3" s="229" t="s">
        <v>13329</v>
      </c>
      <c r="UWL3" s="230"/>
      <c r="UWM3" s="230"/>
      <c r="UWN3" s="231"/>
      <c r="UWO3" s="229" t="s">
        <v>13329</v>
      </c>
      <c r="UWP3" s="230"/>
      <c r="UWQ3" s="230"/>
      <c r="UWR3" s="231"/>
      <c r="UWS3" s="229" t="s">
        <v>13329</v>
      </c>
      <c r="UWT3" s="230"/>
      <c r="UWU3" s="230"/>
      <c r="UWV3" s="231"/>
      <c r="UWW3" s="229" t="s">
        <v>13329</v>
      </c>
      <c r="UWX3" s="230"/>
      <c r="UWY3" s="230"/>
      <c r="UWZ3" s="231"/>
      <c r="UXA3" s="229" t="s">
        <v>13329</v>
      </c>
      <c r="UXB3" s="230"/>
      <c r="UXC3" s="230"/>
      <c r="UXD3" s="231"/>
      <c r="UXE3" s="229" t="s">
        <v>13329</v>
      </c>
      <c r="UXF3" s="230"/>
      <c r="UXG3" s="230"/>
      <c r="UXH3" s="231"/>
      <c r="UXI3" s="229" t="s">
        <v>13329</v>
      </c>
      <c r="UXJ3" s="230"/>
      <c r="UXK3" s="230"/>
      <c r="UXL3" s="231"/>
      <c r="UXM3" s="229" t="s">
        <v>13329</v>
      </c>
      <c r="UXN3" s="230"/>
      <c r="UXO3" s="230"/>
      <c r="UXP3" s="231"/>
      <c r="UXQ3" s="229" t="s">
        <v>13329</v>
      </c>
      <c r="UXR3" s="230"/>
      <c r="UXS3" s="230"/>
      <c r="UXT3" s="231"/>
      <c r="UXU3" s="229" t="s">
        <v>13329</v>
      </c>
      <c r="UXV3" s="230"/>
      <c r="UXW3" s="230"/>
      <c r="UXX3" s="231"/>
      <c r="UXY3" s="229" t="s">
        <v>13329</v>
      </c>
      <c r="UXZ3" s="230"/>
      <c r="UYA3" s="230"/>
      <c r="UYB3" s="231"/>
      <c r="UYC3" s="229" t="s">
        <v>13329</v>
      </c>
      <c r="UYD3" s="230"/>
      <c r="UYE3" s="230"/>
      <c r="UYF3" s="231"/>
      <c r="UYG3" s="229" t="s">
        <v>13329</v>
      </c>
      <c r="UYH3" s="230"/>
      <c r="UYI3" s="230"/>
      <c r="UYJ3" s="231"/>
      <c r="UYK3" s="229" t="s">
        <v>13329</v>
      </c>
      <c r="UYL3" s="230"/>
      <c r="UYM3" s="230"/>
      <c r="UYN3" s="231"/>
      <c r="UYO3" s="229" t="s">
        <v>13329</v>
      </c>
      <c r="UYP3" s="230"/>
      <c r="UYQ3" s="230"/>
      <c r="UYR3" s="231"/>
      <c r="UYS3" s="229" t="s">
        <v>13329</v>
      </c>
      <c r="UYT3" s="230"/>
      <c r="UYU3" s="230"/>
      <c r="UYV3" s="231"/>
      <c r="UYW3" s="229" t="s">
        <v>13329</v>
      </c>
      <c r="UYX3" s="230"/>
      <c r="UYY3" s="230"/>
      <c r="UYZ3" s="231"/>
      <c r="UZA3" s="229" t="s">
        <v>13329</v>
      </c>
      <c r="UZB3" s="230"/>
      <c r="UZC3" s="230"/>
      <c r="UZD3" s="231"/>
      <c r="UZE3" s="229" t="s">
        <v>13329</v>
      </c>
      <c r="UZF3" s="230"/>
      <c r="UZG3" s="230"/>
      <c r="UZH3" s="231"/>
      <c r="UZI3" s="229" t="s">
        <v>13329</v>
      </c>
      <c r="UZJ3" s="230"/>
      <c r="UZK3" s="230"/>
      <c r="UZL3" s="231"/>
      <c r="UZM3" s="229" t="s">
        <v>13329</v>
      </c>
      <c r="UZN3" s="230"/>
      <c r="UZO3" s="230"/>
      <c r="UZP3" s="231"/>
      <c r="UZQ3" s="229" t="s">
        <v>13329</v>
      </c>
      <c r="UZR3" s="230"/>
      <c r="UZS3" s="230"/>
      <c r="UZT3" s="231"/>
      <c r="UZU3" s="229" t="s">
        <v>13329</v>
      </c>
      <c r="UZV3" s="230"/>
      <c r="UZW3" s="230"/>
      <c r="UZX3" s="231"/>
      <c r="UZY3" s="229" t="s">
        <v>13329</v>
      </c>
      <c r="UZZ3" s="230"/>
      <c r="VAA3" s="230"/>
      <c r="VAB3" s="231"/>
      <c r="VAC3" s="229" t="s">
        <v>13329</v>
      </c>
      <c r="VAD3" s="230"/>
      <c r="VAE3" s="230"/>
      <c r="VAF3" s="231"/>
      <c r="VAG3" s="229" t="s">
        <v>13329</v>
      </c>
      <c r="VAH3" s="230"/>
      <c r="VAI3" s="230"/>
      <c r="VAJ3" s="231"/>
      <c r="VAK3" s="229" t="s">
        <v>13329</v>
      </c>
      <c r="VAL3" s="230"/>
      <c r="VAM3" s="230"/>
      <c r="VAN3" s="231"/>
      <c r="VAO3" s="229" t="s">
        <v>13329</v>
      </c>
      <c r="VAP3" s="230"/>
      <c r="VAQ3" s="230"/>
      <c r="VAR3" s="231"/>
      <c r="VAS3" s="229" t="s">
        <v>13329</v>
      </c>
      <c r="VAT3" s="230"/>
      <c r="VAU3" s="230"/>
      <c r="VAV3" s="231"/>
      <c r="VAW3" s="229" t="s">
        <v>13329</v>
      </c>
      <c r="VAX3" s="230"/>
      <c r="VAY3" s="230"/>
      <c r="VAZ3" s="231"/>
      <c r="VBA3" s="229" t="s">
        <v>13329</v>
      </c>
      <c r="VBB3" s="230"/>
      <c r="VBC3" s="230"/>
      <c r="VBD3" s="231"/>
      <c r="VBE3" s="229" t="s">
        <v>13329</v>
      </c>
      <c r="VBF3" s="230"/>
      <c r="VBG3" s="230"/>
      <c r="VBH3" s="231"/>
      <c r="VBI3" s="229" t="s">
        <v>13329</v>
      </c>
      <c r="VBJ3" s="230"/>
      <c r="VBK3" s="230"/>
      <c r="VBL3" s="231"/>
      <c r="VBM3" s="229" t="s">
        <v>13329</v>
      </c>
      <c r="VBN3" s="230"/>
      <c r="VBO3" s="230"/>
      <c r="VBP3" s="231"/>
      <c r="VBQ3" s="229" t="s">
        <v>13329</v>
      </c>
      <c r="VBR3" s="230"/>
      <c r="VBS3" s="230"/>
      <c r="VBT3" s="231"/>
      <c r="VBU3" s="229" t="s">
        <v>13329</v>
      </c>
      <c r="VBV3" s="230"/>
      <c r="VBW3" s="230"/>
      <c r="VBX3" s="231"/>
      <c r="VBY3" s="229" t="s">
        <v>13329</v>
      </c>
      <c r="VBZ3" s="230"/>
      <c r="VCA3" s="230"/>
      <c r="VCB3" s="231"/>
      <c r="VCC3" s="229" t="s">
        <v>13329</v>
      </c>
      <c r="VCD3" s="230"/>
      <c r="VCE3" s="230"/>
      <c r="VCF3" s="231"/>
      <c r="VCG3" s="229" t="s">
        <v>13329</v>
      </c>
      <c r="VCH3" s="230"/>
      <c r="VCI3" s="230"/>
      <c r="VCJ3" s="231"/>
      <c r="VCK3" s="229" t="s">
        <v>13329</v>
      </c>
      <c r="VCL3" s="230"/>
      <c r="VCM3" s="230"/>
      <c r="VCN3" s="231"/>
      <c r="VCO3" s="229" t="s">
        <v>13329</v>
      </c>
      <c r="VCP3" s="230"/>
      <c r="VCQ3" s="230"/>
      <c r="VCR3" s="231"/>
      <c r="VCS3" s="229" t="s">
        <v>13329</v>
      </c>
      <c r="VCT3" s="230"/>
      <c r="VCU3" s="230"/>
      <c r="VCV3" s="231"/>
      <c r="VCW3" s="229" t="s">
        <v>13329</v>
      </c>
      <c r="VCX3" s="230"/>
      <c r="VCY3" s="230"/>
      <c r="VCZ3" s="231"/>
      <c r="VDA3" s="229" t="s">
        <v>13329</v>
      </c>
      <c r="VDB3" s="230"/>
      <c r="VDC3" s="230"/>
      <c r="VDD3" s="231"/>
      <c r="VDE3" s="229" t="s">
        <v>13329</v>
      </c>
      <c r="VDF3" s="230"/>
      <c r="VDG3" s="230"/>
      <c r="VDH3" s="231"/>
      <c r="VDI3" s="229" t="s">
        <v>13329</v>
      </c>
      <c r="VDJ3" s="230"/>
      <c r="VDK3" s="230"/>
      <c r="VDL3" s="231"/>
      <c r="VDM3" s="229" t="s">
        <v>13329</v>
      </c>
      <c r="VDN3" s="230"/>
      <c r="VDO3" s="230"/>
      <c r="VDP3" s="231"/>
      <c r="VDQ3" s="229" t="s">
        <v>13329</v>
      </c>
      <c r="VDR3" s="230"/>
      <c r="VDS3" s="230"/>
      <c r="VDT3" s="231"/>
      <c r="VDU3" s="229" t="s">
        <v>13329</v>
      </c>
      <c r="VDV3" s="230"/>
      <c r="VDW3" s="230"/>
      <c r="VDX3" s="231"/>
      <c r="VDY3" s="229" t="s">
        <v>13329</v>
      </c>
      <c r="VDZ3" s="230"/>
      <c r="VEA3" s="230"/>
      <c r="VEB3" s="231"/>
      <c r="VEC3" s="229" t="s">
        <v>13329</v>
      </c>
      <c r="VED3" s="230"/>
      <c r="VEE3" s="230"/>
      <c r="VEF3" s="231"/>
      <c r="VEG3" s="229" t="s">
        <v>13329</v>
      </c>
      <c r="VEH3" s="230"/>
      <c r="VEI3" s="230"/>
      <c r="VEJ3" s="231"/>
      <c r="VEK3" s="229" t="s">
        <v>13329</v>
      </c>
      <c r="VEL3" s="230"/>
      <c r="VEM3" s="230"/>
      <c r="VEN3" s="231"/>
      <c r="VEO3" s="229" t="s">
        <v>13329</v>
      </c>
      <c r="VEP3" s="230"/>
      <c r="VEQ3" s="230"/>
      <c r="VER3" s="231"/>
      <c r="VES3" s="229" t="s">
        <v>13329</v>
      </c>
      <c r="VET3" s="230"/>
      <c r="VEU3" s="230"/>
      <c r="VEV3" s="231"/>
      <c r="VEW3" s="229" t="s">
        <v>13329</v>
      </c>
      <c r="VEX3" s="230"/>
      <c r="VEY3" s="230"/>
      <c r="VEZ3" s="231"/>
      <c r="VFA3" s="229" t="s">
        <v>13329</v>
      </c>
      <c r="VFB3" s="230"/>
      <c r="VFC3" s="230"/>
      <c r="VFD3" s="231"/>
      <c r="VFE3" s="229" t="s">
        <v>13329</v>
      </c>
      <c r="VFF3" s="230"/>
      <c r="VFG3" s="230"/>
      <c r="VFH3" s="231"/>
      <c r="VFI3" s="229" t="s">
        <v>13329</v>
      </c>
      <c r="VFJ3" s="230"/>
      <c r="VFK3" s="230"/>
      <c r="VFL3" s="231"/>
      <c r="VFM3" s="229" t="s">
        <v>13329</v>
      </c>
      <c r="VFN3" s="230"/>
      <c r="VFO3" s="230"/>
      <c r="VFP3" s="231"/>
      <c r="VFQ3" s="229" t="s">
        <v>13329</v>
      </c>
      <c r="VFR3" s="230"/>
      <c r="VFS3" s="230"/>
      <c r="VFT3" s="231"/>
      <c r="VFU3" s="229" t="s">
        <v>13329</v>
      </c>
      <c r="VFV3" s="230"/>
      <c r="VFW3" s="230"/>
      <c r="VFX3" s="231"/>
      <c r="VFY3" s="229" t="s">
        <v>13329</v>
      </c>
      <c r="VFZ3" s="230"/>
      <c r="VGA3" s="230"/>
      <c r="VGB3" s="231"/>
      <c r="VGC3" s="229" t="s">
        <v>13329</v>
      </c>
      <c r="VGD3" s="230"/>
      <c r="VGE3" s="230"/>
      <c r="VGF3" s="231"/>
      <c r="VGG3" s="229" t="s">
        <v>13329</v>
      </c>
      <c r="VGH3" s="230"/>
      <c r="VGI3" s="230"/>
      <c r="VGJ3" s="231"/>
      <c r="VGK3" s="229" t="s">
        <v>13329</v>
      </c>
      <c r="VGL3" s="230"/>
      <c r="VGM3" s="230"/>
      <c r="VGN3" s="231"/>
      <c r="VGO3" s="229" t="s">
        <v>13329</v>
      </c>
      <c r="VGP3" s="230"/>
      <c r="VGQ3" s="230"/>
      <c r="VGR3" s="231"/>
      <c r="VGS3" s="229" t="s">
        <v>13329</v>
      </c>
      <c r="VGT3" s="230"/>
      <c r="VGU3" s="230"/>
      <c r="VGV3" s="231"/>
      <c r="VGW3" s="229" t="s">
        <v>13329</v>
      </c>
      <c r="VGX3" s="230"/>
      <c r="VGY3" s="230"/>
      <c r="VGZ3" s="231"/>
      <c r="VHA3" s="229" t="s">
        <v>13329</v>
      </c>
      <c r="VHB3" s="230"/>
      <c r="VHC3" s="230"/>
      <c r="VHD3" s="231"/>
      <c r="VHE3" s="229" t="s">
        <v>13329</v>
      </c>
      <c r="VHF3" s="230"/>
      <c r="VHG3" s="230"/>
      <c r="VHH3" s="231"/>
      <c r="VHI3" s="229" t="s">
        <v>13329</v>
      </c>
      <c r="VHJ3" s="230"/>
      <c r="VHK3" s="230"/>
      <c r="VHL3" s="231"/>
      <c r="VHM3" s="229" t="s">
        <v>13329</v>
      </c>
      <c r="VHN3" s="230"/>
      <c r="VHO3" s="230"/>
      <c r="VHP3" s="231"/>
      <c r="VHQ3" s="229" t="s">
        <v>13329</v>
      </c>
      <c r="VHR3" s="230"/>
      <c r="VHS3" s="230"/>
      <c r="VHT3" s="231"/>
      <c r="VHU3" s="229" t="s">
        <v>13329</v>
      </c>
      <c r="VHV3" s="230"/>
      <c r="VHW3" s="230"/>
      <c r="VHX3" s="231"/>
      <c r="VHY3" s="229" t="s">
        <v>13329</v>
      </c>
      <c r="VHZ3" s="230"/>
      <c r="VIA3" s="230"/>
      <c r="VIB3" s="231"/>
      <c r="VIC3" s="229" t="s">
        <v>13329</v>
      </c>
      <c r="VID3" s="230"/>
      <c r="VIE3" s="230"/>
      <c r="VIF3" s="231"/>
      <c r="VIG3" s="229" t="s">
        <v>13329</v>
      </c>
      <c r="VIH3" s="230"/>
      <c r="VII3" s="230"/>
      <c r="VIJ3" s="231"/>
      <c r="VIK3" s="229" t="s">
        <v>13329</v>
      </c>
      <c r="VIL3" s="230"/>
      <c r="VIM3" s="230"/>
      <c r="VIN3" s="231"/>
      <c r="VIO3" s="229" t="s">
        <v>13329</v>
      </c>
      <c r="VIP3" s="230"/>
      <c r="VIQ3" s="230"/>
      <c r="VIR3" s="231"/>
      <c r="VIS3" s="229" t="s">
        <v>13329</v>
      </c>
      <c r="VIT3" s="230"/>
      <c r="VIU3" s="230"/>
      <c r="VIV3" s="231"/>
      <c r="VIW3" s="229" t="s">
        <v>13329</v>
      </c>
      <c r="VIX3" s="230"/>
      <c r="VIY3" s="230"/>
      <c r="VIZ3" s="231"/>
      <c r="VJA3" s="229" t="s">
        <v>13329</v>
      </c>
      <c r="VJB3" s="230"/>
      <c r="VJC3" s="230"/>
      <c r="VJD3" s="231"/>
      <c r="VJE3" s="229" t="s">
        <v>13329</v>
      </c>
      <c r="VJF3" s="230"/>
      <c r="VJG3" s="230"/>
      <c r="VJH3" s="231"/>
      <c r="VJI3" s="229" t="s">
        <v>13329</v>
      </c>
      <c r="VJJ3" s="230"/>
      <c r="VJK3" s="230"/>
      <c r="VJL3" s="231"/>
      <c r="VJM3" s="229" t="s">
        <v>13329</v>
      </c>
      <c r="VJN3" s="230"/>
      <c r="VJO3" s="230"/>
      <c r="VJP3" s="231"/>
      <c r="VJQ3" s="229" t="s">
        <v>13329</v>
      </c>
      <c r="VJR3" s="230"/>
      <c r="VJS3" s="230"/>
      <c r="VJT3" s="231"/>
      <c r="VJU3" s="229" t="s">
        <v>13329</v>
      </c>
      <c r="VJV3" s="230"/>
      <c r="VJW3" s="230"/>
      <c r="VJX3" s="231"/>
      <c r="VJY3" s="229" t="s">
        <v>13329</v>
      </c>
      <c r="VJZ3" s="230"/>
      <c r="VKA3" s="230"/>
      <c r="VKB3" s="231"/>
      <c r="VKC3" s="229" t="s">
        <v>13329</v>
      </c>
      <c r="VKD3" s="230"/>
      <c r="VKE3" s="230"/>
      <c r="VKF3" s="231"/>
      <c r="VKG3" s="229" t="s">
        <v>13329</v>
      </c>
      <c r="VKH3" s="230"/>
      <c r="VKI3" s="230"/>
      <c r="VKJ3" s="231"/>
      <c r="VKK3" s="229" t="s">
        <v>13329</v>
      </c>
      <c r="VKL3" s="230"/>
      <c r="VKM3" s="230"/>
      <c r="VKN3" s="231"/>
      <c r="VKO3" s="229" t="s">
        <v>13329</v>
      </c>
      <c r="VKP3" s="230"/>
      <c r="VKQ3" s="230"/>
      <c r="VKR3" s="231"/>
      <c r="VKS3" s="229" t="s">
        <v>13329</v>
      </c>
      <c r="VKT3" s="230"/>
      <c r="VKU3" s="230"/>
      <c r="VKV3" s="231"/>
      <c r="VKW3" s="229" t="s">
        <v>13329</v>
      </c>
      <c r="VKX3" s="230"/>
      <c r="VKY3" s="230"/>
      <c r="VKZ3" s="231"/>
      <c r="VLA3" s="229" t="s">
        <v>13329</v>
      </c>
      <c r="VLB3" s="230"/>
      <c r="VLC3" s="230"/>
      <c r="VLD3" s="231"/>
      <c r="VLE3" s="229" t="s">
        <v>13329</v>
      </c>
      <c r="VLF3" s="230"/>
      <c r="VLG3" s="230"/>
      <c r="VLH3" s="231"/>
      <c r="VLI3" s="229" t="s">
        <v>13329</v>
      </c>
      <c r="VLJ3" s="230"/>
      <c r="VLK3" s="230"/>
      <c r="VLL3" s="231"/>
      <c r="VLM3" s="229" t="s">
        <v>13329</v>
      </c>
      <c r="VLN3" s="230"/>
      <c r="VLO3" s="230"/>
      <c r="VLP3" s="231"/>
      <c r="VLQ3" s="229" t="s">
        <v>13329</v>
      </c>
      <c r="VLR3" s="230"/>
      <c r="VLS3" s="230"/>
      <c r="VLT3" s="231"/>
      <c r="VLU3" s="229" t="s">
        <v>13329</v>
      </c>
      <c r="VLV3" s="230"/>
      <c r="VLW3" s="230"/>
      <c r="VLX3" s="231"/>
      <c r="VLY3" s="229" t="s">
        <v>13329</v>
      </c>
      <c r="VLZ3" s="230"/>
      <c r="VMA3" s="230"/>
      <c r="VMB3" s="231"/>
      <c r="VMC3" s="229" t="s">
        <v>13329</v>
      </c>
      <c r="VMD3" s="230"/>
      <c r="VME3" s="230"/>
      <c r="VMF3" s="231"/>
      <c r="VMG3" s="229" t="s">
        <v>13329</v>
      </c>
      <c r="VMH3" s="230"/>
      <c r="VMI3" s="230"/>
      <c r="VMJ3" s="231"/>
      <c r="VMK3" s="229" t="s">
        <v>13329</v>
      </c>
      <c r="VML3" s="230"/>
      <c r="VMM3" s="230"/>
      <c r="VMN3" s="231"/>
      <c r="VMO3" s="229" t="s">
        <v>13329</v>
      </c>
      <c r="VMP3" s="230"/>
      <c r="VMQ3" s="230"/>
      <c r="VMR3" s="231"/>
      <c r="VMS3" s="229" t="s">
        <v>13329</v>
      </c>
      <c r="VMT3" s="230"/>
      <c r="VMU3" s="230"/>
      <c r="VMV3" s="231"/>
      <c r="VMW3" s="229" t="s">
        <v>13329</v>
      </c>
      <c r="VMX3" s="230"/>
      <c r="VMY3" s="230"/>
      <c r="VMZ3" s="231"/>
      <c r="VNA3" s="229" t="s">
        <v>13329</v>
      </c>
      <c r="VNB3" s="230"/>
      <c r="VNC3" s="230"/>
      <c r="VND3" s="231"/>
      <c r="VNE3" s="229" t="s">
        <v>13329</v>
      </c>
      <c r="VNF3" s="230"/>
      <c r="VNG3" s="230"/>
      <c r="VNH3" s="231"/>
      <c r="VNI3" s="229" t="s">
        <v>13329</v>
      </c>
      <c r="VNJ3" s="230"/>
      <c r="VNK3" s="230"/>
      <c r="VNL3" s="231"/>
      <c r="VNM3" s="229" t="s">
        <v>13329</v>
      </c>
      <c r="VNN3" s="230"/>
      <c r="VNO3" s="230"/>
      <c r="VNP3" s="231"/>
      <c r="VNQ3" s="229" t="s">
        <v>13329</v>
      </c>
      <c r="VNR3" s="230"/>
      <c r="VNS3" s="230"/>
      <c r="VNT3" s="231"/>
      <c r="VNU3" s="229" t="s">
        <v>13329</v>
      </c>
      <c r="VNV3" s="230"/>
      <c r="VNW3" s="230"/>
      <c r="VNX3" s="231"/>
      <c r="VNY3" s="229" t="s">
        <v>13329</v>
      </c>
      <c r="VNZ3" s="230"/>
      <c r="VOA3" s="230"/>
      <c r="VOB3" s="231"/>
      <c r="VOC3" s="229" t="s">
        <v>13329</v>
      </c>
      <c r="VOD3" s="230"/>
      <c r="VOE3" s="230"/>
      <c r="VOF3" s="231"/>
      <c r="VOG3" s="229" t="s">
        <v>13329</v>
      </c>
      <c r="VOH3" s="230"/>
      <c r="VOI3" s="230"/>
      <c r="VOJ3" s="231"/>
      <c r="VOK3" s="229" t="s">
        <v>13329</v>
      </c>
      <c r="VOL3" s="230"/>
      <c r="VOM3" s="230"/>
      <c r="VON3" s="231"/>
      <c r="VOO3" s="229" t="s">
        <v>13329</v>
      </c>
      <c r="VOP3" s="230"/>
      <c r="VOQ3" s="230"/>
      <c r="VOR3" s="231"/>
      <c r="VOS3" s="229" t="s">
        <v>13329</v>
      </c>
      <c r="VOT3" s="230"/>
      <c r="VOU3" s="230"/>
      <c r="VOV3" s="231"/>
      <c r="VOW3" s="229" t="s">
        <v>13329</v>
      </c>
      <c r="VOX3" s="230"/>
      <c r="VOY3" s="230"/>
      <c r="VOZ3" s="231"/>
      <c r="VPA3" s="229" t="s">
        <v>13329</v>
      </c>
      <c r="VPB3" s="230"/>
      <c r="VPC3" s="230"/>
      <c r="VPD3" s="231"/>
      <c r="VPE3" s="229" t="s">
        <v>13329</v>
      </c>
      <c r="VPF3" s="230"/>
      <c r="VPG3" s="230"/>
      <c r="VPH3" s="231"/>
      <c r="VPI3" s="229" t="s">
        <v>13329</v>
      </c>
      <c r="VPJ3" s="230"/>
      <c r="VPK3" s="230"/>
      <c r="VPL3" s="231"/>
      <c r="VPM3" s="229" t="s">
        <v>13329</v>
      </c>
      <c r="VPN3" s="230"/>
      <c r="VPO3" s="230"/>
      <c r="VPP3" s="231"/>
      <c r="VPQ3" s="229" t="s">
        <v>13329</v>
      </c>
      <c r="VPR3" s="230"/>
      <c r="VPS3" s="230"/>
      <c r="VPT3" s="231"/>
      <c r="VPU3" s="229" t="s">
        <v>13329</v>
      </c>
      <c r="VPV3" s="230"/>
      <c r="VPW3" s="230"/>
      <c r="VPX3" s="231"/>
      <c r="VPY3" s="229" t="s">
        <v>13329</v>
      </c>
      <c r="VPZ3" s="230"/>
      <c r="VQA3" s="230"/>
      <c r="VQB3" s="231"/>
      <c r="VQC3" s="229" t="s">
        <v>13329</v>
      </c>
      <c r="VQD3" s="230"/>
      <c r="VQE3" s="230"/>
      <c r="VQF3" s="231"/>
      <c r="VQG3" s="229" t="s">
        <v>13329</v>
      </c>
      <c r="VQH3" s="230"/>
      <c r="VQI3" s="230"/>
      <c r="VQJ3" s="231"/>
      <c r="VQK3" s="229" t="s">
        <v>13329</v>
      </c>
      <c r="VQL3" s="230"/>
      <c r="VQM3" s="230"/>
      <c r="VQN3" s="231"/>
      <c r="VQO3" s="229" t="s">
        <v>13329</v>
      </c>
      <c r="VQP3" s="230"/>
      <c r="VQQ3" s="230"/>
      <c r="VQR3" s="231"/>
      <c r="VQS3" s="229" t="s">
        <v>13329</v>
      </c>
      <c r="VQT3" s="230"/>
      <c r="VQU3" s="230"/>
      <c r="VQV3" s="231"/>
      <c r="VQW3" s="229" t="s">
        <v>13329</v>
      </c>
      <c r="VQX3" s="230"/>
      <c r="VQY3" s="230"/>
      <c r="VQZ3" s="231"/>
      <c r="VRA3" s="229" t="s">
        <v>13329</v>
      </c>
      <c r="VRB3" s="230"/>
      <c r="VRC3" s="230"/>
      <c r="VRD3" s="231"/>
      <c r="VRE3" s="229" t="s">
        <v>13329</v>
      </c>
      <c r="VRF3" s="230"/>
      <c r="VRG3" s="230"/>
      <c r="VRH3" s="231"/>
      <c r="VRI3" s="229" t="s">
        <v>13329</v>
      </c>
      <c r="VRJ3" s="230"/>
      <c r="VRK3" s="230"/>
      <c r="VRL3" s="231"/>
      <c r="VRM3" s="229" t="s">
        <v>13329</v>
      </c>
      <c r="VRN3" s="230"/>
      <c r="VRO3" s="230"/>
      <c r="VRP3" s="231"/>
      <c r="VRQ3" s="229" t="s">
        <v>13329</v>
      </c>
      <c r="VRR3" s="230"/>
      <c r="VRS3" s="230"/>
      <c r="VRT3" s="231"/>
      <c r="VRU3" s="229" t="s">
        <v>13329</v>
      </c>
      <c r="VRV3" s="230"/>
      <c r="VRW3" s="230"/>
      <c r="VRX3" s="231"/>
      <c r="VRY3" s="229" t="s">
        <v>13329</v>
      </c>
      <c r="VRZ3" s="230"/>
      <c r="VSA3" s="230"/>
      <c r="VSB3" s="231"/>
      <c r="VSC3" s="229" t="s">
        <v>13329</v>
      </c>
      <c r="VSD3" s="230"/>
      <c r="VSE3" s="230"/>
      <c r="VSF3" s="231"/>
      <c r="VSG3" s="229" t="s">
        <v>13329</v>
      </c>
      <c r="VSH3" s="230"/>
      <c r="VSI3" s="230"/>
      <c r="VSJ3" s="231"/>
      <c r="VSK3" s="229" t="s">
        <v>13329</v>
      </c>
      <c r="VSL3" s="230"/>
      <c r="VSM3" s="230"/>
      <c r="VSN3" s="231"/>
      <c r="VSO3" s="229" t="s">
        <v>13329</v>
      </c>
      <c r="VSP3" s="230"/>
      <c r="VSQ3" s="230"/>
      <c r="VSR3" s="231"/>
      <c r="VSS3" s="229" t="s">
        <v>13329</v>
      </c>
      <c r="VST3" s="230"/>
      <c r="VSU3" s="230"/>
      <c r="VSV3" s="231"/>
      <c r="VSW3" s="229" t="s">
        <v>13329</v>
      </c>
      <c r="VSX3" s="230"/>
      <c r="VSY3" s="230"/>
      <c r="VSZ3" s="231"/>
      <c r="VTA3" s="229" t="s">
        <v>13329</v>
      </c>
      <c r="VTB3" s="230"/>
      <c r="VTC3" s="230"/>
      <c r="VTD3" s="231"/>
      <c r="VTE3" s="229" t="s">
        <v>13329</v>
      </c>
      <c r="VTF3" s="230"/>
      <c r="VTG3" s="230"/>
      <c r="VTH3" s="231"/>
      <c r="VTI3" s="229" t="s">
        <v>13329</v>
      </c>
      <c r="VTJ3" s="230"/>
      <c r="VTK3" s="230"/>
      <c r="VTL3" s="231"/>
      <c r="VTM3" s="229" t="s">
        <v>13329</v>
      </c>
      <c r="VTN3" s="230"/>
      <c r="VTO3" s="230"/>
      <c r="VTP3" s="231"/>
      <c r="VTQ3" s="229" t="s">
        <v>13329</v>
      </c>
      <c r="VTR3" s="230"/>
      <c r="VTS3" s="230"/>
      <c r="VTT3" s="231"/>
      <c r="VTU3" s="229" t="s">
        <v>13329</v>
      </c>
      <c r="VTV3" s="230"/>
      <c r="VTW3" s="230"/>
      <c r="VTX3" s="231"/>
      <c r="VTY3" s="229" t="s">
        <v>13329</v>
      </c>
      <c r="VTZ3" s="230"/>
      <c r="VUA3" s="230"/>
      <c r="VUB3" s="231"/>
      <c r="VUC3" s="229" t="s">
        <v>13329</v>
      </c>
      <c r="VUD3" s="230"/>
      <c r="VUE3" s="230"/>
      <c r="VUF3" s="231"/>
      <c r="VUG3" s="229" t="s">
        <v>13329</v>
      </c>
      <c r="VUH3" s="230"/>
      <c r="VUI3" s="230"/>
      <c r="VUJ3" s="231"/>
      <c r="VUK3" s="229" t="s">
        <v>13329</v>
      </c>
      <c r="VUL3" s="230"/>
      <c r="VUM3" s="230"/>
      <c r="VUN3" s="231"/>
      <c r="VUO3" s="229" t="s">
        <v>13329</v>
      </c>
      <c r="VUP3" s="230"/>
      <c r="VUQ3" s="230"/>
      <c r="VUR3" s="231"/>
      <c r="VUS3" s="229" t="s">
        <v>13329</v>
      </c>
      <c r="VUT3" s="230"/>
      <c r="VUU3" s="230"/>
      <c r="VUV3" s="231"/>
      <c r="VUW3" s="229" t="s">
        <v>13329</v>
      </c>
      <c r="VUX3" s="230"/>
      <c r="VUY3" s="230"/>
      <c r="VUZ3" s="231"/>
      <c r="VVA3" s="229" t="s">
        <v>13329</v>
      </c>
      <c r="VVB3" s="230"/>
      <c r="VVC3" s="230"/>
      <c r="VVD3" s="231"/>
      <c r="VVE3" s="229" t="s">
        <v>13329</v>
      </c>
      <c r="VVF3" s="230"/>
      <c r="VVG3" s="230"/>
      <c r="VVH3" s="231"/>
      <c r="VVI3" s="229" t="s">
        <v>13329</v>
      </c>
      <c r="VVJ3" s="230"/>
      <c r="VVK3" s="230"/>
      <c r="VVL3" s="231"/>
      <c r="VVM3" s="229" t="s">
        <v>13329</v>
      </c>
      <c r="VVN3" s="230"/>
      <c r="VVO3" s="230"/>
      <c r="VVP3" s="231"/>
      <c r="VVQ3" s="229" t="s">
        <v>13329</v>
      </c>
      <c r="VVR3" s="230"/>
      <c r="VVS3" s="230"/>
      <c r="VVT3" s="231"/>
      <c r="VVU3" s="229" t="s">
        <v>13329</v>
      </c>
      <c r="VVV3" s="230"/>
      <c r="VVW3" s="230"/>
      <c r="VVX3" s="231"/>
      <c r="VVY3" s="229" t="s">
        <v>13329</v>
      </c>
      <c r="VVZ3" s="230"/>
      <c r="VWA3" s="230"/>
      <c r="VWB3" s="231"/>
      <c r="VWC3" s="229" t="s">
        <v>13329</v>
      </c>
      <c r="VWD3" s="230"/>
      <c r="VWE3" s="230"/>
      <c r="VWF3" s="231"/>
      <c r="VWG3" s="229" t="s">
        <v>13329</v>
      </c>
      <c r="VWH3" s="230"/>
      <c r="VWI3" s="230"/>
      <c r="VWJ3" s="231"/>
      <c r="VWK3" s="229" t="s">
        <v>13329</v>
      </c>
      <c r="VWL3" s="230"/>
      <c r="VWM3" s="230"/>
      <c r="VWN3" s="231"/>
      <c r="VWO3" s="229" t="s">
        <v>13329</v>
      </c>
      <c r="VWP3" s="230"/>
      <c r="VWQ3" s="230"/>
      <c r="VWR3" s="231"/>
      <c r="VWS3" s="229" t="s">
        <v>13329</v>
      </c>
      <c r="VWT3" s="230"/>
      <c r="VWU3" s="230"/>
      <c r="VWV3" s="231"/>
      <c r="VWW3" s="229" t="s">
        <v>13329</v>
      </c>
      <c r="VWX3" s="230"/>
      <c r="VWY3" s="230"/>
      <c r="VWZ3" s="231"/>
      <c r="VXA3" s="229" t="s">
        <v>13329</v>
      </c>
      <c r="VXB3" s="230"/>
      <c r="VXC3" s="230"/>
      <c r="VXD3" s="231"/>
      <c r="VXE3" s="229" t="s">
        <v>13329</v>
      </c>
      <c r="VXF3" s="230"/>
      <c r="VXG3" s="230"/>
      <c r="VXH3" s="231"/>
      <c r="VXI3" s="229" t="s">
        <v>13329</v>
      </c>
      <c r="VXJ3" s="230"/>
      <c r="VXK3" s="230"/>
      <c r="VXL3" s="231"/>
      <c r="VXM3" s="229" t="s">
        <v>13329</v>
      </c>
      <c r="VXN3" s="230"/>
      <c r="VXO3" s="230"/>
      <c r="VXP3" s="231"/>
      <c r="VXQ3" s="229" t="s">
        <v>13329</v>
      </c>
      <c r="VXR3" s="230"/>
      <c r="VXS3" s="230"/>
      <c r="VXT3" s="231"/>
      <c r="VXU3" s="229" t="s">
        <v>13329</v>
      </c>
      <c r="VXV3" s="230"/>
      <c r="VXW3" s="230"/>
      <c r="VXX3" s="231"/>
      <c r="VXY3" s="229" t="s">
        <v>13329</v>
      </c>
      <c r="VXZ3" s="230"/>
      <c r="VYA3" s="230"/>
      <c r="VYB3" s="231"/>
      <c r="VYC3" s="229" t="s">
        <v>13329</v>
      </c>
      <c r="VYD3" s="230"/>
      <c r="VYE3" s="230"/>
      <c r="VYF3" s="231"/>
      <c r="VYG3" s="229" t="s">
        <v>13329</v>
      </c>
      <c r="VYH3" s="230"/>
      <c r="VYI3" s="230"/>
      <c r="VYJ3" s="231"/>
      <c r="VYK3" s="229" t="s">
        <v>13329</v>
      </c>
      <c r="VYL3" s="230"/>
      <c r="VYM3" s="230"/>
      <c r="VYN3" s="231"/>
      <c r="VYO3" s="229" t="s">
        <v>13329</v>
      </c>
      <c r="VYP3" s="230"/>
      <c r="VYQ3" s="230"/>
      <c r="VYR3" s="231"/>
      <c r="VYS3" s="229" t="s">
        <v>13329</v>
      </c>
      <c r="VYT3" s="230"/>
      <c r="VYU3" s="230"/>
      <c r="VYV3" s="231"/>
      <c r="VYW3" s="229" t="s">
        <v>13329</v>
      </c>
      <c r="VYX3" s="230"/>
      <c r="VYY3" s="230"/>
      <c r="VYZ3" s="231"/>
      <c r="VZA3" s="229" t="s">
        <v>13329</v>
      </c>
      <c r="VZB3" s="230"/>
      <c r="VZC3" s="230"/>
      <c r="VZD3" s="231"/>
      <c r="VZE3" s="229" t="s">
        <v>13329</v>
      </c>
      <c r="VZF3" s="230"/>
      <c r="VZG3" s="230"/>
      <c r="VZH3" s="231"/>
      <c r="VZI3" s="229" t="s">
        <v>13329</v>
      </c>
      <c r="VZJ3" s="230"/>
      <c r="VZK3" s="230"/>
      <c r="VZL3" s="231"/>
      <c r="VZM3" s="229" t="s">
        <v>13329</v>
      </c>
      <c r="VZN3" s="230"/>
      <c r="VZO3" s="230"/>
      <c r="VZP3" s="231"/>
      <c r="VZQ3" s="229" t="s">
        <v>13329</v>
      </c>
      <c r="VZR3" s="230"/>
      <c r="VZS3" s="230"/>
      <c r="VZT3" s="231"/>
      <c r="VZU3" s="229" t="s">
        <v>13329</v>
      </c>
      <c r="VZV3" s="230"/>
      <c r="VZW3" s="230"/>
      <c r="VZX3" s="231"/>
      <c r="VZY3" s="229" t="s">
        <v>13329</v>
      </c>
      <c r="VZZ3" s="230"/>
      <c r="WAA3" s="230"/>
      <c r="WAB3" s="231"/>
      <c r="WAC3" s="229" t="s">
        <v>13329</v>
      </c>
      <c r="WAD3" s="230"/>
      <c r="WAE3" s="230"/>
      <c r="WAF3" s="231"/>
      <c r="WAG3" s="229" t="s">
        <v>13329</v>
      </c>
      <c r="WAH3" s="230"/>
      <c r="WAI3" s="230"/>
      <c r="WAJ3" s="231"/>
      <c r="WAK3" s="229" t="s">
        <v>13329</v>
      </c>
      <c r="WAL3" s="230"/>
      <c r="WAM3" s="230"/>
      <c r="WAN3" s="231"/>
      <c r="WAO3" s="229" t="s">
        <v>13329</v>
      </c>
      <c r="WAP3" s="230"/>
      <c r="WAQ3" s="230"/>
      <c r="WAR3" s="231"/>
      <c r="WAS3" s="229" t="s">
        <v>13329</v>
      </c>
      <c r="WAT3" s="230"/>
      <c r="WAU3" s="230"/>
      <c r="WAV3" s="231"/>
      <c r="WAW3" s="229" t="s">
        <v>13329</v>
      </c>
      <c r="WAX3" s="230"/>
      <c r="WAY3" s="230"/>
      <c r="WAZ3" s="231"/>
      <c r="WBA3" s="229" t="s">
        <v>13329</v>
      </c>
      <c r="WBB3" s="230"/>
      <c r="WBC3" s="230"/>
      <c r="WBD3" s="231"/>
      <c r="WBE3" s="229" t="s">
        <v>13329</v>
      </c>
      <c r="WBF3" s="230"/>
      <c r="WBG3" s="230"/>
      <c r="WBH3" s="231"/>
      <c r="WBI3" s="229" t="s">
        <v>13329</v>
      </c>
      <c r="WBJ3" s="230"/>
      <c r="WBK3" s="230"/>
      <c r="WBL3" s="231"/>
      <c r="WBM3" s="229" t="s">
        <v>13329</v>
      </c>
      <c r="WBN3" s="230"/>
      <c r="WBO3" s="230"/>
      <c r="WBP3" s="231"/>
      <c r="WBQ3" s="229" t="s">
        <v>13329</v>
      </c>
      <c r="WBR3" s="230"/>
      <c r="WBS3" s="230"/>
      <c r="WBT3" s="231"/>
      <c r="WBU3" s="229" t="s">
        <v>13329</v>
      </c>
      <c r="WBV3" s="230"/>
      <c r="WBW3" s="230"/>
      <c r="WBX3" s="231"/>
      <c r="WBY3" s="229" t="s">
        <v>13329</v>
      </c>
      <c r="WBZ3" s="230"/>
      <c r="WCA3" s="230"/>
      <c r="WCB3" s="231"/>
      <c r="WCC3" s="229" t="s">
        <v>13329</v>
      </c>
      <c r="WCD3" s="230"/>
      <c r="WCE3" s="230"/>
      <c r="WCF3" s="231"/>
      <c r="WCG3" s="229" t="s">
        <v>13329</v>
      </c>
      <c r="WCH3" s="230"/>
      <c r="WCI3" s="230"/>
      <c r="WCJ3" s="231"/>
      <c r="WCK3" s="229" t="s">
        <v>13329</v>
      </c>
      <c r="WCL3" s="230"/>
      <c r="WCM3" s="230"/>
      <c r="WCN3" s="231"/>
      <c r="WCO3" s="229" t="s">
        <v>13329</v>
      </c>
      <c r="WCP3" s="230"/>
      <c r="WCQ3" s="230"/>
      <c r="WCR3" s="231"/>
      <c r="WCS3" s="229" t="s">
        <v>13329</v>
      </c>
      <c r="WCT3" s="230"/>
      <c r="WCU3" s="230"/>
      <c r="WCV3" s="231"/>
      <c r="WCW3" s="229" t="s">
        <v>13329</v>
      </c>
      <c r="WCX3" s="230"/>
      <c r="WCY3" s="230"/>
      <c r="WCZ3" s="231"/>
      <c r="WDA3" s="229" t="s">
        <v>13329</v>
      </c>
      <c r="WDB3" s="230"/>
      <c r="WDC3" s="230"/>
      <c r="WDD3" s="231"/>
      <c r="WDE3" s="229" t="s">
        <v>13329</v>
      </c>
      <c r="WDF3" s="230"/>
      <c r="WDG3" s="230"/>
      <c r="WDH3" s="231"/>
      <c r="WDI3" s="229" t="s">
        <v>13329</v>
      </c>
      <c r="WDJ3" s="230"/>
      <c r="WDK3" s="230"/>
      <c r="WDL3" s="231"/>
      <c r="WDM3" s="229" t="s">
        <v>13329</v>
      </c>
      <c r="WDN3" s="230"/>
      <c r="WDO3" s="230"/>
      <c r="WDP3" s="231"/>
      <c r="WDQ3" s="229" t="s">
        <v>13329</v>
      </c>
      <c r="WDR3" s="230"/>
      <c r="WDS3" s="230"/>
      <c r="WDT3" s="231"/>
      <c r="WDU3" s="229" t="s">
        <v>13329</v>
      </c>
      <c r="WDV3" s="230"/>
      <c r="WDW3" s="230"/>
      <c r="WDX3" s="231"/>
      <c r="WDY3" s="229" t="s">
        <v>13329</v>
      </c>
      <c r="WDZ3" s="230"/>
      <c r="WEA3" s="230"/>
      <c r="WEB3" s="231"/>
      <c r="WEC3" s="229" t="s">
        <v>13329</v>
      </c>
      <c r="WED3" s="230"/>
      <c r="WEE3" s="230"/>
      <c r="WEF3" s="231"/>
      <c r="WEG3" s="229" t="s">
        <v>13329</v>
      </c>
      <c r="WEH3" s="230"/>
      <c r="WEI3" s="230"/>
      <c r="WEJ3" s="231"/>
      <c r="WEK3" s="229" t="s">
        <v>13329</v>
      </c>
      <c r="WEL3" s="230"/>
      <c r="WEM3" s="230"/>
      <c r="WEN3" s="231"/>
      <c r="WEO3" s="229" t="s">
        <v>13329</v>
      </c>
      <c r="WEP3" s="230"/>
      <c r="WEQ3" s="230"/>
      <c r="WER3" s="231"/>
      <c r="WES3" s="229" t="s">
        <v>13329</v>
      </c>
      <c r="WET3" s="230"/>
      <c r="WEU3" s="230"/>
      <c r="WEV3" s="231"/>
      <c r="WEW3" s="229" t="s">
        <v>13329</v>
      </c>
      <c r="WEX3" s="230"/>
      <c r="WEY3" s="230"/>
      <c r="WEZ3" s="231"/>
      <c r="WFA3" s="229" t="s">
        <v>13329</v>
      </c>
      <c r="WFB3" s="230"/>
      <c r="WFC3" s="230"/>
      <c r="WFD3" s="231"/>
      <c r="WFE3" s="229" t="s">
        <v>13329</v>
      </c>
      <c r="WFF3" s="230"/>
      <c r="WFG3" s="230"/>
      <c r="WFH3" s="231"/>
      <c r="WFI3" s="229" t="s">
        <v>13329</v>
      </c>
      <c r="WFJ3" s="230"/>
      <c r="WFK3" s="230"/>
      <c r="WFL3" s="231"/>
      <c r="WFM3" s="229" t="s">
        <v>13329</v>
      </c>
      <c r="WFN3" s="230"/>
      <c r="WFO3" s="230"/>
      <c r="WFP3" s="231"/>
      <c r="WFQ3" s="229" t="s">
        <v>13329</v>
      </c>
      <c r="WFR3" s="230"/>
      <c r="WFS3" s="230"/>
      <c r="WFT3" s="231"/>
      <c r="WFU3" s="229" t="s">
        <v>13329</v>
      </c>
      <c r="WFV3" s="230"/>
      <c r="WFW3" s="230"/>
      <c r="WFX3" s="231"/>
      <c r="WFY3" s="229" t="s">
        <v>13329</v>
      </c>
      <c r="WFZ3" s="230"/>
      <c r="WGA3" s="230"/>
      <c r="WGB3" s="231"/>
      <c r="WGC3" s="229" t="s">
        <v>13329</v>
      </c>
      <c r="WGD3" s="230"/>
      <c r="WGE3" s="230"/>
      <c r="WGF3" s="231"/>
      <c r="WGG3" s="229" t="s">
        <v>13329</v>
      </c>
      <c r="WGH3" s="230"/>
      <c r="WGI3" s="230"/>
      <c r="WGJ3" s="231"/>
      <c r="WGK3" s="229" t="s">
        <v>13329</v>
      </c>
      <c r="WGL3" s="230"/>
      <c r="WGM3" s="230"/>
      <c r="WGN3" s="231"/>
      <c r="WGO3" s="229" t="s">
        <v>13329</v>
      </c>
      <c r="WGP3" s="230"/>
      <c r="WGQ3" s="230"/>
      <c r="WGR3" s="231"/>
      <c r="WGS3" s="229" t="s">
        <v>13329</v>
      </c>
      <c r="WGT3" s="230"/>
      <c r="WGU3" s="230"/>
      <c r="WGV3" s="231"/>
      <c r="WGW3" s="229" t="s">
        <v>13329</v>
      </c>
      <c r="WGX3" s="230"/>
      <c r="WGY3" s="230"/>
      <c r="WGZ3" s="231"/>
      <c r="WHA3" s="229" t="s">
        <v>13329</v>
      </c>
      <c r="WHB3" s="230"/>
      <c r="WHC3" s="230"/>
      <c r="WHD3" s="231"/>
      <c r="WHE3" s="229" t="s">
        <v>13329</v>
      </c>
      <c r="WHF3" s="230"/>
      <c r="WHG3" s="230"/>
      <c r="WHH3" s="231"/>
      <c r="WHI3" s="229" t="s">
        <v>13329</v>
      </c>
      <c r="WHJ3" s="230"/>
      <c r="WHK3" s="230"/>
      <c r="WHL3" s="231"/>
      <c r="WHM3" s="229" t="s">
        <v>13329</v>
      </c>
      <c r="WHN3" s="230"/>
      <c r="WHO3" s="230"/>
      <c r="WHP3" s="231"/>
      <c r="WHQ3" s="229" t="s">
        <v>13329</v>
      </c>
      <c r="WHR3" s="230"/>
      <c r="WHS3" s="230"/>
      <c r="WHT3" s="231"/>
      <c r="WHU3" s="229" t="s">
        <v>13329</v>
      </c>
      <c r="WHV3" s="230"/>
      <c r="WHW3" s="230"/>
      <c r="WHX3" s="231"/>
      <c r="WHY3" s="229" t="s">
        <v>13329</v>
      </c>
      <c r="WHZ3" s="230"/>
      <c r="WIA3" s="230"/>
      <c r="WIB3" s="231"/>
      <c r="WIC3" s="229" t="s">
        <v>13329</v>
      </c>
      <c r="WID3" s="230"/>
      <c r="WIE3" s="230"/>
      <c r="WIF3" s="231"/>
      <c r="WIG3" s="229" t="s">
        <v>13329</v>
      </c>
      <c r="WIH3" s="230"/>
      <c r="WII3" s="230"/>
      <c r="WIJ3" s="231"/>
      <c r="WIK3" s="229" t="s">
        <v>13329</v>
      </c>
      <c r="WIL3" s="230"/>
      <c r="WIM3" s="230"/>
      <c r="WIN3" s="231"/>
      <c r="WIO3" s="229" t="s">
        <v>13329</v>
      </c>
      <c r="WIP3" s="230"/>
      <c r="WIQ3" s="230"/>
      <c r="WIR3" s="231"/>
      <c r="WIS3" s="229" t="s">
        <v>13329</v>
      </c>
      <c r="WIT3" s="230"/>
      <c r="WIU3" s="230"/>
      <c r="WIV3" s="231"/>
      <c r="WIW3" s="229" t="s">
        <v>13329</v>
      </c>
      <c r="WIX3" s="230"/>
      <c r="WIY3" s="230"/>
      <c r="WIZ3" s="231"/>
      <c r="WJA3" s="229" t="s">
        <v>13329</v>
      </c>
      <c r="WJB3" s="230"/>
      <c r="WJC3" s="230"/>
      <c r="WJD3" s="231"/>
      <c r="WJE3" s="229" t="s">
        <v>13329</v>
      </c>
      <c r="WJF3" s="230"/>
      <c r="WJG3" s="230"/>
      <c r="WJH3" s="231"/>
      <c r="WJI3" s="229" t="s">
        <v>13329</v>
      </c>
      <c r="WJJ3" s="230"/>
      <c r="WJK3" s="230"/>
      <c r="WJL3" s="231"/>
      <c r="WJM3" s="229" t="s">
        <v>13329</v>
      </c>
      <c r="WJN3" s="230"/>
      <c r="WJO3" s="230"/>
      <c r="WJP3" s="231"/>
      <c r="WJQ3" s="229" t="s">
        <v>13329</v>
      </c>
      <c r="WJR3" s="230"/>
      <c r="WJS3" s="230"/>
      <c r="WJT3" s="231"/>
      <c r="WJU3" s="229" t="s">
        <v>13329</v>
      </c>
      <c r="WJV3" s="230"/>
      <c r="WJW3" s="230"/>
      <c r="WJX3" s="231"/>
      <c r="WJY3" s="229" t="s">
        <v>13329</v>
      </c>
      <c r="WJZ3" s="230"/>
      <c r="WKA3" s="230"/>
      <c r="WKB3" s="231"/>
      <c r="WKC3" s="229" t="s">
        <v>13329</v>
      </c>
      <c r="WKD3" s="230"/>
      <c r="WKE3" s="230"/>
      <c r="WKF3" s="231"/>
      <c r="WKG3" s="229" t="s">
        <v>13329</v>
      </c>
      <c r="WKH3" s="230"/>
      <c r="WKI3" s="230"/>
      <c r="WKJ3" s="231"/>
      <c r="WKK3" s="229" t="s">
        <v>13329</v>
      </c>
      <c r="WKL3" s="230"/>
      <c r="WKM3" s="230"/>
      <c r="WKN3" s="231"/>
      <c r="WKO3" s="229" t="s">
        <v>13329</v>
      </c>
      <c r="WKP3" s="230"/>
      <c r="WKQ3" s="230"/>
      <c r="WKR3" s="231"/>
      <c r="WKS3" s="229" t="s">
        <v>13329</v>
      </c>
      <c r="WKT3" s="230"/>
      <c r="WKU3" s="230"/>
      <c r="WKV3" s="231"/>
      <c r="WKW3" s="229" t="s">
        <v>13329</v>
      </c>
      <c r="WKX3" s="230"/>
      <c r="WKY3" s="230"/>
      <c r="WKZ3" s="231"/>
      <c r="WLA3" s="229" t="s">
        <v>13329</v>
      </c>
      <c r="WLB3" s="230"/>
      <c r="WLC3" s="230"/>
      <c r="WLD3" s="231"/>
      <c r="WLE3" s="229" t="s">
        <v>13329</v>
      </c>
      <c r="WLF3" s="230"/>
      <c r="WLG3" s="230"/>
      <c r="WLH3" s="231"/>
      <c r="WLI3" s="229" t="s">
        <v>13329</v>
      </c>
      <c r="WLJ3" s="230"/>
      <c r="WLK3" s="230"/>
      <c r="WLL3" s="231"/>
      <c r="WLM3" s="229" t="s">
        <v>13329</v>
      </c>
      <c r="WLN3" s="230"/>
      <c r="WLO3" s="230"/>
      <c r="WLP3" s="231"/>
      <c r="WLQ3" s="229" t="s">
        <v>13329</v>
      </c>
      <c r="WLR3" s="230"/>
      <c r="WLS3" s="230"/>
      <c r="WLT3" s="231"/>
      <c r="WLU3" s="229" t="s">
        <v>13329</v>
      </c>
      <c r="WLV3" s="230"/>
      <c r="WLW3" s="230"/>
      <c r="WLX3" s="231"/>
      <c r="WLY3" s="229" t="s">
        <v>13329</v>
      </c>
      <c r="WLZ3" s="230"/>
      <c r="WMA3" s="230"/>
      <c r="WMB3" s="231"/>
      <c r="WMC3" s="229" t="s">
        <v>13329</v>
      </c>
      <c r="WMD3" s="230"/>
      <c r="WME3" s="230"/>
      <c r="WMF3" s="231"/>
      <c r="WMG3" s="229" t="s">
        <v>13329</v>
      </c>
      <c r="WMH3" s="230"/>
      <c r="WMI3" s="230"/>
      <c r="WMJ3" s="231"/>
      <c r="WMK3" s="229" t="s">
        <v>13329</v>
      </c>
      <c r="WML3" s="230"/>
      <c r="WMM3" s="230"/>
      <c r="WMN3" s="231"/>
      <c r="WMO3" s="229" t="s">
        <v>13329</v>
      </c>
      <c r="WMP3" s="230"/>
      <c r="WMQ3" s="230"/>
      <c r="WMR3" s="231"/>
      <c r="WMS3" s="229" t="s">
        <v>13329</v>
      </c>
      <c r="WMT3" s="230"/>
      <c r="WMU3" s="230"/>
      <c r="WMV3" s="231"/>
      <c r="WMW3" s="229" t="s">
        <v>13329</v>
      </c>
      <c r="WMX3" s="230"/>
      <c r="WMY3" s="230"/>
      <c r="WMZ3" s="231"/>
      <c r="WNA3" s="229" t="s">
        <v>13329</v>
      </c>
      <c r="WNB3" s="230"/>
      <c r="WNC3" s="230"/>
      <c r="WND3" s="231"/>
      <c r="WNE3" s="229" t="s">
        <v>13329</v>
      </c>
      <c r="WNF3" s="230"/>
      <c r="WNG3" s="230"/>
      <c r="WNH3" s="231"/>
      <c r="WNI3" s="229" t="s">
        <v>13329</v>
      </c>
      <c r="WNJ3" s="230"/>
      <c r="WNK3" s="230"/>
      <c r="WNL3" s="231"/>
      <c r="WNM3" s="229" t="s">
        <v>13329</v>
      </c>
      <c r="WNN3" s="230"/>
      <c r="WNO3" s="230"/>
      <c r="WNP3" s="231"/>
      <c r="WNQ3" s="229" t="s">
        <v>13329</v>
      </c>
      <c r="WNR3" s="230"/>
      <c r="WNS3" s="230"/>
      <c r="WNT3" s="231"/>
      <c r="WNU3" s="229" t="s">
        <v>13329</v>
      </c>
      <c r="WNV3" s="230"/>
      <c r="WNW3" s="230"/>
      <c r="WNX3" s="231"/>
      <c r="WNY3" s="229" t="s">
        <v>13329</v>
      </c>
      <c r="WNZ3" s="230"/>
      <c r="WOA3" s="230"/>
      <c r="WOB3" s="231"/>
      <c r="WOC3" s="229" t="s">
        <v>13329</v>
      </c>
      <c r="WOD3" s="230"/>
      <c r="WOE3" s="230"/>
      <c r="WOF3" s="231"/>
      <c r="WOG3" s="229" t="s">
        <v>13329</v>
      </c>
      <c r="WOH3" s="230"/>
      <c r="WOI3" s="230"/>
      <c r="WOJ3" s="231"/>
      <c r="WOK3" s="229" t="s">
        <v>13329</v>
      </c>
      <c r="WOL3" s="230"/>
      <c r="WOM3" s="230"/>
      <c r="WON3" s="231"/>
      <c r="WOO3" s="229" t="s">
        <v>13329</v>
      </c>
      <c r="WOP3" s="230"/>
      <c r="WOQ3" s="230"/>
      <c r="WOR3" s="231"/>
      <c r="WOS3" s="229" t="s">
        <v>13329</v>
      </c>
      <c r="WOT3" s="230"/>
      <c r="WOU3" s="230"/>
      <c r="WOV3" s="231"/>
      <c r="WOW3" s="229" t="s">
        <v>13329</v>
      </c>
      <c r="WOX3" s="230"/>
      <c r="WOY3" s="230"/>
      <c r="WOZ3" s="231"/>
      <c r="WPA3" s="229" t="s">
        <v>13329</v>
      </c>
      <c r="WPB3" s="230"/>
      <c r="WPC3" s="230"/>
      <c r="WPD3" s="231"/>
      <c r="WPE3" s="229" t="s">
        <v>13329</v>
      </c>
      <c r="WPF3" s="230"/>
      <c r="WPG3" s="230"/>
      <c r="WPH3" s="231"/>
      <c r="WPI3" s="229" t="s">
        <v>13329</v>
      </c>
      <c r="WPJ3" s="230"/>
      <c r="WPK3" s="230"/>
      <c r="WPL3" s="231"/>
      <c r="WPM3" s="229" t="s">
        <v>13329</v>
      </c>
      <c r="WPN3" s="230"/>
      <c r="WPO3" s="230"/>
      <c r="WPP3" s="231"/>
      <c r="WPQ3" s="229" t="s">
        <v>13329</v>
      </c>
      <c r="WPR3" s="230"/>
      <c r="WPS3" s="230"/>
      <c r="WPT3" s="231"/>
      <c r="WPU3" s="229" t="s">
        <v>13329</v>
      </c>
      <c r="WPV3" s="230"/>
      <c r="WPW3" s="230"/>
      <c r="WPX3" s="231"/>
      <c r="WPY3" s="229" t="s">
        <v>13329</v>
      </c>
      <c r="WPZ3" s="230"/>
      <c r="WQA3" s="230"/>
      <c r="WQB3" s="231"/>
      <c r="WQC3" s="229" t="s">
        <v>13329</v>
      </c>
      <c r="WQD3" s="230"/>
      <c r="WQE3" s="230"/>
      <c r="WQF3" s="231"/>
      <c r="WQG3" s="229" t="s">
        <v>13329</v>
      </c>
      <c r="WQH3" s="230"/>
      <c r="WQI3" s="230"/>
      <c r="WQJ3" s="231"/>
      <c r="WQK3" s="229" t="s">
        <v>13329</v>
      </c>
      <c r="WQL3" s="230"/>
      <c r="WQM3" s="230"/>
      <c r="WQN3" s="231"/>
      <c r="WQO3" s="229" t="s">
        <v>13329</v>
      </c>
      <c r="WQP3" s="230"/>
      <c r="WQQ3" s="230"/>
      <c r="WQR3" s="231"/>
      <c r="WQS3" s="229" t="s">
        <v>13329</v>
      </c>
      <c r="WQT3" s="230"/>
      <c r="WQU3" s="230"/>
      <c r="WQV3" s="231"/>
      <c r="WQW3" s="229" t="s">
        <v>13329</v>
      </c>
      <c r="WQX3" s="230"/>
      <c r="WQY3" s="230"/>
      <c r="WQZ3" s="231"/>
      <c r="WRA3" s="229" t="s">
        <v>13329</v>
      </c>
      <c r="WRB3" s="230"/>
      <c r="WRC3" s="230"/>
      <c r="WRD3" s="231"/>
      <c r="WRE3" s="229" t="s">
        <v>13329</v>
      </c>
      <c r="WRF3" s="230"/>
      <c r="WRG3" s="230"/>
      <c r="WRH3" s="231"/>
      <c r="WRI3" s="229" t="s">
        <v>13329</v>
      </c>
      <c r="WRJ3" s="230"/>
      <c r="WRK3" s="230"/>
      <c r="WRL3" s="231"/>
      <c r="WRM3" s="229" t="s">
        <v>13329</v>
      </c>
      <c r="WRN3" s="230"/>
      <c r="WRO3" s="230"/>
      <c r="WRP3" s="231"/>
      <c r="WRQ3" s="229" t="s">
        <v>13329</v>
      </c>
      <c r="WRR3" s="230"/>
      <c r="WRS3" s="230"/>
      <c r="WRT3" s="231"/>
      <c r="WRU3" s="229" t="s">
        <v>13329</v>
      </c>
      <c r="WRV3" s="230"/>
      <c r="WRW3" s="230"/>
      <c r="WRX3" s="231"/>
      <c r="WRY3" s="229" t="s">
        <v>13329</v>
      </c>
      <c r="WRZ3" s="230"/>
      <c r="WSA3" s="230"/>
      <c r="WSB3" s="231"/>
      <c r="WSC3" s="229" t="s">
        <v>13329</v>
      </c>
      <c r="WSD3" s="230"/>
      <c r="WSE3" s="230"/>
      <c r="WSF3" s="231"/>
      <c r="WSG3" s="229" t="s">
        <v>13329</v>
      </c>
      <c r="WSH3" s="230"/>
      <c r="WSI3" s="230"/>
      <c r="WSJ3" s="231"/>
      <c r="WSK3" s="229" t="s">
        <v>13329</v>
      </c>
      <c r="WSL3" s="230"/>
      <c r="WSM3" s="230"/>
      <c r="WSN3" s="231"/>
      <c r="WSO3" s="229" t="s">
        <v>13329</v>
      </c>
      <c r="WSP3" s="230"/>
      <c r="WSQ3" s="230"/>
      <c r="WSR3" s="231"/>
      <c r="WSS3" s="229" t="s">
        <v>13329</v>
      </c>
      <c r="WST3" s="230"/>
      <c r="WSU3" s="230"/>
      <c r="WSV3" s="231"/>
      <c r="WSW3" s="229" t="s">
        <v>13329</v>
      </c>
      <c r="WSX3" s="230"/>
      <c r="WSY3" s="230"/>
      <c r="WSZ3" s="231"/>
      <c r="WTA3" s="229" t="s">
        <v>13329</v>
      </c>
      <c r="WTB3" s="230"/>
      <c r="WTC3" s="230"/>
      <c r="WTD3" s="231"/>
      <c r="WTE3" s="229" t="s">
        <v>13329</v>
      </c>
      <c r="WTF3" s="230"/>
      <c r="WTG3" s="230"/>
      <c r="WTH3" s="231"/>
      <c r="WTI3" s="229" t="s">
        <v>13329</v>
      </c>
      <c r="WTJ3" s="230"/>
      <c r="WTK3" s="230"/>
      <c r="WTL3" s="231"/>
      <c r="WTM3" s="229" t="s">
        <v>13329</v>
      </c>
      <c r="WTN3" s="230"/>
      <c r="WTO3" s="230"/>
      <c r="WTP3" s="231"/>
      <c r="WTQ3" s="229" t="s">
        <v>13329</v>
      </c>
      <c r="WTR3" s="230"/>
      <c r="WTS3" s="230"/>
      <c r="WTT3" s="231"/>
      <c r="WTU3" s="229" t="s">
        <v>13329</v>
      </c>
      <c r="WTV3" s="230"/>
      <c r="WTW3" s="230"/>
      <c r="WTX3" s="231"/>
      <c r="WTY3" s="229" t="s">
        <v>13329</v>
      </c>
      <c r="WTZ3" s="230"/>
      <c r="WUA3" s="230"/>
      <c r="WUB3" s="231"/>
      <c r="WUC3" s="229" t="s">
        <v>13329</v>
      </c>
      <c r="WUD3" s="230"/>
      <c r="WUE3" s="230"/>
      <c r="WUF3" s="231"/>
      <c r="WUG3" s="229" t="s">
        <v>13329</v>
      </c>
      <c r="WUH3" s="230"/>
      <c r="WUI3" s="230"/>
      <c r="WUJ3" s="231"/>
      <c r="WUK3" s="229" t="s">
        <v>13329</v>
      </c>
      <c r="WUL3" s="230"/>
      <c r="WUM3" s="230"/>
      <c r="WUN3" s="231"/>
      <c r="WUO3" s="229" t="s">
        <v>13329</v>
      </c>
      <c r="WUP3" s="230"/>
      <c r="WUQ3" s="230"/>
      <c r="WUR3" s="231"/>
      <c r="WUS3" s="229" t="s">
        <v>13329</v>
      </c>
      <c r="WUT3" s="230"/>
      <c r="WUU3" s="230"/>
      <c r="WUV3" s="231"/>
      <c r="WUW3" s="229" t="s">
        <v>13329</v>
      </c>
      <c r="WUX3" s="230"/>
      <c r="WUY3" s="230"/>
      <c r="WUZ3" s="231"/>
      <c r="WVA3" s="229" t="s">
        <v>13329</v>
      </c>
      <c r="WVB3" s="230"/>
      <c r="WVC3" s="230"/>
      <c r="WVD3" s="231"/>
      <c r="WVE3" s="229" t="s">
        <v>13329</v>
      </c>
      <c r="WVF3" s="230"/>
      <c r="WVG3" s="230"/>
      <c r="WVH3" s="231"/>
      <c r="WVI3" s="229" t="s">
        <v>13329</v>
      </c>
      <c r="WVJ3" s="230"/>
      <c r="WVK3" s="230"/>
      <c r="WVL3" s="231"/>
      <c r="WVM3" s="229" t="s">
        <v>13329</v>
      </c>
      <c r="WVN3" s="230"/>
      <c r="WVO3" s="230"/>
      <c r="WVP3" s="231"/>
      <c r="WVQ3" s="229" t="s">
        <v>13329</v>
      </c>
      <c r="WVR3" s="230"/>
      <c r="WVS3" s="230"/>
      <c r="WVT3" s="231"/>
      <c r="WVU3" s="229" t="s">
        <v>13329</v>
      </c>
      <c r="WVV3" s="230"/>
      <c r="WVW3" s="230"/>
      <c r="WVX3" s="231"/>
      <c r="WVY3" s="229" t="s">
        <v>13329</v>
      </c>
      <c r="WVZ3" s="230"/>
      <c r="WWA3" s="230"/>
      <c r="WWB3" s="231"/>
      <c r="WWC3" s="229" t="s">
        <v>13329</v>
      </c>
      <c r="WWD3" s="230"/>
      <c r="WWE3" s="230"/>
      <c r="WWF3" s="231"/>
      <c r="WWG3" s="229" t="s">
        <v>13329</v>
      </c>
      <c r="WWH3" s="230"/>
      <c r="WWI3" s="230"/>
      <c r="WWJ3" s="231"/>
      <c r="WWK3" s="229" t="s">
        <v>13329</v>
      </c>
      <c r="WWL3" s="230"/>
      <c r="WWM3" s="230"/>
      <c r="WWN3" s="231"/>
      <c r="WWO3" s="229" t="s">
        <v>13329</v>
      </c>
      <c r="WWP3" s="230"/>
      <c r="WWQ3" s="230"/>
      <c r="WWR3" s="231"/>
      <c r="WWS3" s="229" t="s">
        <v>13329</v>
      </c>
      <c r="WWT3" s="230"/>
      <c r="WWU3" s="230"/>
      <c r="WWV3" s="231"/>
      <c r="WWW3" s="229" t="s">
        <v>13329</v>
      </c>
      <c r="WWX3" s="230"/>
      <c r="WWY3" s="230"/>
      <c r="WWZ3" s="231"/>
      <c r="WXA3" s="229" t="s">
        <v>13329</v>
      </c>
      <c r="WXB3" s="230"/>
      <c r="WXC3" s="230"/>
      <c r="WXD3" s="231"/>
      <c r="WXE3" s="229" t="s">
        <v>13329</v>
      </c>
      <c r="WXF3" s="230"/>
      <c r="WXG3" s="230"/>
      <c r="WXH3" s="231"/>
      <c r="WXI3" s="229" t="s">
        <v>13329</v>
      </c>
      <c r="WXJ3" s="230"/>
      <c r="WXK3" s="230"/>
      <c r="WXL3" s="231"/>
      <c r="WXM3" s="229" t="s">
        <v>13329</v>
      </c>
      <c r="WXN3" s="230"/>
      <c r="WXO3" s="230"/>
      <c r="WXP3" s="231"/>
      <c r="WXQ3" s="229" t="s">
        <v>13329</v>
      </c>
      <c r="WXR3" s="230"/>
      <c r="WXS3" s="230"/>
      <c r="WXT3" s="231"/>
      <c r="WXU3" s="229" t="s">
        <v>13329</v>
      </c>
      <c r="WXV3" s="230"/>
      <c r="WXW3" s="230"/>
      <c r="WXX3" s="231"/>
      <c r="WXY3" s="229" t="s">
        <v>13329</v>
      </c>
      <c r="WXZ3" s="230"/>
      <c r="WYA3" s="230"/>
      <c r="WYB3" s="231"/>
      <c r="WYC3" s="229" t="s">
        <v>13329</v>
      </c>
      <c r="WYD3" s="230"/>
      <c r="WYE3" s="230"/>
      <c r="WYF3" s="231"/>
      <c r="WYG3" s="229" t="s">
        <v>13329</v>
      </c>
      <c r="WYH3" s="230"/>
      <c r="WYI3" s="230"/>
      <c r="WYJ3" s="231"/>
      <c r="WYK3" s="229" t="s">
        <v>13329</v>
      </c>
      <c r="WYL3" s="230"/>
      <c r="WYM3" s="230"/>
      <c r="WYN3" s="231"/>
      <c r="WYO3" s="229" t="s">
        <v>13329</v>
      </c>
      <c r="WYP3" s="230"/>
      <c r="WYQ3" s="230"/>
      <c r="WYR3" s="231"/>
      <c r="WYS3" s="229" t="s">
        <v>13329</v>
      </c>
      <c r="WYT3" s="230"/>
      <c r="WYU3" s="230"/>
      <c r="WYV3" s="231"/>
      <c r="WYW3" s="229" t="s">
        <v>13329</v>
      </c>
      <c r="WYX3" s="230"/>
      <c r="WYY3" s="230"/>
      <c r="WYZ3" s="231"/>
      <c r="WZA3" s="229" t="s">
        <v>13329</v>
      </c>
      <c r="WZB3" s="230"/>
      <c r="WZC3" s="230"/>
      <c r="WZD3" s="231"/>
      <c r="WZE3" s="229" t="s">
        <v>13329</v>
      </c>
      <c r="WZF3" s="230"/>
      <c r="WZG3" s="230"/>
      <c r="WZH3" s="231"/>
      <c r="WZI3" s="229" t="s">
        <v>13329</v>
      </c>
      <c r="WZJ3" s="230"/>
      <c r="WZK3" s="230"/>
      <c r="WZL3" s="231"/>
      <c r="WZM3" s="229" t="s">
        <v>13329</v>
      </c>
      <c r="WZN3" s="230"/>
      <c r="WZO3" s="230"/>
      <c r="WZP3" s="231"/>
      <c r="WZQ3" s="229" t="s">
        <v>13329</v>
      </c>
      <c r="WZR3" s="230"/>
      <c r="WZS3" s="230"/>
      <c r="WZT3" s="231"/>
      <c r="WZU3" s="229" t="s">
        <v>13329</v>
      </c>
      <c r="WZV3" s="230"/>
      <c r="WZW3" s="230"/>
      <c r="WZX3" s="231"/>
      <c r="WZY3" s="229" t="s">
        <v>13329</v>
      </c>
      <c r="WZZ3" s="230"/>
      <c r="XAA3" s="230"/>
      <c r="XAB3" s="231"/>
      <c r="XAC3" s="229" t="s">
        <v>13329</v>
      </c>
      <c r="XAD3" s="230"/>
      <c r="XAE3" s="230"/>
      <c r="XAF3" s="231"/>
      <c r="XAG3" s="229" t="s">
        <v>13329</v>
      </c>
      <c r="XAH3" s="230"/>
      <c r="XAI3" s="230"/>
      <c r="XAJ3" s="231"/>
      <c r="XAK3" s="229" t="s">
        <v>13329</v>
      </c>
      <c r="XAL3" s="230"/>
      <c r="XAM3" s="230"/>
      <c r="XAN3" s="231"/>
      <c r="XAO3" s="229" t="s">
        <v>13329</v>
      </c>
      <c r="XAP3" s="230"/>
      <c r="XAQ3" s="230"/>
      <c r="XAR3" s="231"/>
      <c r="XAS3" s="229" t="s">
        <v>13329</v>
      </c>
      <c r="XAT3" s="230"/>
      <c r="XAU3" s="230"/>
      <c r="XAV3" s="231"/>
      <c r="XAW3" s="229" t="s">
        <v>13329</v>
      </c>
      <c r="XAX3" s="230"/>
      <c r="XAY3" s="230"/>
      <c r="XAZ3" s="231"/>
      <c r="XBA3" s="229" t="s">
        <v>13329</v>
      </c>
      <c r="XBB3" s="230"/>
      <c r="XBC3" s="230"/>
      <c r="XBD3" s="231"/>
      <c r="XBE3" s="229" t="s">
        <v>13329</v>
      </c>
      <c r="XBF3" s="230"/>
      <c r="XBG3" s="230"/>
      <c r="XBH3" s="231"/>
      <c r="XBI3" s="229" t="s">
        <v>13329</v>
      </c>
      <c r="XBJ3" s="230"/>
      <c r="XBK3" s="230"/>
      <c r="XBL3" s="231"/>
      <c r="XBM3" s="229" t="s">
        <v>13329</v>
      </c>
      <c r="XBN3" s="230"/>
      <c r="XBO3" s="230"/>
      <c r="XBP3" s="231"/>
      <c r="XBQ3" s="229" t="s">
        <v>13329</v>
      </c>
      <c r="XBR3" s="230"/>
      <c r="XBS3" s="230"/>
      <c r="XBT3" s="231"/>
      <c r="XBU3" s="229" t="s">
        <v>13329</v>
      </c>
      <c r="XBV3" s="230"/>
      <c r="XBW3" s="230"/>
      <c r="XBX3" s="231"/>
      <c r="XBY3" s="229" t="s">
        <v>13329</v>
      </c>
      <c r="XBZ3" s="230"/>
      <c r="XCA3" s="230"/>
      <c r="XCB3" s="231"/>
      <c r="XCC3" s="229" t="s">
        <v>13329</v>
      </c>
      <c r="XCD3" s="230"/>
      <c r="XCE3" s="230"/>
      <c r="XCF3" s="231"/>
      <c r="XCG3" s="229" t="s">
        <v>13329</v>
      </c>
      <c r="XCH3" s="230"/>
      <c r="XCI3" s="230"/>
      <c r="XCJ3" s="231"/>
      <c r="XCK3" s="229" t="s">
        <v>13329</v>
      </c>
      <c r="XCL3" s="230"/>
      <c r="XCM3" s="230"/>
      <c r="XCN3" s="231"/>
      <c r="XCO3" s="229" t="s">
        <v>13329</v>
      </c>
      <c r="XCP3" s="230"/>
      <c r="XCQ3" s="230"/>
      <c r="XCR3" s="231"/>
      <c r="XCS3" s="229" t="s">
        <v>13329</v>
      </c>
      <c r="XCT3" s="230"/>
      <c r="XCU3" s="230"/>
      <c r="XCV3" s="231"/>
      <c r="XCW3" s="229" t="s">
        <v>13329</v>
      </c>
      <c r="XCX3" s="230"/>
      <c r="XCY3" s="230"/>
      <c r="XCZ3" s="231"/>
      <c r="XDA3" s="229" t="s">
        <v>13329</v>
      </c>
      <c r="XDB3" s="230"/>
      <c r="XDC3" s="230"/>
      <c r="XDD3" s="231"/>
      <c r="XDE3" s="229" t="s">
        <v>13329</v>
      </c>
      <c r="XDF3" s="230"/>
      <c r="XDG3" s="230"/>
      <c r="XDH3" s="231"/>
      <c r="XDI3" s="229" t="s">
        <v>13329</v>
      </c>
      <c r="XDJ3" s="230"/>
      <c r="XDK3" s="230"/>
      <c r="XDL3" s="231"/>
      <c r="XDM3" s="229" t="s">
        <v>13329</v>
      </c>
      <c r="XDN3" s="230"/>
      <c r="XDO3" s="230"/>
      <c r="XDP3" s="231"/>
      <c r="XDQ3" s="229" t="s">
        <v>13329</v>
      </c>
      <c r="XDR3" s="230"/>
      <c r="XDS3" s="230"/>
      <c r="XDT3" s="231"/>
      <c r="XDU3" s="229" t="s">
        <v>13329</v>
      </c>
      <c r="XDV3" s="230"/>
      <c r="XDW3" s="230"/>
      <c r="XDX3" s="231"/>
      <c r="XDY3" s="229" t="s">
        <v>13329</v>
      </c>
      <c r="XDZ3" s="230"/>
      <c r="XEA3" s="230"/>
      <c r="XEB3" s="231"/>
      <c r="XEC3" s="229" t="s">
        <v>13329</v>
      </c>
      <c r="XED3" s="230"/>
      <c r="XEE3" s="230"/>
      <c r="XEF3" s="231"/>
      <c r="XEG3" s="229" t="s">
        <v>13329</v>
      </c>
      <c r="XEH3" s="230"/>
      <c r="XEI3" s="230"/>
      <c r="XEJ3" s="231"/>
      <c r="XEK3" s="229" t="s">
        <v>13329</v>
      </c>
      <c r="XEL3" s="230"/>
      <c r="XEM3" s="230"/>
      <c r="XEN3" s="231"/>
      <c r="XEO3" s="229" t="s">
        <v>13329</v>
      </c>
      <c r="XEP3" s="230"/>
      <c r="XEQ3" s="230"/>
      <c r="XER3" s="231"/>
      <c r="XES3" s="229" t="s">
        <v>13329</v>
      </c>
      <c r="XET3" s="230"/>
      <c r="XEU3" s="230"/>
      <c r="XEV3" s="231"/>
      <c r="XEW3" s="229" t="s">
        <v>13329</v>
      </c>
      <c r="XEX3" s="230"/>
      <c r="XEY3" s="230"/>
      <c r="XEZ3" s="231"/>
      <c r="XFA3" s="229" t="s">
        <v>13329</v>
      </c>
      <c r="XFB3" s="229"/>
      <c r="XFC3" s="229"/>
      <c r="XFD3" s="229"/>
    </row>
    <row r="4" spans="1:16384" s="7" customFormat="1" ht="15" thickBot="1" x14ac:dyDescent="0.25">
      <c r="A4" s="226" t="s">
        <v>13333</v>
      </c>
      <c r="B4" s="227"/>
      <c r="C4" s="227"/>
      <c r="D4" s="228"/>
      <c r="E4" s="226" t="s">
        <v>13330</v>
      </c>
      <c r="F4" s="227"/>
      <c r="G4" s="227"/>
      <c r="H4" s="228"/>
      <c r="I4" s="226" t="s">
        <v>13330</v>
      </c>
      <c r="J4" s="227"/>
      <c r="K4" s="227"/>
      <c r="L4" s="228"/>
      <c r="M4" s="226" t="s">
        <v>13330</v>
      </c>
      <c r="N4" s="227"/>
      <c r="O4" s="227"/>
      <c r="P4" s="228"/>
      <c r="Q4" s="226" t="s">
        <v>13330</v>
      </c>
      <c r="R4" s="227"/>
      <c r="S4" s="227"/>
      <c r="T4" s="228"/>
      <c r="U4" s="226" t="s">
        <v>13330</v>
      </c>
      <c r="V4" s="227"/>
      <c r="W4" s="227"/>
      <c r="X4" s="228"/>
      <c r="Y4" s="226" t="s">
        <v>13330</v>
      </c>
      <c r="Z4" s="227"/>
      <c r="AA4" s="227"/>
      <c r="AB4" s="228"/>
      <c r="AC4" s="226" t="s">
        <v>13330</v>
      </c>
      <c r="AD4" s="227"/>
      <c r="AE4" s="227"/>
      <c r="AF4" s="228"/>
      <c r="AG4" s="226" t="s">
        <v>13330</v>
      </c>
      <c r="AH4" s="227"/>
      <c r="AI4" s="227"/>
      <c r="AJ4" s="228"/>
      <c r="AK4" s="226" t="s">
        <v>13330</v>
      </c>
      <c r="AL4" s="227"/>
      <c r="AM4" s="227"/>
      <c r="AN4" s="228"/>
      <c r="AO4" s="226" t="s">
        <v>13330</v>
      </c>
      <c r="AP4" s="227"/>
      <c r="AQ4" s="227"/>
      <c r="AR4" s="228"/>
      <c r="AS4" s="226" t="s">
        <v>13330</v>
      </c>
      <c r="AT4" s="227"/>
      <c r="AU4" s="227"/>
      <c r="AV4" s="228"/>
      <c r="AW4" s="226" t="s">
        <v>13330</v>
      </c>
      <c r="AX4" s="227"/>
      <c r="AY4" s="227"/>
      <c r="AZ4" s="228"/>
      <c r="BA4" s="226" t="s">
        <v>13330</v>
      </c>
      <c r="BB4" s="227"/>
      <c r="BC4" s="227"/>
      <c r="BD4" s="228"/>
      <c r="BE4" s="226" t="s">
        <v>13330</v>
      </c>
      <c r="BF4" s="227"/>
      <c r="BG4" s="227"/>
      <c r="BH4" s="228"/>
      <c r="BI4" s="226" t="s">
        <v>13330</v>
      </c>
      <c r="BJ4" s="227"/>
      <c r="BK4" s="227"/>
      <c r="BL4" s="228"/>
      <c r="BM4" s="226" t="s">
        <v>13330</v>
      </c>
      <c r="BN4" s="227"/>
      <c r="BO4" s="227"/>
      <c r="BP4" s="228"/>
      <c r="BQ4" s="226" t="s">
        <v>13330</v>
      </c>
      <c r="BR4" s="227"/>
      <c r="BS4" s="227"/>
      <c r="BT4" s="228"/>
      <c r="BU4" s="226" t="s">
        <v>13330</v>
      </c>
      <c r="BV4" s="227"/>
      <c r="BW4" s="227"/>
      <c r="BX4" s="228"/>
      <c r="BY4" s="226" t="s">
        <v>13330</v>
      </c>
      <c r="BZ4" s="227"/>
      <c r="CA4" s="227"/>
      <c r="CB4" s="228"/>
      <c r="CC4" s="226" t="s">
        <v>13330</v>
      </c>
      <c r="CD4" s="227"/>
      <c r="CE4" s="227"/>
      <c r="CF4" s="228"/>
      <c r="CG4" s="226" t="s">
        <v>13330</v>
      </c>
      <c r="CH4" s="227"/>
      <c r="CI4" s="227"/>
      <c r="CJ4" s="228"/>
      <c r="CK4" s="226" t="s">
        <v>13330</v>
      </c>
      <c r="CL4" s="227"/>
      <c r="CM4" s="227"/>
      <c r="CN4" s="228"/>
      <c r="CO4" s="226" t="s">
        <v>13330</v>
      </c>
      <c r="CP4" s="227"/>
      <c r="CQ4" s="227"/>
      <c r="CR4" s="228"/>
      <c r="CS4" s="226" t="s">
        <v>13330</v>
      </c>
      <c r="CT4" s="227"/>
      <c r="CU4" s="227"/>
      <c r="CV4" s="228"/>
      <c r="CW4" s="226" t="s">
        <v>13330</v>
      </c>
      <c r="CX4" s="227"/>
      <c r="CY4" s="227"/>
      <c r="CZ4" s="228"/>
      <c r="DA4" s="226" t="s">
        <v>13330</v>
      </c>
      <c r="DB4" s="227"/>
      <c r="DC4" s="227"/>
      <c r="DD4" s="228"/>
      <c r="DE4" s="226" t="s">
        <v>13330</v>
      </c>
      <c r="DF4" s="227"/>
      <c r="DG4" s="227"/>
      <c r="DH4" s="228"/>
      <c r="DI4" s="226" t="s">
        <v>13330</v>
      </c>
      <c r="DJ4" s="227"/>
      <c r="DK4" s="227"/>
      <c r="DL4" s="228"/>
      <c r="DM4" s="226" t="s">
        <v>13330</v>
      </c>
      <c r="DN4" s="227"/>
      <c r="DO4" s="227"/>
      <c r="DP4" s="228"/>
      <c r="DQ4" s="226" t="s">
        <v>13330</v>
      </c>
      <c r="DR4" s="227"/>
      <c r="DS4" s="227"/>
      <c r="DT4" s="228"/>
      <c r="DU4" s="226" t="s">
        <v>13330</v>
      </c>
      <c r="DV4" s="227"/>
      <c r="DW4" s="227"/>
      <c r="DX4" s="228"/>
      <c r="DY4" s="226" t="s">
        <v>13330</v>
      </c>
      <c r="DZ4" s="227"/>
      <c r="EA4" s="227"/>
      <c r="EB4" s="228"/>
      <c r="EC4" s="226" t="s">
        <v>13330</v>
      </c>
      <c r="ED4" s="227"/>
      <c r="EE4" s="227"/>
      <c r="EF4" s="228"/>
      <c r="EG4" s="226" t="s">
        <v>13330</v>
      </c>
      <c r="EH4" s="227"/>
      <c r="EI4" s="227"/>
      <c r="EJ4" s="228"/>
      <c r="EK4" s="226" t="s">
        <v>13330</v>
      </c>
      <c r="EL4" s="227"/>
      <c r="EM4" s="227"/>
      <c r="EN4" s="228"/>
      <c r="EO4" s="226" t="s">
        <v>13330</v>
      </c>
      <c r="EP4" s="227"/>
      <c r="EQ4" s="227"/>
      <c r="ER4" s="228"/>
      <c r="ES4" s="226" t="s">
        <v>13330</v>
      </c>
      <c r="ET4" s="227"/>
      <c r="EU4" s="227"/>
      <c r="EV4" s="228"/>
      <c r="EW4" s="226" t="s">
        <v>13330</v>
      </c>
      <c r="EX4" s="227"/>
      <c r="EY4" s="227"/>
      <c r="EZ4" s="228"/>
      <c r="FA4" s="226" t="s">
        <v>13330</v>
      </c>
      <c r="FB4" s="227"/>
      <c r="FC4" s="227"/>
      <c r="FD4" s="228"/>
      <c r="FE4" s="226" t="s">
        <v>13330</v>
      </c>
      <c r="FF4" s="227"/>
      <c r="FG4" s="227"/>
      <c r="FH4" s="228"/>
      <c r="FI4" s="226" t="s">
        <v>13330</v>
      </c>
      <c r="FJ4" s="227"/>
      <c r="FK4" s="227"/>
      <c r="FL4" s="228"/>
      <c r="FM4" s="226" t="s">
        <v>13330</v>
      </c>
      <c r="FN4" s="227"/>
      <c r="FO4" s="227"/>
      <c r="FP4" s="228"/>
      <c r="FQ4" s="226" t="s">
        <v>13330</v>
      </c>
      <c r="FR4" s="227"/>
      <c r="FS4" s="227"/>
      <c r="FT4" s="228"/>
      <c r="FU4" s="226" t="s">
        <v>13330</v>
      </c>
      <c r="FV4" s="227"/>
      <c r="FW4" s="227"/>
      <c r="FX4" s="228"/>
      <c r="FY4" s="226" t="s">
        <v>13330</v>
      </c>
      <c r="FZ4" s="227"/>
      <c r="GA4" s="227"/>
      <c r="GB4" s="228"/>
      <c r="GC4" s="226" t="s">
        <v>13330</v>
      </c>
      <c r="GD4" s="227"/>
      <c r="GE4" s="227"/>
      <c r="GF4" s="228"/>
      <c r="GG4" s="226" t="s">
        <v>13330</v>
      </c>
      <c r="GH4" s="227"/>
      <c r="GI4" s="227"/>
      <c r="GJ4" s="228"/>
      <c r="GK4" s="226" t="s">
        <v>13330</v>
      </c>
      <c r="GL4" s="227"/>
      <c r="GM4" s="227"/>
      <c r="GN4" s="228"/>
      <c r="GO4" s="226" t="s">
        <v>13330</v>
      </c>
      <c r="GP4" s="227"/>
      <c r="GQ4" s="227"/>
      <c r="GR4" s="228"/>
      <c r="GS4" s="226" t="s">
        <v>13330</v>
      </c>
      <c r="GT4" s="227"/>
      <c r="GU4" s="227"/>
      <c r="GV4" s="228"/>
      <c r="GW4" s="226" t="s">
        <v>13330</v>
      </c>
      <c r="GX4" s="227"/>
      <c r="GY4" s="227"/>
      <c r="GZ4" s="228"/>
      <c r="HA4" s="226" t="s">
        <v>13330</v>
      </c>
      <c r="HB4" s="227"/>
      <c r="HC4" s="227"/>
      <c r="HD4" s="228"/>
      <c r="HE4" s="226" t="s">
        <v>13330</v>
      </c>
      <c r="HF4" s="227"/>
      <c r="HG4" s="227"/>
      <c r="HH4" s="228"/>
      <c r="HI4" s="226" t="s">
        <v>13330</v>
      </c>
      <c r="HJ4" s="227"/>
      <c r="HK4" s="227"/>
      <c r="HL4" s="228"/>
      <c r="HM4" s="226" t="s">
        <v>13330</v>
      </c>
      <c r="HN4" s="227"/>
      <c r="HO4" s="227"/>
      <c r="HP4" s="228"/>
      <c r="HQ4" s="226" t="s">
        <v>13330</v>
      </c>
      <c r="HR4" s="227"/>
      <c r="HS4" s="227"/>
      <c r="HT4" s="228"/>
      <c r="HU4" s="226" t="s">
        <v>13330</v>
      </c>
      <c r="HV4" s="227"/>
      <c r="HW4" s="227"/>
      <c r="HX4" s="228"/>
      <c r="HY4" s="226" t="s">
        <v>13330</v>
      </c>
      <c r="HZ4" s="227"/>
      <c r="IA4" s="227"/>
      <c r="IB4" s="228"/>
      <c r="IC4" s="226" t="s">
        <v>13330</v>
      </c>
      <c r="ID4" s="227"/>
      <c r="IE4" s="227"/>
      <c r="IF4" s="228"/>
      <c r="IG4" s="226" t="s">
        <v>13330</v>
      </c>
      <c r="IH4" s="227"/>
      <c r="II4" s="227"/>
      <c r="IJ4" s="228"/>
      <c r="IK4" s="226" t="s">
        <v>13330</v>
      </c>
      <c r="IL4" s="227"/>
      <c r="IM4" s="227"/>
      <c r="IN4" s="228"/>
      <c r="IO4" s="226" t="s">
        <v>13330</v>
      </c>
      <c r="IP4" s="227"/>
      <c r="IQ4" s="227"/>
      <c r="IR4" s="228"/>
      <c r="IS4" s="226" t="s">
        <v>13330</v>
      </c>
      <c r="IT4" s="227"/>
      <c r="IU4" s="227"/>
      <c r="IV4" s="228"/>
      <c r="IW4" s="226" t="s">
        <v>13330</v>
      </c>
      <c r="IX4" s="227"/>
      <c r="IY4" s="227"/>
      <c r="IZ4" s="228"/>
      <c r="JA4" s="226" t="s">
        <v>13330</v>
      </c>
      <c r="JB4" s="227"/>
      <c r="JC4" s="227"/>
      <c r="JD4" s="228"/>
      <c r="JE4" s="226" t="s">
        <v>13330</v>
      </c>
      <c r="JF4" s="227"/>
      <c r="JG4" s="227"/>
      <c r="JH4" s="228"/>
      <c r="JI4" s="226" t="s">
        <v>13330</v>
      </c>
      <c r="JJ4" s="227"/>
      <c r="JK4" s="227"/>
      <c r="JL4" s="228"/>
      <c r="JM4" s="226" t="s">
        <v>13330</v>
      </c>
      <c r="JN4" s="227"/>
      <c r="JO4" s="227"/>
      <c r="JP4" s="228"/>
      <c r="JQ4" s="226" t="s">
        <v>13330</v>
      </c>
      <c r="JR4" s="227"/>
      <c r="JS4" s="227"/>
      <c r="JT4" s="228"/>
      <c r="JU4" s="226" t="s">
        <v>13330</v>
      </c>
      <c r="JV4" s="227"/>
      <c r="JW4" s="227"/>
      <c r="JX4" s="228"/>
      <c r="JY4" s="226" t="s">
        <v>13330</v>
      </c>
      <c r="JZ4" s="227"/>
      <c r="KA4" s="227"/>
      <c r="KB4" s="228"/>
      <c r="KC4" s="226" t="s">
        <v>13330</v>
      </c>
      <c r="KD4" s="227"/>
      <c r="KE4" s="227"/>
      <c r="KF4" s="228"/>
      <c r="KG4" s="226" t="s">
        <v>13330</v>
      </c>
      <c r="KH4" s="227"/>
      <c r="KI4" s="227"/>
      <c r="KJ4" s="228"/>
      <c r="KK4" s="226" t="s">
        <v>13330</v>
      </c>
      <c r="KL4" s="227"/>
      <c r="KM4" s="227"/>
      <c r="KN4" s="228"/>
      <c r="KO4" s="226" t="s">
        <v>13330</v>
      </c>
      <c r="KP4" s="227"/>
      <c r="KQ4" s="227"/>
      <c r="KR4" s="228"/>
      <c r="KS4" s="226" t="s">
        <v>13330</v>
      </c>
      <c r="KT4" s="227"/>
      <c r="KU4" s="227"/>
      <c r="KV4" s="228"/>
      <c r="KW4" s="226" t="s">
        <v>13330</v>
      </c>
      <c r="KX4" s="227"/>
      <c r="KY4" s="227"/>
      <c r="KZ4" s="228"/>
      <c r="LA4" s="226" t="s">
        <v>13330</v>
      </c>
      <c r="LB4" s="227"/>
      <c r="LC4" s="227"/>
      <c r="LD4" s="228"/>
      <c r="LE4" s="226" t="s">
        <v>13330</v>
      </c>
      <c r="LF4" s="227"/>
      <c r="LG4" s="227"/>
      <c r="LH4" s="228"/>
      <c r="LI4" s="226" t="s">
        <v>13330</v>
      </c>
      <c r="LJ4" s="227"/>
      <c r="LK4" s="227"/>
      <c r="LL4" s="228"/>
      <c r="LM4" s="226" t="s">
        <v>13330</v>
      </c>
      <c r="LN4" s="227"/>
      <c r="LO4" s="227"/>
      <c r="LP4" s="228"/>
      <c r="LQ4" s="226" t="s">
        <v>13330</v>
      </c>
      <c r="LR4" s="227"/>
      <c r="LS4" s="227"/>
      <c r="LT4" s="228"/>
      <c r="LU4" s="226" t="s">
        <v>13330</v>
      </c>
      <c r="LV4" s="227"/>
      <c r="LW4" s="227"/>
      <c r="LX4" s="228"/>
      <c r="LY4" s="226" t="s">
        <v>13330</v>
      </c>
      <c r="LZ4" s="227"/>
      <c r="MA4" s="227"/>
      <c r="MB4" s="228"/>
      <c r="MC4" s="226" t="s">
        <v>13330</v>
      </c>
      <c r="MD4" s="227"/>
      <c r="ME4" s="227"/>
      <c r="MF4" s="228"/>
      <c r="MG4" s="226" t="s">
        <v>13330</v>
      </c>
      <c r="MH4" s="227"/>
      <c r="MI4" s="227"/>
      <c r="MJ4" s="228"/>
      <c r="MK4" s="226" t="s">
        <v>13330</v>
      </c>
      <c r="ML4" s="227"/>
      <c r="MM4" s="227"/>
      <c r="MN4" s="228"/>
      <c r="MO4" s="226" t="s">
        <v>13330</v>
      </c>
      <c r="MP4" s="227"/>
      <c r="MQ4" s="227"/>
      <c r="MR4" s="228"/>
      <c r="MS4" s="226" t="s">
        <v>13330</v>
      </c>
      <c r="MT4" s="227"/>
      <c r="MU4" s="227"/>
      <c r="MV4" s="228"/>
      <c r="MW4" s="226" t="s">
        <v>13330</v>
      </c>
      <c r="MX4" s="227"/>
      <c r="MY4" s="227"/>
      <c r="MZ4" s="228"/>
      <c r="NA4" s="226" t="s">
        <v>13330</v>
      </c>
      <c r="NB4" s="227"/>
      <c r="NC4" s="227"/>
      <c r="ND4" s="228"/>
      <c r="NE4" s="226" t="s">
        <v>13330</v>
      </c>
      <c r="NF4" s="227"/>
      <c r="NG4" s="227"/>
      <c r="NH4" s="228"/>
      <c r="NI4" s="226" t="s">
        <v>13330</v>
      </c>
      <c r="NJ4" s="227"/>
      <c r="NK4" s="227"/>
      <c r="NL4" s="228"/>
      <c r="NM4" s="226" t="s">
        <v>13330</v>
      </c>
      <c r="NN4" s="227"/>
      <c r="NO4" s="227"/>
      <c r="NP4" s="228"/>
      <c r="NQ4" s="226" t="s">
        <v>13330</v>
      </c>
      <c r="NR4" s="227"/>
      <c r="NS4" s="227"/>
      <c r="NT4" s="228"/>
      <c r="NU4" s="226" t="s">
        <v>13330</v>
      </c>
      <c r="NV4" s="227"/>
      <c r="NW4" s="227"/>
      <c r="NX4" s="228"/>
      <c r="NY4" s="226" t="s">
        <v>13330</v>
      </c>
      <c r="NZ4" s="227"/>
      <c r="OA4" s="227"/>
      <c r="OB4" s="228"/>
      <c r="OC4" s="226" t="s">
        <v>13330</v>
      </c>
      <c r="OD4" s="227"/>
      <c r="OE4" s="227"/>
      <c r="OF4" s="228"/>
      <c r="OG4" s="226" t="s">
        <v>13330</v>
      </c>
      <c r="OH4" s="227"/>
      <c r="OI4" s="227"/>
      <c r="OJ4" s="228"/>
      <c r="OK4" s="226" t="s">
        <v>13330</v>
      </c>
      <c r="OL4" s="227"/>
      <c r="OM4" s="227"/>
      <c r="ON4" s="228"/>
      <c r="OO4" s="226" t="s">
        <v>13330</v>
      </c>
      <c r="OP4" s="227"/>
      <c r="OQ4" s="227"/>
      <c r="OR4" s="228"/>
      <c r="OS4" s="226" t="s">
        <v>13330</v>
      </c>
      <c r="OT4" s="227"/>
      <c r="OU4" s="227"/>
      <c r="OV4" s="228"/>
      <c r="OW4" s="226" t="s">
        <v>13330</v>
      </c>
      <c r="OX4" s="227"/>
      <c r="OY4" s="227"/>
      <c r="OZ4" s="228"/>
      <c r="PA4" s="226" t="s">
        <v>13330</v>
      </c>
      <c r="PB4" s="227"/>
      <c r="PC4" s="227"/>
      <c r="PD4" s="228"/>
      <c r="PE4" s="226" t="s">
        <v>13330</v>
      </c>
      <c r="PF4" s="227"/>
      <c r="PG4" s="227"/>
      <c r="PH4" s="228"/>
      <c r="PI4" s="226" t="s">
        <v>13330</v>
      </c>
      <c r="PJ4" s="227"/>
      <c r="PK4" s="227"/>
      <c r="PL4" s="228"/>
      <c r="PM4" s="226" t="s">
        <v>13330</v>
      </c>
      <c r="PN4" s="227"/>
      <c r="PO4" s="227"/>
      <c r="PP4" s="228"/>
      <c r="PQ4" s="226" t="s">
        <v>13330</v>
      </c>
      <c r="PR4" s="227"/>
      <c r="PS4" s="227"/>
      <c r="PT4" s="228"/>
      <c r="PU4" s="226" t="s">
        <v>13330</v>
      </c>
      <c r="PV4" s="227"/>
      <c r="PW4" s="227"/>
      <c r="PX4" s="228"/>
      <c r="PY4" s="226" t="s">
        <v>13330</v>
      </c>
      <c r="PZ4" s="227"/>
      <c r="QA4" s="227"/>
      <c r="QB4" s="228"/>
      <c r="QC4" s="226" t="s">
        <v>13330</v>
      </c>
      <c r="QD4" s="227"/>
      <c r="QE4" s="227"/>
      <c r="QF4" s="228"/>
      <c r="QG4" s="226" t="s">
        <v>13330</v>
      </c>
      <c r="QH4" s="227"/>
      <c r="QI4" s="227"/>
      <c r="QJ4" s="228"/>
      <c r="QK4" s="226" t="s">
        <v>13330</v>
      </c>
      <c r="QL4" s="227"/>
      <c r="QM4" s="227"/>
      <c r="QN4" s="228"/>
      <c r="QO4" s="226" t="s">
        <v>13330</v>
      </c>
      <c r="QP4" s="227"/>
      <c r="QQ4" s="227"/>
      <c r="QR4" s="228"/>
      <c r="QS4" s="226" t="s">
        <v>13330</v>
      </c>
      <c r="QT4" s="227"/>
      <c r="QU4" s="227"/>
      <c r="QV4" s="228"/>
      <c r="QW4" s="226" t="s">
        <v>13330</v>
      </c>
      <c r="QX4" s="227"/>
      <c r="QY4" s="227"/>
      <c r="QZ4" s="228"/>
      <c r="RA4" s="226" t="s">
        <v>13330</v>
      </c>
      <c r="RB4" s="227"/>
      <c r="RC4" s="227"/>
      <c r="RD4" s="228"/>
      <c r="RE4" s="226" t="s">
        <v>13330</v>
      </c>
      <c r="RF4" s="227"/>
      <c r="RG4" s="227"/>
      <c r="RH4" s="228"/>
      <c r="RI4" s="226" t="s">
        <v>13330</v>
      </c>
      <c r="RJ4" s="227"/>
      <c r="RK4" s="227"/>
      <c r="RL4" s="228"/>
      <c r="RM4" s="226" t="s">
        <v>13330</v>
      </c>
      <c r="RN4" s="227"/>
      <c r="RO4" s="227"/>
      <c r="RP4" s="228"/>
      <c r="RQ4" s="226" t="s">
        <v>13330</v>
      </c>
      <c r="RR4" s="227"/>
      <c r="RS4" s="227"/>
      <c r="RT4" s="228"/>
      <c r="RU4" s="226" t="s">
        <v>13330</v>
      </c>
      <c r="RV4" s="227"/>
      <c r="RW4" s="227"/>
      <c r="RX4" s="228"/>
      <c r="RY4" s="226" t="s">
        <v>13330</v>
      </c>
      <c r="RZ4" s="227"/>
      <c r="SA4" s="227"/>
      <c r="SB4" s="228"/>
      <c r="SC4" s="226" t="s">
        <v>13330</v>
      </c>
      <c r="SD4" s="227"/>
      <c r="SE4" s="227"/>
      <c r="SF4" s="228"/>
      <c r="SG4" s="226" t="s">
        <v>13330</v>
      </c>
      <c r="SH4" s="227"/>
      <c r="SI4" s="227"/>
      <c r="SJ4" s="228"/>
      <c r="SK4" s="226" t="s">
        <v>13330</v>
      </c>
      <c r="SL4" s="227"/>
      <c r="SM4" s="227"/>
      <c r="SN4" s="228"/>
      <c r="SO4" s="226" t="s">
        <v>13330</v>
      </c>
      <c r="SP4" s="227"/>
      <c r="SQ4" s="227"/>
      <c r="SR4" s="228"/>
      <c r="SS4" s="226" t="s">
        <v>13330</v>
      </c>
      <c r="ST4" s="227"/>
      <c r="SU4" s="227"/>
      <c r="SV4" s="228"/>
      <c r="SW4" s="226" t="s">
        <v>13330</v>
      </c>
      <c r="SX4" s="227"/>
      <c r="SY4" s="227"/>
      <c r="SZ4" s="228"/>
      <c r="TA4" s="226" t="s">
        <v>13330</v>
      </c>
      <c r="TB4" s="227"/>
      <c r="TC4" s="227"/>
      <c r="TD4" s="228"/>
      <c r="TE4" s="226" t="s">
        <v>13330</v>
      </c>
      <c r="TF4" s="227"/>
      <c r="TG4" s="227"/>
      <c r="TH4" s="228"/>
      <c r="TI4" s="226" t="s">
        <v>13330</v>
      </c>
      <c r="TJ4" s="227"/>
      <c r="TK4" s="227"/>
      <c r="TL4" s="228"/>
      <c r="TM4" s="226" t="s">
        <v>13330</v>
      </c>
      <c r="TN4" s="227"/>
      <c r="TO4" s="227"/>
      <c r="TP4" s="228"/>
      <c r="TQ4" s="226" t="s">
        <v>13330</v>
      </c>
      <c r="TR4" s="227"/>
      <c r="TS4" s="227"/>
      <c r="TT4" s="228"/>
      <c r="TU4" s="226" t="s">
        <v>13330</v>
      </c>
      <c r="TV4" s="227"/>
      <c r="TW4" s="227"/>
      <c r="TX4" s="228"/>
      <c r="TY4" s="226" t="s">
        <v>13330</v>
      </c>
      <c r="TZ4" s="227"/>
      <c r="UA4" s="227"/>
      <c r="UB4" s="228"/>
      <c r="UC4" s="226" t="s">
        <v>13330</v>
      </c>
      <c r="UD4" s="227"/>
      <c r="UE4" s="227"/>
      <c r="UF4" s="228"/>
      <c r="UG4" s="226" t="s">
        <v>13330</v>
      </c>
      <c r="UH4" s="227"/>
      <c r="UI4" s="227"/>
      <c r="UJ4" s="228"/>
      <c r="UK4" s="226" t="s">
        <v>13330</v>
      </c>
      <c r="UL4" s="227"/>
      <c r="UM4" s="227"/>
      <c r="UN4" s="228"/>
      <c r="UO4" s="226" t="s">
        <v>13330</v>
      </c>
      <c r="UP4" s="227"/>
      <c r="UQ4" s="227"/>
      <c r="UR4" s="228"/>
      <c r="US4" s="226" t="s">
        <v>13330</v>
      </c>
      <c r="UT4" s="227"/>
      <c r="UU4" s="227"/>
      <c r="UV4" s="228"/>
      <c r="UW4" s="226" t="s">
        <v>13330</v>
      </c>
      <c r="UX4" s="227"/>
      <c r="UY4" s="227"/>
      <c r="UZ4" s="228"/>
      <c r="VA4" s="226" t="s">
        <v>13330</v>
      </c>
      <c r="VB4" s="227"/>
      <c r="VC4" s="227"/>
      <c r="VD4" s="228"/>
      <c r="VE4" s="226" t="s">
        <v>13330</v>
      </c>
      <c r="VF4" s="227"/>
      <c r="VG4" s="227"/>
      <c r="VH4" s="228"/>
      <c r="VI4" s="226" t="s">
        <v>13330</v>
      </c>
      <c r="VJ4" s="227"/>
      <c r="VK4" s="227"/>
      <c r="VL4" s="228"/>
      <c r="VM4" s="226" t="s">
        <v>13330</v>
      </c>
      <c r="VN4" s="227"/>
      <c r="VO4" s="227"/>
      <c r="VP4" s="228"/>
      <c r="VQ4" s="226" t="s">
        <v>13330</v>
      </c>
      <c r="VR4" s="227"/>
      <c r="VS4" s="227"/>
      <c r="VT4" s="228"/>
      <c r="VU4" s="226" t="s">
        <v>13330</v>
      </c>
      <c r="VV4" s="227"/>
      <c r="VW4" s="227"/>
      <c r="VX4" s="228"/>
      <c r="VY4" s="226" t="s">
        <v>13330</v>
      </c>
      <c r="VZ4" s="227"/>
      <c r="WA4" s="227"/>
      <c r="WB4" s="228"/>
      <c r="WC4" s="226" t="s">
        <v>13330</v>
      </c>
      <c r="WD4" s="227"/>
      <c r="WE4" s="227"/>
      <c r="WF4" s="228"/>
      <c r="WG4" s="226" t="s">
        <v>13330</v>
      </c>
      <c r="WH4" s="227"/>
      <c r="WI4" s="227"/>
      <c r="WJ4" s="228"/>
      <c r="WK4" s="226" t="s">
        <v>13330</v>
      </c>
      <c r="WL4" s="227"/>
      <c r="WM4" s="227"/>
      <c r="WN4" s="228"/>
      <c r="WO4" s="226" t="s">
        <v>13330</v>
      </c>
      <c r="WP4" s="227"/>
      <c r="WQ4" s="227"/>
      <c r="WR4" s="228"/>
      <c r="WS4" s="226" t="s">
        <v>13330</v>
      </c>
      <c r="WT4" s="227"/>
      <c r="WU4" s="227"/>
      <c r="WV4" s="228"/>
      <c r="WW4" s="226" t="s">
        <v>13330</v>
      </c>
      <c r="WX4" s="227"/>
      <c r="WY4" s="227"/>
      <c r="WZ4" s="228"/>
      <c r="XA4" s="226" t="s">
        <v>13330</v>
      </c>
      <c r="XB4" s="227"/>
      <c r="XC4" s="227"/>
      <c r="XD4" s="228"/>
      <c r="XE4" s="226" t="s">
        <v>13330</v>
      </c>
      <c r="XF4" s="227"/>
      <c r="XG4" s="227"/>
      <c r="XH4" s="228"/>
      <c r="XI4" s="226" t="s">
        <v>13330</v>
      </c>
      <c r="XJ4" s="227"/>
      <c r="XK4" s="227"/>
      <c r="XL4" s="228"/>
      <c r="XM4" s="226" t="s">
        <v>13330</v>
      </c>
      <c r="XN4" s="227"/>
      <c r="XO4" s="227"/>
      <c r="XP4" s="228"/>
      <c r="XQ4" s="226" t="s">
        <v>13330</v>
      </c>
      <c r="XR4" s="227"/>
      <c r="XS4" s="227"/>
      <c r="XT4" s="228"/>
      <c r="XU4" s="226" t="s">
        <v>13330</v>
      </c>
      <c r="XV4" s="227"/>
      <c r="XW4" s="227"/>
      <c r="XX4" s="228"/>
      <c r="XY4" s="226" t="s">
        <v>13330</v>
      </c>
      <c r="XZ4" s="227"/>
      <c r="YA4" s="227"/>
      <c r="YB4" s="228"/>
      <c r="YC4" s="226" t="s">
        <v>13330</v>
      </c>
      <c r="YD4" s="227"/>
      <c r="YE4" s="227"/>
      <c r="YF4" s="228"/>
      <c r="YG4" s="226" t="s">
        <v>13330</v>
      </c>
      <c r="YH4" s="227"/>
      <c r="YI4" s="227"/>
      <c r="YJ4" s="228"/>
      <c r="YK4" s="226" t="s">
        <v>13330</v>
      </c>
      <c r="YL4" s="227"/>
      <c r="YM4" s="227"/>
      <c r="YN4" s="228"/>
      <c r="YO4" s="226" t="s">
        <v>13330</v>
      </c>
      <c r="YP4" s="227"/>
      <c r="YQ4" s="227"/>
      <c r="YR4" s="228"/>
      <c r="YS4" s="226" t="s">
        <v>13330</v>
      </c>
      <c r="YT4" s="227"/>
      <c r="YU4" s="227"/>
      <c r="YV4" s="228"/>
      <c r="YW4" s="226" t="s">
        <v>13330</v>
      </c>
      <c r="YX4" s="227"/>
      <c r="YY4" s="227"/>
      <c r="YZ4" s="228"/>
      <c r="ZA4" s="226" t="s">
        <v>13330</v>
      </c>
      <c r="ZB4" s="227"/>
      <c r="ZC4" s="227"/>
      <c r="ZD4" s="228"/>
      <c r="ZE4" s="226" t="s">
        <v>13330</v>
      </c>
      <c r="ZF4" s="227"/>
      <c r="ZG4" s="227"/>
      <c r="ZH4" s="228"/>
      <c r="ZI4" s="226" t="s">
        <v>13330</v>
      </c>
      <c r="ZJ4" s="227"/>
      <c r="ZK4" s="227"/>
      <c r="ZL4" s="228"/>
      <c r="ZM4" s="226" t="s">
        <v>13330</v>
      </c>
      <c r="ZN4" s="227"/>
      <c r="ZO4" s="227"/>
      <c r="ZP4" s="228"/>
      <c r="ZQ4" s="226" t="s">
        <v>13330</v>
      </c>
      <c r="ZR4" s="227"/>
      <c r="ZS4" s="227"/>
      <c r="ZT4" s="228"/>
      <c r="ZU4" s="226" t="s">
        <v>13330</v>
      </c>
      <c r="ZV4" s="227"/>
      <c r="ZW4" s="227"/>
      <c r="ZX4" s="228"/>
      <c r="ZY4" s="226" t="s">
        <v>13330</v>
      </c>
      <c r="ZZ4" s="227"/>
      <c r="AAA4" s="227"/>
      <c r="AAB4" s="228"/>
      <c r="AAC4" s="226" t="s">
        <v>13330</v>
      </c>
      <c r="AAD4" s="227"/>
      <c r="AAE4" s="227"/>
      <c r="AAF4" s="228"/>
      <c r="AAG4" s="226" t="s">
        <v>13330</v>
      </c>
      <c r="AAH4" s="227"/>
      <c r="AAI4" s="227"/>
      <c r="AAJ4" s="228"/>
      <c r="AAK4" s="226" t="s">
        <v>13330</v>
      </c>
      <c r="AAL4" s="227"/>
      <c r="AAM4" s="227"/>
      <c r="AAN4" s="228"/>
      <c r="AAO4" s="226" t="s">
        <v>13330</v>
      </c>
      <c r="AAP4" s="227"/>
      <c r="AAQ4" s="227"/>
      <c r="AAR4" s="228"/>
      <c r="AAS4" s="226" t="s">
        <v>13330</v>
      </c>
      <c r="AAT4" s="227"/>
      <c r="AAU4" s="227"/>
      <c r="AAV4" s="228"/>
      <c r="AAW4" s="226" t="s">
        <v>13330</v>
      </c>
      <c r="AAX4" s="227"/>
      <c r="AAY4" s="227"/>
      <c r="AAZ4" s="228"/>
      <c r="ABA4" s="226" t="s">
        <v>13330</v>
      </c>
      <c r="ABB4" s="227"/>
      <c r="ABC4" s="227"/>
      <c r="ABD4" s="228"/>
      <c r="ABE4" s="226" t="s">
        <v>13330</v>
      </c>
      <c r="ABF4" s="227"/>
      <c r="ABG4" s="227"/>
      <c r="ABH4" s="228"/>
      <c r="ABI4" s="226" t="s">
        <v>13330</v>
      </c>
      <c r="ABJ4" s="227"/>
      <c r="ABK4" s="227"/>
      <c r="ABL4" s="228"/>
      <c r="ABM4" s="226" t="s">
        <v>13330</v>
      </c>
      <c r="ABN4" s="227"/>
      <c r="ABO4" s="227"/>
      <c r="ABP4" s="228"/>
      <c r="ABQ4" s="226" t="s">
        <v>13330</v>
      </c>
      <c r="ABR4" s="227"/>
      <c r="ABS4" s="227"/>
      <c r="ABT4" s="228"/>
      <c r="ABU4" s="226" t="s">
        <v>13330</v>
      </c>
      <c r="ABV4" s="227"/>
      <c r="ABW4" s="227"/>
      <c r="ABX4" s="228"/>
      <c r="ABY4" s="226" t="s">
        <v>13330</v>
      </c>
      <c r="ABZ4" s="227"/>
      <c r="ACA4" s="227"/>
      <c r="ACB4" s="228"/>
      <c r="ACC4" s="226" t="s">
        <v>13330</v>
      </c>
      <c r="ACD4" s="227"/>
      <c r="ACE4" s="227"/>
      <c r="ACF4" s="228"/>
      <c r="ACG4" s="226" t="s">
        <v>13330</v>
      </c>
      <c r="ACH4" s="227"/>
      <c r="ACI4" s="227"/>
      <c r="ACJ4" s="228"/>
      <c r="ACK4" s="226" t="s">
        <v>13330</v>
      </c>
      <c r="ACL4" s="227"/>
      <c r="ACM4" s="227"/>
      <c r="ACN4" s="228"/>
      <c r="ACO4" s="226" t="s">
        <v>13330</v>
      </c>
      <c r="ACP4" s="227"/>
      <c r="ACQ4" s="227"/>
      <c r="ACR4" s="228"/>
      <c r="ACS4" s="226" t="s">
        <v>13330</v>
      </c>
      <c r="ACT4" s="227"/>
      <c r="ACU4" s="227"/>
      <c r="ACV4" s="228"/>
      <c r="ACW4" s="226" t="s">
        <v>13330</v>
      </c>
      <c r="ACX4" s="227"/>
      <c r="ACY4" s="227"/>
      <c r="ACZ4" s="228"/>
      <c r="ADA4" s="226" t="s">
        <v>13330</v>
      </c>
      <c r="ADB4" s="227"/>
      <c r="ADC4" s="227"/>
      <c r="ADD4" s="228"/>
      <c r="ADE4" s="226" t="s">
        <v>13330</v>
      </c>
      <c r="ADF4" s="227"/>
      <c r="ADG4" s="227"/>
      <c r="ADH4" s="228"/>
      <c r="ADI4" s="226" t="s">
        <v>13330</v>
      </c>
      <c r="ADJ4" s="227"/>
      <c r="ADK4" s="227"/>
      <c r="ADL4" s="228"/>
      <c r="ADM4" s="226" t="s">
        <v>13330</v>
      </c>
      <c r="ADN4" s="227"/>
      <c r="ADO4" s="227"/>
      <c r="ADP4" s="228"/>
      <c r="ADQ4" s="226" t="s">
        <v>13330</v>
      </c>
      <c r="ADR4" s="227"/>
      <c r="ADS4" s="227"/>
      <c r="ADT4" s="228"/>
      <c r="ADU4" s="226" t="s">
        <v>13330</v>
      </c>
      <c r="ADV4" s="227"/>
      <c r="ADW4" s="227"/>
      <c r="ADX4" s="228"/>
      <c r="ADY4" s="226" t="s">
        <v>13330</v>
      </c>
      <c r="ADZ4" s="227"/>
      <c r="AEA4" s="227"/>
      <c r="AEB4" s="228"/>
      <c r="AEC4" s="226" t="s">
        <v>13330</v>
      </c>
      <c r="AED4" s="227"/>
      <c r="AEE4" s="227"/>
      <c r="AEF4" s="228"/>
      <c r="AEG4" s="226" t="s">
        <v>13330</v>
      </c>
      <c r="AEH4" s="227"/>
      <c r="AEI4" s="227"/>
      <c r="AEJ4" s="228"/>
      <c r="AEK4" s="226" t="s">
        <v>13330</v>
      </c>
      <c r="AEL4" s="227"/>
      <c r="AEM4" s="227"/>
      <c r="AEN4" s="228"/>
      <c r="AEO4" s="226" t="s">
        <v>13330</v>
      </c>
      <c r="AEP4" s="227"/>
      <c r="AEQ4" s="227"/>
      <c r="AER4" s="228"/>
      <c r="AES4" s="226" t="s">
        <v>13330</v>
      </c>
      <c r="AET4" s="227"/>
      <c r="AEU4" s="227"/>
      <c r="AEV4" s="228"/>
      <c r="AEW4" s="226" t="s">
        <v>13330</v>
      </c>
      <c r="AEX4" s="227"/>
      <c r="AEY4" s="227"/>
      <c r="AEZ4" s="228"/>
      <c r="AFA4" s="226" t="s">
        <v>13330</v>
      </c>
      <c r="AFB4" s="227"/>
      <c r="AFC4" s="227"/>
      <c r="AFD4" s="228"/>
      <c r="AFE4" s="226" t="s">
        <v>13330</v>
      </c>
      <c r="AFF4" s="227"/>
      <c r="AFG4" s="227"/>
      <c r="AFH4" s="228"/>
      <c r="AFI4" s="226" t="s">
        <v>13330</v>
      </c>
      <c r="AFJ4" s="227"/>
      <c r="AFK4" s="227"/>
      <c r="AFL4" s="228"/>
      <c r="AFM4" s="226" t="s">
        <v>13330</v>
      </c>
      <c r="AFN4" s="227"/>
      <c r="AFO4" s="227"/>
      <c r="AFP4" s="228"/>
      <c r="AFQ4" s="226" t="s">
        <v>13330</v>
      </c>
      <c r="AFR4" s="227"/>
      <c r="AFS4" s="227"/>
      <c r="AFT4" s="228"/>
      <c r="AFU4" s="226" t="s">
        <v>13330</v>
      </c>
      <c r="AFV4" s="227"/>
      <c r="AFW4" s="227"/>
      <c r="AFX4" s="228"/>
      <c r="AFY4" s="226" t="s">
        <v>13330</v>
      </c>
      <c r="AFZ4" s="227"/>
      <c r="AGA4" s="227"/>
      <c r="AGB4" s="228"/>
      <c r="AGC4" s="226" t="s">
        <v>13330</v>
      </c>
      <c r="AGD4" s="227"/>
      <c r="AGE4" s="227"/>
      <c r="AGF4" s="228"/>
      <c r="AGG4" s="226" t="s">
        <v>13330</v>
      </c>
      <c r="AGH4" s="227"/>
      <c r="AGI4" s="227"/>
      <c r="AGJ4" s="228"/>
      <c r="AGK4" s="226" t="s">
        <v>13330</v>
      </c>
      <c r="AGL4" s="227"/>
      <c r="AGM4" s="227"/>
      <c r="AGN4" s="228"/>
      <c r="AGO4" s="226" t="s">
        <v>13330</v>
      </c>
      <c r="AGP4" s="227"/>
      <c r="AGQ4" s="227"/>
      <c r="AGR4" s="228"/>
      <c r="AGS4" s="226" t="s">
        <v>13330</v>
      </c>
      <c r="AGT4" s="227"/>
      <c r="AGU4" s="227"/>
      <c r="AGV4" s="228"/>
      <c r="AGW4" s="226" t="s">
        <v>13330</v>
      </c>
      <c r="AGX4" s="227"/>
      <c r="AGY4" s="227"/>
      <c r="AGZ4" s="228"/>
      <c r="AHA4" s="226" t="s">
        <v>13330</v>
      </c>
      <c r="AHB4" s="227"/>
      <c r="AHC4" s="227"/>
      <c r="AHD4" s="228"/>
      <c r="AHE4" s="226" t="s">
        <v>13330</v>
      </c>
      <c r="AHF4" s="227"/>
      <c r="AHG4" s="227"/>
      <c r="AHH4" s="228"/>
      <c r="AHI4" s="226" t="s">
        <v>13330</v>
      </c>
      <c r="AHJ4" s="227"/>
      <c r="AHK4" s="227"/>
      <c r="AHL4" s="228"/>
      <c r="AHM4" s="226" t="s">
        <v>13330</v>
      </c>
      <c r="AHN4" s="227"/>
      <c r="AHO4" s="227"/>
      <c r="AHP4" s="228"/>
      <c r="AHQ4" s="226" t="s">
        <v>13330</v>
      </c>
      <c r="AHR4" s="227"/>
      <c r="AHS4" s="227"/>
      <c r="AHT4" s="228"/>
      <c r="AHU4" s="226" t="s">
        <v>13330</v>
      </c>
      <c r="AHV4" s="227"/>
      <c r="AHW4" s="227"/>
      <c r="AHX4" s="228"/>
      <c r="AHY4" s="226" t="s">
        <v>13330</v>
      </c>
      <c r="AHZ4" s="227"/>
      <c r="AIA4" s="227"/>
      <c r="AIB4" s="228"/>
      <c r="AIC4" s="226" t="s">
        <v>13330</v>
      </c>
      <c r="AID4" s="227"/>
      <c r="AIE4" s="227"/>
      <c r="AIF4" s="228"/>
      <c r="AIG4" s="226" t="s">
        <v>13330</v>
      </c>
      <c r="AIH4" s="227"/>
      <c r="AII4" s="227"/>
      <c r="AIJ4" s="228"/>
      <c r="AIK4" s="226" t="s">
        <v>13330</v>
      </c>
      <c r="AIL4" s="227"/>
      <c r="AIM4" s="227"/>
      <c r="AIN4" s="228"/>
      <c r="AIO4" s="226" t="s">
        <v>13330</v>
      </c>
      <c r="AIP4" s="227"/>
      <c r="AIQ4" s="227"/>
      <c r="AIR4" s="228"/>
      <c r="AIS4" s="226" t="s">
        <v>13330</v>
      </c>
      <c r="AIT4" s="227"/>
      <c r="AIU4" s="227"/>
      <c r="AIV4" s="228"/>
      <c r="AIW4" s="226" t="s">
        <v>13330</v>
      </c>
      <c r="AIX4" s="227"/>
      <c r="AIY4" s="227"/>
      <c r="AIZ4" s="228"/>
      <c r="AJA4" s="226" t="s">
        <v>13330</v>
      </c>
      <c r="AJB4" s="227"/>
      <c r="AJC4" s="227"/>
      <c r="AJD4" s="228"/>
      <c r="AJE4" s="226" t="s">
        <v>13330</v>
      </c>
      <c r="AJF4" s="227"/>
      <c r="AJG4" s="227"/>
      <c r="AJH4" s="228"/>
      <c r="AJI4" s="226" t="s">
        <v>13330</v>
      </c>
      <c r="AJJ4" s="227"/>
      <c r="AJK4" s="227"/>
      <c r="AJL4" s="228"/>
      <c r="AJM4" s="226" t="s">
        <v>13330</v>
      </c>
      <c r="AJN4" s="227"/>
      <c r="AJO4" s="227"/>
      <c r="AJP4" s="228"/>
      <c r="AJQ4" s="226" t="s">
        <v>13330</v>
      </c>
      <c r="AJR4" s="227"/>
      <c r="AJS4" s="227"/>
      <c r="AJT4" s="228"/>
      <c r="AJU4" s="226" t="s">
        <v>13330</v>
      </c>
      <c r="AJV4" s="227"/>
      <c r="AJW4" s="227"/>
      <c r="AJX4" s="228"/>
      <c r="AJY4" s="226" t="s">
        <v>13330</v>
      </c>
      <c r="AJZ4" s="227"/>
      <c r="AKA4" s="227"/>
      <c r="AKB4" s="228"/>
      <c r="AKC4" s="226" t="s">
        <v>13330</v>
      </c>
      <c r="AKD4" s="227"/>
      <c r="AKE4" s="227"/>
      <c r="AKF4" s="228"/>
      <c r="AKG4" s="226" t="s">
        <v>13330</v>
      </c>
      <c r="AKH4" s="227"/>
      <c r="AKI4" s="227"/>
      <c r="AKJ4" s="228"/>
      <c r="AKK4" s="226" t="s">
        <v>13330</v>
      </c>
      <c r="AKL4" s="227"/>
      <c r="AKM4" s="227"/>
      <c r="AKN4" s="228"/>
      <c r="AKO4" s="226" t="s">
        <v>13330</v>
      </c>
      <c r="AKP4" s="227"/>
      <c r="AKQ4" s="227"/>
      <c r="AKR4" s="228"/>
      <c r="AKS4" s="226" t="s">
        <v>13330</v>
      </c>
      <c r="AKT4" s="227"/>
      <c r="AKU4" s="227"/>
      <c r="AKV4" s="228"/>
      <c r="AKW4" s="226" t="s">
        <v>13330</v>
      </c>
      <c r="AKX4" s="227"/>
      <c r="AKY4" s="227"/>
      <c r="AKZ4" s="228"/>
      <c r="ALA4" s="226" t="s">
        <v>13330</v>
      </c>
      <c r="ALB4" s="227"/>
      <c r="ALC4" s="227"/>
      <c r="ALD4" s="228"/>
      <c r="ALE4" s="226" t="s">
        <v>13330</v>
      </c>
      <c r="ALF4" s="227"/>
      <c r="ALG4" s="227"/>
      <c r="ALH4" s="228"/>
      <c r="ALI4" s="226" t="s">
        <v>13330</v>
      </c>
      <c r="ALJ4" s="227"/>
      <c r="ALK4" s="227"/>
      <c r="ALL4" s="228"/>
      <c r="ALM4" s="226" t="s">
        <v>13330</v>
      </c>
      <c r="ALN4" s="227"/>
      <c r="ALO4" s="227"/>
      <c r="ALP4" s="228"/>
      <c r="ALQ4" s="226" t="s">
        <v>13330</v>
      </c>
      <c r="ALR4" s="227"/>
      <c r="ALS4" s="227"/>
      <c r="ALT4" s="228"/>
      <c r="ALU4" s="226" t="s">
        <v>13330</v>
      </c>
      <c r="ALV4" s="227"/>
      <c r="ALW4" s="227"/>
      <c r="ALX4" s="228"/>
      <c r="ALY4" s="226" t="s">
        <v>13330</v>
      </c>
      <c r="ALZ4" s="227"/>
      <c r="AMA4" s="227"/>
      <c r="AMB4" s="228"/>
      <c r="AMC4" s="226" t="s">
        <v>13330</v>
      </c>
      <c r="AMD4" s="227"/>
      <c r="AME4" s="227"/>
      <c r="AMF4" s="228"/>
      <c r="AMG4" s="226" t="s">
        <v>13330</v>
      </c>
      <c r="AMH4" s="227"/>
      <c r="AMI4" s="227"/>
      <c r="AMJ4" s="228"/>
      <c r="AMK4" s="226" t="s">
        <v>13330</v>
      </c>
      <c r="AML4" s="227"/>
      <c r="AMM4" s="227"/>
      <c r="AMN4" s="228"/>
      <c r="AMO4" s="226" t="s">
        <v>13330</v>
      </c>
      <c r="AMP4" s="227"/>
      <c r="AMQ4" s="227"/>
      <c r="AMR4" s="228"/>
      <c r="AMS4" s="226" t="s">
        <v>13330</v>
      </c>
      <c r="AMT4" s="227"/>
      <c r="AMU4" s="227"/>
      <c r="AMV4" s="228"/>
      <c r="AMW4" s="226" t="s">
        <v>13330</v>
      </c>
      <c r="AMX4" s="227"/>
      <c r="AMY4" s="227"/>
      <c r="AMZ4" s="228"/>
      <c r="ANA4" s="226" t="s">
        <v>13330</v>
      </c>
      <c r="ANB4" s="227"/>
      <c r="ANC4" s="227"/>
      <c r="AND4" s="228"/>
      <c r="ANE4" s="226" t="s">
        <v>13330</v>
      </c>
      <c r="ANF4" s="227"/>
      <c r="ANG4" s="227"/>
      <c r="ANH4" s="228"/>
      <c r="ANI4" s="226" t="s">
        <v>13330</v>
      </c>
      <c r="ANJ4" s="227"/>
      <c r="ANK4" s="227"/>
      <c r="ANL4" s="228"/>
      <c r="ANM4" s="226" t="s">
        <v>13330</v>
      </c>
      <c r="ANN4" s="227"/>
      <c r="ANO4" s="227"/>
      <c r="ANP4" s="228"/>
      <c r="ANQ4" s="226" t="s">
        <v>13330</v>
      </c>
      <c r="ANR4" s="227"/>
      <c r="ANS4" s="227"/>
      <c r="ANT4" s="228"/>
      <c r="ANU4" s="226" t="s">
        <v>13330</v>
      </c>
      <c r="ANV4" s="227"/>
      <c r="ANW4" s="227"/>
      <c r="ANX4" s="228"/>
      <c r="ANY4" s="226" t="s">
        <v>13330</v>
      </c>
      <c r="ANZ4" s="227"/>
      <c r="AOA4" s="227"/>
      <c r="AOB4" s="228"/>
      <c r="AOC4" s="226" t="s">
        <v>13330</v>
      </c>
      <c r="AOD4" s="227"/>
      <c r="AOE4" s="227"/>
      <c r="AOF4" s="228"/>
      <c r="AOG4" s="226" t="s">
        <v>13330</v>
      </c>
      <c r="AOH4" s="227"/>
      <c r="AOI4" s="227"/>
      <c r="AOJ4" s="228"/>
      <c r="AOK4" s="226" t="s">
        <v>13330</v>
      </c>
      <c r="AOL4" s="227"/>
      <c r="AOM4" s="227"/>
      <c r="AON4" s="228"/>
      <c r="AOO4" s="226" t="s">
        <v>13330</v>
      </c>
      <c r="AOP4" s="227"/>
      <c r="AOQ4" s="227"/>
      <c r="AOR4" s="228"/>
      <c r="AOS4" s="226" t="s">
        <v>13330</v>
      </c>
      <c r="AOT4" s="227"/>
      <c r="AOU4" s="227"/>
      <c r="AOV4" s="228"/>
      <c r="AOW4" s="226" t="s">
        <v>13330</v>
      </c>
      <c r="AOX4" s="227"/>
      <c r="AOY4" s="227"/>
      <c r="AOZ4" s="228"/>
      <c r="APA4" s="226" t="s">
        <v>13330</v>
      </c>
      <c r="APB4" s="227"/>
      <c r="APC4" s="227"/>
      <c r="APD4" s="228"/>
      <c r="APE4" s="226" t="s">
        <v>13330</v>
      </c>
      <c r="APF4" s="227"/>
      <c r="APG4" s="227"/>
      <c r="APH4" s="228"/>
      <c r="API4" s="226" t="s">
        <v>13330</v>
      </c>
      <c r="APJ4" s="227"/>
      <c r="APK4" s="227"/>
      <c r="APL4" s="228"/>
      <c r="APM4" s="226" t="s">
        <v>13330</v>
      </c>
      <c r="APN4" s="227"/>
      <c r="APO4" s="227"/>
      <c r="APP4" s="228"/>
      <c r="APQ4" s="226" t="s">
        <v>13330</v>
      </c>
      <c r="APR4" s="227"/>
      <c r="APS4" s="227"/>
      <c r="APT4" s="228"/>
      <c r="APU4" s="226" t="s">
        <v>13330</v>
      </c>
      <c r="APV4" s="227"/>
      <c r="APW4" s="227"/>
      <c r="APX4" s="228"/>
      <c r="APY4" s="226" t="s">
        <v>13330</v>
      </c>
      <c r="APZ4" s="227"/>
      <c r="AQA4" s="227"/>
      <c r="AQB4" s="228"/>
      <c r="AQC4" s="226" t="s">
        <v>13330</v>
      </c>
      <c r="AQD4" s="227"/>
      <c r="AQE4" s="227"/>
      <c r="AQF4" s="228"/>
      <c r="AQG4" s="226" t="s">
        <v>13330</v>
      </c>
      <c r="AQH4" s="227"/>
      <c r="AQI4" s="227"/>
      <c r="AQJ4" s="228"/>
      <c r="AQK4" s="226" t="s">
        <v>13330</v>
      </c>
      <c r="AQL4" s="227"/>
      <c r="AQM4" s="227"/>
      <c r="AQN4" s="228"/>
      <c r="AQO4" s="226" t="s">
        <v>13330</v>
      </c>
      <c r="AQP4" s="227"/>
      <c r="AQQ4" s="227"/>
      <c r="AQR4" s="228"/>
      <c r="AQS4" s="226" t="s">
        <v>13330</v>
      </c>
      <c r="AQT4" s="227"/>
      <c r="AQU4" s="227"/>
      <c r="AQV4" s="228"/>
      <c r="AQW4" s="226" t="s">
        <v>13330</v>
      </c>
      <c r="AQX4" s="227"/>
      <c r="AQY4" s="227"/>
      <c r="AQZ4" s="228"/>
      <c r="ARA4" s="226" t="s">
        <v>13330</v>
      </c>
      <c r="ARB4" s="227"/>
      <c r="ARC4" s="227"/>
      <c r="ARD4" s="228"/>
      <c r="ARE4" s="226" t="s">
        <v>13330</v>
      </c>
      <c r="ARF4" s="227"/>
      <c r="ARG4" s="227"/>
      <c r="ARH4" s="228"/>
      <c r="ARI4" s="226" t="s">
        <v>13330</v>
      </c>
      <c r="ARJ4" s="227"/>
      <c r="ARK4" s="227"/>
      <c r="ARL4" s="228"/>
      <c r="ARM4" s="226" t="s">
        <v>13330</v>
      </c>
      <c r="ARN4" s="227"/>
      <c r="ARO4" s="227"/>
      <c r="ARP4" s="228"/>
      <c r="ARQ4" s="226" t="s">
        <v>13330</v>
      </c>
      <c r="ARR4" s="227"/>
      <c r="ARS4" s="227"/>
      <c r="ART4" s="228"/>
      <c r="ARU4" s="226" t="s">
        <v>13330</v>
      </c>
      <c r="ARV4" s="227"/>
      <c r="ARW4" s="227"/>
      <c r="ARX4" s="228"/>
      <c r="ARY4" s="226" t="s">
        <v>13330</v>
      </c>
      <c r="ARZ4" s="227"/>
      <c r="ASA4" s="227"/>
      <c r="ASB4" s="228"/>
      <c r="ASC4" s="226" t="s">
        <v>13330</v>
      </c>
      <c r="ASD4" s="227"/>
      <c r="ASE4" s="227"/>
      <c r="ASF4" s="228"/>
      <c r="ASG4" s="226" t="s">
        <v>13330</v>
      </c>
      <c r="ASH4" s="227"/>
      <c r="ASI4" s="227"/>
      <c r="ASJ4" s="228"/>
      <c r="ASK4" s="226" t="s">
        <v>13330</v>
      </c>
      <c r="ASL4" s="227"/>
      <c r="ASM4" s="227"/>
      <c r="ASN4" s="228"/>
      <c r="ASO4" s="226" t="s">
        <v>13330</v>
      </c>
      <c r="ASP4" s="227"/>
      <c r="ASQ4" s="227"/>
      <c r="ASR4" s="228"/>
      <c r="ASS4" s="226" t="s">
        <v>13330</v>
      </c>
      <c r="AST4" s="227"/>
      <c r="ASU4" s="227"/>
      <c r="ASV4" s="228"/>
      <c r="ASW4" s="226" t="s">
        <v>13330</v>
      </c>
      <c r="ASX4" s="227"/>
      <c r="ASY4" s="227"/>
      <c r="ASZ4" s="228"/>
      <c r="ATA4" s="226" t="s">
        <v>13330</v>
      </c>
      <c r="ATB4" s="227"/>
      <c r="ATC4" s="227"/>
      <c r="ATD4" s="228"/>
      <c r="ATE4" s="226" t="s">
        <v>13330</v>
      </c>
      <c r="ATF4" s="227"/>
      <c r="ATG4" s="227"/>
      <c r="ATH4" s="228"/>
      <c r="ATI4" s="226" t="s">
        <v>13330</v>
      </c>
      <c r="ATJ4" s="227"/>
      <c r="ATK4" s="227"/>
      <c r="ATL4" s="228"/>
      <c r="ATM4" s="226" t="s">
        <v>13330</v>
      </c>
      <c r="ATN4" s="227"/>
      <c r="ATO4" s="227"/>
      <c r="ATP4" s="228"/>
      <c r="ATQ4" s="226" t="s">
        <v>13330</v>
      </c>
      <c r="ATR4" s="227"/>
      <c r="ATS4" s="227"/>
      <c r="ATT4" s="228"/>
      <c r="ATU4" s="226" t="s">
        <v>13330</v>
      </c>
      <c r="ATV4" s="227"/>
      <c r="ATW4" s="227"/>
      <c r="ATX4" s="228"/>
      <c r="ATY4" s="226" t="s">
        <v>13330</v>
      </c>
      <c r="ATZ4" s="227"/>
      <c r="AUA4" s="227"/>
      <c r="AUB4" s="228"/>
      <c r="AUC4" s="226" t="s">
        <v>13330</v>
      </c>
      <c r="AUD4" s="227"/>
      <c r="AUE4" s="227"/>
      <c r="AUF4" s="228"/>
      <c r="AUG4" s="226" t="s">
        <v>13330</v>
      </c>
      <c r="AUH4" s="227"/>
      <c r="AUI4" s="227"/>
      <c r="AUJ4" s="228"/>
      <c r="AUK4" s="226" t="s">
        <v>13330</v>
      </c>
      <c r="AUL4" s="227"/>
      <c r="AUM4" s="227"/>
      <c r="AUN4" s="228"/>
      <c r="AUO4" s="226" t="s">
        <v>13330</v>
      </c>
      <c r="AUP4" s="227"/>
      <c r="AUQ4" s="227"/>
      <c r="AUR4" s="228"/>
      <c r="AUS4" s="226" t="s">
        <v>13330</v>
      </c>
      <c r="AUT4" s="227"/>
      <c r="AUU4" s="227"/>
      <c r="AUV4" s="228"/>
      <c r="AUW4" s="226" t="s">
        <v>13330</v>
      </c>
      <c r="AUX4" s="227"/>
      <c r="AUY4" s="227"/>
      <c r="AUZ4" s="228"/>
      <c r="AVA4" s="226" t="s">
        <v>13330</v>
      </c>
      <c r="AVB4" s="227"/>
      <c r="AVC4" s="227"/>
      <c r="AVD4" s="228"/>
      <c r="AVE4" s="226" t="s">
        <v>13330</v>
      </c>
      <c r="AVF4" s="227"/>
      <c r="AVG4" s="227"/>
      <c r="AVH4" s="228"/>
      <c r="AVI4" s="226" t="s">
        <v>13330</v>
      </c>
      <c r="AVJ4" s="227"/>
      <c r="AVK4" s="227"/>
      <c r="AVL4" s="228"/>
      <c r="AVM4" s="226" t="s">
        <v>13330</v>
      </c>
      <c r="AVN4" s="227"/>
      <c r="AVO4" s="227"/>
      <c r="AVP4" s="228"/>
      <c r="AVQ4" s="226" t="s">
        <v>13330</v>
      </c>
      <c r="AVR4" s="227"/>
      <c r="AVS4" s="227"/>
      <c r="AVT4" s="228"/>
      <c r="AVU4" s="226" t="s">
        <v>13330</v>
      </c>
      <c r="AVV4" s="227"/>
      <c r="AVW4" s="227"/>
      <c r="AVX4" s="228"/>
      <c r="AVY4" s="226" t="s">
        <v>13330</v>
      </c>
      <c r="AVZ4" s="227"/>
      <c r="AWA4" s="227"/>
      <c r="AWB4" s="228"/>
      <c r="AWC4" s="226" t="s">
        <v>13330</v>
      </c>
      <c r="AWD4" s="227"/>
      <c r="AWE4" s="227"/>
      <c r="AWF4" s="228"/>
      <c r="AWG4" s="226" t="s">
        <v>13330</v>
      </c>
      <c r="AWH4" s="227"/>
      <c r="AWI4" s="227"/>
      <c r="AWJ4" s="228"/>
      <c r="AWK4" s="226" t="s">
        <v>13330</v>
      </c>
      <c r="AWL4" s="227"/>
      <c r="AWM4" s="227"/>
      <c r="AWN4" s="228"/>
      <c r="AWO4" s="226" t="s">
        <v>13330</v>
      </c>
      <c r="AWP4" s="227"/>
      <c r="AWQ4" s="227"/>
      <c r="AWR4" s="228"/>
      <c r="AWS4" s="226" t="s">
        <v>13330</v>
      </c>
      <c r="AWT4" s="227"/>
      <c r="AWU4" s="227"/>
      <c r="AWV4" s="228"/>
      <c r="AWW4" s="226" t="s">
        <v>13330</v>
      </c>
      <c r="AWX4" s="227"/>
      <c r="AWY4" s="227"/>
      <c r="AWZ4" s="228"/>
      <c r="AXA4" s="226" t="s">
        <v>13330</v>
      </c>
      <c r="AXB4" s="227"/>
      <c r="AXC4" s="227"/>
      <c r="AXD4" s="228"/>
      <c r="AXE4" s="226" t="s">
        <v>13330</v>
      </c>
      <c r="AXF4" s="227"/>
      <c r="AXG4" s="227"/>
      <c r="AXH4" s="228"/>
      <c r="AXI4" s="226" t="s">
        <v>13330</v>
      </c>
      <c r="AXJ4" s="227"/>
      <c r="AXK4" s="227"/>
      <c r="AXL4" s="228"/>
      <c r="AXM4" s="226" t="s">
        <v>13330</v>
      </c>
      <c r="AXN4" s="227"/>
      <c r="AXO4" s="227"/>
      <c r="AXP4" s="228"/>
      <c r="AXQ4" s="226" t="s">
        <v>13330</v>
      </c>
      <c r="AXR4" s="227"/>
      <c r="AXS4" s="227"/>
      <c r="AXT4" s="228"/>
      <c r="AXU4" s="226" t="s">
        <v>13330</v>
      </c>
      <c r="AXV4" s="227"/>
      <c r="AXW4" s="227"/>
      <c r="AXX4" s="228"/>
      <c r="AXY4" s="226" t="s">
        <v>13330</v>
      </c>
      <c r="AXZ4" s="227"/>
      <c r="AYA4" s="227"/>
      <c r="AYB4" s="228"/>
      <c r="AYC4" s="226" t="s">
        <v>13330</v>
      </c>
      <c r="AYD4" s="227"/>
      <c r="AYE4" s="227"/>
      <c r="AYF4" s="228"/>
      <c r="AYG4" s="226" t="s">
        <v>13330</v>
      </c>
      <c r="AYH4" s="227"/>
      <c r="AYI4" s="227"/>
      <c r="AYJ4" s="228"/>
      <c r="AYK4" s="226" t="s">
        <v>13330</v>
      </c>
      <c r="AYL4" s="227"/>
      <c r="AYM4" s="227"/>
      <c r="AYN4" s="228"/>
      <c r="AYO4" s="226" t="s">
        <v>13330</v>
      </c>
      <c r="AYP4" s="227"/>
      <c r="AYQ4" s="227"/>
      <c r="AYR4" s="228"/>
      <c r="AYS4" s="226" t="s">
        <v>13330</v>
      </c>
      <c r="AYT4" s="227"/>
      <c r="AYU4" s="227"/>
      <c r="AYV4" s="228"/>
      <c r="AYW4" s="226" t="s">
        <v>13330</v>
      </c>
      <c r="AYX4" s="227"/>
      <c r="AYY4" s="227"/>
      <c r="AYZ4" s="228"/>
      <c r="AZA4" s="226" t="s">
        <v>13330</v>
      </c>
      <c r="AZB4" s="227"/>
      <c r="AZC4" s="227"/>
      <c r="AZD4" s="228"/>
      <c r="AZE4" s="226" t="s">
        <v>13330</v>
      </c>
      <c r="AZF4" s="227"/>
      <c r="AZG4" s="227"/>
      <c r="AZH4" s="228"/>
      <c r="AZI4" s="226" t="s">
        <v>13330</v>
      </c>
      <c r="AZJ4" s="227"/>
      <c r="AZK4" s="227"/>
      <c r="AZL4" s="228"/>
      <c r="AZM4" s="226" t="s">
        <v>13330</v>
      </c>
      <c r="AZN4" s="227"/>
      <c r="AZO4" s="227"/>
      <c r="AZP4" s="228"/>
      <c r="AZQ4" s="226" t="s">
        <v>13330</v>
      </c>
      <c r="AZR4" s="227"/>
      <c r="AZS4" s="227"/>
      <c r="AZT4" s="228"/>
      <c r="AZU4" s="226" t="s">
        <v>13330</v>
      </c>
      <c r="AZV4" s="227"/>
      <c r="AZW4" s="227"/>
      <c r="AZX4" s="228"/>
      <c r="AZY4" s="226" t="s">
        <v>13330</v>
      </c>
      <c r="AZZ4" s="227"/>
      <c r="BAA4" s="227"/>
      <c r="BAB4" s="228"/>
      <c r="BAC4" s="226" t="s">
        <v>13330</v>
      </c>
      <c r="BAD4" s="227"/>
      <c r="BAE4" s="227"/>
      <c r="BAF4" s="228"/>
      <c r="BAG4" s="226" t="s">
        <v>13330</v>
      </c>
      <c r="BAH4" s="227"/>
      <c r="BAI4" s="227"/>
      <c r="BAJ4" s="228"/>
      <c r="BAK4" s="226" t="s">
        <v>13330</v>
      </c>
      <c r="BAL4" s="227"/>
      <c r="BAM4" s="227"/>
      <c r="BAN4" s="228"/>
      <c r="BAO4" s="226" t="s">
        <v>13330</v>
      </c>
      <c r="BAP4" s="227"/>
      <c r="BAQ4" s="227"/>
      <c r="BAR4" s="228"/>
      <c r="BAS4" s="226" t="s">
        <v>13330</v>
      </c>
      <c r="BAT4" s="227"/>
      <c r="BAU4" s="227"/>
      <c r="BAV4" s="228"/>
      <c r="BAW4" s="226" t="s">
        <v>13330</v>
      </c>
      <c r="BAX4" s="227"/>
      <c r="BAY4" s="227"/>
      <c r="BAZ4" s="228"/>
      <c r="BBA4" s="226" t="s">
        <v>13330</v>
      </c>
      <c r="BBB4" s="227"/>
      <c r="BBC4" s="227"/>
      <c r="BBD4" s="228"/>
      <c r="BBE4" s="226" t="s">
        <v>13330</v>
      </c>
      <c r="BBF4" s="227"/>
      <c r="BBG4" s="227"/>
      <c r="BBH4" s="228"/>
      <c r="BBI4" s="226" t="s">
        <v>13330</v>
      </c>
      <c r="BBJ4" s="227"/>
      <c r="BBK4" s="227"/>
      <c r="BBL4" s="228"/>
      <c r="BBM4" s="226" t="s">
        <v>13330</v>
      </c>
      <c r="BBN4" s="227"/>
      <c r="BBO4" s="227"/>
      <c r="BBP4" s="228"/>
      <c r="BBQ4" s="226" t="s">
        <v>13330</v>
      </c>
      <c r="BBR4" s="227"/>
      <c r="BBS4" s="227"/>
      <c r="BBT4" s="228"/>
      <c r="BBU4" s="226" t="s">
        <v>13330</v>
      </c>
      <c r="BBV4" s="227"/>
      <c r="BBW4" s="227"/>
      <c r="BBX4" s="228"/>
      <c r="BBY4" s="226" t="s">
        <v>13330</v>
      </c>
      <c r="BBZ4" s="227"/>
      <c r="BCA4" s="227"/>
      <c r="BCB4" s="228"/>
      <c r="BCC4" s="226" t="s">
        <v>13330</v>
      </c>
      <c r="BCD4" s="227"/>
      <c r="BCE4" s="227"/>
      <c r="BCF4" s="228"/>
      <c r="BCG4" s="226" t="s">
        <v>13330</v>
      </c>
      <c r="BCH4" s="227"/>
      <c r="BCI4" s="227"/>
      <c r="BCJ4" s="228"/>
      <c r="BCK4" s="226" t="s">
        <v>13330</v>
      </c>
      <c r="BCL4" s="227"/>
      <c r="BCM4" s="227"/>
      <c r="BCN4" s="228"/>
      <c r="BCO4" s="226" t="s">
        <v>13330</v>
      </c>
      <c r="BCP4" s="227"/>
      <c r="BCQ4" s="227"/>
      <c r="BCR4" s="228"/>
      <c r="BCS4" s="226" t="s">
        <v>13330</v>
      </c>
      <c r="BCT4" s="227"/>
      <c r="BCU4" s="227"/>
      <c r="BCV4" s="228"/>
      <c r="BCW4" s="226" t="s">
        <v>13330</v>
      </c>
      <c r="BCX4" s="227"/>
      <c r="BCY4" s="227"/>
      <c r="BCZ4" s="228"/>
      <c r="BDA4" s="226" t="s">
        <v>13330</v>
      </c>
      <c r="BDB4" s="227"/>
      <c r="BDC4" s="227"/>
      <c r="BDD4" s="228"/>
      <c r="BDE4" s="226" t="s">
        <v>13330</v>
      </c>
      <c r="BDF4" s="227"/>
      <c r="BDG4" s="227"/>
      <c r="BDH4" s="228"/>
      <c r="BDI4" s="226" t="s">
        <v>13330</v>
      </c>
      <c r="BDJ4" s="227"/>
      <c r="BDK4" s="227"/>
      <c r="BDL4" s="228"/>
      <c r="BDM4" s="226" t="s">
        <v>13330</v>
      </c>
      <c r="BDN4" s="227"/>
      <c r="BDO4" s="227"/>
      <c r="BDP4" s="228"/>
      <c r="BDQ4" s="226" t="s">
        <v>13330</v>
      </c>
      <c r="BDR4" s="227"/>
      <c r="BDS4" s="227"/>
      <c r="BDT4" s="228"/>
      <c r="BDU4" s="226" t="s">
        <v>13330</v>
      </c>
      <c r="BDV4" s="227"/>
      <c r="BDW4" s="227"/>
      <c r="BDX4" s="228"/>
      <c r="BDY4" s="226" t="s">
        <v>13330</v>
      </c>
      <c r="BDZ4" s="227"/>
      <c r="BEA4" s="227"/>
      <c r="BEB4" s="228"/>
      <c r="BEC4" s="226" t="s">
        <v>13330</v>
      </c>
      <c r="BED4" s="227"/>
      <c r="BEE4" s="227"/>
      <c r="BEF4" s="228"/>
      <c r="BEG4" s="226" t="s">
        <v>13330</v>
      </c>
      <c r="BEH4" s="227"/>
      <c r="BEI4" s="227"/>
      <c r="BEJ4" s="228"/>
      <c r="BEK4" s="226" t="s">
        <v>13330</v>
      </c>
      <c r="BEL4" s="227"/>
      <c r="BEM4" s="227"/>
      <c r="BEN4" s="228"/>
      <c r="BEO4" s="226" t="s">
        <v>13330</v>
      </c>
      <c r="BEP4" s="227"/>
      <c r="BEQ4" s="227"/>
      <c r="BER4" s="228"/>
      <c r="BES4" s="226" t="s">
        <v>13330</v>
      </c>
      <c r="BET4" s="227"/>
      <c r="BEU4" s="227"/>
      <c r="BEV4" s="228"/>
      <c r="BEW4" s="226" t="s">
        <v>13330</v>
      </c>
      <c r="BEX4" s="227"/>
      <c r="BEY4" s="227"/>
      <c r="BEZ4" s="228"/>
      <c r="BFA4" s="226" t="s">
        <v>13330</v>
      </c>
      <c r="BFB4" s="227"/>
      <c r="BFC4" s="227"/>
      <c r="BFD4" s="228"/>
      <c r="BFE4" s="226" t="s">
        <v>13330</v>
      </c>
      <c r="BFF4" s="227"/>
      <c r="BFG4" s="227"/>
      <c r="BFH4" s="228"/>
      <c r="BFI4" s="226" t="s">
        <v>13330</v>
      </c>
      <c r="BFJ4" s="227"/>
      <c r="BFK4" s="227"/>
      <c r="BFL4" s="228"/>
      <c r="BFM4" s="226" t="s">
        <v>13330</v>
      </c>
      <c r="BFN4" s="227"/>
      <c r="BFO4" s="227"/>
      <c r="BFP4" s="228"/>
      <c r="BFQ4" s="226" t="s">
        <v>13330</v>
      </c>
      <c r="BFR4" s="227"/>
      <c r="BFS4" s="227"/>
      <c r="BFT4" s="228"/>
      <c r="BFU4" s="226" t="s">
        <v>13330</v>
      </c>
      <c r="BFV4" s="227"/>
      <c r="BFW4" s="227"/>
      <c r="BFX4" s="228"/>
      <c r="BFY4" s="226" t="s">
        <v>13330</v>
      </c>
      <c r="BFZ4" s="227"/>
      <c r="BGA4" s="227"/>
      <c r="BGB4" s="228"/>
      <c r="BGC4" s="226" t="s">
        <v>13330</v>
      </c>
      <c r="BGD4" s="227"/>
      <c r="BGE4" s="227"/>
      <c r="BGF4" s="228"/>
      <c r="BGG4" s="226" t="s">
        <v>13330</v>
      </c>
      <c r="BGH4" s="227"/>
      <c r="BGI4" s="227"/>
      <c r="BGJ4" s="228"/>
      <c r="BGK4" s="226" t="s">
        <v>13330</v>
      </c>
      <c r="BGL4" s="227"/>
      <c r="BGM4" s="227"/>
      <c r="BGN4" s="228"/>
      <c r="BGO4" s="226" t="s">
        <v>13330</v>
      </c>
      <c r="BGP4" s="227"/>
      <c r="BGQ4" s="227"/>
      <c r="BGR4" s="228"/>
      <c r="BGS4" s="226" t="s">
        <v>13330</v>
      </c>
      <c r="BGT4" s="227"/>
      <c r="BGU4" s="227"/>
      <c r="BGV4" s="228"/>
      <c r="BGW4" s="226" t="s">
        <v>13330</v>
      </c>
      <c r="BGX4" s="227"/>
      <c r="BGY4" s="227"/>
      <c r="BGZ4" s="228"/>
      <c r="BHA4" s="226" t="s">
        <v>13330</v>
      </c>
      <c r="BHB4" s="227"/>
      <c r="BHC4" s="227"/>
      <c r="BHD4" s="228"/>
      <c r="BHE4" s="226" t="s">
        <v>13330</v>
      </c>
      <c r="BHF4" s="227"/>
      <c r="BHG4" s="227"/>
      <c r="BHH4" s="228"/>
      <c r="BHI4" s="226" t="s">
        <v>13330</v>
      </c>
      <c r="BHJ4" s="227"/>
      <c r="BHK4" s="227"/>
      <c r="BHL4" s="228"/>
      <c r="BHM4" s="226" t="s">
        <v>13330</v>
      </c>
      <c r="BHN4" s="227"/>
      <c r="BHO4" s="227"/>
      <c r="BHP4" s="228"/>
      <c r="BHQ4" s="226" t="s">
        <v>13330</v>
      </c>
      <c r="BHR4" s="227"/>
      <c r="BHS4" s="227"/>
      <c r="BHT4" s="228"/>
      <c r="BHU4" s="226" t="s">
        <v>13330</v>
      </c>
      <c r="BHV4" s="227"/>
      <c r="BHW4" s="227"/>
      <c r="BHX4" s="228"/>
      <c r="BHY4" s="226" t="s">
        <v>13330</v>
      </c>
      <c r="BHZ4" s="227"/>
      <c r="BIA4" s="227"/>
      <c r="BIB4" s="228"/>
      <c r="BIC4" s="226" t="s">
        <v>13330</v>
      </c>
      <c r="BID4" s="227"/>
      <c r="BIE4" s="227"/>
      <c r="BIF4" s="228"/>
      <c r="BIG4" s="226" t="s">
        <v>13330</v>
      </c>
      <c r="BIH4" s="227"/>
      <c r="BII4" s="227"/>
      <c r="BIJ4" s="228"/>
      <c r="BIK4" s="226" t="s">
        <v>13330</v>
      </c>
      <c r="BIL4" s="227"/>
      <c r="BIM4" s="227"/>
      <c r="BIN4" s="228"/>
      <c r="BIO4" s="226" t="s">
        <v>13330</v>
      </c>
      <c r="BIP4" s="227"/>
      <c r="BIQ4" s="227"/>
      <c r="BIR4" s="228"/>
      <c r="BIS4" s="226" t="s">
        <v>13330</v>
      </c>
      <c r="BIT4" s="227"/>
      <c r="BIU4" s="227"/>
      <c r="BIV4" s="228"/>
      <c r="BIW4" s="226" t="s">
        <v>13330</v>
      </c>
      <c r="BIX4" s="227"/>
      <c r="BIY4" s="227"/>
      <c r="BIZ4" s="228"/>
      <c r="BJA4" s="226" t="s">
        <v>13330</v>
      </c>
      <c r="BJB4" s="227"/>
      <c r="BJC4" s="227"/>
      <c r="BJD4" s="228"/>
      <c r="BJE4" s="226" t="s">
        <v>13330</v>
      </c>
      <c r="BJF4" s="227"/>
      <c r="BJG4" s="227"/>
      <c r="BJH4" s="228"/>
      <c r="BJI4" s="226" t="s">
        <v>13330</v>
      </c>
      <c r="BJJ4" s="227"/>
      <c r="BJK4" s="227"/>
      <c r="BJL4" s="228"/>
      <c r="BJM4" s="226" t="s">
        <v>13330</v>
      </c>
      <c r="BJN4" s="227"/>
      <c r="BJO4" s="227"/>
      <c r="BJP4" s="228"/>
      <c r="BJQ4" s="226" t="s">
        <v>13330</v>
      </c>
      <c r="BJR4" s="227"/>
      <c r="BJS4" s="227"/>
      <c r="BJT4" s="228"/>
      <c r="BJU4" s="226" t="s">
        <v>13330</v>
      </c>
      <c r="BJV4" s="227"/>
      <c r="BJW4" s="227"/>
      <c r="BJX4" s="228"/>
      <c r="BJY4" s="226" t="s">
        <v>13330</v>
      </c>
      <c r="BJZ4" s="227"/>
      <c r="BKA4" s="227"/>
      <c r="BKB4" s="228"/>
      <c r="BKC4" s="226" t="s">
        <v>13330</v>
      </c>
      <c r="BKD4" s="227"/>
      <c r="BKE4" s="227"/>
      <c r="BKF4" s="228"/>
      <c r="BKG4" s="226" t="s">
        <v>13330</v>
      </c>
      <c r="BKH4" s="227"/>
      <c r="BKI4" s="227"/>
      <c r="BKJ4" s="228"/>
      <c r="BKK4" s="226" t="s">
        <v>13330</v>
      </c>
      <c r="BKL4" s="227"/>
      <c r="BKM4" s="227"/>
      <c r="BKN4" s="228"/>
      <c r="BKO4" s="226" t="s">
        <v>13330</v>
      </c>
      <c r="BKP4" s="227"/>
      <c r="BKQ4" s="227"/>
      <c r="BKR4" s="228"/>
      <c r="BKS4" s="226" t="s">
        <v>13330</v>
      </c>
      <c r="BKT4" s="227"/>
      <c r="BKU4" s="227"/>
      <c r="BKV4" s="228"/>
      <c r="BKW4" s="226" t="s">
        <v>13330</v>
      </c>
      <c r="BKX4" s="227"/>
      <c r="BKY4" s="227"/>
      <c r="BKZ4" s="228"/>
      <c r="BLA4" s="226" t="s">
        <v>13330</v>
      </c>
      <c r="BLB4" s="227"/>
      <c r="BLC4" s="227"/>
      <c r="BLD4" s="228"/>
      <c r="BLE4" s="226" t="s">
        <v>13330</v>
      </c>
      <c r="BLF4" s="227"/>
      <c r="BLG4" s="227"/>
      <c r="BLH4" s="228"/>
      <c r="BLI4" s="226" t="s">
        <v>13330</v>
      </c>
      <c r="BLJ4" s="227"/>
      <c r="BLK4" s="227"/>
      <c r="BLL4" s="228"/>
      <c r="BLM4" s="226" t="s">
        <v>13330</v>
      </c>
      <c r="BLN4" s="227"/>
      <c r="BLO4" s="227"/>
      <c r="BLP4" s="228"/>
      <c r="BLQ4" s="226" t="s">
        <v>13330</v>
      </c>
      <c r="BLR4" s="227"/>
      <c r="BLS4" s="227"/>
      <c r="BLT4" s="228"/>
      <c r="BLU4" s="226" t="s">
        <v>13330</v>
      </c>
      <c r="BLV4" s="227"/>
      <c r="BLW4" s="227"/>
      <c r="BLX4" s="228"/>
      <c r="BLY4" s="226" t="s">
        <v>13330</v>
      </c>
      <c r="BLZ4" s="227"/>
      <c r="BMA4" s="227"/>
      <c r="BMB4" s="228"/>
      <c r="BMC4" s="226" t="s">
        <v>13330</v>
      </c>
      <c r="BMD4" s="227"/>
      <c r="BME4" s="227"/>
      <c r="BMF4" s="228"/>
      <c r="BMG4" s="226" t="s">
        <v>13330</v>
      </c>
      <c r="BMH4" s="227"/>
      <c r="BMI4" s="227"/>
      <c r="BMJ4" s="228"/>
      <c r="BMK4" s="226" t="s">
        <v>13330</v>
      </c>
      <c r="BML4" s="227"/>
      <c r="BMM4" s="227"/>
      <c r="BMN4" s="228"/>
      <c r="BMO4" s="226" t="s">
        <v>13330</v>
      </c>
      <c r="BMP4" s="227"/>
      <c r="BMQ4" s="227"/>
      <c r="BMR4" s="228"/>
      <c r="BMS4" s="226" t="s">
        <v>13330</v>
      </c>
      <c r="BMT4" s="227"/>
      <c r="BMU4" s="227"/>
      <c r="BMV4" s="228"/>
      <c r="BMW4" s="226" t="s">
        <v>13330</v>
      </c>
      <c r="BMX4" s="227"/>
      <c r="BMY4" s="227"/>
      <c r="BMZ4" s="228"/>
      <c r="BNA4" s="226" t="s">
        <v>13330</v>
      </c>
      <c r="BNB4" s="227"/>
      <c r="BNC4" s="227"/>
      <c r="BND4" s="228"/>
      <c r="BNE4" s="226" t="s">
        <v>13330</v>
      </c>
      <c r="BNF4" s="227"/>
      <c r="BNG4" s="227"/>
      <c r="BNH4" s="228"/>
      <c r="BNI4" s="226" t="s">
        <v>13330</v>
      </c>
      <c r="BNJ4" s="227"/>
      <c r="BNK4" s="227"/>
      <c r="BNL4" s="228"/>
      <c r="BNM4" s="226" t="s">
        <v>13330</v>
      </c>
      <c r="BNN4" s="227"/>
      <c r="BNO4" s="227"/>
      <c r="BNP4" s="228"/>
      <c r="BNQ4" s="226" t="s">
        <v>13330</v>
      </c>
      <c r="BNR4" s="227"/>
      <c r="BNS4" s="227"/>
      <c r="BNT4" s="228"/>
      <c r="BNU4" s="226" t="s">
        <v>13330</v>
      </c>
      <c r="BNV4" s="227"/>
      <c r="BNW4" s="227"/>
      <c r="BNX4" s="228"/>
      <c r="BNY4" s="226" t="s">
        <v>13330</v>
      </c>
      <c r="BNZ4" s="227"/>
      <c r="BOA4" s="227"/>
      <c r="BOB4" s="228"/>
      <c r="BOC4" s="226" t="s">
        <v>13330</v>
      </c>
      <c r="BOD4" s="227"/>
      <c r="BOE4" s="227"/>
      <c r="BOF4" s="228"/>
      <c r="BOG4" s="226" t="s">
        <v>13330</v>
      </c>
      <c r="BOH4" s="227"/>
      <c r="BOI4" s="227"/>
      <c r="BOJ4" s="228"/>
      <c r="BOK4" s="226" t="s">
        <v>13330</v>
      </c>
      <c r="BOL4" s="227"/>
      <c r="BOM4" s="227"/>
      <c r="BON4" s="228"/>
      <c r="BOO4" s="226" t="s">
        <v>13330</v>
      </c>
      <c r="BOP4" s="227"/>
      <c r="BOQ4" s="227"/>
      <c r="BOR4" s="228"/>
      <c r="BOS4" s="226" t="s">
        <v>13330</v>
      </c>
      <c r="BOT4" s="227"/>
      <c r="BOU4" s="227"/>
      <c r="BOV4" s="228"/>
      <c r="BOW4" s="226" t="s">
        <v>13330</v>
      </c>
      <c r="BOX4" s="227"/>
      <c r="BOY4" s="227"/>
      <c r="BOZ4" s="228"/>
      <c r="BPA4" s="226" t="s">
        <v>13330</v>
      </c>
      <c r="BPB4" s="227"/>
      <c r="BPC4" s="227"/>
      <c r="BPD4" s="228"/>
      <c r="BPE4" s="226" t="s">
        <v>13330</v>
      </c>
      <c r="BPF4" s="227"/>
      <c r="BPG4" s="227"/>
      <c r="BPH4" s="228"/>
      <c r="BPI4" s="226" t="s">
        <v>13330</v>
      </c>
      <c r="BPJ4" s="227"/>
      <c r="BPK4" s="227"/>
      <c r="BPL4" s="228"/>
      <c r="BPM4" s="226" t="s">
        <v>13330</v>
      </c>
      <c r="BPN4" s="227"/>
      <c r="BPO4" s="227"/>
      <c r="BPP4" s="228"/>
      <c r="BPQ4" s="226" t="s">
        <v>13330</v>
      </c>
      <c r="BPR4" s="227"/>
      <c r="BPS4" s="227"/>
      <c r="BPT4" s="228"/>
      <c r="BPU4" s="226" t="s">
        <v>13330</v>
      </c>
      <c r="BPV4" s="227"/>
      <c r="BPW4" s="227"/>
      <c r="BPX4" s="228"/>
      <c r="BPY4" s="226" t="s">
        <v>13330</v>
      </c>
      <c r="BPZ4" s="227"/>
      <c r="BQA4" s="227"/>
      <c r="BQB4" s="228"/>
      <c r="BQC4" s="226" t="s">
        <v>13330</v>
      </c>
      <c r="BQD4" s="227"/>
      <c r="BQE4" s="227"/>
      <c r="BQF4" s="228"/>
      <c r="BQG4" s="226" t="s">
        <v>13330</v>
      </c>
      <c r="BQH4" s="227"/>
      <c r="BQI4" s="227"/>
      <c r="BQJ4" s="228"/>
      <c r="BQK4" s="226" t="s">
        <v>13330</v>
      </c>
      <c r="BQL4" s="227"/>
      <c r="BQM4" s="227"/>
      <c r="BQN4" s="228"/>
      <c r="BQO4" s="226" t="s">
        <v>13330</v>
      </c>
      <c r="BQP4" s="227"/>
      <c r="BQQ4" s="227"/>
      <c r="BQR4" s="228"/>
      <c r="BQS4" s="226" t="s">
        <v>13330</v>
      </c>
      <c r="BQT4" s="227"/>
      <c r="BQU4" s="227"/>
      <c r="BQV4" s="228"/>
      <c r="BQW4" s="226" t="s">
        <v>13330</v>
      </c>
      <c r="BQX4" s="227"/>
      <c r="BQY4" s="227"/>
      <c r="BQZ4" s="228"/>
      <c r="BRA4" s="226" t="s">
        <v>13330</v>
      </c>
      <c r="BRB4" s="227"/>
      <c r="BRC4" s="227"/>
      <c r="BRD4" s="228"/>
      <c r="BRE4" s="226" t="s">
        <v>13330</v>
      </c>
      <c r="BRF4" s="227"/>
      <c r="BRG4" s="227"/>
      <c r="BRH4" s="228"/>
      <c r="BRI4" s="226" t="s">
        <v>13330</v>
      </c>
      <c r="BRJ4" s="227"/>
      <c r="BRK4" s="227"/>
      <c r="BRL4" s="228"/>
      <c r="BRM4" s="226" t="s">
        <v>13330</v>
      </c>
      <c r="BRN4" s="227"/>
      <c r="BRO4" s="227"/>
      <c r="BRP4" s="228"/>
      <c r="BRQ4" s="226" t="s">
        <v>13330</v>
      </c>
      <c r="BRR4" s="227"/>
      <c r="BRS4" s="227"/>
      <c r="BRT4" s="228"/>
      <c r="BRU4" s="226" t="s">
        <v>13330</v>
      </c>
      <c r="BRV4" s="227"/>
      <c r="BRW4" s="227"/>
      <c r="BRX4" s="228"/>
      <c r="BRY4" s="226" t="s">
        <v>13330</v>
      </c>
      <c r="BRZ4" s="227"/>
      <c r="BSA4" s="227"/>
      <c r="BSB4" s="228"/>
      <c r="BSC4" s="226" t="s">
        <v>13330</v>
      </c>
      <c r="BSD4" s="227"/>
      <c r="BSE4" s="227"/>
      <c r="BSF4" s="228"/>
      <c r="BSG4" s="226" t="s">
        <v>13330</v>
      </c>
      <c r="BSH4" s="227"/>
      <c r="BSI4" s="227"/>
      <c r="BSJ4" s="228"/>
      <c r="BSK4" s="226" t="s">
        <v>13330</v>
      </c>
      <c r="BSL4" s="227"/>
      <c r="BSM4" s="227"/>
      <c r="BSN4" s="228"/>
      <c r="BSO4" s="226" t="s">
        <v>13330</v>
      </c>
      <c r="BSP4" s="227"/>
      <c r="BSQ4" s="227"/>
      <c r="BSR4" s="228"/>
      <c r="BSS4" s="226" t="s">
        <v>13330</v>
      </c>
      <c r="BST4" s="227"/>
      <c r="BSU4" s="227"/>
      <c r="BSV4" s="228"/>
      <c r="BSW4" s="226" t="s">
        <v>13330</v>
      </c>
      <c r="BSX4" s="227"/>
      <c r="BSY4" s="227"/>
      <c r="BSZ4" s="228"/>
      <c r="BTA4" s="226" t="s">
        <v>13330</v>
      </c>
      <c r="BTB4" s="227"/>
      <c r="BTC4" s="227"/>
      <c r="BTD4" s="228"/>
      <c r="BTE4" s="226" t="s">
        <v>13330</v>
      </c>
      <c r="BTF4" s="227"/>
      <c r="BTG4" s="227"/>
      <c r="BTH4" s="228"/>
      <c r="BTI4" s="226" t="s">
        <v>13330</v>
      </c>
      <c r="BTJ4" s="227"/>
      <c r="BTK4" s="227"/>
      <c r="BTL4" s="228"/>
      <c r="BTM4" s="226" t="s">
        <v>13330</v>
      </c>
      <c r="BTN4" s="227"/>
      <c r="BTO4" s="227"/>
      <c r="BTP4" s="228"/>
      <c r="BTQ4" s="226" t="s">
        <v>13330</v>
      </c>
      <c r="BTR4" s="227"/>
      <c r="BTS4" s="227"/>
      <c r="BTT4" s="228"/>
      <c r="BTU4" s="226" t="s">
        <v>13330</v>
      </c>
      <c r="BTV4" s="227"/>
      <c r="BTW4" s="227"/>
      <c r="BTX4" s="228"/>
      <c r="BTY4" s="226" t="s">
        <v>13330</v>
      </c>
      <c r="BTZ4" s="227"/>
      <c r="BUA4" s="227"/>
      <c r="BUB4" s="228"/>
      <c r="BUC4" s="226" t="s">
        <v>13330</v>
      </c>
      <c r="BUD4" s="227"/>
      <c r="BUE4" s="227"/>
      <c r="BUF4" s="228"/>
      <c r="BUG4" s="226" t="s">
        <v>13330</v>
      </c>
      <c r="BUH4" s="227"/>
      <c r="BUI4" s="227"/>
      <c r="BUJ4" s="228"/>
      <c r="BUK4" s="226" t="s">
        <v>13330</v>
      </c>
      <c r="BUL4" s="227"/>
      <c r="BUM4" s="227"/>
      <c r="BUN4" s="228"/>
      <c r="BUO4" s="226" t="s">
        <v>13330</v>
      </c>
      <c r="BUP4" s="227"/>
      <c r="BUQ4" s="227"/>
      <c r="BUR4" s="228"/>
      <c r="BUS4" s="226" t="s">
        <v>13330</v>
      </c>
      <c r="BUT4" s="227"/>
      <c r="BUU4" s="227"/>
      <c r="BUV4" s="228"/>
      <c r="BUW4" s="226" t="s">
        <v>13330</v>
      </c>
      <c r="BUX4" s="227"/>
      <c r="BUY4" s="227"/>
      <c r="BUZ4" s="228"/>
      <c r="BVA4" s="226" t="s">
        <v>13330</v>
      </c>
      <c r="BVB4" s="227"/>
      <c r="BVC4" s="227"/>
      <c r="BVD4" s="228"/>
      <c r="BVE4" s="226" t="s">
        <v>13330</v>
      </c>
      <c r="BVF4" s="227"/>
      <c r="BVG4" s="227"/>
      <c r="BVH4" s="228"/>
      <c r="BVI4" s="226" t="s">
        <v>13330</v>
      </c>
      <c r="BVJ4" s="227"/>
      <c r="BVK4" s="227"/>
      <c r="BVL4" s="228"/>
      <c r="BVM4" s="226" t="s">
        <v>13330</v>
      </c>
      <c r="BVN4" s="227"/>
      <c r="BVO4" s="227"/>
      <c r="BVP4" s="228"/>
      <c r="BVQ4" s="226" t="s">
        <v>13330</v>
      </c>
      <c r="BVR4" s="227"/>
      <c r="BVS4" s="227"/>
      <c r="BVT4" s="228"/>
      <c r="BVU4" s="226" t="s">
        <v>13330</v>
      </c>
      <c r="BVV4" s="227"/>
      <c r="BVW4" s="227"/>
      <c r="BVX4" s="228"/>
      <c r="BVY4" s="226" t="s">
        <v>13330</v>
      </c>
      <c r="BVZ4" s="227"/>
      <c r="BWA4" s="227"/>
      <c r="BWB4" s="228"/>
      <c r="BWC4" s="226" t="s">
        <v>13330</v>
      </c>
      <c r="BWD4" s="227"/>
      <c r="BWE4" s="227"/>
      <c r="BWF4" s="228"/>
      <c r="BWG4" s="226" t="s">
        <v>13330</v>
      </c>
      <c r="BWH4" s="227"/>
      <c r="BWI4" s="227"/>
      <c r="BWJ4" s="228"/>
      <c r="BWK4" s="226" t="s">
        <v>13330</v>
      </c>
      <c r="BWL4" s="227"/>
      <c r="BWM4" s="227"/>
      <c r="BWN4" s="228"/>
      <c r="BWO4" s="226" t="s">
        <v>13330</v>
      </c>
      <c r="BWP4" s="227"/>
      <c r="BWQ4" s="227"/>
      <c r="BWR4" s="228"/>
      <c r="BWS4" s="226" t="s">
        <v>13330</v>
      </c>
      <c r="BWT4" s="227"/>
      <c r="BWU4" s="227"/>
      <c r="BWV4" s="228"/>
      <c r="BWW4" s="226" t="s">
        <v>13330</v>
      </c>
      <c r="BWX4" s="227"/>
      <c r="BWY4" s="227"/>
      <c r="BWZ4" s="228"/>
      <c r="BXA4" s="226" t="s">
        <v>13330</v>
      </c>
      <c r="BXB4" s="227"/>
      <c r="BXC4" s="227"/>
      <c r="BXD4" s="228"/>
      <c r="BXE4" s="226" t="s">
        <v>13330</v>
      </c>
      <c r="BXF4" s="227"/>
      <c r="BXG4" s="227"/>
      <c r="BXH4" s="228"/>
      <c r="BXI4" s="226" t="s">
        <v>13330</v>
      </c>
      <c r="BXJ4" s="227"/>
      <c r="BXK4" s="227"/>
      <c r="BXL4" s="228"/>
      <c r="BXM4" s="226" t="s">
        <v>13330</v>
      </c>
      <c r="BXN4" s="227"/>
      <c r="BXO4" s="227"/>
      <c r="BXP4" s="228"/>
      <c r="BXQ4" s="226" t="s">
        <v>13330</v>
      </c>
      <c r="BXR4" s="227"/>
      <c r="BXS4" s="227"/>
      <c r="BXT4" s="228"/>
      <c r="BXU4" s="226" t="s">
        <v>13330</v>
      </c>
      <c r="BXV4" s="227"/>
      <c r="BXW4" s="227"/>
      <c r="BXX4" s="228"/>
      <c r="BXY4" s="226" t="s">
        <v>13330</v>
      </c>
      <c r="BXZ4" s="227"/>
      <c r="BYA4" s="227"/>
      <c r="BYB4" s="228"/>
      <c r="BYC4" s="226" t="s">
        <v>13330</v>
      </c>
      <c r="BYD4" s="227"/>
      <c r="BYE4" s="227"/>
      <c r="BYF4" s="228"/>
      <c r="BYG4" s="226" t="s">
        <v>13330</v>
      </c>
      <c r="BYH4" s="227"/>
      <c r="BYI4" s="227"/>
      <c r="BYJ4" s="228"/>
      <c r="BYK4" s="226" t="s">
        <v>13330</v>
      </c>
      <c r="BYL4" s="227"/>
      <c r="BYM4" s="227"/>
      <c r="BYN4" s="228"/>
      <c r="BYO4" s="226" t="s">
        <v>13330</v>
      </c>
      <c r="BYP4" s="227"/>
      <c r="BYQ4" s="227"/>
      <c r="BYR4" s="228"/>
      <c r="BYS4" s="226" t="s">
        <v>13330</v>
      </c>
      <c r="BYT4" s="227"/>
      <c r="BYU4" s="227"/>
      <c r="BYV4" s="228"/>
      <c r="BYW4" s="226" t="s">
        <v>13330</v>
      </c>
      <c r="BYX4" s="227"/>
      <c r="BYY4" s="227"/>
      <c r="BYZ4" s="228"/>
      <c r="BZA4" s="226" t="s">
        <v>13330</v>
      </c>
      <c r="BZB4" s="227"/>
      <c r="BZC4" s="227"/>
      <c r="BZD4" s="228"/>
      <c r="BZE4" s="226" t="s">
        <v>13330</v>
      </c>
      <c r="BZF4" s="227"/>
      <c r="BZG4" s="227"/>
      <c r="BZH4" s="228"/>
      <c r="BZI4" s="226" t="s">
        <v>13330</v>
      </c>
      <c r="BZJ4" s="227"/>
      <c r="BZK4" s="227"/>
      <c r="BZL4" s="228"/>
      <c r="BZM4" s="226" t="s">
        <v>13330</v>
      </c>
      <c r="BZN4" s="227"/>
      <c r="BZO4" s="227"/>
      <c r="BZP4" s="228"/>
      <c r="BZQ4" s="226" t="s">
        <v>13330</v>
      </c>
      <c r="BZR4" s="227"/>
      <c r="BZS4" s="227"/>
      <c r="BZT4" s="228"/>
      <c r="BZU4" s="226" t="s">
        <v>13330</v>
      </c>
      <c r="BZV4" s="227"/>
      <c r="BZW4" s="227"/>
      <c r="BZX4" s="228"/>
      <c r="BZY4" s="226" t="s">
        <v>13330</v>
      </c>
      <c r="BZZ4" s="227"/>
      <c r="CAA4" s="227"/>
      <c r="CAB4" s="228"/>
      <c r="CAC4" s="226" t="s">
        <v>13330</v>
      </c>
      <c r="CAD4" s="227"/>
      <c r="CAE4" s="227"/>
      <c r="CAF4" s="228"/>
      <c r="CAG4" s="226" t="s">
        <v>13330</v>
      </c>
      <c r="CAH4" s="227"/>
      <c r="CAI4" s="227"/>
      <c r="CAJ4" s="228"/>
      <c r="CAK4" s="226" t="s">
        <v>13330</v>
      </c>
      <c r="CAL4" s="227"/>
      <c r="CAM4" s="227"/>
      <c r="CAN4" s="228"/>
      <c r="CAO4" s="226" t="s">
        <v>13330</v>
      </c>
      <c r="CAP4" s="227"/>
      <c r="CAQ4" s="227"/>
      <c r="CAR4" s="228"/>
      <c r="CAS4" s="226" t="s">
        <v>13330</v>
      </c>
      <c r="CAT4" s="227"/>
      <c r="CAU4" s="227"/>
      <c r="CAV4" s="228"/>
      <c r="CAW4" s="226" t="s">
        <v>13330</v>
      </c>
      <c r="CAX4" s="227"/>
      <c r="CAY4" s="227"/>
      <c r="CAZ4" s="228"/>
      <c r="CBA4" s="226" t="s">
        <v>13330</v>
      </c>
      <c r="CBB4" s="227"/>
      <c r="CBC4" s="227"/>
      <c r="CBD4" s="228"/>
      <c r="CBE4" s="226" t="s">
        <v>13330</v>
      </c>
      <c r="CBF4" s="227"/>
      <c r="CBG4" s="227"/>
      <c r="CBH4" s="228"/>
      <c r="CBI4" s="226" t="s">
        <v>13330</v>
      </c>
      <c r="CBJ4" s="227"/>
      <c r="CBK4" s="227"/>
      <c r="CBL4" s="228"/>
      <c r="CBM4" s="226" t="s">
        <v>13330</v>
      </c>
      <c r="CBN4" s="227"/>
      <c r="CBO4" s="227"/>
      <c r="CBP4" s="228"/>
      <c r="CBQ4" s="226" t="s">
        <v>13330</v>
      </c>
      <c r="CBR4" s="227"/>
      <c r="CBS4" s="227"/>
      <c r="CBT4" s="228"/>
      <c r="CBU4" s="226" t="s">
        <v>13330</v>
      </c>
      <c r="CBV4" s="227"/>
      <c r="CBW4" s="227"/>
      <c r="CBX4" s="228"/>
      <c r="CBY4" s="226" t="s">
        <v>13330</v>
      </c>
      <c r="CBZ4" s="227"/>
      <c r="CCA4" s="227"/>
      <c r="CCB4" s="228"/>
      <c r="CCC4" s="226" t="s">
        <v>13330</v>
      </c>
      <c r="CCD4" s="227"/>
      <c r="CCE4" s="227"/>
      <c r="CCF4" s="228"/>
      <c r="CCG4" s="226" t="s">
        <v>13330</v>
      </c>
      <c r="CCH4" s="227"/>
      <c r="CCI4" s="227"/>
      <c r="CCJ4" s="228"/>
      <c r="CCK4" s="226" t="s">
        <v>13330</v>
      </c>
      <c r="CCL4" s="227"/>
      <c r="CCM4" s="227"/>
      <c r="CCN4" s="228"/>
      <c r="CCO4" s="226" t="s">
        <v>13330</v>
      </c>
      <c r="CCP4" s="227"/>
      <c r="CCQ4" s="227"/>
      <c r="CCR4" s="228"/>
      <c r="CCS4" s="226" t="s">
        <v>13330</v>
      </c>
      <c r="CCT4" s="227"/>
      <c r="CCU4" s="227"/>
      <c r="CCV4" s="228"/>
      <c r="CCW4" s="226" t="s">
        <v>13330</v>
      </c>
      <c r="CCX4" s="227"/>
      <c r="CCY4" s="227"/>
      <c r="CCZ4" s="228"/>
      <c r="CDA4" s="226" t="s">
        <v>13330</v>
      </c>
      <c r="CDB4" s="227"/>
      <c r="CDC4" s="227"/>
      <c r="CDD4" s="228"/>
      <c r="CDE4" s="226" t="s">
        <v>13330</v>
      </c>
      <c r="CDF4" s="227"/>
      <c r="CDG4" s="227"/>
      <c r="CDH4" s="228"/>
      <c r="CDI4" s="226" t="s">
        <v>13330</v>
      </c>
      <c r="CDJ4" s="227"/>
      <c r="CDK4" s="227"/>
      <c r="CDL4" s="228"/>
      <c r="CDM4" s="226" t="s">
        <v>13330</v>
      </c>
      <c r="CDN4" s="227"/>
      <c r="CDO4" s="227"/>
      <c r="CDP4" s="228"/>
      <c r="CDQ4" s="226" t="s">
        <v>13330</v>
      </c>
      <c r="CDR4" s="227"/>
      <c r="CDS4" s="227"/>
      <c r="CDT4" s="228"/>
      <c r="CDU4" s="226" t="s">
        <v>13330</v>
      </c>
      <c r="CDV4" s="227"/>
      <c r="CDW4" s="227"/>
      <c r="CDX4" s="228"/>
      <c r="CDY4" s="226" t="s">
        <v>13330</v>
      </c>
      <c r="CDZ4" s="227"/>
      <c r="CEA4" s="227"/>
      <c r="CEB4" s="228"/>
      <c r="CEC4" s="226" t="s">
        <v>13330</v>
      </c>
      <c r="CED4" s="227"/>
      <c r="CEE4" s="227"/>
      <c r="CEF4" s="228"/>
      <c r="CEG4" s="226" t="s">
        <v>13330</v>
      </c>
      <c r="CEH4" s="227"/>
      <c r="CEI4" s="227"/>
      <c r="CEJ4" s="228"/>
      <c r="CEK4" s="226" t="s">
        <v>13330</v>
      </c>
      <c r="CEL4" s="227"/>
      <c r="CEM4" s="227"/>
      <c r="CEN4" s="228"/>
      <c r="CEO4" s="226" t="s">
        <v>13330</v>
      </c>
      <c r="CEP4" s="227"/>
      <c r="CEQ4" s="227"/>
      <c r="CER4" s="228"/>
      <c r="CES4" s="226" t="s">
        <v>13330</v>
      </c>
      <c r="CET4" s="227"/>
      <c r="CEU4" s="227"/>
      <c r="CEV4" s="228"/>
      <c r="CEW4" s="226" t="s">
        <v>13330</v>
      </c>
      <c r="CEX4" s="227"/>
      <c r="CEY4" s="227"/>
      <c r="CEZ4" s="228"/>
      <c r="CFA4" s="226" t="s">
        <v>13330</v>
      </c>
      <c r="CFB4" s="227"/>
      <c r="CFC4" s="227"/>
      <c r="CFD4" s="228"/>
      <c r="CFE4" s="226" t="s">
        <v>13330</v>
      </c>
      <c r="CFF4" s="227"/>
      <c r="CFG4" s="227"/>
      <c r="CFH4" s="228"/>
      <c r="CFI4" s="226" t="s">
        <v>13330</v>
      </c>
      <c r="CFJ4" s="227"/>
      <c r="CFK4" s="227"/>
      <c r="CFL4" s="228"/>
      <c r="CFM4" s="226" t="s">
        <v>13330</v>
      </c>
      <c r="CFN4" s="227"/>
      <c r="CFO4" s="227"/>
      <c r="CFP4" s="228"/>
      <c r="CFQ4" s="226" t="s">
        <v>13330</v>
      </c>
      <c r="CFR4" s="227"/>
      <c r="CFS4" s="227"/>
      <c r="CFT4" s="228"/>
      <c r="CFU4" s="226" t="s">
        <v>13330</v>
      </c>
      <c r="CFV4" s="227"/>
      <c r="CFW4" s="227"/>
      <c r="CFX4" s="228"/>
      <c r="CFY4" s="226" t="s">
        <v>13330</v>
      </c>
      <c r="CFZ4" s="227"/>
      <c r="CGA4" s="227"/>
      <c r="CGB4" s="228"/>
      <c r="CGC4" s="226" t="s">
        <v>13330</v>
      </c>
      <c r="CGD4" s="227"/>
      <c r="CGE4" s="227"/>
      <c r="CGF4" s="228"/>
      <c r="CGG4" s="226" t="s">
        <v>13330</v>
      </c>
      <c r="CGH4" s="227"/>
      <c r="CGI4" s="227"/>
      <c r="CGJ4" s="228"/>
      <c r="CGK4" s="226" t="s">
        <v>13330</v>
      </c>
      <c r="CGL4" s="227"/>
      <c r="CGM4" s="227"/>
      <c r="CGN4" s="228"/>
      <c r="CGO4" s="226" t="s">
        <v>13330</v>
      </c>
      <c r="CGP4" s="227"/>
      <c r="CGQ4" s="227"/>
      <c r="CGR4" s="228"/>
      <c r="CGS4" s="226" t="s">
        <v>13330</v>
      </c>
      <c r="CGT4" s="227"/>
      <c r="CGU4" s="227"/>
      <c r="CGV4" s="228"/>
      <c r="CGW4" s="226" t="s">
        <v>13330</v>
      </c>
      <c r="CGX4" s="227"/>
      <c r="CGY4" s="227"/>
      <c r="CGZ4" s="228"/>
      <c r="CHA4" s="226" t="s">
        <v>13330</v>
      </c>
      <c r="CHB4" s="227"/>
      <c r="CHC4" s="227"/>
      <c r="CHD4" s="228"/>
      <c r="CHE4" s="226" t="s">
        <v>13330</v>
      </c>
      <c r="CHF4" s="227"/>
      <c r="CHG4" s="227"/>
      <c r="CHH4" s="228"/>
      <c r="CHI4" s="226" t="s">
        <v>13330</v>
      </c>
      <c r="CHJ4" s="227"/>
      <c r="CHK4" s="227"/>
      <c r="CHL4" s="228"/>
      <c r="CHM4" s="226" t="s">
        <v>13330</v>
      </c>
      <c r="CHN4" s="227"/>
      <c r="CHO4" s="227"/>
      <c r="CHP4" s="228"/>
      <c r="CHQ4" s="226" t="s">
        <v>13330</v>
      </c>
      <c r="CHR4" s="227"/>
      <c r="CHS4" s="227"/>
      <c r="CHT4" s="228"/>
      <c r="CHU4" s="226" t="s">
        <v>13330</v>
      </c>
      <c r="CHV4" s="227"/>
      <c r="CHW4" s="227"/>
      <c r="CHX4" s="228"/>
      <c r="CHY4" s="226" t="s">
        <v>13330</v>
      </c>
      <c r="CHZ4" s="227"/>
      <c r="CIA4" s="227"/>
      <c r="CIB4" s="228"/>
      <c r="CIC4" s="226" t="s">
        <v>13330</v>
      </c>
      <c r="CID4" s="227"/>
      <c r="CIE4" s="227"/>
      <c r="CIF4" s="228"/>
      <c r="CIG4" s="226" t="s">
        <v>13330</v>
      </c>
      <c r="CIH4" s="227"/>
      <c r="CII4" s="227"/>
      <c r="CIJ4" s="228"/>
      <c r="CIK4" s="226" t="s">
        <v>13330</v>
      </c>
      <c r="CIL4" s="227"/>
      <c r="CIM4" s="227"/>
      <c r="CIN4" s="228"/>
      <c r="CIO4" s="226" t="s">
        <v>13330</v>
      </c>
      <c r="CIP4" s="227"/>
      <c r="CIQ4" s="227"/>
      <c r="CIR4" s="228"/>
      <c r="CIS4" s="226" t="s">
        <v>13330</v>
      </c>
      <c r="CIT4" s="227"/>
      <c r="CIU4" s="227"/>
      <c r="CIV4" s="228"/>
      <c r="CIW4" s="226" t="s">
        <v>13330</v>
      </c>
      <c r="CIX4" s="227"/>
      <c r="CIY4" s="227"/>
      <c r="CIZ4" s="228"/>
      <c r="CJA4" s="226" t="s">
        <v>13330</v>
      </c>
      <c r="CJB4" s="227"/>
      <c r="CJC4" s="227"/>
      <c r="CJD4" s="228"/>
      <c r="CJE4" s="226" t="s">
        <v>13330</v>
      </c>
      <c r="CJF4" s="227"/>
      <c r="CJG4" s="227"/>
      <c r="CJH4" s="228"/>
      <c r="CJI4" s="226" t="s">
        <v>13330</v>
      </c>
      <c r="CJJ4" s="227"/>
      <c r="CJK4" s="227"/>
      <c r="CJL4" s="228"/>
      <c r="CJM4" s="226" t="s">
        <v>13330</v>
      </c>
      <c r="CJN4" s="227"/>
      <c r="CJO4" s="227"/>
      <c r="CJP4" s="228"/>
      <c r="CJQ4" s="226" t="s">
        <v>13330</v>
      </c>
      <c r="CJR4" s="227"/>
      <c r="CJS4" s="227"/>
      <c r="CJT4" s="228"/>
      <c r="CJU4" s="226" t="s">
        <v>13330</v>
      </c>
      <c r="CJV4" s="227"/>
      <c r="CJW4" s="227"/>
      <c r="CJX4" s="228"/>
      <c r="CJY4" s="226" t="s">
        <v>13330</v>
      </c>
      <c r="CJZ4" s="227"/>
      <c r="CKA4" s="227"/>
      <c r="CKB4" s="228"/>
      <c r="CKC4" s="226" t="s">
        <v>13330</v>
      </c>
      <c r="CKD4" s="227"/>
      <c r="CKE4" s="227"/>
      <c r="CKF4" s="228"/>
      <c r="CKG4" s="226" t="s">
        <v>13330</v>
      </c>
      <c r="CKH4" s="227"/>
      <c r="CKI4" s="227"/>
      <c r="CKJ4" s="228"/>
      <c r="CKK4" s="226" t="s">
        <v>13330</v>
      </c>
      <c r="CKL4" s="227"/>
      <c r="CKM4" s="227"/>
      <c r="CKN4" s="228"/>
      <c r="CKO4" s="226" t="s">
        <v>13330</v>
      </c>
      <c r="CKP4" s="227"/>
      <c r="CKQ4" s="227"/>
      <c r="CKR4" s="228"/>
      <c r="CKS4" s="226" t="s">
        <v>13330</v>
      </c>
      <c r="CKT4" s="227"/>
      <c r="CKU4" s="227"/>
      <c r="CKV4" s="228"/>
      <c r="CKW4" s="226" t="s">
        <v>13330</v>
      </c>
      <c r="CKX4" s="227"/>
      <c r="CKY4" s="227"/>
      <c r="CKZ4" s="228"/>
      <c r="CLA4" s="226" t="s">
        <v>13330</v>
      </c>
      <c r="CLB4" s="227"/>
      <c r="CLC4" s="227"/>
      <c r="CLD4" s="228"/>
      <c r="CLE4" s="226" t="s">
        <v>13330</v>
      </c>
      <c r="CLF4" s="227"/>
      <c r="CLG4" s="227"/>
      <c r="CLH4" s="228"/>
      <c r="CLI4" s="226" t="s">
        <v>13330</v>
      </c>
      <c r="CLJ4" s="227"/>
      <c r="CLK4" s="227"/>
      <c r="CLL4" s="228"/>
      <c r="CLM4" s="226" t="s">
        <v>13330</v>
      </c>
      <c r="CLN4" s="227"/>
      <c r="CLO4" s="227"/>
      <c r="CLP4" s="228"/>
      <c r="CLQ4" s="226" t="s">
        <v>13330</v>
      </c>
      <c r="CLR4" s="227"/>
      <c r="CLS4" s="227"/>
      <c r="CLT4" s="228"/>
      <c r="CLU4" s="226" t="s">
        <v>13330</v>
      </c>
      <c r="CLV4" s="227"/>
      <c r="CLW4" s="227"/>
      <c r="CLX4" s="228"/>
      <c r="CLY4" s="226" t="s">
        <v>13330</v>
      </c>
      <c r="CLZ4" s="227"/>
      <c r="CMA4" s="227"/>
      <c r="CMB4" s="228"/>
      <c r="CMC4" s="226" t="s">
        <v>13330</v>
      </c>
      <c r="CMD4" s="227"/>
      <c r="CME4" s="227"/>
      <c r="CMF4" s="228"/>
      <c r="CMG4" s="226" t="s">
        <v>13330</v>
      </c>
      <c r="CMH4" s="227"/>
      <c r="CMI4" s="227"/>
      <c r="CMJ4" s="228"/>
      <c r="CMK4" s="226" t="s">
        <v>13330</v>
      </c>
      <c r="CML4" s="227"/>
      <c r="CMM4" s="227"/>
      <c r="CMN4" s="228"/>
      <c r="CMO4" s="226" t="s">
        <v>13330</v>
      </c>
      <c r="CMP4" s="227"/>
      <c r="CMQ4" s="227"/>
      <c r="CMR4" s="228"/>
      <c r="CMS4" s="226" t="s">
        <v>13330</v>
      </c>
      <c r="CMT4" s="227"/>
      <c r="CMU4" s="227"/>
      <c r="CMV4" s="228"/>
      <c r="CMW4" s="226" t="s">
        <v>13330</v>
      </c>
      <c r="CMX4" s="227"/>
      <c r="CMY4" s="227"/>
      <c r="CMZ4" s="228"/>
      <c r="CNA4" s="226" t="s">
        <v>13330</v>
      </c>
      <c r="CNB4" s="227"/>
      <c r="CNC4" s="227"/>
      <c r="CND4" s="228"/>
      <c r="CNE4" s="226" t="s">
        <v>13330</v>
      </c>
      <c r="CNF4" s="227"/>
      <c r="CNG4" s="227"/>
      <c r="CNH4" s="228"/>
      <c r="CNI4" s="226" t="s">
        <v>13330</v>
      </c>
      <c r="CNJ4" s="227"/>
      <c r="CNK4" s="227"/>
      <c r="CNL4" s="228"/>
      <c r="CNM4" s="226" t="s">
        <v>13330</v>
      </c>
      <c r="CNN4" s="227"/>
      <c r="CNO4" s="227"/>
      <c r="CNP4" s="228"/>
      <c r="CNQ4" s="226" t="s">
        <v>13330</v>
      </c>
      <c r="CNR4" s="227"/>
      <c r="CNS4" s="227"/>
      <c r="CNT4" s="228"/>
      <c r="CNU4" s="226" t="s">
        <v>13330</v>
      </c>
      <c r="CNV4" s="227"/>
      <c r="CNW4" s="227"/>
      <c r="CNX4" s="228"/>
      <c r="CNY4" s="226" t="s">
        <v>13330</v>
      </c>
      <c r="CNZ4" s="227"/>
      <c r="COA4" s="227"/>
      <c r="COB4" s="228"/>
      <c r="COC4" s="226" t="s">
        <v>13330</v>
      </c>
      <c r="COD4" s="227"/>
      <c r="COE4" s="227"/>
      <c r="COF4" s="228"/>
      <c r="COG4" s="226" t="s">
        <v>13330</v>
      </c>
      <c r="COH4" s="227"/>
      <c r="COI4" s="227"/>
      <c r="COJ4" s="228"/>
      <c r="COK4" s="226" t="s">
        <v>13330</v>
      </c>
      <c r="COL4" s="227"/>
      <c r="COM4" s="227"/>
      <c r="CON4" s="228"/>
      <c r="COO4" s="226" t="s">
        <v>13330</v>
      </c>
      <c r="COP4" s="227"/>
      <c r="COQ4" s="227"/>
      <c r="COR4" s="228"/>
      <c r="COS4" s="226" t="s">
        <v>13330</v>
      </c>
      <c r="COT4" s="227"/>
      <c r="COU4" s="227"/>
      <c r="COV4" s="228"/>
      <c r="COW4" s="226" t="s">
        <v>13330</v>
      </c>
      <c r="COX4" s="227"/>
      <c r="COY4" s="227"/>
      <c r="COZ4" s="228"/>
      <c r="CPA4" s="226" t="s">
        <v>13330</v>
      </c>
      <c r="CPB4" s="227"/>
      <c r="CPC4" s="227"/>
      <c r="CPD4" s="228"/>
      <c r="CPE4" s="226" t="s">
        <v>13330</v>
      </c>
      <c r="CPF4" s="227"/>
      <c r="CPG4" s="227"/>
      <c r="CPH4" s="228"/>
      <c r="CPI4" s="226" t="s">
        <v>13330</v>
      </c>
      <c r="CPJ4" s="227"/>
      <c r="CPK4" s="227"/>
      <c r="CPL4" s="228"/>
      <c r="CPM4" s="226" t="s">
        <v>13330</v>
      </c>
      <c r="CPN4" s="227"/>
      <c r="CPO4" s="227"/>
      <c r="CPP4" s="228"/>
      <c r="CPQ4" s="226" t="s">
        <v>13330</v>
      </c>
      <c r="CPR4" s="227"/>
      <c r="CPS4" s="227"/>
      <c r="CPT4" s="228"/>
      <c r="CPU4" s="226" t="s">
        <v>13330</v>
      </c>
      <c r="CPV4" s="227"/>
      <c r="CPW4" s="227"/>
      <c r="CPX4" s="228"/>
      <c r="CPY4" s="226" t="s">
        <v>13330</v>
      </c>
      <c r="CPZ4" s="227"/>
      <c r="CQA4" s="227"/>
      <c r="CQB4" s="228"/>
      <c r="CQC4" s="226" t="s">
        <v>13330</v>
      </c>
      <c r="CQD4" s="227"/>
      <c r="CQE4" s="227"/>
      <c r="CQF4" s="228"/>
      <c r="CQG4" s="226" t="s">
        <v>13330</v>
      </c>
      <c r="CQH4" s="227"/>
      <c r="CQI4" s="227"/>
      <c r="CQJ4" s="228"/>
      <c r="CQK4" s="226" t="s">
        <v>13330</v>
      </c>
      <c r="CQL4" s="227"/>
      <c r="CQM4" s="227"/>
      <c r="CQN4" s="228"/>
      <c r="CQO4" s="226" t="s">
        <v>13330</v>
      </c>
      <c r="CQP4" s="227"/>
      <c r="CQQ4" s="227"/>
      <c r="CQR4" s="228"/>
      <c r="CQS4" s="226" t="s">
        <v>13330</v>
      </c>
      <c r="CQT4" s="227"/>
      <c r="CQU4" s="227"/>
      <c r="CQV4" s="228"/>
      <c r="CQW4" s="226" t="s">
        <v>13330</v>
      </c>
      <c r="CQX4" s="227"/>
      <c r="CQY4" s="227"/>
      <c r="CQZ4" s="228"/>
      <c r="CRA4" s="226" t="s">
        <v>13330</v>
      </c>
      <c r="CRB4" s="227"/>
      <c r="CRC4" s="227"/>
      <c r="CRD4" s="228"/>
      <c r="CRE4" s="226" t="s">
        <v>13330</v>
      </c>
      <c r="CRF4" s="227"/>
      <c r="CRG4" s="227"/>
      <c r="CRH4" s="228"/>
      <c r="CRI4" s="226" t="s">
        <v>13330</v>
      </c>
      <c r="CRJ4" s="227"/>
      <c r="CRK4" s="227"/>
      <c r="CRL4" s="228"/>
      <c r="CRM4" s="226" t="s">
        <v>13330</v>
      </c>
      <c r="CRN4" s="227"/>
      <c r="CRO4" s="227"/>
      <c r="CRP4" s="228"/>
      <c r="CRQ4" s="226" t="s">
        <v>13330</v>
      </c>
      <c r="CRR4" s="227"/>
      <c r="CRS4" s="227"/>
      <c r="CRT4" s="228"/>
      <c r="CRU4" s="226" t="s">
        <v>13330</v>
      </c>
      <c r="CRV4" s="227"/>
      <c r="CRW4" s="227"/>
      <c r="CRX4" s="228"/>
      <c r="CRY4" s="226" t="s">
        <v>13330</v>
      </c>
      <c r="CRZ4" s="227"/>
      <c r="CSA4" s="227"/>
      <c r="CSB4" s="228"/>
      <c r="CSC4" s="226" t="s">
        <v>13330</v>
      </c>
      <c r="CSD4" s="227"/>
      <c r="CSE4" s="227"/>
      <c r="CSF4" s="228"/>
      <c r="CSG4" s="226" t="s">
        <v>13330</v>
      </c>
      <c r="CSH4" s="227"/>
      <c r="CSI4" s="227"/>
      <c r="CSJ4" s="228"/>
      <c r="CSK4" s="226" t="s">
        <v>13330</v>
      </c>
      <c r="CSL4" s="227"/>
      <c r="CSM4" s="227"/>
      <c r="CSN4" s="228"/>
      <c r="CSO4" s="226" t="s">
        <v>13330</v>
      </c>
      <c r="CSP4" s="227"/>
      <c r="CSQ4" s="227"/>
      <c r="CSR4" s="228"/>
      <c r="CSS4" s="226" t="s">
        <v>13330</v>
      </c>
      <c r="CST4" s="227"/>
      <c r="CSU4" s="227"/>
      <c r="CSV4" s="228"/>
      <c r="CSW4" s="226" t="s">
        <v>13330</v>
      </c>
      <c r="CSX4" s="227"/>
      <c r="CSY4" s="227"/>
      <c r="CSZ4" s="228"/>
      <c r="CTA4" s="226" t="s">
        <v>13330</v>
      </c>
      <c r="CTB4" s="227"/>
      <c r="CTC4" s="227"/>
      <c r="CTD4" s="228"/>
      <c r="CTE4" s="226" t="s">
        <v>13330</v>
      </c>
      <c r="CTF4" s="227"/>
      <c r="CTG4" s="227"/>
      <c r="CTH4" s="228"/>
      <c r="CTI4" s="226" t="s">
        <v>13330</v>
      </c>
      <c r="CTJ4" s="227"/>
      <c r="CTK4" s="227"/>
      <c r="CTL4" s="228"/>
      <c r="CTM4" s="226" t="s">
        <v>13330</v>
      </c>
      <c r="CTN4" s="227"/>
      <c r="CTO4" s="227"/>
      <c r="CTP4" s="228"/>
      <c r="CTQ4" s="226" t="s">
        <v>13330</v>
      </c>
      <c r="CTR4" s="227"/>
      <c r="CTS4" s="227"/>
      <c r="CTT4" s="228"/>
      <c r="CTU4" s="226" t="s">
        <v>13330</v>
      </c>
      <c r="CTV4" s="227"/>
      <c r="CTW4" s="227"/>
      <c r="CTX4" s="228"/>
      <c r="CTY4" s="226" t="s">
        <v>13330</v>
      </c>
      <c r="CTZ4" s="227"/>
      <c r="CUA4" s="227"/>
      <c r="CUB4" s="228"/>
      <c r="CUC4" s="226" t="s">
        <v>13330</v>
      </c>
      <c r="CUD4" s="227"/>
      <c r="CUE4" s="227"/>
      <c r="CUF4" s="228"/>
      <c r="CUG4" s="226" t="s">
        <v>13330</v>
      </c>
      <c r="CUH4" s="227"/>
      <c r="CUI4" s="227"/>
      <c r="CUJ4" s="228"/>
      <c r="CUK4" s="226" t="s">
        <v>13330</v>
      </c>
      <c r="CUL4" s="227"/>
      <c r="CUM4" s="227"/>
      <c r="CUN4" s="228"/>
      <c r="CUO4" s="226" t="s">
        <v>13330</v>
      </c>
      <c r="CUP4" s="227"/>
      <c r="CUQ4" s="227"/>
      <c r="CUR4" s="228"/>
      <c r="CUS4" s="226" t="s">
        <v>13330</v>
      </c>
      <c r="CUT4" s="227"/>
      <c r="CUU4" s="227"/>
      <c r="CUV4" s="228"/>
      <c r="CUW4" s="226" t="s">
        <v>13330</v>
      </c>
      <c r="CUX4" s="227"/>
      <c r="CUY4" s="227"/>
      <c r="CUZ4" s="228"/>
      <c r="CVA4" s="226" t="s">
        <v>13330</v>
      </c>
      <c r="CVB4" s="227"/>
      <c r="CVC4" s="227"/>
      <c r="CVD4" s="228"/>
      <c r="CVE4" s="226" t="s">
        <v>13330</v>
      </c>
      <c r="CVF4" s="227"/>
      <c r="CVG4" s="227"/>
      <c r="CVH4" s="228"/>
      <c r="CVI4" s="226" t="s">
        <v>13330</v>
      </c>
      <c r="CVJ4" s="227"/>
      <c r="CVK4" s="227"/>
      <c r="CVL4" s="228"/>
      <c r="CVM4" s="226" t="s">
        <v>13330</v>
      </c>
      <c r="CVN4" s="227"/>
      <c r="CVO4" s="227"/>
      <c r="CVP4" s="228"/>
      <c r="CVQ4" s="226" t="s">
        <v>13330</v>
      </c>
      <c r="CVR4" s="227"/>
      <c r="CVS4" s="227"/>
      <c r="CVT4" s="228"/>
      <c r="CVU4" s="226" t="s">
        <v>13330</v>
      </c>
      <c r="CVV4" s="227"/>
      <c r="CVW4" s="227"/>
      <c r="CVX4" s="228"/>
      <c r="CVY4" s="226" t="s">
        <v>13330</v>
      </c>
      <c r="CVZ4" s="227"/>
      <c r="CWA4" s="227"/>
      <c r="CWB4" s="228"/>
      <c r="CWC4" s="226" t="s">
        <v>13330</v>
      </c>
      <c r="CWD4" s="227"/>
      <c r="CWE4" s="227"/>
      <c r="CWF4" s="228"/>
      <c r="CWG4" s="226" t="s">
        <v>13330</v>
      </c>
      <c r="CWH4" s="227"/>
      <c r="CWI4" s="227"/>
      <c r="CWJ4" s="228"/>
      <c r="CWK4" s="226" t="s">
        <v>13330</v>
      </c>
      <c r="CWL4" s="227"/>
      <c r="CWM4" s="227"/>
      <c r="CWN4" s="228"/>
      <c r="CWO4" s="226" t="s">
        <v>13330</v>
      </c>
      <c r="CWP4" s="227"/>
      <c r="CWQ4" s="227"/>
      <c r="CWR4" s="228"/>
      <c r="CWS4" s="226" t="s">
        <v>13330</v>
      </c>
      <c r="CWT4" s="227"/>
      <c r="CWU4" s="227"/>
      <c r="CWV4" s="228"/>
      <c r="CWW4" s="226" t="s">
        <v>13330</v>
      </c>
      <c r="CWX4" s="227"/>
      <c r="CWY4" s="227"/>
      <c r="CWZ4" s="228"/>
      <c r="CXA4" s="226" t="s">
        <v>13330</v>
      </c>
      <c r="CXB4" s="227"/>
      <c r="CXC4" s="227"/>
      <c r="CXD4" s="228"/>
      <c r="CXE4" s="226" t="s">
        <v>13330</v>
      </c>
      <c r="CXF4" s="227"/>
      <c r="CXG4" s="227"/>
      <c r="CXH4" s="228"/>
      <c r="CXI4" s="226" t="s">
        <v>13330</v>
      </c>
      <c r="CXJ4" s="227"/>
      <c r="CXK4" s="227"/>
      <c r="CXL4" s="228"/>
      <c r="CXM4" s="226" t="s">
        <v>13330</v>
      </c>
      <c r="CXN4" s="227"/>
      <c r="CXO4" s="227"/>
      <c r="CXP4" s="228"/>
      <c r="CXQ4" s="226" t="s">
        <v>13330</v>
      </c>
      <c r="CXR4" s="227"/>
      <c r="CXS4" s="227"/>
      <c r="CXT4" s="228"/>
      <c r="CXU4" s="226" t="s">
        <v>13330</v>
      </c>
      <c r="CXV4" s="227"/>
      <c r="CXW4" s="227"/>
      <c r="CXX4" s="228"/>
      <c r="CXY4" s="226" t="s">
        <v>13330</v>
      </c>
      <c r="CXZ4" s="227"/>
      <c r="CYA4" s="227"/>
      <c r="CYB4" s="228"/>
      <c r="CYC4" s="226" t="s">
        <v>13330</v>
      </c>
      <c r="CYD4" s="227"/>
      <c r="CYE4" s="227"/>
      <c r="CYF4" s="228"/>
      <c r="CYG4" s="226" t="s">
        <v>13330</v>
      </c>
      <c r="CYH4" s="227"/>
      <c r="CYI4" s="227"/>
      <c r="CYJ4" s="228"/>
      <c r="CYK4" s="226" t="s">
        <v>13330</v>
      </c>
      <c r="CYL4" s="227"/>
      <c r="CYM4" s="227"/>
      <c r="CYN4" s="228"/>
      <c r="CYO4" s="226" t="s">
        <v>13330</v>
      </c>
      <c r="CYP4" s="227"/>
      <c r="CYQ4" s="227"/>
      <c r="CYR4" s="228"/>
      <c r="CYS4" s="226" t="s">
        <v>13330</v>
      </c>
      <c r="CYT4" s="227"/>
      <c r="CYU4" s="227"/>
      <c r="CYV4" s="228"/>
      <c r="CYW4" s="226" t="s">
        <v>13330</v>
      </c>
      <c r="CYX4" s="227"/>
      <c r="CYY4" s="227"/>
      <c r="CYZ4" s="228"/>
      <c r="CZA4" s="226" t="s">
        <v>13330</v>
      </c>
      <c r="CZB4" s="227"/>
      <c r="CZC4" s="227"/>
      <c r="CZD4" s="228"/>
      <c r="CZE4" s="226" t="s">
        <v>13330</v>
      </c>
      <c r="CZF4" s="227"/>
      <c r="CZG4" s="227"/>
      <c r="CZH4" s="228"/>
      <c r="CZI4" s="226" t="s">
        <v>13330</v>
      </c>
      <c r="CZJ4" s="227"/>
      <c r="CZK4" s="227"/>
      <c r="CZL4" s="228"/>
      <c r="CZM4" s="226" t="s">
        <v>13330</v>
      </c>
      <c r="CZN4" s="227"/>
      <c r="CZO4" s="227"/>
      <c r="CZP4" s="228"/>
      <c r="CZQ4" s="226" t="s">
        <v>13330</v>
      </c>
      <c r="CZR4" s="227"/>
      <c r="CZS4" s="227"/>
      <c r="CZT4" s="228"/>
      <c r="CZU4" s="226" t="s">
        <v>13330</v>
      </c>
      <c r="CZV4" s="227"/>
      <c r="CZW4" s="227"/>
      <c r="CZX4" s="228"/>
      <c r="CZY4" s="226" t="s">
        <v>13330</v>
      </c>
      <c r="CZZ4" s="227"/>
      <c r="DAA4" s="227"/>
      <c r="DAB4" s="228"/>
      <c r="DAC4" s="226" t="s">
        <v>13330</v>
      </c>
      <c r="DAD4" s="227"/>
      <c r="DAE4" s="227"/>
      <c r="DAF4" s="228"/>
      <c r="DAG4" s="226" t="s">
        <v>13330</v>
      </c>
      <c r="DAH4" s="227"/>
      <c r="DAI4" s="227"/>
      <c r="DAJ4" s="228"/>
      <c r="DAK4" s="226" t="s">
        <v>13330</v>
      </c>
      <c r="DAL4" s="227"/>
      <c r="DAM4" s="227"/>
      <c r="DAN4" s="228"/>
      <c r="DAO4" s="226" t="s">
        <v>13330</v>
      </c>
      <c r="DAP4" s="227"/>
      <c r="DAQ4" s="227"/>
      <c r="DAR4" s="228"/>
      <c r="DAS4" s="226" t="s">
        <v>13330</v>
      </c>
      <c r="DAT4" s="227"/>
      <c r="DAU4" s="227"/>
      <c r="DAV4" s="228"/>
      <c r="DAW4" s="226" t="s">
        <v>13330</v>
      </c>
      <c r="DAX4" s="227"/>
      <c r="DAY4" s="227"/>
      <c r="DAZ4" s="228"/>
      <c r="DBA4" s="226" t="s">
        <v>13330</v>
      </c>
      <c r="DBB4" s="227"/>
      <c r="DBC4" s="227"/>
      <c r="DBD4" s="228"/>
      <c r="DBE4" s="226" t="s">
        <v>13330</v>
      </c>
      <c r="DBF4" s="227"/>
      <c r="DBG4" s="227"/>
      <c r="DBH4" s="228"/>
      <c r="DBI4" s="226" t="s">
        <v>13330</v>
      </c>
      <c r="DBJ4" s="227"/>
      <c r="DBK4" s="227"/>
      <c r="DBL4" s="228"/>
      <c r="DBM4" s="226" t="s">
        <v>13330</v>
      </c>
      <c r="DBN4" s="227"/>
      <c r="DBO4" s="227"/>
      <c r="DBP4" s="228"/>
      <c r="DBQ4" s="226" t="s">
        <v>13330</v>
      </c>
      <c r="DBR4" s="227"/>
      <c r="DBS4" s="227"/>
      <c r="DBT4" s="228"/>
      <c r="DBU4" s="226" t="s">
        <v>13330</v>
      </c>
      <c r="DBV4" s="227"/>
      <c r="DBW4" s="227"/>
      <c r="DBX4" s="228"/>
      <c r="DBY4" s="226" t="s">
        <v>13330</v>
      </c>
      <c r="DBZ4" s="227"/>
      <c r="DCA4" s="227"/>
      <c r="DCB4" s="228"/>
      <c r="DCC4" s="226" t="s">
        <v>13330</v>
      </c>
      <c r="DCD4" s="227"/>
      <c r="DCE4" s="227"/>
      <c r="DCF4" s="228"/>
      <c r="DCG4" s="226" t="s">
        <v>13330</v>
      </c>
      <c r="DCH4" s="227"/>
      <c r="DCI4" s="227"/>
      <c r="DCJ4" s="228"/>
      <c r="DCK4" s="226" t="s">
        <v>13330</v>
      </c>
      <c r="DCL4" s="227"/>
      <c r="DCM4" s="227"/>
      <c r="DCN4" s="228"/>
      <c r="DCO4" s="226" t="s">
        <v>13330</v>
      </c>
      <c r="DCP4" s="227"/>
      <c r="DCQ4" s="227"/>
      <c r="DCR4" s="228"/>
      <c r="DCS4" s="226" t="s">
        <v>13330</v>
      </c>
      <c r="DCT4" s="227"/>
      <c r="DCU4" s="227"/>
      <c r="DCV4" s="228"/>
      <c r="DCW4" s="226" t="s">
        <v>13330</v>
      </c>
      <c r="DCX4" s="227"/>
      <c r="DCY4" s="227"/>
      <c r="DCZ4" s="228"/>
      <c r="DDA4" s="226" t="s">
        <v>13330</v>
      </c>
      <c r="DDB4" s="227"/>
      <c r="DDC4" s="227"/>
      <c r="DDD4" s="228"/>
      <c r="DDE4" s="226" t="s">
        <v>13330</v>
      </c>
      <c r="DDF4" s="227"/>
      <c r="DDG4" s="227"/>
      <c r="DDH4" s="228"/>
      <c r="DDI4" s="226" t="s">
        <v>13330</v>
      </c>
      <c r="DDJ4" s="227"/>
      <c r="DDK4" s="227"/>
      <c r="DDL4" s="228"/>
      <c r="DDM4" s="226" t="s">
        <v>13330</v>
      </c>
      <c r="DDN4" s="227"/>
      <c r="DDO4" s="227"/>
      <c r="DDP4" s="228"/>
      <c r="DDQ4" s="226" t="s">
        <v>13330</v>
      </c>
      <c r="DDR4" s="227"/>
      <c r="DDS4" s="227"/>
      <c r="DDT4" s="228"/>
      <c r="DDU4" s="226" t="s">
        <v>13330</v>
      </c>
      <c r="DDV4" s="227"/>
      <c r="DDW4" s="227"/>
      <c r="DDX4" s="228"/>
      <c r="DDY4" s="226" t="s">
        <v>13330</v>
      </c>
      <c r="DDZ4" s="227"/>
      <c r="DEA4" s="227"/>
      <c r="DEB4" s="228"/>
      <c r="DEC4" s="226" t="s">
        <v>13330</v>
      </c>
      <c r="DED4" s="227"/>
      <c r="DEE4" s="227"/>
      <c r="DEF4" s="228"/>
      <c r="DEG4" s="226" t="s">
        <v>13330</v>
      </c>
      <c r="DEH4" s="227"/>
      <c r="DEI4" s="227"/>
      <c r="DEJ4" s="228"/>
      <c r="DEK4" s="226" t="s">
        <v>13330</v>
      </c>
      <c r="DEL4" s="227"/>
      <c r="DEM4" s="227"/>
      <c r="DEN4" s="228"/>
      <c r="DEO4" s="226" t="s">
        <v>13330</v>
      </c>
      <c r="DEP4" s="227"/>
      <c r="DEQ4" s="227"/>
      <c r="DER4" s="228"/>
      <c r="DES4" s="226" t="s">
        <v>13330</v>
      </c>
      <c r="DET4" s="227"/>
      <c r="DEU4" s="227"/>
      <c r="DEV4" s="228"/>
      <c r="DEW4" s="226" t="s">
        <v>13330</v>
      </c>
      <c r="DEX4" s="227"/>
      <c r="DEY4" s="227"/>
      <c r="DEZ4" s="228"/>
      <c r="DFA4" s="226" t="s">
        <v>13330</v>
      </c>
      <c r="DFB4" s="227"/>
      <c r="DFC4" s="227"/>
      <c r="DFD4" s="228"/>
      <c r="DFE4" s="226" t="s">
        <v>13330</v>
      </c>
      <c r="DFF4" s="227"/>
      <c r="DFG4" s="227"/>
      <c r="DFH4" s="228"/>
      <c r="DFI4" s="226" t="s">
        <v>13330</v>
      </c>
      <c r="DFJ4" s="227"/>
      <c r="DFK4" s="227"/>
      <c r="DFL4" s="228"/>
      <c r="DFM4" s="226" t="s">
        <v>13330</v>
      </c>
      <c r="DFN4" s="227"/>
      <c r="DFO4" s="227"/>
      <c r="DFP4" s="228"/>
      <c r="DFQ4" s="226" t="s">
        <v>13330</v>
      </c>
      <c r="DFR4" s="227"/>
      <c r="DFS4" s="227"/>
      <c r="DFT4" s="228"/>
      <c r="DFU4" s="226" t="s">
        <v>13330</v>
      </c>
      <c r="DFV4" s="227"/>
      <c r="DFW4" s="227"/>
      <c r="DFX4" s="228"/>
      <c r="DFY4" s="226" t="s">
        <v>13330</v>
      </c>
      <c r="DFZ4" s="227"/>
      <c r="DGA4" s="227"/>
      <c r="DGB4" s="228"/>
      <c r="DGC4" s="226" t="s">
        <v>13330</v>
      </c>
      <c r="DGD4" s="227"/>
      <c r="DGE4" s="227"/>
      <c r="DGF4" s="228"/>
      <c r="DGG4" s="226" t="s">
        <v>13330</v>
      </c>
      <c r="DGH4" s="227"/>
      <c r="DGI4" s="227"/>
      <c r="DGJ4" s="228"/>
      <c r="DGK4" s="226" t="s">
        <v>13330</v>
      </c>
      <c r="DGL4" s="227"/>
      <c r="DGM4" s="227"/>
      <c r="DGN4" s="228"/>
      <c r="DGO4" s="226" t="s">
        <v>13330</v>
      </c>
      <c r="DGP4" s="227"/>
      <c r="DGQ4" s="227"/>
      <c r="DGR4" s="228"/>
      <c r="DGS4" s="226" t="s">
        <v>13330</v>
      </c>
      <c r="DGT4" s="227"/>
      <c r="DGU4" s="227"/>
      <c r="DGV4" s="228"/>
      <c r="DGW4" s="226" t="s">
        <v>13330</v>
      </c>
      <c r="DGX4" s="227"/>
      <c r="DGY4" s="227"/>
      <c r="DGZ4" s="228"/>
      <c r="DHA4" s="226" t="s">
        <v>13330</v>
      </c>
      <c r="DHB4" s="227"/>
      <c r="DHC4" s="227"/>
      <c r="DHD4" s="228"/>
      <c r="DHE4" s="226" t="s">
        <v>13330</v>
      </c>
      <c r="DHF4" s="227"/>
      <c r="DHG4" s="227"/>
      <c r="DHH4" s="228"/>
      <c r="DHI4" s="226" t="s">
        <v>13330</v>
      </c>
      <c r="DHJ4" s="227"/>
      <c r="DHK4" s="227"/>
      <c r="DHL4" s="228"/>
      <c r="DHM4" s="226" t="s">
        <v>13330</v>
      </c>
      <c r="DHN4" s="227"/>
      <c r="DHO4" s="227"/>
      <c r="DHP4" s="228"/>
      <c r="DHQ4" s="226" t="s">
        <v>13330</v>
      </c>
      <c r="DHR4" s="227"/>
      <c r="DHS4" s="227"/>
      <c r="DHT4" s="228"/>
      <c r="DHU4" s="226" t="s">
        <v>13330</v>
      </c>
      <c r="DHV4" s="227"/>
      <c r="DHW4" s="227"/>
      <c r="DHX4" s="228"/>
      <c r="DHY4" s="226" t="s">
        <v>13330</v>
      </c>
      <c r="DHZ4" s="227"/>
      <c r="DIA4" s="227"/>
      <c r="DIB4" s="228"/>
      <c r="DIC4" s="226" t="s">
        <v>13330</v>
      </c>
      <c r="DID4" s="227"/>
      <c r="DIE4" s="227"/>
      <c r="DIF4" s="228"/>
      <c r="DIG4" s="226" t="s">
        <v>13330</v>
      </c>
      <c r="DIH4" s="227"/>
      <c r="DII4" s="227"/>
      <c r="DIJ4" s="228"/>
      <c r="DIK4" s="226" t="s">
        <v>13330</v>
      </c>
      <c r="DIL4" s="227"/>
      <c r="DIM4" s="227"/>
      <c r="DIN4" s="228"/>
      <c r="DIO4" s="226" t="s">
        <v>13330</v>
      </c>
      <c r="DIP4" s="227"/>
      <c r="DIQ4" s="227"/>
      <c r="DIR4" s="228"/>
      <c r="DIS4" s="226" t="s">
        <v>13330</v>
      </c>
      <c r="DIT4" s="227"/>
      <c r="DIU4" s="227"/>
      <c r="DIV4" s="228"/>
      <c r="DIW4" s="226" t="s">
        <v>13330</v>
      </c>
      <c r="DIX4" s="227"/>
      <c r="DIY4" s="227"/>
      <c r="DIZ4" s="228"/>
      <c r="DJA4" s="226" t="s">
        <v>13330</v>
      </c>
      <c r="DJB4" s="227"/>
      <c r="DJC4" s="227"/>
      <c r="DJD4" s="228"/>
      <c r="DJE4" s="226" t="s">
        <v>13330</v>
      </c>
      <c r="DJF4" s="227"/>
      <c r="DJG4" s="227"/>
      <c r="DJH4" s="228"/>
      <c r="DJI4" s="226" t="s">
        <v>13330</v>
      </c>
      <c r="DJJ4" s="227"/>
      <c r="DJK4" s="227"/>
      <c r="DJL4" s="228"/>
      <c r="DJM4" s="226" t="s">
        <v>13330</v>
      </c>
      <c r="DJN4" s="227"/>
      <c r="DJO4" s="227"/>
      <c r="DJP4" s="228"/>
      <c r="DJQ4" s="226" t="s">
        <v>13330</v>
      </c>
      <c r="DJR4" s="227"/>
      <c r="DJS4" s="227"/>
      <c r="DJT4" s="228"/>
      <c r="DJU4" s="226" t="s">
        <v>13330</v>
      </c>
      <c r="DJV4" s="227"/>
      <c r="DJW4" s="227"/>
      <c r="DJX4" s="228"/>
      <c r="DJY4" s="226" t="s">
        <v>13330</v>
      </c>
      <c r="DJZ4" s="227"/>
      <c r="DKA4" s="227"/>
      <c r="DKB4" s="228"/>
      <c r="DKC4" s="226" t="s">
        <v>13330</v>
      </c>
      <c r="DKD4" s="227"/>
      <c r="DKE4" s="227"/>
      <c r="DKF4" s="228"/>
      <c r="DKG4" s="226" t="s">
        <v>13330</v>
      </c>
      <c r="DKH4" s="227"/>
      <c r="DKI4" s="227"/>
      <c r="DKJ4" s="228"/>
      <c r="DKK4" s="226" t="s">
        <v>13330</v>
      </c>
      <c r="DKL4" s="227"/>
      <c r="DKM4" s="227"/>
      <c r="DKN4" s="228"/>
      <c r="DKO4" s="226" t="s">
        <v>13330</v>
      </c>
      <c r="DKP4" s="227"/>
      <c r="DKQ4" s="227"/>
      <c r="DKR4" s="228"/>
      <c r="DKS4" s="226" t="s">
        <v>13330</v>
      </c>
      <c r="DKT4" s="227"/>
      <c r="DKU4" s="227"/>
      <c r="DKV4" s="228"/>
      <c r="DKW4" s="226" t="s">
        <v>13330</v>
      </c>
      <c r="DKX4" s="227"/>
      <c r="DKY4" s="227"/>
      <c r="DKZ4" s="228"/>
      <c r="DLA4" s="226" t="s">
        <v>13330</v>
      </c>
      <c r="DLB4" s="227"/>
      <c r="DLC4" s="227"/>
      <c r="DLD4" s="228"/>
      <c r="DLE4" s="226" t="s">
        <v>13330</v>
      </c>
      <c r="DLF4" s="227"/>
      <c r="DLG4" s="227"/>
      <c r="DLH4" s="228"/>
      <c r="DLI4" s="226" t="s">
        <v>13330</v>
      </c>
      <c r="DLJ4" s="227"/>
      <c r="DLK4" s="227"/>
      <c r="DLL4" s="228"/>
      <c r="DLM4" s="226" t="s">
        <v>13330</v>
      </c>
      <c r="DLN4" s="227"/>
      <c r="DLO4" s="227"/>
      <c r="DLP4" s="228"/>
      <c r="DLQ4" s="226" t="s">
        <v>13330</v>
      </c>
      <c r="DLR4" s="227"/>
      <c r="DLS4" s="227"/>
      <c r="DLT4" s="228"/>
      <c r="DLU4" s="226" t="s">
        <v>13330</v>
      </c>
      <c r="DLV4" s="227"/>
      <c r="DLW4" s="227"/>
      <c r="DLX4" s="228"/>
      <c r="DLY4" s="226" t="s">
        <v>13330</v>
      </c>
      <c r="DLZ4" s="227"/>
      <c r="DMA4" s="227"/>
      <c r="DMB4" s="228"/>
      <c r="DMC4" s="226" t="s">
        <v>13330</v>
      </c>
      <c r="DMD4" s="227"/>
      <c r="DME4" s="227"/>
      <c r="DMF4" s="228"/>
      <c r="DMG4" s="226" t="s">
        <v>13330</v>
      </c>
      <c r="DMH4" s="227"/>
      <c r="DMI4" s="227"/>
      <c r="DMJ4" s="228"/>
      <c r="DMK4" s="226" t="s">
        <v>13330</v>
      </c>
      <c r="DML4" s="227"/>
      <c r="DMM4" s="227"/>
      <c r="DMN4" s="228"/>
      <c r="DMO4" s="226" t="s">
        <v>13330</v>
      </c>
      <c r="DMP4" s="227"/>
      <c r="DMQ4" s="227"/>
      <c r="DMR4" s="228"/>
      <c r="DMS4" s="226" t="s">
        <v>13330</v>
      </c>
      <c r="DMT4" s="227"/>
      <c r="DMU4" s="227"/>
      <c r="DMV4" s="228"/>
      <c r="DMW4" s="226" t="s">
        <v>13330</v>
      </c>
      <c r="DMX4" s="227"/>
      <c r="DMY4" s="227"/>
      <c r="DMZ4" s="228"/>
      <c r="DNA4" s="226" t="s">
        <v>13330</v>
      </c>
      <c r="DNB4" s="227"/>
      <c r="DNC4" s="227"/>
      <c r="DND4" s="228"/>
      <c r="DNE4" s="226" t="s">
        <v>13330</v>
      </c>
      <c r="DNF4" s="227"/>
      <c r="DNG4" s="227"/>
      <c r="DNH4" s="228"/>
      <c r="DNI4" s="226" t="s">
        <v>13330</v>
      </c>
      <c r="DNJ4" s="227"/>
      <c r="DNK4" s="227"/>
      <c r="DNL4" s="228"/>
      <c r="DNM4" s="226" t="s">
        <v>13330</v>
      </c>
      <c r="DNN4" s="227"/>
      <c r="DNO4" s="227"/>
      <c r="DNP4" s="228"/>
      <c r="DNQ4" s="226" t="s">
        <v>13330</v>
      </c>
      <c r="DNR4" s="227"/>
      <c r="DNS4" s="227"/>
      <c r="DNT4" s="228"/>
      <c r="DNU4" s="226" t="s">
        <v>13330</v>
      </c>
      <c r="DNV4" s="227"/>
      <c r="DNW4" s="227"/>
      <c r="DNX4" s="228"/>
      <c r="DNY4" s="226" t="s">
        <v>13330</v>
      </c>
      <c r="DNZ4" s="227"/>
      <c r="DOA4" s="227"/>
      <c r="DOB4" s="228"/>
      <c r="DOC4" s="226" t="s">
        <v>13330</v>
      </c>
      <c r="DOD4" s="227"/>
      <c r="DOE4" s="227"/>
      <c r="DOF4" s="228"/>
      <c r="DOG4" s="226" t="s">
        <v>13330</v>
      </c>
      <c r="DOH4" s="227"/>
      <c r="DOI4" s="227"/>
      <c r="DOJ4" s="228"/>
      <c r="DOK4" s="226" t="s">
        <v>13330</v>
      </c>
      <c r="DOL4" s="227"/>
      <c r="DOM4" s="227"/>
      <c r="DON4" s="228"/>
      <c r="DOO4" s="226" t="s">
        <v>13330</v>
      </c>
      <c r="DOP4" s="227"/>
      <c r="DOQ4" s="227"/>
      <c r="DOR4" s="228"/>
      <c r="DOS4" s="226" t="s">
        <v>13330</v>
      </c>
      <c r="DOT4" s="227"/>
      <c r="DOU4" s="227"/>
      <c r="DOV4" s="228"/>
      <c r="DOW4" s="226" t="s">
        <v>13330</v>
      </c>
      <c r="DOX4" s="227"/>
      <c r="DOY4" s="227"/>
      <c r="DOZ4" s="228"/>
      <c r="DPA4" s="226" t="s">
        <v>13330</v>
      </c>
      <c r="DPB4" s="227"/>
      <c r="DPC4" s="227"/>
      <c r="DPD4" s="228"/>
      <c r="DPE4" s="226" t="s">
        <v>13330</v>
      </c>
      <c r="DPF4" s="227"/>
      <c r="DPG4" s="227"/>
      <c r="DPH4" s="228"/>
      <c r="DPI4" s="226" t="s">
        <v>13330</v>
      </c>
      <c r="DPJ4" s="227"/>
      <c r="DPK4" s="227"/>
      <c r="DPL4" s="228"/>
      <c r="DPM4" s="226" t="s">
        <v>13330</v>
      </c>
      <c r="DPN4" s="227"/>
      <c r="DPO4" s="227"/>
      <c r="DPP4" s="228"/>
      <c r="DPQ4" s="226" t="s">
        <v>13330</v>
      </c>
      <c r="DPR4" s="227"/>
      <c r="DPS4" s="227"/>
      <c r="DPT4" s="228"/>
      <c r="DPU4" s="226" t="s">
        <v>13330</v>
      </c>
      <c r="DPV4" s="227"/>
      <c r="DPW4" s="227"/>
      <c r="DPX4" s="228"/>
      <c r="DPY4" s="226" t="s">
        <v>13330</v>
      </c>
      <c r="DPZ4" s="227"/>
      <c r="DQA4" s="227"/>
      <c r="DQB4" s="228"/>
      <c r="DQC4" s="226" t="s">
        <v>13330</v>
      </c>
      <c r="DQD4" s="227"/>
      <c r="DQE4" s="227"/>
      <c r="DQF4" s="228"/>
      <c r="DQG4" s="226" t="s">
        <v>13330</v>
      </c>
      <c r="DQH4" s="227"/>
      <c r="DQI4" s="227"/>
      <c r="DQJ4" s="228"/>
      <c r="DQK4" s="226" t="s">
        <v>13330</v>
      </c>
      <c r="DQL4" s="227"/>
      <c r="DQM4" s="227"/>
      <c r="DQN4" s="228"/>
      <c r="DQO4" s="226" t="s">
        <v>13330</v>
      </c>
      <c r="DQP4" s="227"/>
      <c r="DQQ4" s="227"/>
      <c r="DQR4" s="228"/>
      <c r="DQS4" s="226" t="s">
        <v>13330</v>
      </c>
      <c r="DQT4" s="227"/>
      <c r="DQU4" s="227"/>
      <c r="DQV4" s="228"/>
      <c r="DQW4" s="226" t="s">
        <v>13330</v>
      </c>
      <c r="DQX4" s="227"/>
      <c r="DQY4" s="227"/>
      <c r="DQZ4" s="228"/>
      <c r="DRA4" s="226" t="s">
        <v>13330</v>
      </c>
      <c r="DRB4" s="227"/>
      <c r="DRC4" s="227"/>
      <c r="DRD4" s="228"/>
      <c r="DRE4" s="226" t="s">
        <v>13330</v>
      </c>
      <c r="DRF4" s="227"/>
      <c r="DRG4" s="227"/>
      <c r="DRH4" s="228"/>
      <c r="DRI4" s="226" t="s">
        <v>13330</v>
      </c>
      <c r="DRJ4" s="227"/>
      <c r="DRK4" s="227"/>
      <c r="DRL4" s="228"/>
      <c r="DRM4" s="226" t="s">
        <v>13330</v>
      </c>
      <c r="DRN4" s="227"/>
      <c r="DRO4" s="227"/>
      <c r="DRP4" s="228"/>
      <c r="DRQ4" s="226" t="s">
        <v>13330</v>
      </c>
      <c r="DRR4" s="227"/>
      <c r="DRS4" s="227"/>
      <c r="DRT4" s="228"/>
      <c r="DRU4" s="226" t="s">
        <v>13330</v>
      </c>
      <c r="DRV4" s="227"/>
      <c r="DRW4" s="227"/>
      <c r="DRX4" s="228"/>
      <c r="DRY4" s="226" t="s">
        <v>13330</v>
      </c>
      <c r="DRZ4" s="227"/>
      <c r="DSA4" s="227"/>
      <c r="DSB4" s="228"/>
      <c r="DSC4" s="226" t="s">
        <v>13330</v>
      </c>
      <c r="DSD4" s="227"/>
      <c r="DSE4" s="227"/>
      <c r="DSF4" s="228"/>
      <c r="DSG4" s="226" t="s">
        <v>13330</v>
      </c>
      <c r="DSH4" s="227"/>
      <c r="DSI4" s="227"/>
      <c r="DSJ4" s="228"/>
      <c r="DSK4" s="226" t="s">
        <v>13330</v>
      </c>
      <c r="DSL4" s="227"/>
      <c r="DSM4" s="227"/>
      <c r="DSN4" s="228"/>
      <c r="DSO4" s="226" t="s">
        <v>13330</v>
      </c>
      <c r="DSP4" s="227"/>
      <c r="DSQ4" s="227"/>
      <c r="DSR4" s="228"/>
      <c r="DSS4" s="226" t="s">
        <v>13330</v>
      </c>
      <c r="DST4" s="227"/>
      <c r="DSU4" s="227"/>
      <c r="DSV4" s="228"/>
      <c r="DSW4" s="226" t="s">
        <v>13330</v>
      </c>
      <c r="DSX4" s="227"/>
      <c r="DSY4" s="227"/>
      <c r="DSZ4" s="228"/>
      <c r="DTA4" s="226" t="s">
        <v>13330</v>
      </c>
      <c r="DTB4" s="227"/>
      <c r="DTC4" s="227"/>
      <c r="DTD4" s="228"/>
      <c r="DTE4" s="226" t="s">
        <v>13330</v>
      </c>
      <c r="DTF4" s="227"/>
      <c r="DTG4" s="227"/>
      <c r="DTH4" s="228"/>
      <c r="DTI4" s="226" t="s">
        <v>13330</v>
      </c>
      <c r="DTJ4" s="227"/>
      <c r="DTK4" s="227"/>
      <c r="DTL4" s="228"/>
      <c r="DTM4" s="226" t="s">
        <v>13330</v>
      </c>
      <c r="DTN4" s="227"/>
      <c r="DTO4" s="227"/>
      <c r="DTP4" s="228"/>
      <c r="DTQ4" s="226" t="s">
        <v>13330</v>
      </c>
      <c r="DTR4" s="227"/>
      <c r="DTS4" s="227"/>
      <c r="DTT4" s="228"/>
      <c r="DTU4" s="226" t="s">
        <v>13330</v>
      </c>
      <c r="DTV4" s="227"/>
      <c r="DTW4" s="227"/>
      <c r="DTX4" s="228"/>
      <c r="DTY4" s="226" t="s">
        <v>13330</v>
      </c>
      <c r="DTZ4" s="227"/>
      <c r="DUA4" s="227"/>
      <c r="DUB4" s="228"/>
      <c r="DUC4" s="226" t="s">
        <v>13330</v>
      </c>
      <c r="DUD4" s="227"/>
      <c r="DUE4" s="227"/>
      <c r="DUF4" s="228"/>
      <c r="DUG4" s="226" t="s">
        <v>13330</v>
      </c>
      <c r="DUH4" s="227"/>
      <c r="DUI4" s="227"/>
      <c r="DUJ4" s="228"/>
      <c r="DUK4" s="226" t="s">
        <v>13330</v>
      </c>
      <c r="DUL4" s="227"/>
      <c r="DUM4" s="227"/>
      <c r="DUN4" s="228"/>
      <c r="DUO4" s="226" t="s">
        <v>13330</v>
      </c>
      <c r="DUP4" s="227"/>
      <c r="DUQ4" s="227"/>
      <c r="DUR4" s="228"/>
      <c r="DUS4" s="226" t="s">
        <v>13330</v>
      </c>
      <c r="DUT4" s="227"/>
      <c r="DUU4" s="227"/>
      <c r="DUV4" s="228"/>
      <c r="DUW4" s="226" t="s">
        <v>13330</v>
      </c>
      <c r="DUX4" s="227"/>
      <c r="DUY4" s="227"/>
      <c r="DUZ4" s="228"/>
      <c r="DVA4" s="226" t="s">
        <v>13330</v>
      </c>
      <c r="DVB4" s="227"/>
      <c r="DVC4" s="227"/>
      <c r="DVD4" s="228"/>
      <c r="DVE4" s="226" t="s">
        <v>13330</v>
      </c>
      <c r="DVF4" s="227"/>
      <c r="DVG4" s="227"/>
      <c r="DVH4" s="228"/>
      <c r="DVI4" s="226" t="s">
        <v>13330</v>
      </c>
      <c r="DVJ4" s="227"/>
      <c r="DVK4" s="227"/>
      <c r="DVL4" s="228"/>
      <c r="DVM4" s="226" t="s">
        <v>13330</v>
      </c>
      <c r="DVN4" s="227"/>
      <c r="DVO4" s="227"/>
      <c r="DVP4" s="228"/>
      <c r="DVQ4" s="226" t="s">
        <v>13330</v>
      </c>
      <c r="DVR4" s="227"/>
      <c r="DVS4" s="227"/>
      <c r="DVT4" s="228"/>
      <c r="DVU4" s="226" t="s">
        <v>13330</v>
      </c>
      <c r="DVV4" s="227"/>
      <c r="DVW4" s="227"/>
      <c r="DVX4" s="228"/>
      <c r="DVY4" s="226" t="s">
        <v>13330</v>
      </c>
      <c r="DVZ4" s="227"/>
      <c r="DWA4" s="227"/>
      <c r="DWB4" s="228"/>
      <c r="DWC4" s="226" t="s">
        <v>13330</v>
      </c>
      <c r="DWD4" s="227"/>
      <c r="DWE4" s="227"/>
      <c r="DWF4" s="228"/>
      <c r="DWG4" s="226" t="s">
        <v>13330</v>
      </c>
      <c r="DWH4" s="227"/>
      <c r="DWI4" s="227"/>
      <c r="DWJ4" s="228"/>
      <c r="DWK4" s="226" t="s">
        <v>13330</v>
      </c>
      <c r="DWL4" s="227"/>
      <c r="DWM4" s="227"/>
      <c r="DWN4" s="228"/>
      <c r="DWO4" s="226" t="s">
        <v>13330</v>
      </c>
      <c r="DWP4" s="227"/>
      <c r="DWQ4" s="227"/>
      <c r="DWR4" s="228"/>
      <c r="DWS4" s="226" t="s">
        <v>13330</v>
      </c>
      <c r="DWT4" s="227"/>
      <c r="DWU4" s="227"/>
      <c r="DWV4" s="228"/>
      <c r="DWW4" s="226" t="s">
        <v>13330</v>
      </c>
      <c r="DWX4" s="227"/>
      <c r="DWY4" s="227"/>
      <c r="DWZ4" s="228"/>
      <c r="DXA4" s="226" t="s">
        <v>13330</v>
      </c>
      <c r="DXB4" s="227"/>
      <c r="DXC4" s="227"/>
      <c r="DXD4" s="228"/>
      <c r="DXE4" s="226" t="s">
        <v>13330</v>
      </c>
      <c r="DXF4" s="227"/>
      <c r="DXG4" s="227"/>
      <c r="DXH4" s="228"/>
      <c r="DXI4" s="226" t="s">
        <v>13330</v>
      </c>
      <c r="DXJ4" s="227"/>
      <c r="DXK4" s="227"/>
      <c r="DXL4" s="228"/>
      <c r="DXM4" s="226" t="s">
        <v>13330</v>
      </c>
      <c r="DXN4" s="227"/>
      <c r="DXO4" s="227"/>
      <c r="DXP4" s="228"/>
      <c r="DXQ4" s="226" t="s">
        <v>13330</v>
      </c>
      <c r="DXR4" s="227"/>
      <c r="DXS4" s="227"/>
      <c r="DXT4" s="228"/>
      <c r="DXU4" s="226" t="s">
        <v>13330</v>
      </c>
      <c r="DXV4" s="227"/>
      <c r="DXW4" s="227"/>
      <c r="DXX4" s="228"/>
      <c r="DXY4" s="226" t="s">
        <v>13330</v>
      </c>
      <c r="DXZ4" s="227"/>
      <c r="DYA4" s="227"/>
      <c r="DYB4" s="228"/>
      <c r="DYC4" s="226" t="s">
        <v>13330</v>
      </c>
      <c r="DYD4" s="227"/>
      <c r="DYE4" s="227"/>
      <c r="DYF4" s="228"/>
      <c r="DYG4" s="226" t="s">
        <v>13330</v>
      </c>
      <c r="DYH4" s="227"/>
      <c r="DYI4" s="227"/>
      <c r="DYJ4" s="228"/>
      <c r="DYK4" s="226" t="s">
        <v>13330</v>
      </c>
      <c r="DYL4" s="227"/>
      <c r="DYM4" s="227"/>
      <c r="DYN4" s="228"/>
      <c r="DYO4" s="226" t="s">
        <v>13330</v>
      </c>
      <c r="DYP4" s="227"/>
      <c r="DYQ4" s="227"/>
      <c r="DYR4" s="228"/>
      <c r="DYS4" s="226" t="s">
        <v>13330</v>
      </c>
      <c r="DYT4" s="227"/>
      <c r="DYU4" s="227"/>
      <c r="DYV4" s="228"/>
      <c r="DYW4" s="226" t="s">
        <v>13330</v>
      </c>
      <c r="DYX4" s="227"/>
      <c r="DYY4" s="227"/>
      <c r="DYZ4" s="228"/>
      <c r="DZA4" s="226" t="s">
        <v>13330</v>
      </c>
      <c r="DZB4" s="227"/>
      <c r="DZC4" s="227"/>
      <c r="DZD4" s="228"/>
      <c r="DZE4" s="226" t="s">
        <v>13330</v>
      </c>
      <c r="DZF4" s="227"/>
      <c r="DZG4" s="227"/>
      <c r="DZH4" s="228"/>
      <c r="DZI4" s="226" t="s">
        <v>13330</v>
      </c>
      <c r="DZJ4" s="227"/>
      <c r="DZK4" s="227"/>
      <c r="DZL4" s="228"/>
      <c r="DZM4" s="226" t="s">
        <v>13330</v>
      </c>
      <c r="DZN4" s="227"/>
      <c r="DZO4" s="227"/>
      <c r="DZP4" s="228"/>
      <c r="DZQ4" s="226" t="s">
        <v>13330</v>
      </c>
      <c r="DZR4" s="227"/>
      <c r="DZS4" s="227"/>
      <c r="DZT4" s="228"/>
      <c r="DZU4" s="226" t="s">
        <v>13330</v>
      </c>
      <c r="DZV4" s="227"/>
      <c r="DZW4" s="227"/>
      <c r="DZX4" s="228"/>
      <c r="DZY4" s="226" t="s">
        <v>13330</v>
      </c>
      <c r="DZZ4" s="227"/>
      <c r="EAA4" s="227"/>
      <c r="EAB4" s="228"/>
      <c r="EAC4" s="226" t="s">
        <v>13330</v>
      </c>
      <c r="EAD4" s="227"/>
      <c r="EAE4" s="227"/>
      <c r="EAF4" s="228"/>
      <c r="EAG4" s="226" t="s">
        <v>13330</v>
      </c>
      <c r="EAH4" s="227"/>
      <c r="EAI4" s="227"/>
      <c r="EAJ4" s="228"/>
      <c r="EAK4" s="226" t="s">
        <v>13330</v>
      </c>
      <c r="EAL4" s="227"/>
      <c r="EAM4" s="227"/>
      <c r="EAN4" s="228"/>
      <c r="EAO4" s="226" t="s">
        <v>13330</v>
      </c>
      <c r="EAP4" s="227"/>
      <c r="EAQ4" s="227"/>
      <c r="EAR4" s="228"/>
      <c r="EAS4" s="226" t="s">
        <v>13330</v>
      </c>
      <c r="EAT4" s="227"/>
      <c r="EAU4" s="227"/>
      <c r="EAV4" s="228"/>
      <c r="EAW4" s="226" t="s">
        <v>13330</v>
      </c>
      <c r="EAX4" s="227"/>
      <c r="EAY4" s="227"/>
      <c r="EAZ4" s="228"/>
      <c r="EBA4" s="226" t="s">
        <v>13330</v>
      </c>
      <c r="EBB4" s="227"/>
      <c r="EBC4" s="227"/>
      <c r="EBD4" s="228"/>
      <c r="EBE4" s="226" t="s">
        <v>13330</v>
      </c>
      <c r="EBF4" s="227"/>
      <c r="EBG4" s="227"/>
      <c r="EBH4" s="228"/>
      <c r="EBI4" s="226" t="s">
        <v>13330</v>
      </c>
      <c r="EBJ4" s="227"/>
      <c r="EBK4" s="227"/>
      <c r="EBL4" s="228"/>
      <c r="EBM4" s="226" t="s">
        <v>13330</v>
      </c>
      <c r="EBN4" s="227"/>
      <c r="EBO4" s="227"/>
      <c r="EBP4" s="228"/>
      <c r="EBQ4" s="226" t="s">
        <v>13330</v>
      </c>
      <c r="EBR4" s="227"/>
      <c r="EBS4" s="227"/>
      <c r="EBT4" s="228"/>
      <c r="EBU4" s="226" t="s">
        <v>13330</v>
      </c>
      <c r="EBV4" s="227"/>
      <c r="EBW4" s="227"/>
      <c r="EBX4" s="228"/>
      <c r="EBY4" s="226" t="s">
        <v>13330</v>
      </c>
      <c r="EBZ4" s="227"/>
      <c r="ECA4" s="227"/>
      <c r="ECB4" s="228"/>
      <c r="ECC4" s="226" t="s">
        <v>13330</v>
      </c>
      <c r="ECD4" s="227"/>
      <c r="ECE4" s="227"/>
      <c r="ECF4" s="228"/>
      <c r="ECG4" s="226" t="s">
        <v>13330</v>
      </c>
      <c r="ECH4" s="227"/>
      <c r="ECI4" s="227"/>
      <c r="ECJ4" s="228"/>
      <c r="ECK4" s="226" t="s">
        <v>13330</v>
      </c>
      <c r="ECL4" s="227"/>
      <c r="ECM4" s="227"/>
      <c r="ECN4" s="228"/>
      <c r="ECO4" s="226" t="s">
        <v>13330</v>
      </c>
      <c r="ECP4" s="227"/>
      <c r="ECQ4" s="227"/>
      <c r="ECR4" s="228"/>
      <c r="ECS4" s="226" t="s">
        <v>13330</v>
      </c>
      <c r="ECT4" s="227"/>
      <c r="ECU4" s="227"/>
      <c r="ECV4" s="228"/>
      <c r="ECW4" s="226" t="s">
        <v>13330</v>
      </c>
      <c r="ECX4" s="227"/>
      <c r="ECY4" s="227"/>
      <c r="ECZ4" s="228"/>
      <c r="EDA4" s="226" t="s">
        <v>13330</v>
      </c>
      <c r="EDB4" s="227"/>
      <c r="EDC4" s="227"/>
      <c r="EDD4" s="228"/>
      <c r="EDE4" s="226" t="s">
        <v>13330</v>
      </c>
      <c r="EDF4" s="227"/>
      <c r="EDG4" s="227"/>
      <c r="EDH4" s="228"/>
      <c r="EDI4" s="226" t="s">
        <v>13330</v>
      </c>
      <c r="EDJ4" s="227"/>
      <c r="EDK4" s="227"/>
      <c r="EDL4" s="228"/>
      <c r="EDM4" s="226" t="s">
        <v>13330</v>
      </c>
      <c r="EDN4" s="227"/>
      <c r="EDO4" s="227"/>
      <c r="EDP4" s="228"/>
      <c r="EDQ4" s="226" t="s">
        <v>13330</v>
      </c>
      <c r="EDR4" s="227"/>
      <c r="EDS4" s="227"/>
      <c r="EDT4" s="228"/>
      <c r="EDU4" s="226" t="s">
        <v>13330</v>
      </c>
      <c r="EDV4" s="227"/>
      <c r="EDW4" s="227"/>
      <c r="EDX4" s="228"/>
      <c r="EDY4" s="226" t="s">
        <v>13330</v>
      </c>
      <c r="EDZ4" s="227"/>
      <c r="EEA4" s="227"/>
      <c r="EEB4" s="228"/>
      <c r="EEC4" s="226" t="s">
        <v>13330</v>
      </c>
      <c r="EED4" s="227"/>
      <c r="EEE4" s="227"/>
      <c r="EEF4" s="228"/>
      <c r="EEG4" s="226" t="s">
        <v>13330</v>
      </c>
      <c r="EEH4" s="227"/>
      <c r="EEI4" s="227"/>
      <c r="EEJ4" s="228"/>
      <c r="EEK4" s="226" t="s">
        <v>13330</v>
      </c>
      <c r="EEL4" s="227"/>
      <c r="EEM4" s="227"/>
      <c r="EEN4" s="228"/>
      <c r="EEO4" s="226" t="s">
        <v>13330</v>
      </c>
      <c r="EEP4" s="227"/>
      <c r="EEQ4" s="227"/>
      <c r="EER4" s="228"/>
      <c r="EES4" s="226" t="s">
        <v>13330</v>
      </c>
      <c r="EET4" s="227"/>
      <c r="EEU4" s="227"/>
      <c r="EEV4" s="228"/>
      <c r="EEW4" s="226" t="s">
        <v>13330</v>
      </c>
      <c r="EEX4" s="227"/>
      <c r="EEY4" s="227"/>
      <c r="EEZ4" s="228"/>
      <c r="EFA4" s="226" t="s">
        <v>13330</v>
      </c>
      <c r="EFB4" s="227"/>
      <c r="EFC4" s="227"/>
      <c r="EFD4" s="228"/>
      <c r="EFE4" s="226" t="s">
        <v>13330</v>
      </c>
      <c r="EFF4" s="227"/>
      <c r="EFG4" s="227"/>
      <c r="EFH4" s="228"/>
      <c r="EFI4" s="226" t="s">
        <v>13330</v>
      </c>
      <c r="EFJ4" s="227"/>
      <c r="EFK4" s="227"/>
      <c r="EFL4" s="228"/>
      <c r="EFM4" s="226" t="s">
        <v>13330</v>
      </c>
      <c r="EFN4" s="227"/>
      <c r="EFO4" s="227"/>
      <c r="EFP4" s="228"/>
      <c r="EFQ4" s="226" t="s">
        <v>13330</v>
      </c>
      <c r="EFR4" s="227"/>
      <c r="EFS4" s="227"/>
      <c r="EFT4" s="228"/>
      <c r="EFU4" s="226" t="s">
        <v>13330</v>
      </c>
      <c r="EFV4" s="227"/>
      <c r="EFW4" s="227"/>
      <c r="EFX4" s="228"/>
      <c r="EFY4" s="226" t="s">
        <v>13330</v>
      </c>
      <c r="EFZ4" s="227"/>
      <c r="EGA4" s="227"/>
      <c r="EGB4" s="228"/>
      <c r="EGC4" s="226" t="s">
        <v>13330</v>
      </c>
      <c r="EGD4" s="227"/>
      <c r="EGE4" s="227"/>
      <c r="EGF4" s="228"/>
      <c r="EGG4" s="226" t="s">
        <v>13330</v>
      </c>
      <c r="EGH4" s="227"/>
      <c r="EGI4" s="227"/>
      <c r="EGJ4" s="228"/>
      <c r="EGK4" s="226" t="s">
        <v>13330</v>
      </c>
      <c r="EGL4" s="227"/>
      <c r="EGM4" s="227"/>
      <c r="EGN4" s="228"/>
      <c r="EGO4" s="226" t="s">
        <v>13330</v>
      </c>
      <c r="EGP4" s="227"/>
      <c r="EGQ4" s="227"/>
      <c r="EGR4" s="228"/>
      <c r="EGS4" s="226" t="s">
        <v>13330</v>
      </c>
      <c r="EGT4" s="227"/>
      <c r="EGU4" s="227"/>
      <c r="EGV4" s="228"/>
      <c r="EGW4" s="226" t="s">
        <v>13330</v>
      </c>
      <c r="EGX4" s="227"/>
      <c r="EGY4" s="227"/>
      <c r="EGZ4" s="228"/>
      <c r="EHA4" s="226" t="s">
        <v>13330</v>
      </c>
      <c r="EHB4" s="227"/>
      <c r="EHC4" s="227"/>
      <c r="EHD4" s="228"/>
      <c r="EHE4" s="226" t="s">
        <v>13330</v>
      </c>
      <c r="EHF4" s="227"/>
      <c r="EHG4" s="227"/>
      <c r="EHH4" s="228"/>
      <c r="EHI4" s="226" t="s">
        <v>13330</v>
      </c>
      <c r="EHJ4" s="227"/>
      <c r="EHK4" s="227"/>
      <c r="EHL4" s="228"/>
      <c r="EHM4" s="226" t="s">
        <v>13330</v>
      </c>
      <c r="EHN4" s="227"/>
      <c r="EHO4" s="227"/>
      <c r="EHP4" s="228"/>
      <c r="EHQ4" s="226" t="s">
        <v>13330</v>
      </c>
      <c r="EHR4" s="227"/>
      <c r="EHS4" s="227"/>
      <c r="EHT4" s="228"/>
      <c r="EHU4" s="226" t="s">
        <v>13330</v>
      </c>
      <c r="EHV4" s="227"/>
      <c r="EHW4" s="227"/>
      <c r="EHX4" s="228"/>
      <c r="EHY4" s="226" t="s">
        <v>13330</v>
      </c>
      <c r="EHZ4" s="227"/>
      <c r="EIA4" s="227"/>
      <c r="EIB4" s="228"/>
      <c r="EIC4" s="226" t="s">
        <v>13330</v>
      </c>
      <c r="EID4" s="227"/>
      <c r="EIE4" s="227"/>
      <c r="EIF4" s="228"/>
      <c r="EIG4" s="226" t="s">
        <v>13330</v>
      </c>
      <c r="EIH4" s="227"/>
      <c r="EII4" s="227"/>
      <c r="EIJ4" s="228"/>
      <c r="EIK4" s="226" t="s">
        <v>13330</v>
      </c>
      <c r="EIL4" s="227"/>
      <c r="EIM4" s="227"/>
      <c r="EIN4" s="228"/>
      <c r="EIO4" s="226" t="s">
        <v>13330</v>
      </c>
      <c r="EIP4" s="227"/>
      <c r="EIQ4" s="227"/>
      <c r="EIR4" s="228"/>
      <c r="EIS4" s="226" t="s">
        <v>13330</v>
      </c>
      <c r="EIT4" s="227"/>
      <c r="EIU4" s="227"/>
      <c r="EIV4" s="228"/>
      <c r="EIW4" s="226" t="s">
        <v>13330</v>
      </c>
      <c r="EIX4" s="227"/>
      <c r="EIY4" s="227"/>
      <c r="EIZ4" s="228"/>
      <c r="EJA4" s="226" t="s">
        <v>13330</v>
      </c>
      <c r="EJB4" s="227"/>
      <c r="EJC4" s="227"/>
      <c r="EJD4" s="228"/>
      <c r="EJE4" s="226" t="s">
        <v>13330</v>
      </c>
      <c r="EJF4" s="227"/>
      <c r="EJG4" s="227"/>
      <c r="EJH4" s="228"/>
      <c r="EJI4" s="226" t="s">
        <v>13330</v>
      </c>
      <c r="EJJ4" s="227"/>
      <c r="EJK4" s="227"/>
      <c r="EJL4" s="228"/>
      <c r="EJM4" s="226" t="s">
        <v>13330</v>
      </c>
      <c r="EJN4" s="227"/>
      <c r="EJO4" s="227"/>
      <c r="EJP4" s="228"/>
      <c r="EJQ4" s="226" t="s">
        <v>13330</v>
      </c>
      <c r="EJR4" s="227"/>
      <c r="EJS4" s="227"/>
      <c r="EJT4" s="228"/>
      <c r="EJU4" s="226" t="s">
        <v>13330</v>
      </c>
      <c r="EJV4" s="227"/>
      <c r="EJW4" s="227"/>
      <c r="EJX4" s="228"/>
      <c r="EJY4" s="226" t="s">
        <v>13330</v>
      </c>
      <c r="EJZ4" s="227"/>
      <c r="EKA4" s="227"/>
      <c r="EKB4" s="228"/>
      <c r="EKC4" s="226" t="s">
        <v>13330</v>
      </c>
      <c r="EKD4" s="227"/>
      <c r="EKE4" s="227"/>
      <c r="EKF4" s="228"/>
      <c r="EKG4" s="226" t="s">
        <v>13330</v>
      </c>
      <c r="EKH4" s="227"/>
      <c r="EKI4" s="227"/>
      <c r="EKJ4" s="228"/>
      <c r="EKK4" s="226" t="s">
        <v>13330</v>
      </c>
      <c r="EKL4" s="227"/>
      <c r="EKM4" s="227"/>
      <c r="EKN4" s="228"/>
      <c r="EKO4" s="226" t="s">
        <v>13330</v>
      </c>
      <c r="EKP4" s="227"/>
      <c r="EKQ4" s="227"/>
      <c r="EKR4" s="228"/>
      <c r="EKS4" s="226" t="s">
        <v>13330</v>
      </c>
      <c r="EKT4" s="227"/>
      <c r="EKU4" s="227"/>
      <c r="EKV4" s="228"/>
      <c r="EKW4" s="226" t="s">
        <v>13330</v>
      </c>
      <c r="EKX4" s="227"/>
      <c r="EKY4" s="227"/>
      <c r="EKZ4" s="228"/>
      <c r="ELA4" s="226" t="s">
        <v>13330</v>
      </c>
      <c r="ELB4" s="227"/>
      <c r="ELC4" s="227"/>
      <c r="ELD4" s="228"/>
      <c r="ELE4" s="226" t="s">
        <v>13330</v>
      </c>
      <c r="ELF4" s="227"/>
      <c r="ELG4" s="227"/>
      <c r="ELH4" s="228"/>
      <c r="ELI4" s="226" t="s">
        <v>13330</v>
      </c>
      <c r="ELJ4" s="227"/>
      <c r="ELK4" s="227"/>
      <c r="ELL4" s="228"/>
      <c r="ELM4" s="226" t="s">
        <v>13330</v>
      </c>
      <c r="ELN4" s="227"/>
      <c r="ELO4" s="227"/>
      <c r="ELP4" s="228"/>
      <c r="ELQ4" s="226" t="s">
        <v>13330</v>
      </c>
      <c r="ELR4" s="227"/>
      <c r="ELS4" s="227"/>
      <c r="ELT4" s="228"/>
      <c r="ELU4" s="226" t="s">
        <v>13330</v>
      </c>
      <c r="ELV4" s="227"/>
      <c r="ELW4" s="227"/>
      <c r="ELX4" s="228"/>
      <c r="ELY4" s="226" t="s">
        <v>13330</v>
      </c>
      <c r="ELZ4" s="227"/>
      <c r="EMA4" s="227"/>
      <c r="EMB4" s="228"/>
      <c r="EMC4" s="226" t="s">
        <v>13330</v>
      </c>
      <c r="EMD4" s="227"/>
      <c r="EME4" s="227"/>
      <c r="EMF4" s="228"/>
      <c r="EMG4" s="226" t="s">
        <v>13330</v>
      </c>
      <c r="EMH4" s="227"/>
      <c r="EMI4" s="227"/>
      <c r="EMJ4" s="228"/>
      <c r="EMK4" s="226" t="s">
        <v>13330</v>
      </c>
      <c r="EML4" s="227"/>
      <c r="EMM4" s="227"/>
      <c r="EMN4" s="228"/>
      <c r="EMO4" s="226" t="s">
        <v>13330</v>
      </c>
      <c r="EMP4" s="227"/>
      <c r="EMQ4" s="227"/>
      <c r="EMR4" s="228"/>
      <c r="EMS4" s="226" t="s">
        <v>13330</v>
      </c>
      <c r="EMT4" s="227"/>
      <c r="EMU4" s="227"/>
      <c r="EMV4" s="228"/>
      <c r="EMW4" s="226" t="s">
        <v>13330</v>
      </c>
      <c r="EMX4" s="227"/>
      <c r="EMY4" s="227"/>
      <c r="EMZ4" s="228"/>
      <c r="ENA4" s="226" t="s">
        <v>13330</v>
      </c>
      <c r="ENB4" s="227"/>
      <c r="ENC4" s="227"/>
      <c r="END4" s="228"/>
      <c r="ENE4" s="226" t="s">
        <v>13330</v>
      </c>
      <c r="ENF4" s="227"/>
      <c r="ENG4" s="227"/>
      <c r="ENH4" s="228"/>
      <c r="ENI4" s="226" t="s">
        <v>13330</v>
      </c>
      <c r="ENJ4" s="227"/>
      <c r="ENK4" s="227"/>
      <c r="ENL4" s="228"/>
      <c r="ENM4" s="226" t="s">
        <v>13330</v>
      </c>
      <c r="ENN4" s="227"/>
      <c r="ENO4" s="227"/>
      <c r="ENP4" s="228"/>
      <c r="ENQ4" s="226" t="s">
        <v>13330</v>
      </c>
      <c r="ENR4" s="227"/>
      <c r="ENS4" s="227"/>
      <c r="ENT4" s="228"/>
      <c r="ENU4" s="226" t="s">
        <v>13330</v>
      </c>
      <c r="ENV4" s="227"/>
      <c r="ENW4" s="227"/>
      <c r="ENX4" s="228"/>
      <c r="ENY4" s="226" t="s">
        <v>13330</v>
      </c>
      <c r="ENZ4" s="227"/>
      <c r="EOA4" s="227"/>
      <c r="EOB4" s="228"/>
      <c r="EOC4" s="226" t="s">
        <v>13330</v>
      </c>
      <c r="EOD4" s="227"/>
      <c r="EOE4" s="227"/>
      <c r="EOF4" s="228"/>
      <c r="EOG4" s="226" t="s">
        <v>13330</v>
      </c>
      <c r="EOH4" s="227"/>
      <c r="EOI4" s="227"/>
      <c r="EOJ4" s="228"/>
      <c r="EOK4" s="226" t="s">
        <v>13330</v>
      </c>
      <c r="EOL4" s="227"/>
      <c r="EOM4" s="227"/>
      <c r="EON4" s="228"/>
      <c r="EOO4" s="226" t="s">
        <v>13330</v>
      </c>
      <c r="EOP4" s="227"/>
      <c r="EOQ4" s="227"/>
      <c r="EOR4" s="228"/>
      <c r="EOS4" s="226" t="s">
        <v>13330</v>
      </c>
      <c r="EOT4" s="227"/>
      <c r="EOU4" s="227"/>
      <c r="EOV4" s="228"/>
      <c r="EOW4" s="226" t="s">
        <v>13330</v>
      </c>
      <c r="EOX4" s="227"/>
      <c r="EOY4" s="227"/>
      <c r="EOZ4" s="228"/>
      <c r="EPA4" s="226" t="s">
        <v>13330</v>
      </c>
      <c r="EPB4" s="227"/>
      <c r="EPC4" s="227"/>
      <c r="EPD4" s="228"/>
      <c r="EPE4" s="226" t="s">
        <v>13330</v>
      </c>
      <c r="EPF4" s="227"/>
      <c r="EPG4" s="227"/>
      <c r="EPH4" s="228"/>
      <c r="EPI4" s="226" t="s">
        <v>13330</v>
      </c>
      <c r="EPJ4" s="227"/>
      <c r="EPK4" s="227"/>
      <c r="EPL4" s="228"/>
      <c r="EPM4" s="226" t="s">
        <v>13330</v>
      </c>
      <c r="EPN4" s="227"/>
      <c r="EPO4" s="227"/>
      <c r="EPP4" s="228"/>
      <c r="EPQ4" s="226" t="s">
        <v>13330</v>
      </c>
      <c r="EPR4" s="227"/>
      <c r="EPS4" s="227"/>
      <c r="EPT4" s="228"/>
      <c r="EPU4" s="226" t="s">
        <v>13330</v>
      </c>
      <c r="EPV4" s="227"/>
      <c r="EPW4" s="227"/>
      <c r="EPX4" s="228"/>
      <c r="EPY4" s="226" t="s">
        <v>13330</v>
      </c>
      <c r="EPZ4" s="227"/>
      <c r="EQA4" s="227"/>
      <c r="EQB4" s="228"/>
      <c r="EQC4" s="226" t="s">
        <v>13330</v>
      </c>
      <c r="EQD4" s="227"/>
      <c r="EQE4" s="227"/>
      <c r="EQF4" s="228"/>
      <c r="EQG4" s="226" t="s">
        <v>13330</v>
      </c>
      <c r="EQH4" s="227"/>
      <c r="EQI4" s="227"/>
      <c r="EQJ4" s="228"/>
      <c r="EQK4" s="226" t="s">
        <v>13330</v>
      </c>
      <c r="EQL4" s="227"/>
      <c r="EQM4" s="227"/>
      <c r="EQN4" s="228"/>
      <c r="EQO4" s="226" t="s">
        <v>13330</v>
      </c>
      <c r="EQP4" s="227"/>
      <c r="EQQ4" s="227"/>
      <c r="EQR4" s="228"/>
      <c r="EQS4" s="226" t="s">
        <v>13330</v>
      </c>
      <c r="EQT4" s="227"/>
      <c r="EQU4" s="227"/>
      <c r="EQV4" s="228"/>
      <c r="EQW4" s="226" t="s">
        <v>13330</v>
      </c>
      <c r="EQX4" s="227"/>
      <c r="EQY4" s="227"/>
      <c r="EQZ4" s="228"/>
      <c r="ERA4" s="226" t="s">
        <v>13330</v>
      </c>
      <c r="ERB4" s="227"/>
      <c r="ERC4" s="227"/>
      <c r="ERD4" s="228"/>
      <c r="ERE4" s="226" t="s">
        <v>13330</v>
      </c>
      <c r="ERF4" s="227"/>
      <c r="ERG4" s="227"/>
      <c r="ERH4" s="228"/>
      <c r="ERI4" s="226" t="s">
        <v>13330</v>
      </c>
      <c r="ERJ4" s="227"/>
      <c r="ERK4" s="227"/>
      <c r="ERL4" s="228"/>
      <c r="ERM4" s="226" t="s">
        <v>13330</v>
      </c>
      <c r="ERN4" s="227"/>
      <c r="ERO4" s="227"/>
      <c r="ERP4" s="228"/>
      <c r="ERQ4" s="226" t="s">
        <v>13330</v>
      </c>
      <c r="ERR4" s="227"/>
      <c r="ERS4" s="227"/>
      <c r="ERT4" s="228"/>
      <c r="ERU4" s="226" t="s">
        <v>13330</v>
      </c>
      <c r="ERV4" s="227"/>
      <c r="ERW4" s="227"/>
      <c r="ERX4" s="228"/>
      <c r="ERY4" s="226" t="s">
        <v>13330</v>
      </c>
      <c r="ERZ4" s="227"/>
      <c r="ESA4" s="227"/>
      <c r="ESB4" s="228"/>
      <c r="ESC4" s="226" t="s">
        <v>13330</v>
      </c>
      <c r="ESD4" s="227"/>
      <c r="ESE4" s="227"/>
      <c r="ESF4" s="228"/>
      <c r="ESG4" s="226" t="s">
        <v>13330</v>
      </c>
      <c r="ESH4" s="227"/>
      <c r="ESI4" s="227"/>
      <c r="ESJ4" s="228"/>
      <c r="ESK4" s="226" t="s">
        <v>13330</v>
      </c>
      <c r="ESL4" s="227"/>
      <c r="ESM4" s="227"/>
      <c r="ESN4" s="228"/>
      <c r="ESO4" s="226" t="s">
        <v>13330</v>
      </c>
      <c r="ESP4" s="227"/>
      <c r="ESQ4" s="227"/>
      <c r="ESR4" s="228"/>
      <c r="ESS4" s="226" t="s">
        <v>13330</v>
      </c>
      <c r="EST4" s="227"/>
      <c r="ESU4" s="227"/>
      <c r="ESV4" s="228"/>
      <c r="ESW4" s="226" t="s">
        <v>13330</v>
      </c>
      <c r="ESX4" s="227"/>
      <c r="ESY4" s="227"/>
      <c r="ESZ4" s="228"/>
      <c r="ETA4" s="226" t="s">
        <v>13330</v>
      </c>
      <c r="ETB4" s="227"/>
      <c r="ETC4" s="227"/>
      <c r="ETD4" s="228"/>
      <c r="ETE4" s="226" t="s">
        <v>13330</v>
      </c>
      <c r="ETF4" s="227"/>
      <c r="ETG4" s="227"/>
      <c r="ETH4" s="228"/>
      <c r="ETI4" s="226" t="s">
        <v>13330</v>
      </c>
      <c r="ETJ4" s="227"/>
      <c r="ETK4" s="227"/>
      <c r="ETL4" s="228"/>
      <c r="ETM4" s="226" t="s">
        <v>13330</v>
      </c>
      <c r="ETN4" s="227"/>
      <c r="ETO4" s="227"/>
      <c r="ETP4" s="228"/>
      <c r="ETQ4" s="226" t="s">
        <v>13330</v>
      </c>
      <c r="ETR4" s="227"/>
      <c r="ETS4" s="227"/>
      <c r="ETT4" s="228"/>
      <c r="ETU4" s="226" t="s">
        <v>13330</v>
      </c>
      <c r="ETV4" s="227"/>
      <c r="ETW4" s="227"/>
      <c r="ETX4" s="228"/>
      <c r="ETY4" s="226" t="s">
        <v>13330</v>
      </c>
      <c r="ETZ4" s="227"/>
      <c r="EUA4" s="227"/>
      <c r="EUB4" s="228"/>
      <c r="EUC4" s="226" t="s">
        <v>13330</v>
      </c>
      <c r="EUD4" s="227"/>
      <c r="EUE4" s="227"/>
      <c r="EUF4" s="228"/>
      <c r="EUG4" s="226" t="s">
        <v>13330</v>
      </c>
      <c r="EUH4" s="227"/>
      <c r="EUI4" s="227"/>
      <c r="EUJ4" s="228"/>
      <c r="EUK4" s="226" t="s">
        <v>13330</v>
      </c>
      <c r="EUL4" s="227"/>
      <c r="EUM4" s="227"/>
      <c r="EUN4" s="228"/>
      <c r="EUO4" s="226" t="s">
        <v>13330</v>
      </c>
      <c r="EUP4" s="227"/>
      <c r="EUQ4" s="227"/>
      <c r="EUR4" s="228"/>
      <c r="EUS4" s="226" t="s">
        <v>13330</v>
      </c>
      <c r="EUT4" s="227"/>
      <c r="EUU4" s="227"/>
      <c r="EUV4" s="228"/>
      <c r="EUW4" s="226" t="s">
        <v>13330</v>
      </c>
      <c r="EUX4" s="227"/>
      <c r="EUY4" s="227"/>
      <c r="EUZ4" s="228"/>
      <c r="EVA4" s="226" t="s">
        <v>13330</v>
      </c>
      <c r="EVB4" s="227"/>
      <c r="EVC4" s="227"/>
      <c r="EVD4" s="228"/>
      <c r="EVE4" s="226" t="s">
        <v>13330</v>
      </c>
      <c r="EVF4" s="227"/>
      <c r="EVG4" s="227"/>
      <c r="EVH4" s="228"/>
      <c r="EVI4" s="226" t="s">
        <v>13330</v>
      </c>
      <c r="EVJ4" s="227"/>
      <c r="EVK4" s="227"/>
      <c r="EVL4" s="228"/>
      <c r="EVM4" s="226" t="s">
        <v>13330</v>
      </c>
      <c r="EVN4" s="227"/>
      <c r="EVO4" s="227"/>
      <c r="EVP4" s="228"/>
      <c r="EVQ4" s="226" t="s">
        <v>13330</v>
      </c>
      <c r="EVR4" s="227"/>
      <c r="EVS4" s="227"/>
      <c r="EVT4" s="228"/>
      <c r="EVU4" s="226" t="s">
        <v>13330</v>
      </c>
      <c r="EVV4" s="227"/>
      <c r="EVW4" s="227"/>
      <c r="EVX4" s="228"/>
      <c r="EVY4" s="226" t="s">
        <v>13330</v>
      </c>
      <c r="EVZ4" s="227"/>
      <c r="EWA4" s="227"/>
      <c r="EWB4" s="228"/>
      <c r="EWC4" s="226" t="s">
        <v>13330</v>
      </c>
      <c r="EWD4" s="227"/>
      <c r="EWE4" s="227"/>
      <c r="EWF4" s="228"/>
      <c r="EWG4" s="226" t="s">
        <v>13330</v>
      </c>
      <c r="EWH4" s="227"/>
      <c r="EWI4" s="227"/>
      <c r="EWJ4" s="228"/>
      <c r="EWK4" s="226" t="s">
        <v>13330</v>
      </c>
      <c r="EWL4" s="227"/>
      <c r="EWM4" s="227"/>
      <c r="EWN4" s="228"/>
      <c r="EWO4" s="226" t="s">
        <v>13330</v>
      </c>
      <c r="EWP4" s="227"/>
      <c r="EWQ4" s="227"/>
      <c r="EWR4" s="228"/>
      <c r="EWS4" s="226" t="s">
        <v>13330</v>
      </c>
      <c r="EWT4" s="227"/>
      <c r="EWU4" s="227"/>
      <c r="EWV4" s="228"/>
      <c r="EWW4" s="226" t="s">
        <v>13330</v>
      </c>
      <c r="EWX4" s="227"/>
      <c r="EWY4" s="227"/>
      <c r="EWZ4" s="228"/>
      <c r="EXA4" s="226" t="s">
        <v>13330</v>
      </c>
      <c r="EXB4" s="227"/>
      <c r="EXC4" s="227"/>
      <c r="EXD4" s="228"/>
      <c r="EXE4" s="226" t="s">
        <v>13330</v>
      </c>
      <c r="EXF4" s="227"/>
      <c r="EXG4" s="227"/>
      <c r="EXH4" s="228"/>
      <c r="EXI4" s="226" t="s">
        <v>13330</v>
      </c>
      <c r="EXJ4" s="227"/>
      <c r="EXK4" s="227"/>
      <c r="EXL4" s="228"/>
      <c r="EXM4" s="226" t="s">
        <v>13330</v>
      </c>
      <c r="EXN4" s="227"/>
      <c r="EXO4" s="227"/>
      <c r="EXP4" s="228"/>
      <c r="EXQ4" s="226" t="s">
        <v>13330</v>
      </c>
      <c r="EXR4" s="227"/>
      <c r="EXS4" s="227"/>
      <c r="EXT4" s="228"/>
      <c r="EXU4" s="226" t="s">
        <v>13330</v>
      </c>
      <c r="EXV4" s="227"/>
      <c r="EXW4" s="227"/>
      <c r="EXX4" s="228"/>
      <c r="EXY4" s="226" t="s">
        <v>13330</v>
      </c>
      <c r="EXZ4" s="227"/>
      <c r="EYA4" s="227"/>
      <c r="EYB4" s="228"/>
      <c r="EYC4" s="226" t="s">
        <v>13330</v>
      </c>
      <c r="EYD4" s="227"/>
      <c r="EYE4" s="227"/>
      <c r="EYF4" s="228"/>
      <c r="EYG4" s="226" t="s">
        <v>13330</v>
      </c>
      <c r="EYH4" s="227"/>
      <c r="EYI4" s="227"/>
      <c r="EYJ4" s="228"/>
      <c r="EYK4" s="226" t="s">
        <v>13330</v>
      </c>
      <c r="EYL4" s="227"/>
      <c r="EYM4" s="227"/>
      <c r="EYN4" s="228"/>
      <c r="EYO4" s="226" t="s">
        <v>13330</v>
      </c>
      <c r="EYP4" s="227"/>
      <c r="EYQ4" s="227"/>
      <c r="EYR4" s="228"/>
      <c r="EYS4" s="226" t="s">
        <v>13330</v>
      </c>
      <c r="EYT4" s="227"/>
      <c r="EYU4" s="227"/>
      <c r="EYV4" s="228"/>
      <c r="EYW4" s="226" t="s">
        <v>13330</v>
      </c>
      <c r="EYX4" s="227"/>
      <c r="EYY4" s="227"/>
      <c r="EYZ4" s="228"/>
      <c r="EZA4" s="226" t="s">
        <v>13330</v>
      </c>
      <c r="EZB4" s="227"/>
      <c r="EZC4" s="227"/>
      <c r="EZD4" s="228"/>
      <c r="EZE4" s="226" t="s">
        <v>13330</v>
      </c>
      <c r="EZF4" s="227"/>
      <c r="EZG4" s="227"/>
      <c r="EZH4" s="228"/>
      <c r="EZI4" s="226" t="s">
        <v>13330</v>
      </c>
      <c r="EZJ4" s="227"/>
      <c r="EZK4" s="227"/>
      <c r="EZL4" s="228"/>
      <c r="EZM4" s="226" t="s">
        <v>13330</v>
      </c>
      <c r="EZN4" s="227"/>
      <c r="EZO4" s="227"/>
      <c r="EZP4" s="228"/>
      <c r="EZQ4" s="226" t="s">
        <v>13330</v>
      </c>
      <c r="EZR4" s="227"/>
      <c r="EZS4" s="227"/>
      <c r="EZT4" s="228"/>
      <c r="EZU4" s="226" t="s">
        <v>13330</v>
      </c>
      <c r="EZV4" s="227"/>
      <c r="EZW4" s="227"/>
      <c r="EZX4" s="228"/>
      <c r="EZY4" s="226" t="s">
        <v>13330</v>
      </c>
      <c r="EZZ4" s="227"/>
      <c r="FAA4" s="227"/>
      <c r="FAB4" s="228"/>
      <c r="FAC4" s="226" t="s">
        <v>13330</v>
      </c>
      <c r="FAD4" s="227"/>
      <c r="FAE4" s="227"/>
      <c r="FAF4" s="228"/>
      <c r="FAG4" s="226" t="s">
        <v>13330</v>
      </c>
      <c r="FAH4" s="227"/>
      <c r="FAI4" s="227"/>
      <c r="FAJ4" s="228"/>
      <c r="FAK4" s="226" t="s">
        <v>13330</v>
      </c>
      <c r="FAL4" s="227"/>
      <c r="FAM4" s="227"/>
      <c r="FAN4" s="228"/>
      <c r="FAO4" s="226" t="s">
        <v>13330</v>
      </c>
      <c r="FAP4" s="227"/>
      <c r="FAQ4" s="227"/>
      <c r="FAR4" s="228"/>
      <c r="FAS4" s="226" t="s">
        <v>13330</v>
      </c>
      <c r="FAT4" s="227"/>
      <c r="FAU4" s="227"/>
      <c r="FAV4" s="228"/>
      <c r="FAW4" s="226" t="s">
        <v>13330</v>
      </c>
      <c r="FAX4" s="227"/>
      <c r="FAY4" s="227"/>
      <c r="FAZ4" s="228"/>
      <c r="FBA4" s="226" t="s">
        <v>13330</v>
      </c>
      <c r="FBB4" s="227"/>
      <c r="FBC4" s="227"/>
      <c r="FBD4" s="228"/>
      <c r="FBE4" s="226" t="s">
        <v>13330</v>
      </c>
      <c r="FBF4" s="227"/>
      <c r="FBG4" s="227"/>
      <c r="FBH4" s="228"/>
      <c r="FBI4" s="226" t="s">
        <v>13330</v>
      </c>
      <c r="FBJ4" s="227"/>
      <c r="FBK4" s="227"/>
      <c r="FBL4" s="228"/>
      <c r="FBM4" s="226" t="s">
        <v>13330</v>
      </c>
      <c r="FBN4" s="227"/>
      <c r="FBO4" s="227"/>
      <c r="FBP4" s="228"/>
      <c r="FBQ4" s="226" t="s">
        <v>13330</v>
      </c>
      <c r="FBR4" s="227"/>
      <c r="FBS4" s="227"/>
      <c r="FBT4" s="228"/>
      <c r="FBU4" s="226" t="s">
        <v>13330</v>
      </c>
      <c r="FBV4" s="227"/>
      <c r="FBW4" s="227"/>
      <c r="FBX4" s="228"/>
      <c r="FBY4" s="226" t="s">
        <v>13330</v>
      </c>
      <c r="FBZ4" s="227"/>
      <c r="FCA4" s="227"/>
      <c r="FCB4" s="228"/>
      <c r="FCC4" s="226" t="s">
        <v>13330</v>
      </c>
      <c r="FCD4" s="227"/>
      <c r="FCE4" s="227"/>
      <c r="FCF4" s="228"/>
      <c r="FCG4" s="226" t="s">
        <v>13330</v>
      </c>
      <c r="FCH4" s="227"/>
      <c r="FCI4" s="227"/>
      <c r="FCJ4" s="228"/>
      <c r="FCK4" s="226" t="s">
        <v>13330</v>
      </c>
      <c r="FCL4" s="227"/>
      <c r="FCM4" s="227"/>
      <c r="FCN4" s="228"/>
      <c r="FCO4" s="226" t="s">
        <v>13330</v>
      </c>
      <c r="FCP4" s="227"/>
      <c r="FCQ4" s="227"/>
      <c r="FCR4" s="228"/>
      <c r="FCS4" s="226" t="s">
        <v>13330</v>
      </c>
      <c r="FCT4" s="227"/>
      <c r="FCU4" s="227"/>
      <c r="FCV4" s="228"/>
      <c r="FCW4" s="226" t="s">
        <v>13330</v>
      </c>
      <c r="FCX4" s="227"/>
      <c r="FCY4" s="227"/>
      <c r="FCZ4" s="228"/>
      <c r="FDA4" s="226" t="s">
        <v>13330</v>
      </c>
      <c r="FDB4" s="227"/>
      <c r="FDC4" s="227"/>
      <c r="FDD4" s="228"/>
      <c r="FDE4" s="226" t="s">
        <v>13330</v>
      </c>
      <c r="FDF4" s="227"/>
      <c r="FDG4" s="227"/>
      <c r="FDH4" s="228"/>
      <c r="FDI4" s="226" t="s">
        <v>13330</v>
      </c>
      <c r="FDJ4" s="227"/>
      <c r="FDK4" s="227"/>
      <c r="FDL4" s="228"/>
      <c r="FDM4" s="226" t="s">
        <v>13330</v>
      </c>
      <c r="FDN4" s="227"/>
      <c r="FDO4" s="227"/>
      <c r="FDP4" s="228"/>
      <c r="FDQ4" s="226" t="s">
        <v>13330</v>
      </c>
      <c r="FDR4" s="227"/>
      <c r="FDS4" s="227"/>
      <c r="FDT4" s="228"/>
      <c r="FDU4" s="226" t="s">
        <v>13330</v>
      </c>
      <c r="FDV4" s="227"/>
      <c r="FDW4" s="227"/>
      <c r="FDX4" s="228"/>
      <c r="FDY4" s="226" t="s">
        <v>13330</v>
      </c>
      <c r="FDZ4" s="227"/>
      <c r="FEA4" s="227"/>
      <c r="FEB4" s="228"/>
      <c r="FEC4" s="226" t="s">
        <v>13330</v>
      </c>
      <c r="FED4" s="227"/>
      <c r="FEE4" s="227"/>
      <c r="FEF4" s="228"/>
      <c r="FEG4" s="226" t="s">
        <v>13330</v>
      </c>
      <c r="FEH4" s="227"/>
      <c r="FEI4" s="227"/>
      <c r="FEJ4" s="228"/>
      <c r="FEK4" s="226" t="s">
        <v>13330</v>
      </c>
      <c r="FEL4" s="227"/>
      <c r="FEM4" s="227"/>
      <c r="FEN4" s="228"/>
      <c r="FEO4" s="226" t="s">
        <v>13330</v>
      </c>
      <c r="FEP4" s="227"/>
      <c r="FEQ4" s="227"/>
      <c r="FER4" s="228"/>
      <c r="FES4" s="226" t="s">
        <v>13330</v>
      </c>
      <c r="FET4" s="227"/>
      <c r="FEU4" s="227"/>
      <c r="FEV4" s="228"/>
      <c r="FEW4" s="226" t="s">
        <v>13330</v>
      </c>
      <c r="FEX4" s="227"/>
      <c r="FEY4" s="227"/>
      <c r="FEZ4" s="228"/>
      <c r="FFA4" s="226" t="s">
        <v>13330</v>
      </c>
      <c r="FFB4" s="227"/>
      <c r="FFC4" s="227"/>
      <c r="FFD4" s="228"/>
      <c r="FFE4" s="226" t="s">
        <v>13330</v>
      </c>
      <c r="FFF4" s="227"/>
      <c r="FFG4" s="227"/>
      <c r="FFH4" s="228"/>
      <c r="FFI4" s="226" t="s">
        <v>13330</v>
      </c>
      <c r="FFJ4" s="227"/>
      <c r="FFK4" s="227"/>
      <c r="FFL4" s="228"/>
      <c r="FFM4" s="226" t="s">
        <v>13330</v>
      </c>
      <c r="FFN4" s="227"/>
      <c r="FFO4" s="227"/>
      <c r="FFP4" s="228"/>
      <c r="FFQ4" s="226" t="s">
        <v>13330</v>
      </c>
      <c r="FFR4" s="227"/>
      <c r="FFS4" s="227"/>
      <c r="FFT4" s="228"/>
      <c r="FFU4" s="226" t="s">
        <v>13330</v>
      </c>
      <c r="FFV4" s="227"/>
      <c r="FFW4" s="227"/>
      <c r="FFX4" s="228"/>
      <c r="FFY4" s="226" t="s">
        <v>13330</v>
      </c>
      <c r="FFZ4" s="227"/>
      <c r="FGA4" s="227"/>
      <c r="FGB4" s="228"/>
      <c r="FGC4" s="226" t="s">
        <v>13330</v>
      </c>
      <c r="FGD4" s="227"/>
      <c r="FGE4" s="227"/>
      <c r="FGF4" s="228"/>
      <c r="FGG4" s="226" t="s">
        <v>13330</v>
      </c>
      <c r="FGH4" s="227"/>
      <c r="FGI4" s="227"/>
      <c r="FGJ4" s="228"/>
      <c r="FGK4" s="226" t="s">
        <v>13330</v>
      </c>
      <c r="FGL4" s="227"/>
      <c r="FGM4" s="227"/>
      <c r="FGN4" s="228"/>
      <c r="FGO4" s="226" t="s">
        <v>13330</v>
      </c>
      <c r="FGP4" s="227"/>
      <c r="FGQ4" s="227"/>
      <c r="FGR4" s="228"/>
      <c r="FGS4" s="226" t="s">
        <v>13330</v>
      </c>
      <c r="FGT4" s="227"/>
      <c r="FGU4" s="227"/>
      <c r="FGV4" s="228"/>
      <c r="FGW4" s="226" t="s">
        <v>13330</v>
      </c>
      <c r="FGX4" s="227"/>
      <c r="FGY4" s="227"/>
      <c r="FGZ4" s="228"/>
      <c r="FHA4" s="226" t="s">
        <v>13330</v>
      </c>
      <c r="FHB4" s="227"/>
      <c r="FHC4" s="227"/>
      <c r="FHD4" s="228"/>
      <c r="FHE4" s="226" t="s">
        <v>13330</v>
      </c>
      <c r="FHF4" s="227"/>
      <c r="FHG4" s="227"/>
      <c r="FHH4" s="228"/>
      <c r="FHI4" s="226" t="s">
        <v>13330</v>
      </c>
      <c r="FHJ4" s="227"/>
      <c r="FHK4" s="227"/>
      <c r="FHL4" s="228"/>
      <c r="FHM4" s="226" t="s">
        <v>13330</v>
      </c>
      <c r="FHN4" s="227"/>
      <c r="FHO4" s="227"/>
      <c r="FHP4" s="228"/>
      <c r="FHQ4" s="226" t="s">
        <v>13330</v>
      </c>
      <c r="FHR4" s="227"/>
      <c r="FHS4" s="227"/>
      <c r="FHT4" s="228"/>
      <c r="FHU4" s="226" t="s">
        <v>13330</v>
      </c>
      <c r="FHV4" s="227"/>
      <c r="FHW4" s="227"/>
      <c r="FHX4" s="228"/>
      <c r="FHY4" s="226" t="s">
        <v>13330</v>
      </c>
      <c r="FHZ4" s="227"/>
      <c r="FIA4" s="227"/>
      <c r="FIB4" s="228"/>
      <c r="FIC4" s="226" t="s">
        <v>13330</v>
      </c>
      <c r="FID4" s="227"/>
      <c r="FIE4" s="227"/>
      <c r="FIF4" s="228"/>
      <c r="FIG4" s="226" t="s">
        <v>13330</v>
      </c>
      <c r="FIH4" s="227"/>
      <c r="FII4" s="227"/>
      <c r="FIJ4" s="228"/>
      <c r="FIK4" s="226" t="s">
        <v>13330</v>
      </c>
      <c r="FIL4" s="227"/>
      <c r="FIM4" s="227"/>
      <c r="FIN4" s="228"/>
      <c r="FIO4" s="226" t="s">
        <v>13330</v>
      </c>
      <c r="FIP4" s="227"/>
      <c r="FIQ4" s="227"/>
      <c r="FIR4" s="228"/>
      <c r="FIS4" s="226" t="s">
        <v>13330</v>
      </c>
      <c r="FIT4" s="227"/>
      <c r="FIU4" s="227"/>
      <c r="FIV4" s="228"/>
      <c r="FIW4" s="226" t="s">
        <v>13330</v>
      </c>
      <c r="FIX4" s="227"/>
      <c r="FIY4" s="227"/>
      <c r="FIZ4" s="228"/>
      <c r="FJA4" s="226" t="s">
        <v>13330</v>
      </c>
      <c r="FJB4" s="227"/>
      <c r="FJC4" s="227"/>
      <c r="FJD4" s="228"/>
      <c r="FJE4" s="226" t="s">
        <v>13330</v>
      </c>
      <c r="FJF4" s="227"/>
      <c r="FJG4" s="227"/>
      <c r="FJH4" s="228"/>
      <c r="FJI4" s="226" t="s">
        <v>13330</v>
      </c>
      <c r="FJJ4" s="227"/>
      <c r="FJK4" s="227"/>
      <c r="FJL4" s="228"/>
      <c r="FJM4" s="226" t="s">
        <v>13330</v>
      </c>
      <c r="FJN4" s="227"/>
      <c r="FJO4" s="227"/>
      <c r="FJP4" s="228"/>
      <c r="FJQ4" s="226" t="s">
        <v>13330</v>
      </c>
      <c r="FJR4" s="227"/>
      <c r="FJS4" s="227"/>
      <c r="FJT4" s="228"/>
      <c r="FJU4" s="226" t="s">
        <v>13330</v>
      </c>
      <c r="FJV4" s="227"/>
      <c r="FJW4" s="227"/>
      <c r="FJX4" s="228"/>
      <c r="FJY4" s="226" t="s">
        <v>13330</v>
      </c>
      <c r="FJZ4" s="227"/>
      <c r="FKA4" s="227"/>
      <c r="FKB4" s="228"/>
      <c r="FKC4" s="226" t="s">
        <v>13330</v>
      </c>
      <c r="FKD4" s="227"/>
      <c r="FKE4" s="227"/>
      <c r="FKF4" s="228"/>
      <c r="FKG4" s="226" t="s">
        <v>13330</v>
      </c>
      <c r="FKH4" s="227"/>
      <c r="FKI4" s="227"/>
      <c r="FKJ4" s="228"/>
      <c r="FKK4" s="226" t="s">
        <v>13330</v>
      </c>
      <c r="FKL4" s="227"/>
      <c r="FKM4" s="227"/>
      <c r="FKN4" s="228"/>
      <c r="FKO4" s="226" t="s">
        <v>13330</v>
      </c>
      <c r="FKP4" s="227"/>
      <c r="FKQ4" s="227"/>
      <c r="FKR4" s="228"/>
      <c r="FKS4" s="226" t="s">
        <v>13330</v>
      </c>
      <c r="FKT4" s="227"/>
      <c r="FKU4" s="227"/>
      <c r="FKV4" s="228"/>
      <c r="FKW4" s="226" t="s">
        <v>13330</v>
      </c>
      <c r="FKX4" s="227"/>
      <c r="FKY4" s="227"/>
      <c r="FKZ4" s="228"/>
      <c r="FLA4" s="226" t="s">
        <v>13330</v>
      </c>
      <c r="FLB4" s="227"/>
      <c r="FLC4" s="227"/>
      <c r="FLD4" s="228"/>
      <c r="FLE4" s="226" t="s">
        <v>13330</v>
      </c>
      <c r="FLF4" s="227"/>
      <c r="FLG4" s="227"/>
      <c r="FLH4" s="228"/>
      <c r="FLI4" s="226" t="s">
        <v>13330</v>
      </c>
      <c r="FLJ4" s="227"/>
      <c r="FLK4" s="227"/>
      <c r="FLL4" s="228"/>
      <c r="FLM4" s="226" t="s">
        <v>13330</v>
      </c>
      <c r="FLN4" s="227"/>
      <c r="FLO4" s="227"/>
      <c r="FLP4" s="228"/>
      <c r="FLQ4" s="226" t="s">
        <v>13330</v>
      </c>
      <c r="FLR4" s="227"/>
      <c r="FLS4" s="227"/>
      <c r="FLT4" s="228"/>
      <c r="FLU4" s="226" t="s">
        <v>13330</v>
      </c>
      <c r="FLV4" s="227"/>
      <c r="FLW4" s="227"/>
      <c r="FLX4" s="228"/>
      <c r="FLY4" s="226" t="s">
        <v>13330</v>
      </c>
      <c r="FLZ4" s="227"/>
      <c r="FMA4" s="227"/>
      <c r="FMB4" s="228"/>
      <c r="FMC4" s="226" t="s">
        <v>13330</v>
      </c>
      <c r="FMD4" s="227"/>
      <c r="FME4" s="227"/>
      <c r="FMF4" s="228"/>
      <c r="FMG4" s="226" t="s">
        <v>13330</v>
      </c>
      <c r="FMH4" s="227"/>
      <c r="FMI4" s="227"/>
      <c r="FMJ4" s="228"/>
      <c r="FMK4" s="226" t="s">
        <v>13330</v>
      </c>
      <c r="FML4" s="227"/>
      <c r="FMM4" s="227"/>
      <c r="FMN4" s="228"/>
      <c r="FMO4" s="226" t="s">
        <v>13330</v>
      </c>
      <c r="FMP4" s="227"/>
      <c r="FMQ4" s="227"/>
      <c r="FMR4" s="228"/>
      <c r="FMS4" s="226" t="s">
        <v>13330</v>
      </c>
      <c r="FMT4" s="227"/>
      <c r="FMU4" s="227"/>
      <c r="FMV4" s="228"/>
      <c r="FMW4" s="226" t="s">
        <v>13330</v>
      </c>
      <c r="FMX4" s="227"/>
      <c r="FMY4" s="227"/>
      <c r="FMZ4" s="228"/>
      <c r="FNA4" s="226" t="s">
        <v>13330</v>
      </c>
      <c r="FNB4" s="227"/>
      <c r="FNC4" s="227"/>
      <c r="FND4" s="228"/>
      <c r="FNE4" s="226" t="s">
        <v>13330</v>
      </c>
      <c r="FNF4" s="227"/>
      <c r="FNG4" s="227"/>
      <c r="FNH4" s="228"/>
      <c r="FNI4" s="226" t="s">
        <v>13330</v>
      </c>
      <c r="FNJ4" s="227"/>
      <c r="FNK4" s="227"/>
      <c r="FNL4" s="228"/>
      <c r="FNM4" s="226" t="s">
        <v>13330</v>
      </c>
      <c r="FNN4" s="227"/>
      <c r="FNO4" s="227"/>
      <c r="FNP4" s="228"/>
      <c r="FNQ4" s="226" t="s">
        <v>13330</v>
      </c>
      <c r="FNR4" s="227"/>
      <c r="FNS4" s="227"/>
      <c r="FNT4" s="228"/>
      <c r="FNU4" s="226" t="s">
        <v>13330</v>
      </c>
      <c r="FNV4" s="227"/>
      <c r="FNW4" s="227"/>
      <c r="FNX4" s="228"/>
      <c r="FNY4" s="226" t="s">
        <v>13330</v>
      </c>
      <c r="FNZ4" s="227"/>
      <c r="FOA4" s="227"/>
      <c r="FOB4" s="228"/>
      <c r="FOC4" s="226" t="s">
        <v>13330</v>
      </c>
      <c r="FOD4" s="227"/>
      <c r="FOE4" s="227"/>
      <c r="FOF4" s="228"/>
      <c r="FOG4" s="226" t="s">
        <v>13330</v>
      </c>
      <c r="FOH4" s="227"/>
      <c r="FOI4" s="227"/>
      <c r="FOJ4" s="228"/>
      <c r="FOK4" s="226" t="s">
        <v>13330</v>
      </c>
      <c r="FOL4" s="227"/>
      <c r="FOM4" s="227"/>
      <c r="FON4" s="228"/>
      <c r="FOO4" s="226" t="s">
        <v>13330</v>
      </c>
      <c r="FOP4" s="227"/>
      <c r="FOQ4" s="227"/>
      <c r="FOR4" s="228"/>
      <c r="FOS4" s="226" t="s">
        <v>13330</v>
      </c>
      <c r="FOT4" s="227"/>
      <c r="FOU4" s="227"/>
      <c r="FOV4" s="228"/>
      <c r="FOW4" s="226" t="s">
        <v>13330</v>
      </c>
      <c r="FOX4" s="227"/>
      <c r="FOY4" s="227"/>
      <c r="FOZ4" s="228"/>
      <c r="FPA4" s="226" t="s">
        <v>13330</v>
      </c>
      <c r="FPB4" s="227"/>
      <c r="FPC4" s="227"/>
      <c r="FPD4" s="228"/>
      <c r="FPE4" s="226" t="s">
        <v>13330</v>
      </c>
      <c r="FPF4" s="227"/>
      <c r="FPG4" s="227"/>
      <c r="FPH4" s="228"/>
      <c r="FPI4" s="226" t="s">
        <v>13330</v>
      </c>
      <c r="FPJ4" s="227"/>
      <c r="FPK4" s="227"/>
      <c r="FPL4" s="228"/>
      <c r="FPM4" s="226" t="s">
        <v>13330</v>
      </c>
      <c r="FPN4" s="227"/>
      <c r="FPO4" s="227"/>
      <c r="FPP4" s="228"/>
      <c r="FPQ4" s="226" t="s">
        <v>13330</v>
      </c>
      <c r="FPR4" s="227"/>
      <c r="FPS4" s="227"/>
      <c r="FPT4" s="228"/>
      <c r="FPU4" s="226" t="s">
        <v>13330</v>
      </c>
      <c r="FPV4" s="227"/>
      <c r="FPW4" s="227"/>
      <c r="FPX4" s="228"/>
      <c r="FPY4" s="226" t="s">
        <v>13330</v>
      </c>
      <c r="FPZ4" s="227"/>
      <c r="FQA4" s="227"/>
      <c r="FQB4" s="228"/>
      <c r="FQC4" s="226" t="s">
        <v>13330</v>
      </c>
      <c r="FQD4" s="227"/>
      <c r="FQE4" s="227"/>
      <c r="FQF4" s="228"/>
      <c r="FQG4" s="226" t="s">
        <v>13330</v>
      </c>
      <c r="FQH4" s="227"/>
      <c r="FQI4" s="227"/>
      <c r="FQJ4" s="228"/>
      <c r="FQK4" s="226" t="s">
        <v>13330</v>
      </c>
      <c r="FQL4" s="227"/>
      <c r="FQM4" s="227"/>
      <c r="FQN4" s="228"/>
      <c r="FQO4" s="226" t="s">
        <v>13330</v>
      </c>
      <c r="FQP4" s="227"/>
      <c r="FQQ4" s="227"/>
      <c r="FQR4" s="228"/>
      <c r="FQS4" s="226" t="s">
        <v>13330</v>
      </c>
      <c r="FQT4" s="227"/>
      <c r="FQU4" s="227"/>
      <c r="FQV4" s="228"/>
      <c r="FQW4" s="226" t="s">
        <v>13330</v>
      </c>
      <c r="FQX4" s="227"/>
      <c r="FQY4" s="227"/>
      <c r="FQZ4" s="228"/>
      <c r="FRA4" s="226" t="s">
        <v>13330</v>
      </c>
      <c r="FRB4" s="227"/>
      <c r="FRC4" s="227"/>
      <c r="FRD4" s="228"/>
      <c r="FRE4" s="226" t="s">
        <v>13330</v>
      </c>
      <c r="FRF4" s="227"/>
      <c r="FRG4" s="227"/>
      <c r="FRH4" s="228"/>
      <c r="FRI4" s="226" t="s">
        <v>13330</v>
      </c>
      <c r="FRJ4" s="227"/>
      <c r="FRK4" s="227"/>
      <c r="FRL4" s="228"/>
      <c r="FRM4" s="226" t="s">
        <v>13330</v>
      </c>
      <c r="FRN4" s="227"/>
      <c r="FRO4" s="227"/>
      <c r="FRP4" s="228"/>
      <c r="FRQ4" s="226" t="s">
        <v>13330</v>
      </c>
      <c r="FRR4" s="227"/>
      <c r="FRS4" s="227"/>
      <c r="FRT4" s="228"/>
      <c r="FRU4" s="226" t="s">
        <v>13330</v>
      </c>
      <c r="FRV4" s="227"/>
      <c r="FRW4" s="227"/>
      <c r="FRX4" s="228"/>
      <c r="FRY4" s="226" t="s">
        <v>13330</v>
      </c>
      <c r="FRZ4" s="227"/>
      <c r="FSA4" s="227"/>
      <c r="FSB4" s="228"/>
      <c r="FSC4" s="226" t="s">
        <v>13330</v>
      </c>
      <c r="FSD4" s="227"/>
      <c r="FSE4" s="227"/>
      <c r="FSF4" s="228"/>
      <c r="FSG4" s="226" t="s">
        <v>13330</v>
      </c>
      <c r="FSH4" s="227"/>
      <c r="FSI4" s="227"/>
      <c r="FSJ4" s="228"/>
      <c r="FSK4" s="226" t="s">
        <v>13330</v>
      </c>
      <c r="FSL4" s="227"/>
      <c r="FSM4" s="227"/>
      <c r="FSN4" s="228"/>
      <c r="FSO4" s="226" t="s">
        <v>13330</v>
      </c>
      <c r="FSP4" s="227"/>
      <c r="FSQ4" s="227"/>
      <c r="FSR4" s="228"/>
      <c r="FSS4" s="226" t="s">
        <v>13330</v>
      </c>
      <c r="FST4" s="227"/>
      <c r="FSU4" s="227"/>
      <c r="FSV4" s="228"/>
      <c r="FSW4" s="226" t="s">
        <v>13330</v>
      </c>
      <c r="FSX4" s="227"/>
      <c r="FSY4" s="227"/>
      <c r="FSZ4" s="228"/>
      <c r="FTA4" s="226" t="s">
        <v>13330</v>
      </c>
      <c r="FTB4" s="227"/>
      <c r="FTC4" s="227"/>
      <c r="FTD4" s="228"/>
      <c r="FTE4" s="226" t="s">
        <v>13330</v>
      </c>
      <c r="FTF4" s="227"/>
      <c r="FTG4" s="227"/>
      <c r="FTH4" s="228"/>
      <c r="FTI4" s="226" t="s">
        <v>13330</v>
      </c>
      <c r="FTJ4" s="227"/>
      <c r="FTK4" s="227"/>
      <c r="FTL4" s="228"/>
      <c r="FTM4" s="226" t="s">
        <v>13330</v>
      </c>
      <c r="FTN4" s="227"/>
      <c r="FTO4" s="227"/>
      <c r="FTP4" s="228"/>
      <c r="FTQ4" s="226" t="s">
        <v>13330</v>
      </c>
      <c r="FTR4" s="227"/>
      <c r="FTS4" s="227"/>
      <c r="FTT4" s="228"/>
      <c r="FTU4" s="226" t="s">
        <v>13330</v>
      </c>
      <c r="FTV4" s="227"/>
      <c r="FTW4" s="227"/>
      <c r="FTX4" s="228"/>
      <c r="FTY4" s="226" t="s">
        <v>13330</v>
      </c>
      <c r="FTZ4" s="227"/>
      <c r="FUA4" s="227"/>
      <c r="FUB4" s="228"/>
      <c r="FUC4" s="226" t="s">
        <v>13330</v>
      </c>
      <c r="FUD4" s="227"/>
      <c r="FUE4" s="227"/>
      <c r="FUF4" s="228"/>
      <c r="FUG4" s="226" t="s">
        <v>13330</v>
      </c>
      <c r="FUH4" s="227"/>
      <c r="FUI4" s="227"/>
      <c r="FUJ4" s="228"/>
      <c r="FUK4" s="226" t="s">
        <v>13330</v>
      </c>
      <c r="FUL4" s="227"/>
      <c r="FUM4" s="227"/>
      <c r="FUN4" s="228"/>
      <c r="FUO4" s="226" t="s">
        <v>13330</v>
      </c>
      <c r="FUP4" s="227"/>
      <c r="FUQ4" s="227"/>
      <c r="FUR4" s="228"/>
      <c r="FUS4" s="226" t="s">
        <v>13330</v>
      </c>
      <c r="FUT4" s="227"/>
      <c r="FUU4" s="227"/>
      <c r="FUV4" s="228"/>
      <c r="FUW4" s="226" t="s">
        <v>13330</v>
      </c>
      <c r="FUX4" s="227"/>
      <c r="FUY4" s="227"/>
      <c r="FUZ4" s="228"/>
      <c r="FVA4" s="226" t="s">
        <v>13330</v>
      </c>
      <c r="FVB4" s="227"/>
      <c r="FVC4" s="227"/>
      <c r="FVD4" s="228"/>
      <c r="FVE4" s="226" t="s">
        <v>13330</v>
      </c>
      <c r="FVF4" s="227"/>
      <c r="FVG4" s="227"/>
      <c r="FVH4" s="228"/>
      <c r="FVI4" s="226" t="s">
        <v>13330</v>
      </c>
      <c r="FVJ4" s="227"/>
      <c r="FVK4" s="227"/>
      <c r="FVL4" s="228"/>
      <c r="FVM4" s="226" t="s">
        <v>13330</v>
      </c>
      <c r="FVN4" s="227"/>
      <c r="FVO4" s="227"/>
      <c r="FVP4" s="228"/>
      <c r="FVQ4" s="226" t="s">
        <v>13330</v>
      </c>
      <c r="FVR4" s="227"/>
      <c r="FVS4" s="227"/>
      <c r="FVT4" s="228"/>
      <c r="FVU4" s="226" t="s">
        <v>13330</v>
      </c>
      <c r="FVV4" s="227"/>
      <c r="FVW4" s="227"/>
      <c r="FVX4" s="228"/>
      <c r="FVY4" s="226" t="s">
        <v>13330</v>
      </c>
      <c r="FVZ4" s="227"/>
      <c r="FWA4" s="227"/>
      <c r="FWB4" s="228"/>
      <c r="FWC4" s="226" t="s">
        <v>13330</v>
      </c>
      <c r="FWD4" s="227"/>
      <c r="FWE4" s="227"/>
      <c r="FWF4" s="228"/>
      <c r="FWG4" s="226" t="s">
        <v>13330</v>
      </c>
      <c r="FWH4" s="227"/>
      <c r="FWI4" s="227"/>
      <c r="FWJ4" s="228"/>
      <c r="FWK4" s="226" t="s">
        <v>13330</v>
      </c>
      <c r="FWL4" s="227"/>
      <c r="FWM4" s="227"/>
      <c r="FWN4" s="228"/>
      <c r="FWO4" s="226" t="s">
        <v>13330</v>
      </c>
      <c r="FWP4" s="227"/>
      <c r="FWQ4" s="227"/>
      <c r="FWR4" s="228"/>
      <c r="FWS4" s="226" t="s">
        <v>13330</v>
      </c>
      <c r="FWT4" s="227"/>
      <c r="FWU4" s="227"/>
      <c r="FWV4" s="228"/>
      <c r="FWW4" s="226" t="s">
        <v>13330</v>
      </c>
      <c r="FWX4" s="227"/>
      <c r="FWY4" s="227"/>
      <c r="FWZ4" s="228"/>
      <c r="FXA4" s="226" t="s">
        <v>13330</v>
      </c>
      <c r="FXB4" s="227"/>
      <c r="FXC4" s="227"/>
      <c r="FXD4" s="228"/>
      <c r="FXE4" s="226" t="s">
        <v>13330</v>
      </c>
      <c r="FXF4" s="227"/>
      <c r="FXG4" s="227"/>
      <c r="FXH4" s="228"/>
      <c r="FXI4" s="226" t="s">
        <v>13330</v>
      </c>
      <c r="FXJ4" s="227"/>
      <c r="FXK4" s="227"/>
      <c r="FXL4" s="228"/>
      <c r="FXM4" s="226" t="s">
        <v>13330</v>
      </c>
      <c r="FXN4" s="227"/>
      <c r="FXO4" s="227"/>
      <c r="FXP4" s="228"/>
      <c r="FXQ4" s="226" t="s">
        <v>13330</v>
      </c>
      <c r="FXR4" s="227"/>
      <c r="FXS4" s="227"/>
      <c r="FXT4" s="228"/>
      <c r="FXU4" s="226" t="s">
        <v>13330</v>
      </c>
      <c r="FXV4" s="227"/>
      <c r="FXW4" s="227"/>
      <c r="FXX4" s="228"/>
      <c r="FXY4" s="226" t="s">
        <v>13330</v>
      </c>
      <c r="FXZ4" s="227"/>
      <c r="FYA4" s="227"/>
      <c r="FYB4" s="228"/>
      <c r="FYC4" s="226" t="s">
        <v>13330</v>
      </c>
      <c r="FYD4" s="227"/>
      <c r="FYE4" s="227"/>
      <c r="FYF4" s="228"/>
      <c r="FYG4" s="226" t="s">
        <v>13330</v>
      </c>
      <c r="FYH4" s="227"/>
      <c r="FYI4" s="227"/>
      <c r="FYJ4" s="228"/>
      <c r="FYK4" s="226" t="s">
        <v>13330</v>
      </c>
      <c r="FYL4" s="227"/>
      <c r="FYM4" s="227"/>
      <c r="FYN4" s="228"/>
      <c r="FYO4" s="226" t="s">
        <v>13330</v>
      </c>
      <c r="FYP4" s="227"/>
      <c r="FYQ4" s="227"/>
      <c r="FYR4" s="228"/>
      <c r="FYS4" s="226" t="s">
        <v>13330</v>
      </c>
      <c r="FYT4" s="227"/>
      <c r="FYU4" s="227"/>
      <c r="FYV4" s="228"/>
      <c r="FYW4" s="226" t="s">
        <v>13330</v>
      </c>
      <c r="FYX4" s="227"/>
      <c r="FYY4" s="227"/>
      <c r="FYZ4" s="228"/>
      <c r="FZA4" s="226" t="s">
        <v>13330</v>
      </c>
      <c r="FZB4" s="227"/>
      <c r="FZC4" s="227"/>
      <c r="FZD4" s="228"/>
      <c r="FZE4" s="226" t="s">
        <v>13330</v>
      </c>
      <c r="FZF4" s="227"/>
      <c r="FZG4" s="227"/>
      <c r="FZH4" s="228"/>
      <c r="FZI4" s="226" t="s">
        <v>13330</v>
      </c>
      <c r="FZJ4" s="227"/>
      <c r="FZK4" s="227"/>
      <c r="FZL4" s="228"/>
      <c r="FZM4" s="226" t="s">
        <v>13330</v>
      </c>
      <c r="FZN4" s="227"/>
      <c r="FZO4" s="227"/>
      <c r="FZP4" s="228"/>
      <c r="FZQ4" s="226" t="s">
        <v>13330</v>
      </c>
      <c r="FZR4" s="227"/>
      <c r="FZS4" s="227"/>
      <c r="FZT4" s="228"/>
      <c r="FZU4" s="226" t="s">
        <v>13330</v>
      </c>
      <c r="FZV4" s="227"/>
      <c r="FZW4" s="227"/>
      <c r="FZX4" s="228"/>
      <c r="FZY4" s="226" t="s">
        <v>13330</v>
      </c>
      <c r="FZZ4" s="227"/>
      <c r="GAA4" s="227"/>
      <c r="GAB4" s="228"/>
      <c r="GAC4" s="226" t="s">
        <v>13330</v>
      </c>
      <c r="GAD4" s="227"/>
      <c r="GAE4" s="227"/>
      <c r="GAF4" s="228"/>
      <c r="GAG4" s="226" t="s">
        <v>13330</v>
      </c>
      <c r="GAH4" s="227"/>
      <c r="GAI4" s="227"/>
      <c r="GAJ4" s="228"/>
      <c r="GAK4" s="226" t="s">
        <v>13330</v>
      </c>
      <c r="GAL4" s="227"/>
      <c r="GAM4" s="227"/>
      <c r="GAN4" s="228"/>
      <c r="GAO4" s="226" t="s">
        <v>13330</v>
      </c>
      <c r="GAP4" s="227"/>
      <c r="GAQ4" s="227"/>
      <c r="GAR4" s="228"/>
      <c r="GAS4" s="226" t="s">
        <v>13330</v>
      </c>
      <c r="GAT4" s="227"/>
      <c r="GAU4" s="227"/>
      <c r="GAV4" s="228"/>
      <c r="GAW4" s="226" t="s">
        <v>13330</v>
      </c>
      <c r="GAX4" s="227"/>
      <c r="GAY4" s="227"/>
      <c r="GAZ4" s="228"/>
      <c r="GBA4" s="226" t="s">
        <v>13330</v>
      </c>
      <c r="GBB4" s="227"/>
      <c r="GBC4" s="227"/>
      <c r="GBD4" s="228"/>
      <c r="GBE4" s="226" t="s">
        <v>13330</v>
      </c>
      <c r="GBF4" s="227"/>
      <c r="GBG4" s="227"/>
      <c r="GBH4" s="228"/>
      <c r="GBI4" s="226" t="s">
        <v>13330</v>
      </c>
      <c r="GBJ4" s="227"/>
      <c r="GBK4" s="227"/>
      <c r="GBL4" s="228"/>
      <c r="GBM4" s="226" t="s">
        <v>13330</v>
      </c>
      <c r="GBN4" s="227"/>
      <c r="GBO4" s="227"/>
      <c r="GBP4" s="228"/>
      <c r="GBQ4" s="226" t="s">
        <v>13330</v>
      </c>
      <c r="GBR4" s="227"/>
      <c r="GBS4" s="227"/>
      <c r="GBT4" s="228"/>
      <c r="GBU4" s="226" t="s">
        <v>13330</v>
      </c>
      <c r="GBV4" s="227"/>
      <c r="GBW4" s="227"/>
      <c r="GBX4" s="228"/>
      <c r="GBY4" s="226" t="s">
        <v>13330</v>
      </c>
      <c r="GBZ4" s="227"/>
      <c r="GCA4" s="227"/>
      <c r="GCB4" s="228"/>
      <c r="GCC4" s="226" t="s">
        <v>13330</v>
      </c>
      <c r="GCD4" s="227"/>
      <c r="GCE4" s="227"/>
      <c r="GCF4" s="228"/>
      <c r="GCG4" s="226" t="s">
        <v>13330</v>
      </c>
      <c r="GCH4" s="227"/>
      <c r="GCI4" s="227"/>
      <c r="GCJ4" s="228"/>
      <c r="GCK4" s="226" t="s">
        <v>13330</v>
      </c>
      <c r="GCL4" s="227"/>
      <c r="GCM4" s="227"/>
      <c r="GCN4" s="228"/>
      <c r="GCO4" s="226" t="s">
        <v>13330</v>
      </c>
      <c r="GCP4" s="227"/>
      <c r="GCQ4" s="227"/>
      <c r="GCR4" s="228"/>
      <c r="GCS4" s="226" t="s">
        <v>13330</v>
      </c>
      <c r="GCT4" s="227"/>
      <c r="GCU4" s="227"/>
      <c r="GCV4" s="228"/>
      <c r="GCW4" s="226" t="s">
        <v>13330</v>
      </c>
      <c r="GCX4" s="227"/>
      <c r="GCY4" s="227"/>
      <c r="GCZ4" s="228"/>
      <c r="GDA4" s="226" t="s">
        <v>13330</v>
      </c>
      <c r="GDB4" s="227"/>
      <c r="GDC4" s="227"/>
      <c r="GDD4" s="228"/>
      <c r="GDE4" s="226" t="s">
        <v>13330</v>
      </c>
      <c r="GDF4" s="227"/>
      <c r="GDG4" s="227"/>
      <c r="GDH4" s="228"/>
      <c r="GDI4" s="226" t="s">
        <v>13330</v>
      </c>
      <c r="GDJ4" s="227"/>
      <c r="GDK4" s="227"/>
      <c r="GDL4" s="228"/>
      <c r="GDM4" s="226" t="s">
        <v>13330</v>
      </c>
      <c r="GDN4" s="227"/>
      <c r="GDO4" s="227"/>
      <c r="GDP4" s="228"/>
      <c r="GDQ4" s="226" t="s">
        <v>13330</v>
      </c>
      <c r="GDR4" s="227"/>
      <c r="GDS4" s="227"/>
      <c r="GDT4" s="228"/>
      <c r="GDU4" s="226" t="s">
        <v>13330</v>
      </c>
      <c r="GDV4" s="227"/>
      <c r="GDW4" s="227"/>
      <c r="GDX4" s="228"/>
      <c r="GDY4" s="226" t="s">
        <v>13330</v>
      </c>
      <c r="GDZ4" s="227"/>
      <c r="GEA4" s="227"/>
      <c r="GEB4" s="228"/>
      <c r="GEC4" s="226" t="s">
        <v>13330</v>
      </c>
      <c r="GED4" s="227"/>
      <c r="GEE4" s="227"/>
      <c r="GEF4" s="228"/>
      <c r="GEG4" s="226" t="s">
        <v>13330</v>
      </c>
      <c r="GEH4" s="227"/>
      <c r="GEI4" s="227"/>
      <c r="GEJ4" s="228"/>
      <c r="GEK4" s="226" t="s">
        <v>13330</v>
      </c>
      <c r="GEL4" s="227"/>
      <c r="GEM4" s="227"/>
      <c r="GEN4" s="228"/>
      <c r="GEO4" s="226" t="s">
        <v>13330</v>
      </c>
      <c r="GEP4" s="227"/>
      <c r="GEQ4" s="227"/>
      <c r="GER4" s="228"/>
      <c r="GES4" s="226" t="s">
        <v>13330</v>
      </c>
      <c r="GET4" s="227"/>
      <c r="GEU4" s="227"/>
      <c r="GEV4" s="228"/>
      <c r="GEW4" s="226" t="s">
        <v>13330</v>
      </c>
      <c r="GEX4" s="227"/>
      <c r="GEY4" s="227"/>
      <c r="GEZ4" s="228"/>
      <c r="GFA4" s="226" t="s">
        <v>13330</v>
      </c>
      <c r="GFB4" s="227"/>
      <c r="GFC4" s="227"/>
      <c r="GFD4" s="228"/>
      <c r="GFE4" s="226" t="s">
        <v>13330</v>
      </c>
      <c r="GFF4" s="227"/>
      <c r="GFG4" s="227"/>
      <c r="GFH4" s="228"/>
      <c r="GFI4" s="226" t="s">
        <v>13330</v>
      </c>
      <c r="GFJ4" s="227"/>
      <c r="GFK4" s="227"/>
      <c r="GFL4" s="228"/>
      <c r="GFM4" s="226" t="s">
        <v>13330</v>
      </c>
      <c r="GFN4" s="227"/>
      <c r="GFO4" s="227"/>
      <c r="GFP4" s="228"/>
      <c r="GFQ4" s="226" t="s">
        <v>13330</v>
      </c>
      <c r="GFR4" s="227"/>
      <c r="GFS4" s="227"/>
      <c r="GFT4" s="228"/>
      <c r="GFU4" s="226" t="s">
        <v>13330</v>
      </c>
      <c r="GFV4" s="227"/>
      <c r="GFW4" s="227"/>
      <c r="GFX4" s="228"/>
      <c r="GFY4" s="226" t="s">
        <v>13330</v>
      </c>
      <c r="GFZ4" s="227"/>
      <c r="GGA4" s="227"/>
      <c r="GGB4" s="228"/>
      <c r="GGC4" s="226" t="s">
        <v>13330</v>
      </c>
      <c r="GGD4" s="227"/>
      <c r="GGE4" s="227"/>
      <c r="GGF4" s="228"/>
      <c r="GGG4" s="226" t="s">
        <v>13330</v>
      </c>
      <c r="GGH4" s="227"/>
      <c r="GGI4" s="227"/>
      <c r="GGJ4" s="228"/>
      <c r="GGK4" s="226" t="s">
        <v>13330</v>
      </c>
      <c r="GGL4" s="227"/>
      <c r="GGM4" s="227"/>
      <c r="GGN4" s="228"/>
      <c r="GGO4" s="226" t="s">
        <v>13330</v>
      </c>
      <c r="GGP4" s="227"/>
      <c r="GGQ4" s="227"/>
      <c r="GGR4" s="228"/>
      <c r="GGS4" s="226" t="s">
        <v>13330</v>
      </c>
      <c r="GGT4" s="227"/>
      <c r="GGU4" s="227"/>
      <c r="GGV4" s="228"/>
      <c r="GGW4" s="226" t="s">
        <v>13330</v>
      </c>
      <c r="GGX4" s="227"/>
      <c r="GGY4" s="227"/>
      <c r="GGZ4" s="228"/>
      <c r="GHA4" s="226" t="s">
        <v>13330</v>
      </c>
      <c r="GHB4" s="227"/>
      <c r="GHC4" s="227"/>
      <c r="GHD4" s="228"/>
      <c r="GHE4" s="226" t="s">
        <v>13330</v>
      </c>
      <c r="GHF4" s="227"/>
      <c r="GHG4" s="227"/>
      <c r="GHH4" s="228"/>
      <c r="GHI4" s="226" t="s">
        <v>13330</v>
      </c>
      <c r="GHJ4" s="227"/>
      <c r="GHK4" s="227"/>
      <c r="GHL4" s="228"/>
      <c r="GHM4" s="226" t="s">
        <v>13330</v>
      </c>
      <c r="GHN4" s="227"/>
      <c r="GHO4" s="227"/>
      <c r="GHP4" s="228"/>
      <c r="GHQ4" s="226" t="s">
        <v>13330</v>
      </c>
      <c r="GHR4" s="227"/>
      <c r="GHS4" s="227"/>
      <c r="GHT4" s="228"/>
      <c r="GHU4" s="226" t="s">
        <v>13330</v>
      </c>
      <c r="GHV4" s="227"/>
      <c r="GHW4" s="227"/>
      <c r="GHX4" s="228"/>
      <c r="GHY4" s="226" t="s">
        <v>13330</v>
      </c>
      <c r="GHZ4" s="227"/>
      <c r="GIA4" s="227"/>
      <c r="GIB4" s="228"/>
      <c r="GIC4" s="226" t="s">
        <v>13330</v>
      </c>
      <c r="GID4" s="227"/>
      <c r="GIE4" s="227"/>
      <c r="GIF4" s="228"/>
      <c r="GIG4" s="226" t="s">
        <v>13330</v>
      </c>
      <c r="GIH4" s="227"/>
      <c r="GII4" s="227"/>
      <c r="GIJ4" s="228"/>
      <c r="GIK4" s="226" t="s">
        <v>13330</v>
      </c>
      <c r="GIL4" s="227"/>
      <c r="GIM4" s="227"/>
      <c r="GIN4" s="228"/>
      <c r="GIO4" s="226" t="s">
        <v>13330</v>
      </c>
      <c r="GIP4" s="227"/>
      <c r="GIQ4" s="227"/>
      <c r="GIR4" s="228"/>
      <c r="GIS4" s="226" t="s">
        <v>13330</v>
      </c>
      <c r="GIT4" s="227"/>
      <c r="GIU4" s="227"/>
      <c r="GIV4" s="228"/>
      <c r="GIW4" s="226" t="s">
        <v>13330</v>
      </c>
      <c r="GIX4" s="227"/>
      <c r="GIY4" s="227"/>
      <c r="GIZ4" s="228"/>
      <c r="GJA4" s="226" t="s">
        <v>13330</v>
      </c>
      <c r="GJB4" s="227"/>
      <c r="GJC4" s="227"/>
      <c r="GJD4" s="228"/>
      <c r="GJE4" s="226" t="s">
        <v>13330</v>
      </c>
      <c r="GJF4" s="227"/>
      <c r="GJG4" s="227"/>
      <c r="GJH4" s="228"/>
      <c r="GJI4" s="226" t="s">
        <v>13330</v>
      </c>
      <c r="GJJ4" s="227"/>
      <c r="GJK4" s="227"/>
      <c r="GJL4" s="228"/>
      <c r="GJM4" s="226" t="s">
        <v>13330</v>
      </c>
      <c r="GJN4" s="227"/>
      <c r="GJO4" s="227"/>
      <c r="GJP4" s="228"/>
      <c r="GJQ4" s="226" t="s">
        <v>13330</v>
      </c>
      <c r="GJR4" s="227"/>
      <c r="GJS4" s="227"/>
      <c r="GJT4" s="228"/>
      <c r="GJU4" s="226" t="s">
        <v>13330</v>
      </c>
      <c r="GJV4" s="227"/>
      <c r="GJW4" s="227"/>
      <c r="GJX4" s="228"/>
      <c r="GJY4" s="226" t="s">
        <v>13330</v>
      </c>
      <c r="GJZ4" s="227"/>
      <c r="GKA4" s="227"/>
      <c r="GKB4" s="228"/>
      <c r="GKC4" s="226" t="s">
        <v>13330</v>
      </c>
      <c r="GKD4" s="227"/>
      <c r="GKE4" s="227"/>
      <c r="GKF4" s="228"/>
      <c r="GKG4" s="226" t="s">
        <v>13330</v>
      </c>
      <c r="GKH4" s="227"/>
      <c r="GKI4" s="227"/>
      <c r="GKJ4" s="228"/>
      <c r="GKK4" s="226" t="s">
        <v>13330</v>
      </c>
      <c r="GKL4" s="227"/>
      <c r="GKM4" s="227"/>
      <c r="GKN4" s="228"/>
      <c r="GKO4" s="226" t="s">
        <v>13330</v>
      </c>
      <c r="GKP4" s="227"/>
      <c r="GKQ4" s="227"/>
      <c r="GKR4" s="228"/>
      <c r="GKS4" s="226" t="s">
        <v>13330</v>
      </c>
      <c r="GKT4" s="227"/>
      <c r="GKU4" s="227"/>
      <c r="GKV4" s="228"/>
      <c r="GKW4" s="226" t="s">
        <v>13330</v>
      </c>
      <c r="GKX4" s="227"/>
      <c r="GKY4" s="227"/>
      <c r="GKZ4" s="228"/>
      <c r="GLA4" s="226" t="s">
        <v>13330</v>
      </c>
      <c r="GLB4" s="227"/>
      <c r="GLC4" s="227"/>
      <c r="GLD4" s="228"/>
      <c r="GLE4" s="226" t="s">
        <v>13330</v>
      </c>
      <c r="GLF4" s="227"/>
      <c r="GLG4" s="227"/>
      <c r="GLH4" s="228"/>
      <c r="GLI4" s="226" t="s">
        <v>13330</v>
      </c>
      <c r="GLJ4" s="227"/>
      <c r="GLK4" s="227"/>
      <c r="GLL4" s="228"/>
      <c r="GLM4" s="226" t="s">
        <v>13330</v>
      </c>
      <c r="GLN4" s="227"/>
      <c r="GLO4" s="227"/>
      <c r="GLP4" s="228"/>
      <c r="GLQ4" s="226" t="s">
        <v>13330</v>
      </c>
      <c r="GLR4" s="227"/>
      <c r="GLS4" s="227"/>
      <c r="GLT4" s="228"/>
      <c r="GLU4" s="226" t="s">
        <v>13330</v>
      </c>
      <c r="GLV4" s="227"/>
      <c r="GLW4" s="227"/>
      <c r="GLX4" s="228"/>
      <c r="GLY4" s="226" t="s">
        <v>13330</v>
      </c>
      <c r="GLZ4" s="227"/>
      <c r="GMA4" s="227"/>
      <c r="GMB4" s="228"/>
      <c r="GMC4" s="226" t="s">
        <v>13330</v>
      </c>
      <c r="GMD4" s="227"/>
      <c r="GME4" s="227"/>
      <c r="GMF4" s="228"/>
      <c r="GMG4" s="226" t="s">
        <v>13330</v>
      </c>
      <c r="GMH4" s="227"/>
      <c r="GMI4" s="227"/>
      <c r="GMJ4" s="228"/>
      <c r="GMK4" s="226" t="s">
        <v>13330</v>
      </c>
      <c r="GML4" s="227"/>
      <c r="GMM4" s="227"/>
      <c r="GMN4" s="228"/>
      <c r="GMO4" s="226" t="s">
        <v>13330</v>
      </c>
      <c r="GMP4" s="227"/>
      <c r="GMQ4" s="227"/>
      <c r="GMR4" s="228"/>
      <c r="GMS4" s="226" t="s">
        <v>13330</v>
      </c>
      <c r="GMT4" s="227"/>
      <c r="GMU4" s="227"/>
      <c r="GMV4" s="228"/>
      <c r="GMW4" s="226" t="s">
        <v>13330</v>
      </c>
      <c r="GMX4" s="227"/>
      <c r="GMY4" s="227"/>
      <c r="GMZ4" s="228"/>
      <c r="GNA4" s="226" t="s">
        <v>13330</v>
      </c>
      <c r="GNB4" s="227"/>
      <c r="GNC4" s="227"/>
      <c r="GND4" s="228"/>
      <c r="GNE4" s="226" t="s">
        <v>13330</v>
      </c>
      <c r="GNF4" s="227"/>
      <c r="GNG4" s="227"/>
      <c r="GNH4" s="228"/>
      <c r="GNI4" s="226" t="s">
        <v>13330</v>
      </c>
      <c r="GNJ4" s="227"/>
      <c r="GNK4" s="227"/>
      <c r="GNL4" s="228"/>
      <c r="GNM4" s="226" t="s">
        <v>13330</v>
      </c>
      <c r="GNN4" s="227"/>
      <c r="GNO4" s="227"/>
      <c r="GNP4" s="228"/>
      <c r="GNQ4" s="226" t="s">
        <v>13330</v>
      </c>
      <c r="GNR4" s="227"/>
      <c r="GNS4" s="227"/>
      <c r="GNT4" s="228"/>
      <c r="GNU4" s="226" t="s">
        <v>13330</v>
      </c>
      <c r="GNV4" s="227"/>
      <c r="GNW4" s="227"/>
      <c r="GNX4" s="228"/>
      <c r="GNY4" s="226" t="s">
        <v>13330</v>
      </c>
      <c r="GNZ4" s="227"/>
      <c r="GOA4" s="227"/>
      <c r="GOB4" s="228"/>
      <c r="GOC4" s="226" t="s">
        <v>13330</v>
      </c>
      <c r="GOD4" s="227"/>
      <c r="GOE4" s="227"/>
      <c r="GOF4" s="228"/>
      <c r="GOG4" s="226" t="s">
        <v>13330</v>
      </c>
      <c r="GOH4" s="227"/>
      <c r="GOI4" s="227"/>
      <c r="GOJ4" s="228"/>
      <c r="GOK4" s="226" t="s">
        <v>13330</v>
      </c>
      <c r="GOL4" s="227"/>
      <c r="GOM4" s="227"/>
      <c r="GON4" s="228"/>
      <c r="GOO4" s="226" t="s">
        <v>13330</v>
      </c>
      <c r="GOP4" s="227"/>
      <c r="GOQ4" s="227"/>
      <c r="GOR4" s="228"/>
      <c r="GOS4" s="226" t="s">
        <v>13330</v>
      </c>
      <c r="GOT4" s="227"/>
      <c r="GOU4" s="227"/>
      <c r="GOV4" s="228"/>
      <c r="GOW4" s="226" t="s">
        <v>13330</v>
      </c>
      <c r="GOX4" s="227"/>
      <c r="GOY4" s="227"/>
      <c r="GOZ4" s="228"/>
      <c r="GPA4" s="226" t="s">
        <v>13330</v>
      </c>
      <c r="GPB4" s="227"/>
      <c r="GPC4" s="227"/>
      <c r="GPD4" s="228"/>
      <c r="GPE4" s="226" t="s">
        <v>13330</v>
      </c>
      <c r="GPF4" s="227"/>
      <c r="GPG4" s="227"/>
      <c r="GPH4" s="228"/>
      <c r="GPI4" s="226" t="s">
        <v>13330</v>
      </c>
      <c r="GPJ4" s="227"/>
      <c r="GPK4" s="227"/>
      <c r="GPL4" s="228"/>
      <c r="GPM4" s="226" t="s">
        <v>13330</v>
      </c>
      <c r="GPN4" s="227"/>
      <c r="GPO4" s="227"/>
      <c r="GPP4" s="228"/>
      <c r="GPQ4" s="226" t="s">
        <v>13330</v>
      </c>
      <c r="GPR4" s="227"/>
      <c r="GPS4" s="227"/>
      <c r="GPT4" s="228"/>
      <c r="GPU4" s="226" t="s">
        <v>13330</v>
      </c>
      <c r="GPV4" s="227"/>
      <c r="GPW4" s="227"/>
      <c r="GPX4" s="228"/>
      <c r="GPY4" s="226" t="s">
        <v>13330</v>
      </c>
      <c r="GPZ4" s="227"/>
      <c r="GQA4" s="227"/>
      <c r="GQB4" s="228"/>
      <c r="GQC4" s="226" t="s">
        <v>13330</v>
      </c>
      <c r="GQD4" s="227"/>
      <c r="GQE4" s="227"/>
      <c r="GQF4" s="228"/>
      <c r="GQG4" s="226" t="s">
        <v>13330</v>
      </c>
      <c r="GQH4" s="227"/>
      <c r="GQI4" s="227"/>
      <c r="GQJ4" s="228"/>
      <c r="GQK4" s="226" t="s">
        <v>13330</v>
      </c>
      <c r="GQL4" s="227"/>
      <c r="GQM4" s="227"/>
      <c r="GQN4" s="228"/>
      <c r="GQO4" s="226" t="s">
        <v>13330</v>
      </c>
      <c r="GQP4" s="227"/>
      <c r="GQQ4" s="227"/>
      <c r="GQR4" s="228"/>
      <c r="GQS4" s="226" t="s">
        <v>13330</v>
      </c>
      <c r="GQT4" s="227"/>
      <c r="GQU4" s="227"/>
      <c r="GQV4" s="228"/>
      <c r="GQW4" s="226" t="s">
        <v>13330</v>
      </c>
      <c r="GQX4" s="227"/>
      <c r="GQY4" s="227"/>
      <c r="GQZ4" s="228"/>
      <c r="GRA4" s="226" t="s">
        <v>13330</v>
      </c>
      <c r="GRB4" s="227"/>
      <c r="GRC4" s="227"/>
      <c r="GRD4" s="228"/>
      <c r="GRE4" s="226" t="s">
        <v>13330</v>
      </c>
      <c r="GRF4" s="227"/>
      <c r="GRG4" s="227"/>
      <c r="GRH4" s="228"/>
      <c r="GRI4" s="226" t="s">
        <v>13330</v>
      </c>
      <c r="GRJ4" s="227"/>
      <c r="GRK4" s="227"/>
      <c r="GRL4" s="228"/>
      <c r="GRM4" s="226" t="s">
        <v>13330</v>
      </c>
      <c r="GRN4" s="227"/>
      <c r="GRO4" s="227"/>
      <c r="GRP4" s="228"/>
      <c r="GRQ4" s="226" t="s">
        <v>13330</v>
      </c>
      <c r="GRR4" s="227"/>
      <c r="GRS4" s="227"/>
      <c r="GRT4" s="228"/>
      <c r="GRU4" s="226" t="s">
        <v>13330</v>
      </c>
      <c r="GRV4" s="227"/>
      <c r="GRW4" s="227"/>
      <c r="GRX4" s="228"/>
      <c r="GRY4" s="226" t="s">
        <v>13330</v>
      </c>
      <c r="GRZ4" s="227"/>
      <c r="GSA4" s="227"/>
      <c r="GSB4" s="228"/>
      <c r="GSC4" s="226" t="s">
        <v>13330</v>
      </c>
      <c r="GSD4" s="227"/>
      <c r="GSE4" s="227"/>
      <c r="GSF4" s="228"/>
      <c r="GSG4" s="226" t="s">
        <v>13330</v>
      </c>
      <c r="GSH4" s="227"/>
      <c r="GSI4" s="227"/>
      <c r="GSJ4" s="228"/>
      <c r="GSK4" s="226" t="s">
        <v>13330</v>
      </c>
      <c r="GSL4" s="227"/>
      <c r="GSM4" s="227"/>
      <c r="GSN4" s="228"/>
      <c r="GSO4" s="226" t="s">
        <v>13330</v>
      </c>
      <c r="GSP4" s="227"/>
      <c r="GSQ4" s="227"/>
      <c r="GSR4" s="228"/>
      <c r="GSS4" s="226" t="s">
        <v>13330</v>
      </c>
      <c r="GST4" s="227"/>
      <c r="GSU4" s="227"/>
      <c r="GSV4" s="228"/>
      <c r="GSW4" s="226" t="s">
        <v>13330</v>
      </c>
      <c r="GSX4" s="227"/>
      <c r="GSY4" s="227"/>
      <c r="GSZ4" s="228"/>
      <c r="GTA4" s="226" t="s">
        <v>13330</v>
      </c>
      <c r="GTB4" s="227"/>
      <c r="GTC4" s="227"/>
      <c r="GTD4" s="228"/>
      <c r="GTE4" s="226" t="s">
        <v>13330</v>
      </c>
      <c r="GTF4" s="227"/>
      <c r="GTG4" s="227"/>
      <c r="GTH4" s="228"/>
      <c r="GTI4" s="226" t="s">
        <v>13330</v>
      </c>
      <c r="GTJ4" s="227"/>
      <c r="GTK4" s="227"/>
      <c r="GTL4" s="228"/>
      <c r="GTM4" s="226" t="s">
        <v>13330</v>
      </c>
      <c r="GTN4" s="227"/>
      <c r="GTO4" s="227"/>
      <c r="GTP4" s="228"/>
      <c r="GTQ4" s="226" t="s">
        <v>13330</v>
      </c>
      <c r="GTR4" s="227"/>
      <c r="GTS4" s="227"/>
      <c r="GTT4" s="228"/>
      <c r="GTU4" s="226" t="s">
        <v>13330</v>
      </c>
      <c r="GTV4" s="227"/>
      <c r="GTW4" s="227"/>
      <c r="GTX4" s="228"/>
      <c r="GTY4" s="226" t="s">
        <v>13330</v>
      </c>
      <c r="GTZ4" s="227"/>
      <c r="GUA4" s="227"/>
      <c r="GUB4" s="228"/>
      <c r="GUC4" s="226" t="s">
        <v>13330</v>
      </c>
      <c r="GUD4" s="227"/>
      <c r="GUE4" s="227"/>
      <c r="GUF4" s="228"/>
      <c r="GUG4" s="226" t="s">
        <v>13330</v>
      </c>
      <c r="GUH4" s="227"/>
      <c r="GUI4" s="227"/>
      <c r="GUJ4" s="228"/>
      <c r="GUK4" s="226" t="s">
        <v>13330</v>
      </c>
      <c r="GUL4" s="227"/>
      <c r="GUM4" s="227"/>
      <c r="GUN4" s="228"/>
      <c r="GUO4" s="226" t="s">
        <v>13330</v>
      </c>
      <c r="GUP4" s="227"/>
      <c r="GUQ4" s="227"/>
      <c r="GUR4" s="228"/>
      <c r="GUS4" s="226" t="s">
        <v>13330</v>
      </c>
      <c r="GUT4" s="227"/>
      <c r="GUU4" s="227"/>
      <c r="GUV4" s="228"/>
      <c r="GUW4" s="226" t="s">
        <v>13330</v>
      </c>
      <c r="GUX4" s="227"/>
      <c r="GUY4" s="227"/>
      <c r="GUZ4" s="228"/>
      <c r="GVA4" s="226" t="s">
        <v>13330</v>
      </c>
      <c r="GVB4" s="227"/>
      <c r="GVC4" s="227"/>
      <c r="GVD4" s="228"/>
      <c r="GVE4" s="226" t="s">
        <v>13330</v>
      </c>
      <c r="GVF4" s="227"/>
      <c r="GVG4" s="227"/>
      <c r="GVH4" s="228"/>
      <c r="GVI4" s="226" t="s">
        <v>13330</v>
      </c>
      <c r="GVJ4" s="227"/>
      <c r="GVK4" s="227"/>
      <c r="GVL4" s="228"/>
      <c r="GVM4" s="226" t="s">
        <v>13330</v>
      </c>
      <c r="GVN4" s="227"/>
      <c r="GVO4" s="227"/>
      <c r="GVP4" s="228"/>
      <c r="GVQ4" s="226" t="s">
        <v>13330</v>
      </c>
      <c r="GVR4" s="227"/>
      <c r="GVS4" s="227"/>
      <c r="GVT4" s="228"/>
      <c r="GVU4" s="226" t="s">
        <v>13330</v>
      </c>
      <c r="GVV4" s="227"/>
      <c r="GVW4" s="227"/>
      <c r="GVX4" s="228"/>
      <c r="GVY4" s="226" t="s">
        <v>13330</v>
      </c>
      <c r="GVZ4" s="227"/>
      <c r="GWA4" s="227"/>
      <c r="GWB4" s="228"/>
      <c r="GWC4" s="226" t="s">
        <v>13330</v>
      </c>
      <c r="GWD4" s="227"/>
      <c r="GWE4" s="227"/>
      <c r="GWF4" s="228"/>
      <c r="GWG4" s="226" t="s">
        <v>13330</v>
      </c>
      <c r="GWH4" s="227"/>
      <c r="GWI4" s="227"/>
      <c r="GWJ4" s="228"/>
      <c r="GWK4" s="226" t="s">
        <v>13330</v>
      </c>
      <c r="GWL4" s="227"/>
      <c r="GWM4" s="227"/>
      <c r="GWN4" s="228"/>
      <c r="GWO4" s="226" t="s">
        <v>13330</v>
      </c>
      <c r="GWP4" s="227"/>
      <c r="GWQ4" s="227"/>
      <c r="GWR4" s="228"/>
      <c r="GWS4" s="226" t="s">
        <v>13330</v>
      </c>
      <c r="GWT4" s="227"/>
      <c r="GWU4" s="227"/>
      <c r="GWV4" s="228"/>
      <c r="GWW4" s="226" t="s">
        <v>13330</v>
      </c>
      <c r="GWX4" s="227"/>
      <c r="GWY4" s="227"/>
      <c r="GWZ4" s="228"/>
      <c r="GXA4" s="226" t="s">
        <v>13330</v>
      </c>
      <c r="GXB4" s="227"/>
      <c r="GXC4" s="227"/>
      <c r="GXD4" s="228"/>
      <c r="GXE4" s="226" t="s">
        <v>13330</v>
      </c>
      <c r="GXF4" s="227"/>
      <c r="GXG4" s="227"/>
      <c r="GXH4" s="228"/>
      <c r="GXI4" s="226" t="s">
        <v>13330</v>
      </c>
      <c r="GXJ4" s="227"/>
      <c r="GXK4" s="227"/>
      <c r="GXL4" s="228"/>
      <c r="GXM4" s="226" t="s">
        <v>13330</v>
      </c>
      <c r="GXN4" s="227"/>
      <c r="GXO4" s="227"/>
      <c r="GXP4" s="228"/>
      <c r="GXQ4" s="226" t="s">
        <v>13330</v>
      </c>
      <c r="GXR4" s="227"/>
      <c r="GXS4" s="227"/>
      <c r="GXT4" s="228"/>
      <c r="GXU4" s="226" t="s">
        <v>13330</v>
      </c>
      <c r="GXV4" s="227"/>
      <c r="GXW4" s="227"/>
      <c r="GXX4" s="228"/>
      <c r="GXY4" s="226" t="s">
        <v>13330</v>
      </c>
      <c r="GXZ4" s="227"/>
      <c r="GYA4" s="227"/>
      <c r="GYB4" s="228"/>
      <c r="GYC4" s="226" t="s">
        <v>13330</v>
      </c>
      <c r="GYD4" s="227"/>
      <c r="GYE4" s="227"/>
      <c r="GYF4" s="228"/>
      <c r="GYG4" s="226" t="s">
        <v>13330</v>
      </c>
      <c r="GYH4" s="227"/>
      <c r="GYI4" s="227"/>
      <c r="GYJ4" s="228"/>
      <c r="GYK4" s="226" t="s">
        <v>13330</v>
      </c>
      <c r="GYL4" s="227"/>
      <c r="GYM4" s="227"/>
      <c r="GYN4" s="228"/>
      <c r="GYO4" s="226" t="s">
        <v>13330</v>
      </c>
      <c r="GYP4" s="227"/>
      <c r="GYQ4" s="227"/>
      <c r="GYR4" s="228"/>
      <c r="GYS4" s="226" t="s">
        <v>13330</v>
      </c>
      <c r="GYT4" s="227"/>
      <c r="GYU4" s="227"/>
      <c r="GYV4" s="228"/>
      <c r="GYW4" s="226" t="s">
        <v>13330</v>
      </c>
      <c r="GYX4" s="227"/>
      <c r="GYY4" s="227"/>
      <c r="GYZ4" s="228"/>
      <c r="GZA4" s="226" t="s">
        <v>13330</v>
      </c>
      <c r="GZB4" s="227"/>
      <c r="GZC4" s="227"/>
      <c r="GZD4" s="228"/>
      <c r="GZE4" s="226" t="s">
        <v>13330</v>
      </c>
      <c r="GZF4" s="227"/>
      <c r="GZG4" s="227"/>
      <c r="GZH4" s="228"/>
      <c r="GZI4" s="226" t="s">
        <v>13330</v>
      </c>
      <c r="GZJ4" s="227"/>
      <c r="GZK4" s="227"/>
      <c r="GZL4" s="228"/>
      <c r="GZM4" s="226" t="s">
        <v>13330</v>
      </c>
      <c r="GZN4" s="227"/>
      <c r="GZO4" s="227"/>
      <c r="GZP4" s="228"/>
      <c r="GZQ4" s="226" t="s">
        <v>13330</v>
      </c>
      <c r="GZR4" s="227"/>
      <c r="GZS4" s="227"/>
      <c r="GZT4" s="228"/>
      <c r="GZU4" s="226" t="s">
        <v>13330</v>
      </c>
      <c r="GZV4" s="227"/>
      <c r="GZW4" s="227"/>
      <c r="GZX4" s="228"/>
      <c r="GZY4" s="226" t="s">
        <v>13330</v>
      </c>
      <c r="GZZ4" s="227"/>
      <c r="HAA4" s="227"/>
      <c r="HAB4" s="228"/>
      <c r="HAC4" s="226" t="s">
        <v>13330</v>
      </c>
      <c r="HAD4" s="227"/>
      <c r="HAE4" s="227"/>
      <c r="HAF4" s="228"/>
      <c r="HAG4" s="226" t="s">
        <v>13330</v>
      </c>
      <c r="HAH4" s="227"/>
      <c r="HAI4" s="227"/>
      <c r="HAJ4" s="228"/>
      <c r="HAK4" s="226" t="s">
        <v>13330</v>
      </c>
      <c r="HAL4" s="227"/>
      <c r="HAM4" s="227"/>
      <c r="HAN4" s="228"/>
      <c r="HAO4" s="226" t="s">
        <v>13330</v>
      </c>
      <c r="HAP4" s="227"/>
      <c r="HAQ4" s="227"/>
      <c r="HAR4" s="228"/>
      <c r="HAS4" s="226" t="s">
        <v>13330</v>
      </c>
      <c r="HAT4" s="227"/>
      <c r="HAU4" s="227"/>
      <c r="HAV4" s="228"/>
      <c r="HAW4" s="226" t="s">
        <v>13330</v>
      </c>
      <c r="HAX4" s="227"/>
      <c r="HAY4" s="227"/>
      <c r="HAZ4" s="228"/>
      <c r="HBA4" s="226" t="s">
        <v>13330</v>
      </c>
      <c r="HBB4" s="227"/>
      <c r="HBC4" s="227"/>
      <c r="HBD4" s="228"/>
      <c r="HBE4" s="226" t="s">
        <v>13330</v>
      </c>
      <c r="HBF4" s="227"/>
      <c r="HBG4" s="227"/>
      <c r="HBH4" s="228"/>
      <c r="HBI4" s="226" t="s">
        <v>13330</v>
      </c>
      <c r="HBJ4" s="227"/>
      <c r="HBK4" s="227"/>
      <c r="HBL4" s="228"/>
      <c r="HBM4" s="226" t="s">
        <v>13330</v>
      </c>
      <c r="HBN4" s="227"/>
      <c r="HBO4" s="227"/>
      <c r="HBP4" s="228"/>
      <c r="HBQ4" s="226" t="s">
        <v>13330</v>
      </c>
      <c r="HBR4" s="227"/>
      <c r="HBS4" s="227"/>
      <c r="HBT4" s="228"/>
      <c r="HBU4" s="226" t="s">
        <v>13330</v>
      </c>
      <c r="HBV4" s="227"/>
      <c r="HBW4" s="227"/>
      <c r="HBX4" s="228"/>
      <c r="HBY4" s="226" t="s">
        <v>13330</v>
      </c>
      <c r="HBZ4" s="227"/>
      <c r="HCA4" s="227"/>
      <c r="HCB4" s="228"/>
      <c r="HCC4" s="226" t="s">
        <v>13330</v>
      </c>
      <c r="HCD4" s="227"/>
      <c r="HCE4" s="227"/>
      <c r="HCF4" s="228"/>
      <c r="HCG4" s="226" t="s">
        <v>13330</v>
      </c>
      <c r="HCH4" s="227"/>
      <c r="HCI4" s="227"/>
      <c r="HCJ4" s="228"/>
      <c r="HCK4" s="226" t="s">
        <v>13330</v>
      </c>
      <c r="HCL4" s="227"/>
      <c r="HCM4" s="227"/>
      <c r="HCN4" s="228"/>
      <c r="HCO4" s="226" t="s">
        <v>13330</v>
      </c>
      <c r="HCP4" s="227"/>
      <c r="HCQ4" s="227"/>
      <c r="HCR4" s="228"/>
      <c r="HCS4" s="226" t="s">
        <v>13330</v>
      </c>
      <c r="HCT4" s="227"/>
      <c r="HCU4" s="227"/>
      <c r="HCV4" s="228"/>
      <c r="HCW4" s="226" t="s">
        <v>13330</v>
      </c>
      <c r="HCX4" s="227"/>
      <c r="HCY4" s="227"/>
      <c r="HCZ4" s="228"/>
      <c r="HDA4" s="226" t="s">
        <v>13330</v>
      </c>
      <c r="HDB4" s="227"/>
      <c r="HDC4" s="227"/>
      <c r="HDD4" s="228"/>
      <c r="HDE4" s="226" t="s">
        <v>13330</v>
      </c>
      <c r="HDF4" s="227"/>
      <c r="HDG4" s="227"/>
      <c r="HDH4" s="228"/>
      <c r="HDI4" s="226" t="s">
        <v>13330</v>
      </c>
      <c r="HDJ4" s="227"/>
      <c r="HDK4" s="227"/>
      <c r="HDL4" s="228"/>
      <c r="HDM4" s="226" t="s">
        <v>13330</v>
      </c>
      <c r="HDN4" s="227"/>
      <c r="HDO4" s="227"/>
      <c r="HDP4" s="228"/>
      <c r="HDQ4" s="226" t="s">
        <v>13330</v>
      </c>
      <c r="HDR4" s="227"/>
      <c r="HDS4" s="227"/>
      <c r="HDT4" s="228"/>
      <c r="HDU4" s="226" t="s">
        <v>13330</v>
      </c>
      <c r="HDV4" s="227"/>
      <c r="HDW4" s="227"/>
      <c r="HDX4" s="228"/>
      <c r="HDY4" s="226" t="s">
        <v>13330</v>
      </c>
      <c r="HDZ4" s="227"/>
      <c r="HEA4" s="227"/>
      <c r="HEB4" s="228"/>
      <c r="HEC4" s="226" t="s">
        <v>13330</v>
      </c>
      <c r="HED4" s="227"/>
      <c r="HEE4" s="227"/>
      <c r="HEF4" s="228"/>
      <c r="HEG4" s="226" t="s">
        <v>13330</v>
      </c>
      <c r="HEH4" s="227"/>
      <c r="HEI4" s="227"/>
      <c r="HEJ4" s="228"/>
      <c r="HEK4" s="226" t="s">
        <v>13330</v>
      </c>
      <c r="HEL4" s="227"/>
      <c r="HEM4" s="227"/>
      <c r="HEN4" s="228"/>
      <c r="HEO4" s="226" t="s">
        <v>13330</v>
      </c>
      <c r="HEP4" s="227"/>
      <c r="HEQ4" s="227"/>
      <c r="HER4" s="228"/>
      <c r="HES4" s="226" t="s">
        <v>13330</v>
      </c>
      <c r="HET4" s="227"/>
      <c r="HEU4" s="227"/>
      <c r="HEV4" s="228"/>
      <c r="HEW4" s="226" t="s">
        <v>13330</v>
      </c>
      <c r="HEX4" s="227"/>
      <c r="HEY4" s="227"/>
      <c r="HEZ4" s="228"/>
      <c r="HFA4" s="226" t="s">
        <v>13330</v>
      </c>
      <c r="HFB4" s="227"/>
      <c r="HFC4" s="227"/>
      <c r="HFD4" s="228"/>
      <c r="HFE4" s="226" t="s">
        <v>13330</v>
      </c>
      <c r="HFF4" s="227"/>
      <c r="HFG4" s="227"/>
      <c r="HFH4" s="228"/>
      <c r="HFI4" s="226" t="s">
        <v>13330</v>
      </c>
      <c r="HFJ4" s="227"/>
      <c r="HFK4" s="227"/>
      <c r="HFL4" s="228"/>
      <c r="HFM4" s="226" t="s">
        <v>13330</v>
      </c>
      <c r="HFN4" s="227"/>
      <c r="HFO4" s="227"/>
      <c r="HFP4" s="228"/>
      <c r="HFQ4" s="226" t="s">
        <v>13330</v>
      </c>
      <c r="HFR4" s="227"/>
      <c r="HFS4" s="227"/>
      <c r="HFT4" s="228"/>
      <c r="HFU4" s="226" t="s">
        <v>13330</v>
      </c>
      <c r="HFV4" s="227"/>
      <c r="HFW4" s="227"/>
      <c r="HFX4" s="228"/>
      <c r="HFY4" s="226" t="s">
        <v>13330</v>
      </c>
      <c r="HFZ4" s="227"/>
      <c r="HGA4" s="227"/>
      <c r="HGB4" s="228"/>
      <c r="HGC4" s="226" t="s">
        <v>13330</v>
      </c>
      <c r="HGD4" s="227"/>
      <c r="HGE4" s="227"/>
      <c r="HGF4" s="228"/>
      <c r="HGG4" s="226" t="s">
        <v>13330</v>
      </c>
      <c r="HGH4" s="227"/>
      <c r="HGI4" s="227"/>
      <c r="HGJ4" s="228"/>
      <c r="HGK4" s="226" t="s">
        <v>13330</v>
      </c>
      <c r="HGL4" s="227"/>
      <c r="HGM4" s="227"/>
      <c r="HGN4" s="228"/>
      <c r="HGO4" s="226" t="s">
        <v>13330</v>
      </c>
      <c r="HGP4" s="227"/>
      <c r="HGQ4" s="227"/>
      <c r="HGR4" s="228"/>
      <c r="HGS4" s="226" t="s">
        <v>13330</v>
      </c>
      <c r="HGT4" s="227"/>
      <c r="HGU4" s="227"/>
      <c r="HGV4" s="228"/>
      <c r="HGW4" s="226" t="s">
        <v>13330</v>
      </c>
      <c r="HGX4" s="227"/>
      <c r="HGY4" s="227"/>
      <c r="HGZ4" s="228"/>
      <c r="HHA4" s="226" t="s">
        <v>13330</v>
      </c>
      <c r="HHB4" s="227"/>
      <c r="HHC4" s="227"/>
      <c r="HHD4" s="228"/>
      <c r="HHE4" s="226" t="s">
        <v>13330</v>
      </c>
      <c r="HHF4" s="227"/>
      <c r="HHG4" s="227"/>
      <c r="HHH4" s="228"/>
      <c r="HHI4" s="226" t="s">
        <v>13330</v>
      </c>
      <c r="HHJ4" s="227"/>
      <c r="HHK4" s="227"/>
      <c r="HHL4" s="228"/>
      <c r="HHM4" s="226" t="s">
        <v>13330</v>
      </c>
      <c r="HHN4" s="227"/>
      <c r="HHO4" s="227"/>
      <c r="HHP4" s="228"/>
      <c r="HHQ4" s="226" t="s">
        <v>13330</v>
      </c>
      <c r="HHR4" s="227"/>
      <c r="HHS4" s="227"/>
      <c r="HHT4" s="228"/>
      <c r="HHU4" s="226" t="s">
        <v>13330</v>
      </c>
      <c r="HHV4" s="227"/>
      <c r="HHW4" s="227"/>
      <c r="HHX4" s="228"/>
      <c r="HHY4" s="226" t="s">
        <v>13330</v>
      </c>
      <c r="HHZ4" s="227"/>
      <c r="HIA4" s="227"/>
      <c r="HIB4" s="228"/>
      <c r="HIC4" s="226" t="s">
        <v>13330</v>
      </c>
      <c r="HID4" s="227"/>
      <c r="HIE4" s="227"/>
      <c r="HIF4" s="228"/>
      <c r="HIG4" s="226" t="s">
        <v>13330</v>
      </c>
      <c r="HIH4" s="227"/>
      <c r="HII4" s="227"/>
      <c r="HIJ4" s="228"/>
      <c r="HIK4" s="226" t="s">
        <v>13330</v>
      </c>
      <c r="HIL4" s="227"/>
      <c r="HIM4" s="227"/>
      <c r="HIN4" s="228"/>
      <c r="HIO4" s="226" t="s">
        <v>13330</v>
      </c>
      <c r="HIP4" s="227"/>
      <c r="HIQ4" s="227"/>
      <c r="HIR4" s="228"/>
      <c r="HIS4" s="226" t="s">
        <v>13330</v>
      </c>
      <c r="HIT4" s="227"/>
      <c r="HIU4" s="227"/>
      <c r="HIV4" s="228"/>
      <c r="HIW4" s="226" t="s">
        <v>13330</v>
      </c>
      <c r="HIX4" s="227"/>
      <c r="HIY4" s="227"/>
      <c r="HIZ4" s="228"/>
      <c r="HJA4" s="226" t="s">
        <v>13330</v>
      </c>
      <c r="HJB4" s="227"/>
      <c r="HJC4" s="227"/>
      <c r="HJD4" s="228"/>
      <c r="HJE4" s="226" t="s">
        <v>13330</v>
      </c>
      <c r="HJF4" s="227"/>
      <c r="HJG4" s="227"/>
      <c r="HJH4" s="228"/>
      <c r="HJI4" s="226" t="s">
        <v>13330</v>
      </c>
      <c r="HJJ4" s="227"/>
      <c r="HJK4" s="227"/>
      <c r="HJL4" s="228"/>
      <c r="HJM4" s="226" t="s">
        <v>13330</v>
      </c>
      <c r="HJN4" s="227"/>
      <c r="HJO4" s="227"/>
      <c r="HJP4" s="228"/>
      <c r="HJQ4" s="226" t="s">
        <v>13330</v>
      </c>
      <c r="HJR4" s="227"/>
      <c r="HJS4" s="227"/>
      <c r="HJT4" s="228"/>
      <c r="HJU4" s="226" t="s">
        <v>13330</v>
      </c>
      <c r="HJV4" s="227"/>
      <c r="HJW4" s="227"/>
      <c r="HJX4" s="228"/>
      <c r="HJY4" s="226" t="s">
        <v>13330</v>
      </c>
      <c r="HJZ4" s="227"/>
      <c r="HKA4" s="227"/>
      <c r="HKB4" s="228"/>
      <c r="HKC4" s="226" t="s">
        <v>13330</v>
      </c>
      <c r="HKD4" s="227"/>
      <c r="HKE4" s="227"/>
      <c r="HKF4" s="228"/>
      <c r="HKG4" s="226" t="s">
        <v>13330</v>
      </c>
      <c r="HKH4" s="227"/>
      <c r="HKI4" s="227"/>
      <c r="HKJ4" s="228"/>
      <c r="HKK4" s="226" t="s">
        <v>13330</v>
      </c>
      <c r="HKL4" s="227"/>
      <c r="HKM4" s="227"/>
      <c r="HKN4" s="228"/>
      <c r="HKO4" s="226" t="s">
        <v>13330</v>
      </c>
      <c r="HKP4" s="227"/>
      <c r="HKQ4" s="227"/>
      <c r="HKR4" s="228"/>
      <c r="HKS4" s="226" t="s">
        <v>13330</v>
      </c>
      <c r="HKT4" s="227"/>
      <c r="HKU4" s="227"/>
      <c r="HKV4" s="228"/>
      <c r="HKW4" s="226" t="s">
        <v>13330</v>
      </c>
      <c r="HKX4" s="227"/>
      <c r="HKY4" s="227"/>
      <c r="HKZ4" s="228"/>
      <c r="HLA4" s="226" t="s">
        <v>13330</v>
      </c>
      <c r="HLB4" s="227"/>
      <c r="HLC4" s="227"/>
      <c r="HLD4" s="228"/>
      <c r="HLE4" s="226" t="s">
        <v>13330</v>
      </c>
      <c r="HLF4" s="227"/>
      <c r="HLG4" s="227"/>
      <c r="HLH4" s="228"/>
      <c r="HLI4" s="226" t="s">
        <v>13330</v>
      </c>
      <c r="HLJ4" s="227"/>
      <c r="HLK4" s="227"/>
      <c r="HLL4" s="228"/>
      <c r="HLM4" s="226" t="s">
        <v>13330</v>
      </c>
      <c r="HLN4" s="227"/>
      <c r="HLO4" s="227"/>
      <c r="HLP4" s="228"/>
      <c r="HLQ4" s="226" t="s">
        <v>13330</v>
      </c>
      <c r="HLR4" s="227"/>
      <c r="HLS4" s="227"/>
      <c r="HLT4" s="228"/>
      <c r="HLU4" s="226" t="s">
        <v>13330</v>
      </c>
      <c r="HLV4" s="227"/>
      <c r="HLW4" s="227"/>
      <c r="HLX4" s="228"/>
      <c r="HLY4" s="226" t="s">
        <v>13330</v>
      </c>
      <c r="HLZ4" s="227"/>
      <c r="HMA4" s="227"/>
      <c r="HMB4" s="228"/>
      <c r="HMC4" s="226" t="s">
        <v>13330</v>
      </c>
      <c r="HMD4" s="227"/>
      <c r="HME4" s="227"/>
      <c r="HMF4" s="228"/>
      <c r="HMG4" s="226" t="s">
        <v>13330</v>
      </c>
      <c r="HMH4" s="227"/>
      <c r="HMI4" s="227"/>
      <c r="HMJ4" s="228"/>
      <c r="HMK4" s="226" t="s">
        <v>13330</v>
      </c>
      <c r="HML4" s="227"/>
      <c r="HMM4" s="227"/>
      <c r="HMN4" s="228"/>
      <c r="HMO4" s="226" t="s">
        <v>13330</v>
      </c>
      <c r="HMP4" s="227"/>
      <c r="HMQ4" s="227"/>
      <c r="HMR4" s="228"/>
      <c r="HMS4" s="226" t="s">
        <v>13330</v>
      </c>
      <c r="HMT4" s="227"/>
      <c r="HMU4" s="227"/>
      <c r="HMV4" s="228"/>
      <c r="HMW4" s="226" t="s">
        <v>13330</v>
      </c>
      <c r="HMX4" s="227"/>
      <c r="HMY4" s="227"/>
      <c r="HMZ4" s="228"/>
      <c r="HNA4" s="226" t="s">
        <v>13330</v>
      </c>
      <c r="HNB4" s="227"/>
      <c r="HNC4" s="227"/>
      <c r="HND4" s="228"/>
      <c r="HNE4" s="226" t="s">
        <v>13330</v>
      </c>
      <c r="HNF4" s="227"/>
      <c r="HNG4" s="227"/>
      <c r="HNH4" s="228"/>
      <c r="HNI4" s="226" t="s">
        <v>13330</v>
      </c>
      <c r="HNJ4" s="227"/>
      <c r="HNK4" s="227"/>
      <c r="HNL4" s="228"/>
      <c r="HNM4" s="226" t="s">
        <v>13330</v>
      </c>
      <c r="HNN4" s="227"/>
      <c r="HNO4" s="227"/>
      <c r="HNP4" s="228"/>
      <c r="HNQ4" s="226" t="s">
        <v>13330</v>
      </c>
      <c r="HNR4" s="227"/>
      <c r="HNS4" s="227"/>
      <c r="HNT4" s="228"/>
      <c r="HNU4" s="226" t="s">
        <v>13330</v>
      </c>
      <c r="HNV4" s="227"/>
      <c r="HNW4" s="227"/>
      <c r="HNX4" s="228"/>
      <c r="HNY4" s="226" t="s">
        <v>13330</v>
      </c>
      <c r="HNZ4" s="227"/>
      <c r="HOA4" s="227"/>
      <c r="HOB4" s="228"/>
      <c r="HOC4" s="226" t="s">
        <v>13330</v>
      </c>
      <c r="HOD4" s="227"/>
      <c r="HOE4" s="227"/>
      <c r="HOF4" s="228"/>
      <c r="HOG4" s="226" t="s">
        <v>13330</v>
      </c>
      <c r="HOH4" s="227"/>
      <c r="HOI4" s="227"/>
      <c r="HOJ4" s="228"/>
      <c r="HOK4" s="226" t="s">
        <v>13330</v>
      </c>
      <c r="HOL4" s="227"/>
      <c r="HOM4" s="227"/>
      <c r="HON4" s="228"/>
      <c r="HOO4" s="226" t="s">
        <v>13330</v>
      </c>
      <c r="HOP4" s="227"/>
      <c r="HOQ4" s="227"/>
      <c r="HOR4" s="228"/>
      <c r="HOS4" s="226" t="s">
        <v>13330</v>
      </c>
      <c r="HOT4" s="227"/>
      <c r="HOU4" s="227"/>
      <c r="HOV4" s="228"/>
      <c r="HOW4" s="226" t="s">
        <v>13330</v>
      </c>
      <c r="HOX4" s="227"/>
      <c r="HOY4" s="227"/>
      <c r="HOZ4" s="228"/>
      <c r="HPA4" s="226" t="s">
        <v>13330</v>
      </c>
      <c r="HPB4" s="227"/>
      <c r="HPC4" s="227"/>
      <c r="HPD4" s="228"/>
      <c r="HPE4" s="226" t="s">
        <v>13330</v>
      </c>
      <c r="HPF4" s="227"/>
      <c r="HPG4" s="227"/>
      <c r="HPH4" s="228"/>
      <c r="HPI4" s="226" t="s">
        <v>13330</v>
      </c>
      <c r="HPJ4" s="227"/>
      <c r="HPK4" s="227"/>
      <c r="HPL4" s="228"/>
      <c r="HPM4" s="226" t="s">
        <v>13330</v>
      </c>
      <c r="HPN4" s="227"/>
      <c r="HPO4" s="227"/>
      <c r="HPP4" s="228"/>
      <c r="HPQ4" s="226" t="s">
        <v>13330</v>
      </c>
      <c r="HPR4" s="227"/>
      <c r="HPS4" s="227"/>
      <c r="HPT4" s="228"/>
      <c r="HPU4" s="226" t="s">
        <v>13330</v>
      </c>
      <c r="HPV4" s="227"/>
      <c r="HPW4" s="227"/>
      <c r="HPX4" s="228"/>
      <c r="HPY4" s="226" t="s">
        <v>13330</v>
      </c>
      <c r="HPZ4" s="227"/>
      <c r="HQA4" s="227"/>
      <c r="HQB4" s="228"/>
      <c r="HQC4" s="226" t="s">
        <v>13330</v>
      </c>
      <c r="HQD4" s="227"/>
      <c r="HQE4" s="227"/>
      <c r="HQF4" s="228"/>
      <c r="HQG4" s="226" t="s">
        <v>13330</v>
      </c>
      <c r="HQH4" s="227"/>
      <c r="HQI4" s="227"/>
      <c r="HQJ4" s="228"/>
      <c r="HQK4" s="226" t="s">
        <v>13330</v>
      </c>
      <c r="HQL4" s="227"/>
      <c r="HQM4" s="227"/>
      <c r="HQN4" s="228"/>
      <c r="HQO4" s="226" t="s">
        <v>13330</v>
      </c>
      <c r="HQP4" s="227"/>
      <c r="HQQ4" s="227"/>
      <c r="HQR4" s="228"/>
      <c r="HQS4" s="226" t="s">
        <v>13330</v>
      </c>
      <c r="HQT4" s="227"/>
      <c r="HQU4" s="227"/>
      <c r="HQV4" s="228"/>
      <c r="HQW4" s="226" t="s">
        <v>13330</v>
      </c>
      <c r="HQX4" s="227"/>
      <c r="HQY4" s="227"/>
      <c r="HQZ4" s="228"/>
      <c r="HRA4" s="226" t="s">
        <v>13330</v>
      </c>
      <c r="HRB4" s="227"/>
      <c r="HRC4" s="227"/>
      <c r="HRD4" s="228"/>
      <c r="HRE4" s="226" t="s">
        <v>13330</v>
      </c>
      <c r="HRF4" s="227"/>
      <c r="HRG4" s="227"/>
      <c r="HRH4" s="228"/>
      <c r="HRI4" s="226" t="s">
        <v>13330</v>
      </c>
      <c r="HRJ4" s="227"/>
      <c r="HRK4" s="227"/>
      <c r="HRL4" s="228"/>
      <c r="HRM4" s="226" t="s">
        <v>13330</v>
      </c>
      <c r="HRN4" s="227"/>
      <c r="HRO4" s="227"/>
      <c r="HRP4" s="228"/>
      <c r="HRQ4" s="226" t="s">
        <v>13330</v>
      </c>
      <c r="HRR4" s="227"/>
      <c r="HRS4" s="227"/>
      <c r="HRT4" s="228"/>
      <c r="HRU4" s="226" t="s">
        <v>13330</v>
      </c>
      <c r="HRV4" s="227"/>
      <c r="HRW4" s="227"/>
      <c r="HRX4" s="228"/>
      <c r="HRY4" s="226" t="s">
        <v>13330</v>
      </c>
      <c r="HRZ4" s="227"/>
      <c r="HSA4" s="227"/>
      <c r="HSB4" s="228"/>
      <c r="HSC4" s="226" t="s">
        <v>13330</v>
      </c>
      <c r="HSD4" s="227"/>
      <c r="HSE4" s="227"/>
      <c r="HSF4" s="228"/>
      <c r="HSG4" s="226" t="s">
        <v>13330</v>
      </c>
      <c r="HSH4" s="227"/>
      <c r="HSI4" s="227"/>
      <c r="HSJ4" s="228"/>
      <c r="HSK4" s="226" t="s">
        <v>13330</v>
      </c>
      <c r="HSL4" s="227"/>
      <c r="HSM4" s="227"/>
      <c r="HSN4" s="228"/>
      <c r="HSO4" s="226" t="s">
        <v>13330</v>
      </c>
      <c r="HSP4" s="227"/>
      <c r="HSQ4" s="227"/>
      <c r="HSR4" s="228"/>
      <c r="HSS4" s="226" t="s">
        <v>13330</v>
      </c>
      <c r="HST4" s="227"/>
      <c r="HSU4" s="227"/>
      <c r="HSV4" s="228"/>
      <c r="HSW4" s="226" t="s">
        <v>13330</v>
      </c>
      <c r="HSX4" s="227"/>
      <c r="HSY4" s="227"/>
      <c r="HSZ4" s="228"/>
      <c r="HTA4" s="226" t="s">
        <v>13330</v>
      </c>
      <c r="HTB4" s="227"/>
      <c r="HTC4" s="227"/>
      <c r="HTD4" s="228"/>
      <c r="HTE4" s="226" t="s">
        <v>13330</v>
      </c>
      <c r="HTF4" s="227"/>
      <c r="HTG4" s="227"/>
      <c r="HTH4" s="228"/>
      <c r="HTI4" s="226" t="s">
        <v>13330</v>
      </c>
      <c r="HTJ4" s="227"/>
      <c r="HTK4" s="227"/>
      <c r="HTL4" s="228"/>
      <c r="HTM4" s="226" t="s">
        <v>13330</v>
      </c>
      <c r="HTN4" s="227"/>
      <c r="HTO4" s="227"/>
      <c r="HTP4" s="228"/>
      <c r="HTQ4" s="226" t="s">
        <v>13330</v>
      </c>
      <c r="HTR4" s="227"/>
      <c r="HTS4" s="227"/>
      <c r="HTT4" s="228"/>
      <c r="HTU4" s="226" t="s">
        <v>13330</v>
      </c>
      <c r="HTV4" s="227"/>
      <c r="HTW4" s="227"/>
      <c r="HTX4" s="228"/>
      <c r="HTY4" s="226" t="s">
        <v>13330</v>
      </c>
      <c r="HTZ4" s="227"/>
      <c r="HUA4" s="227"/>
      <c r="HUB4" s="228"/>
      <c r="HUC4" s="226" t="s">
        <v>13330</v>
      </c>
      <c r="HUD4" s="227"/>
      <c r="HUE4" s="227"/>
      <c r="HUF4" s="228"/>
      <c r="HUG4" s="226" t="s">
        <v>13330</v>
      </c>
      <c r="HUH4" s="227"/>
      <c r="HUI4" s="227"/>
      <c r="HUJ4" s="228"/>
      <c r="HUK4" s="226" t="s">
        <v>13330</v>
      </c>
      <c r="HUL4" s="227"/>
      <c r="HUM4" s="227"/>
      <c r="HUN4" s="228"/>
      <c r="HUO4" s="226" t="s">
        <v>13330</v>
      </c>
      <c r="HUP4" s="227"/>
      <c r="HUQ4" s="227"/>
      <c r="HUR4" s="228"/>
      <c r="HUS4" s="226" t="s">
        <v>13330</v>
      </c>
      <c r="HUT4" s="227"/>
      <c r="HUU4" s="227"/>
      <c r="HUV4" s="228"/>
      <c r="HUW4" s="226" t="s">
        <v>13330</v>
      </c>
      <c r="HUX4" s="227"/>
      <c r="HUY4" s="227"/>
      <c r="HUZ4" s="228"/>
      <c r="HVA4" s="226" t="s">
        <v>13330</v>
      </c>
      <c r="HVB4" s="227"/>
      <c r="HVC4" s="227"/>
      <c r="HVD4" s="228"/>
      <c r="HVE4" s="226" t="s">
        <v>13330</v>
      </c>
      <c r="HVF4" s="227"/>
      <c r="HVG4" s="227"/>
      <c r="HVH4" s="228"/>
      <c r="HVI4" s="226" t="s">
        <v>13330</v>
      </c>
      <c r="HVJ4" s="227"/>
      <c r="HVK4" s="227"/>
      <c r="HVL4" s="228"/>
      <c r="HVM4" s="226" t="s">
        <v>13330</v>
      </c>
      <c r="HVN4" s="227"/>
      <c r="HVO4" s="227"/>
      <c r="HVP4" s="228"/>
      <c r="HVQ4" s="226" t="s">
        <v>13330</v>
      </c>
      <c r="HVR4" s="227"/>
      <c r="HVS4" s="227"/>
      <c r="HVT4" s="228"/>
      <c r="HVU4" s="226" t="s">
        <v>13330</v>
      </c>
      <c r="HVV4" s="227"/>
      <c r="HVW4" s="227"/>
      <c r="HVX4" s="228"/>
      <c r="HVY4" s="226" t="s">
        <v>13330</v>
      </c>
      <c r="HVZ4" s="227"/>
      <c r="HWA4" s="227"/>
      <c r="HWB4" s="228"/>
      <c r="HWC4" s="226" t="s">
        <v>13330</v>
      </c>
      <c r="HWD4" s="227"/>
      <c r="HWE4" s="227"/>
      <c r="HWF4" s="228"/>
      <c r="HWG4" s="226" t="s">
        <v>13330</v>
      </c>
      <c r="HWH4" s="227"/>
      <c r="HWI4" s="227"/>
      <c r="HWJ4" s="228"/>
      <c r="HWK4" s="226" t="s">
        <v>13330</v>
      </c>
      <c r="HWL4" s="227"/>
      <c r="HWM4" s="227"/>
      <c r="HWN4" s="228"/>
      <c r="HWO4" s="226" t="s">
        <v>13330</v>
      </c>
      <c r="HWP4" s="227"/>
      <c r="HWQ4" s="227"/>
      <c r="HWR4" s="228"/>
      <c r="HWS4" s="226" t="s">
        <v>13330</v>
      </c>
      <c r="HWT4" s="227"/>
      <c r="HWU4" s="227"/>
      <c r="HWV4" s="228"/>
      <c r="HWW4" s="226" t="s">
        <v>13330</v>
      </c>
      <c r="HWX4" s="227"/>
      <c r="HWY4" s="227"/>
      <c r="HWZ4" s="228"/>
      <c r="HXA4" s="226" t="s">
        <v>13330</v>
      </c>
      <c r="HXB4" s="227"/>
      <c r="HXC4" s="227"/>
      <c r="HXD4" s="228"/>
      <c r="HXE4" s="226" t="s">
        <v>13330</v>
      </c>
      <c r="HXF4" s="227"/>
      <c r="HXG4" s="227"/>
      <c r="HXH4" s="228"/>
      <c r="HXI4" s="226" t="s">
        <v>13330</v>
      </c>
      <c r="HXJ4" s="227"/>
      <c r="HXK4" s="227"/>
      <c r="HXL4" s="228"/>
      <c r="HXM4" s="226" t="s">
        <v>13330</v>
      </c>
      <c r="HXN4" s="227"/>
      <c r="HXO4" s="227"/>
      <c r="HXP4" s="228"/>
      <c r="HXQ4" s="226" t="s">
        <v>13330</v>
      </c>
      <c r="HXR4" s="227"/>
      <c r="HXS4" s="227"/>
      <c r="HXT4" s="228"/>
      <c r="HXU4" s="226" t="s">
        <v>13330</v>
      </c>
      <c r="HXV4" s="227"/>
      <c r="HXW4" s="227"/>
      <c r="HXX4" s="228"/>
      <c r="HXY4" s="226" t="s">
        <v>13330</v>
      </c>
      <c r="HXZ4" s="227"/>
      <c r="HYA4" s="227"/>
      <c r="HYB4" s="228"/>
      <c r="HYC4" s="226" t="s">
        <v>13330</v>
      </c>
      <c r="HYD4" s="227"/>
      <c r="HYE4" s="227"/>
      <c r="HYF4" s="228"/>
      <c r="HYG4" s="226" t="s">
        <v>13330</v>
      </c>
      <c r="HYH4" s="227"/>
      <c r="HYI4" s="227"/>
      <c r="HYJ4" s="228"/>
      <c r="HYK4" s="226" t="s">
        <v>13330</v>
      </c>
      <c r="HYL4" s="227"/>
      <c r="HYM4" s="227"/>
      <c r="HYN4" s="228"/>
      <c r="HYO4" s="226" t="s">
        <v>13330</v>
      </c>
      <c r="HYP4" s="227"/>
      <c r="HYQ4" s="227"/>
      <c r="HYR4" s="228"/>
      <c r="HYS4" s="226" t="s">
        <v>13330</v>
      </c>
      <c r="HYT4" s="227"/>
      <c r="HYU4" s="227"/>
      <c r="HYV4" s="228"/>
      <c r="HYW4" s="226" t="s">
        <v>13330</v>
      </c>
      <c r="HYX4" s="227"/>
      <c r="HYY4" s="227"/>
      <c r="HYZ4" s="228"/>
      <c r="HZA4" s="226" t="s">
        <v>13330</v>
      </c>
      <c r="HZB4" s="227"/>
      <c r="HZC4" s="227"/>
      <c r="HZD4" s="228"/>
      <c r="HZE4" s="226" t="s">
        <v>13330</v>
      </c>
      <c r="HZF4" s="227"/>
      <c r="HZG4" s="227"/>
      <c r="HZH4" s="228"/>
      <c r="HZI4" s="226" t="s">
        <v>13330</v>
      </c>
      <c r="HZJ4" s="227"/>
      <c r="HZK4" s="227"/>
      <c r="HZL4" s="228"/>
      <c r="HZM4" s="226" t="s">
        <v>13330</v>
      </c>
      <c r="HZN4" s="227"/>
      <c r="HZO4" s="227"/>
      <c r="HZP4" s="228"/>
      <c r="HZQ4" s="226" t="s">
        <v>13330</v>
      </c>
      <c r="HZR4" s="227"/>
      <c r="HZS4" s="227"/>
      <c r="HZT4" s="228"/>
      <c r="HZU4" s="226" t="s">
        <v>13330</v>
      </c>
      <c r="HZV4" s="227"/>
      <c r="HZW4" s="227"/>
      <c r="HZX4" s="228"/>
      <c r="HZY4" s="226" t="s">
        <v>13330</v>
      </c>
      <c r="HZZ4" s="227"/>
      <c r="IAA4" s="227"/>
      <c r="IAB4" s="228"/>
      <c r="IAC4" s="226" t="s">
        <v>13330</v>
      </c>
      <c r="IAD4" s="227"/>
      <c r="IAE4" s="227"/>
      <c r="IAF4" s="228"/>
      <c r="IAG4" s="226" t="s">
        <v>13330</v>
      </c>
      <c r="IAH4" s="227"/>
      <c r="IAI4" s="227"/>
      <c r="IAJ4" s="228"/>
      <c r="IAK4" s="226" t="s">
        <v>13330</v>
      </c>
      <c r="IAL4" s="227"/>
      <c r="IAM4" s="227"/>
      <c r="IAN4" s="228"/>
      <c r="IAO4" s="226" t="s">
        <v>13330</v>
      </c>
      <c r="IAP4" s="227"/>
      <c r="IAQ4" s="227"/>
      <c r="IAR4" s="228"/>
      <c r="IAS4" s="226" t="s">
        <v>13330</v>
      </c>
      <c r="IAT4" s="227"/>
      <c r="IAU4" s="227"/>
      <c r="IAV4" s="228"/>
      <c r="IAW4" s="226" t="s">
        <v>13330</v>
      </c>
      <c r="IAX4" s="227"/>
      <c r="IAY4" s="227"/>
      <c r="IAZ4" s="228"/>
      <c r="IBA4" s="226" t="s">
        <v>13330</v>
      </c>
      <c r="IBB4" s="227"/>
      <c r="IBC4" s="227"/>
      <c r="IBD4" s="228"/>
      <c r="IBE4" s="226" t="s">
        <v>13330</v>
      </c>
      <c r="IBF4" s="227"/>
      <c r="IBG4" s="227"/>
      <c r="IBH4" s="228"/>
      <c r="IBI4" s="226" t="s">
        <v>13330</v>
      </c>
      <c r="IBJ4" s="227"/>
      <c r="IBK4" s="227"/>
      <c r="IBL4" s="228"/>
      <c r="IBM4" s="226" t="s">
        <v>13330</v>
      </c>
      <c r="IBN4" s="227"/>
      <c r="IBO4" s="227"/>
      <c r="IBP4" s="228"/>
      <c r="IBQ4" s="226" t="s">
        <v>13330</v>
      </c>
      <c r="IBR4" s="227"/>
      <c r="IBS4" s="227"/>
      <c r="IBT4" s="228"/>
      <c r="IBU4" s="226" t="s">
        <v>13330</v>
      </c>
      <c r="IBV4" s="227"/>
      <c r="IBW4" s="227"/>
      <c r="IBX4" s="228"/>
      <c r="IBY4" s="226" t="s">
        <v>13330</v>
      </c>
      <c r="IBZ4" s="227"/>
      <c r="ICA4" s="227"/>
      <c r="ICB4" s="228"/>
      <c r="ICC4" s="226" t="s">
        <v>13330</v>
      </c>
      <c r="ICD4" s="227"/>
      <c r="ICE4" s="227"/>
      <c r="ICF4" s="228"/>
      <c r="ICG4" s="226" t="s">
        <v>13330</v>
      </c>
      <c r="ICH4" s="227"/>
      <c r="ICI4" s="227"/>
      <c r="ICJ4" s="228"/>
      <c r="ICK4" s="226" t="s">
        <v>13330</v>
      </c>
      <c r="ICL4" s="227"/>
      <c r="ICM4" s="227"/>
      <c r="ICN4" s="228"/>
      <c r="ICO4" s="226" t="s">
        <v>13330</v>
      </c>
      <c r="ICP4" s="227"/>
      <c r="ICQ4" s="227"/>
      <c r="ICR4" s="228"/>
      <c r="ICS4" s="226" t="s">
        <v>13330</v>
      </c>
      <c r="ICT4" s="227"/>
      <c r="ICU4" s="227"/>
      <c r="ICV4" s="228"/>
      <c r="ICW4" s="226" t="s">
        <v>13330</v>
      </c>
      <c r="ICX4" s="227"/>
      <c r="ICY4" s="227"/>
      <c r="ICZ4" s="228"/>
      <c r="IDA4" s="226" t="s">
        <v>13330</v>
      </c>
      <c r="IDB4" s="227"/>
      <c r="IDC4" s="227"/>
      <c r="IDD4" s="228"/>
      <c r="IDE4" s="226" t="s">
        <v>13330</v>
      </c>
      <c r="IDF4" s="227"/>
      <c r="IDG4" s="227"/>
      <c r="IDH4" s="228"/>
      <c r="IDI4" s="226" t="s">
        <v>13330</v>
      </c>
      <c r="IDJ4" s="227"/>
      <c r="IDK4" s="227"/>
      <c r="IDL4" s="228"/>
      <c r="IDM4" s="226" t="s">
        <v>13330</v>
      </c>
      <c r="IDN4" s="227"/>
      <c r="IDO4" s="227"/>
      <c r="IDP4" s="228"/>
      <c r="IDQ4" s="226" t="s">
        <v>13330</v>
      </c>
      <c r="IDR4" s="227"/>
      <c r="IDS4" s="227"/>
      <c r="IDT4" s="228"/>
      <c r="IDU4" s="226" t="s">
        <v>13330</v>
      </c>
      <c r="IDV4" s="227"/>
      <c r="IDW4" s="227"/>
      <c r="IDX4" s="228"/>
      <c r="IDY4" s="226" t="s">
        <v>13330</v>
      </c>
      <c r="IDZ4" s="227"/>
      <c r="IEA4" s="227"/>
      <c r="IEB4" s="228"/>
      <c r="IEC4" s="226" t="s">
        <v>13330</v>
      </c>
      <c r="IED4" s="227"/>
      <c r="IEE4" s="227"/>
      <c r="IEF4" s="228"/>
      <c r="IEG4" s="226" t="s">
        <v>13330</v>
      </c>
      <c r="IEH4" s="227"/>
      <c r="IEI4" s="227"/>
      <c r="IEJ4" s="228"/>
      <c r="IEK4" s="226" t="s">
        <v>13330</v>
      </c>
      <c r="IEL4" s="227"/>
      <c r="IEM4" s="227"/>
      <c r="IEN4" s="228"/>
      <c r="IEO4" s="226" t="s">
        <v>13330</v>
      </c>
      <c r="IEP4" s="227"/>
      <c r="IEQ4" s="227"/>
      <c r="IER4" s="228"/>
      <c r="IES4" s="226" t="s">
        <v>13330</v>
      </c>
      <c r="IET4" s="227"/>
      <c r="IEU4" s="227"/>
      <c r="IEV4" s="228"/>
      <c r="IEW4" s="226" t="s">
        <v>13330</v>
      </c>
      <c r="IEX4" s="227"/>
      <c r="IEY4" s="227"/>
      <c r="IEZ4" s="228"/>
      <c r="IFA4" s="226" t="s">
        <v>13330</v>
      </c>
      <c r="IFB4" s="227"/>
      <c r="IFC4" s="227"/>
      <c r="IFD4" s="228"/>
      <c r="IFE4" s="226" t="s">
        <v>13330</v>
      </c>
      <c r="IFF4" s="227"/>
      <c r="IFG4" s="227"/>
      <c r="IFH4" s="228"/>
      <c r="IFI4" s="226" t="s">
        <v>13330</v>
      </c>
      <c r="IFJ4" s="227"/>
      <c r="IFK4" s="227"/>
      <c r="IFL4" s="228"/>
      <c r="IFM4" s="226" t="s">
        <v>13330</v>
      </c>
      <c r="IFN4" s="227"/>
      <c r="IFO4" s="227"/>
      <c r="IFP4" s="228"/>
      <c r="IFQ4" s="226" t="s">
        <v>13330</v>
      </c>
      <c r="IFR4" s="227"/>
      <c r="IFS4" s="227"/>
      <c r="IFT4" s="228"/>
      <c r="IFU4" s="226" t="s">
        <v>13330</v>
      </c>
      <c r="IFV4" s="227"/>
      <c r="IFW4" s="227"/>
      <c r="IFX4" s="228"/>
      <c r="IFY4" s="226" t="s">
        <v>13330</v>
      </c>
      <c r="IFZ4" s="227"/>
      <c r="IGA4" s="227"/>
      <c r="IGB4" s="228"/>
      <c r="IGC4" s="226" t="s">
        <v>13330</v>
      </c>
      <c r="IGD4" s="227"/>
      <c r="IGE4" s="227"/>
      <c r="IGF4" s="228"/>
      <c r="IGG4" s="226" t="s">
        <v>13330</v>
      </c>
      <c r="IGH4" s="227"/>
      <c r="IGI4" s="227"/>
      <c r="IGJ4" s="228"/>
      <c r="IGK4" s="226" t="s">
        <v>13330</v>
      </c>
      <c r="IGL4" s="227"/>
      <c r="IGM4" s="227"/>
      <c r="IGN4" s="228"/>
      <c r="IGO4" s="226" t="s">
        <v>13330</v>
      </c>
      <c r="IGP4" s="227"/>
      <c r="IGQ4" s="227"/>
      <c r="IGR4" s="228"/>
      <c r="IGS4" s="226" t="s">
        <v>13330</v>
      </c>
      <c r="IGT4" s="227"/>
      <c r="IGU4" s="227"/>
      <c r="IGV4" s="228"/>
      <c r="IGW4" s="226" t="s">
        <v>13330</v>
      </c>
      <c r="IGX4" s="227"/>
      <c r="IGY4" s="227"/>
      <c r="IGZ4" s="228"/>
      <c r="IHA4" s="226" t="s">
        <v>13330</v>
      </c>
      <c r="IHB4" s="227"/>
      <c r="IHC4" s="227"/>
      <c r="IHD4" s="228"/>
      <c r="IHE4" s="226" t="s">
        <v>13330</v>
      </c>
      <c r="IHF4" s="227"/>
      <c r="IHG4" s="227"/>
      <c r="IHH4" s="228"/>
      <c r="IHI4" s="226" t="s">
        <v>13330</v>
      </c>
      <c r="IHJ4" s="227"/>
      <c r="IHK4" s="227"/>
      <c r="IHL4" s="228"/>
      <c r="IHM4" s="226" t="s">
        <v>13330</v>
      </c>
      <c r="IHN4" s="227"/>
      <c r="IHO4" s="227"/>
      <c r="IHP4" s="228"/>
      <c r="IHQ4" s="226" t="s">
        <v>13330</v>
      </c>
      <c r="IHR4" s="227"/>
      <c r="IHS4" s="227"/>
      <c r="IHT4" s="228"/>
      <c r="IHU4" s="226" t="s">
        <v>13330</v>
      </c>
      <c r="IHV4" s="227"/>
      <c r="IHW4" s="227"/>
      <c r="IHX4" s="228"/>
      <c r="IHY4" s="226" t="s">
        <v>13330</v>
      </c>
      <c r="IHZ4" s="227"/>
      <c r="IIA4" s="227"/>
      <c r="IIB4" s="228"/>
      <c r="IIC4" s="226" t="s">
        <v>13330</v>
      </c>
      <c r="IID4" s="227"/>
      <c r="IIE4" s="227"/>
      <c r="IIF4" s="228"/>
      <c r="IIG4" s="226" t="s">
        <v>13330</v>
      </c>
      <c r="IIH4" s="227"/>
      <c r="III4" s="227"/>
      <c r="IIJ4" s="228"/>
      <c r="IIK4" s="226" t="s">
        <v>13330</v>
      </c>
      <c r="IIL4" s="227"/>
      <c r="IIM4" s="227"/>
      <c r="IIN4" s="228"/>
      <c r="IIO4" s="226" t="s">
        <v>13330</v>
      </c>
      <c r="IIP4" s="227"/>
      <c r="IIQ4" s="227"/>
      <c r="IIR4" s="228"/>
      <c r="IIS4" s="226" t="s">
        <v>13330</v>
      </c>
      <c r="IIT4" s="227"/>
      <c r="IIU4" s="227"/>
      <c r="IIV4" s="228"/>
      <c r="IIW4" s="226" t="s">
        <v>13330</v>
      </c>
      <c r="IIX4" s="227"/>
      <c r="IIY4" s="227"/>
      <c r="IIZ4" s="228"/>
      <c r="IJA4" s="226" t="s">
        <v>13330</v>
      </c>
      <c r="IJB4" s="227"/>
      <c r="IJC4" s="227"/>
      <c r="IJD4" s="228"/>
      <c r="IJE4" s="226" t="s">
        <v>13330</v>
      </c>
      <c r="IJF4" s="227"/>
      <c r="IJG4" s="227"/>
      <c r="IJH4" s="228"/>
      <c r="IJI4" s="226" t="s">
        <v>13330</v>
      </c>
      <c r="IJJ4" s="227"/>
      <c r="IJK4" s="227"/>
      <c r="IJL4" s="228"/>
      <c r="IJM4" s="226" t="s">
        <v>13330</v>
      </c>
      <c r="IJN4" s="227"/>
      <c r="IJO4" s="227"/>
      <c r="IJP4" s="228"/>
      <c r="IJQ4" s="226" t="s">
        <v>13330</v>
      </c>
      <c r="IJR4" s="227"/>
      <c r="IJS4" s="227"/>
      <c r="IJT4" s="228"/>
      <c r="IJU4" s="226" t="s">
        <v>13330</v>
      </c>
      <c r="IJV4" s="227"/>
      <c r="IJW4" s="227"/>
      <c r="IJX4" s="228"/>
      <c r="IJY4" s="226" t="s">
        <v>13330</v>
      </c>
      <c r="IJZ4" s="227"/>
      <c r="IKA4" s="227"/>
      <c r="IKB4" s="228"/>
      <c r="IKC4" s="226" t="s">
        <v>13330</v>
      </c>
      <c r="IKD4" s="227"/>
      <c r="IKE4" s="227"/>
      <c r="IKF4" s="228"/>
      <c r="IKG4" s="226" t="s">
        <v>13330</v>
      </c>
      <c r="IKH4" s="227"/>
      <c r="IKI4" s="227"/>
      <c r="IKJ4" s="228"/>
      <c r="IKK4" s="226" t="s">
        <v>13330</v>
      </c>
      <c r="IKL4" s="227"/>
      <c r="IKM4" s="227"/>
      <c r="IKN4" s="228"/>
      <c r="IKO4" s="226" t="s">
        <v>13330</v>
      </c>
      <c r="IKP4" s="227"/>
      <c r="IKQ4" s="227"/>
      <c r="IKR4" s="228"/>
      <c r="IKS4" s="226" t="s">
        <v>13330</v>
      </c>
      <c r="IKT4" s="227"/>
      <c r="IKU4" s="227"/>
      <c r="IKV4" s="228"/>
      <c r="IKW4" s="226" t="s">
        <v>13330</v>
      </c>
      <c r="IKX4" s="227"/>
      <c r="IKY4" s="227"/>
      <c r="IKZ4" s="228"/>
      <c r="ILA4" s="226" t="s">
        <v>13330</v>
      </c>
      <c r="ILB4" s="227"/>
      <c r="ILC4" s="227"/>
      <c r="ILD4" s="228"/>
      <c r="ILE4" s="226" t="s">
        <v>13330</v>
      </c>
      <c r="ILF4" s="227"/>
      <c r="ILG4" s="227"/>
      <c r="ILH4" s="228"/>
      <c r="ILI4" s="226" t="s">
        <v>13330</v>
      </c>
      <c r="ILJ4" s="227"/>
      <c r="ILK4" s="227"/>
      <c r="ILL4" s="228"/>
      <c r="ILM4" s="226" t="s">
        <v>13330</v>
      </c>
      <c r="ILN4" s="227"/>
      <c r="ILO4" s="227"/>
      <c r="ILP4" s="228"/>
      <c r="ILQ4" s="226" t="s">
        <v>13330</v>
      </c>
      <c r="ILR4" s="227"/>
      <c r="ILS4" s="227"/>
      <c r="ILT4" s="228"/>
      <c r="ILU4" s="226" t="s">
        <v>13330</v>
      </c>
      <c r="ILV4" s="227"/>
      <c r="ILW4" s="227"/>
      <c r="ILX4" s="228"/>
      <c r="ILY4" s="226" t="s">
        <v>13330</v>
      </c>
      <c r="ILZ4" s="227"/>
      <c r="IMA4" s="227"/>
      <c r="IMB4" s="228"/>
      <c r="IMC4" s="226" t="s">
        <v>13330</v>
      </c>
      <c r="IMD4" s="227"/>
      <c r="IME4" s="227"/>
      <c r="IMF4" s="228"/>
      <c r="IMG4" s="226" t="s">
        <v>13330</v>
      </c>
      <c r="IMH4" s="227"/>
      <c r="IMI4" s="227"/>
      <c r="IMJ4" s="228"/>
      <c r="IMK4" s="226" t="s">
        <v>13330</v>
      </c>
      <c r="IML4" s="227"/>
      <c r="IMM4" s="227"/>
      <c r="IMN4" s="228"/>
      <c r="IMO4" s="226" t="s">
        <v>13330</v>
      </c>
      <c r="IMP4" s="227"/>
      <c r="IMQ4" s="227"/>
      <c r="IMR4" s="228"/>
      <c r="IMS4" s="226" t="s">
        <v>13330</v>
      </c>
      <c r="IMT4" s="227"/>
      <c r="IMU4" s="227"/>
      <c r="IMV4" s="228"/>
      <c r="IMW4" s="226" t="s">
        <v>13330</v>
      </c>
      <c r="IMX4" s="227"/>
      <c r="IMY4" s="227"/>
      <c r="IMZ4" s="228"/>
      <c r="INA4" s="226" t="s">
        <v>13330</v>
      </c>
      <c r="INB4" s="227"/>
      <c r="INC4" s="227"/>
      <c r="IND4" s="228"/>
      <c r="INE4" s="226" t="s">
        <v>13330</v>
      </c>
      <c r="INF4" s="227"/>
      <c r="ING4" s="227"/>
      <c r="INH4" s="228"/>
      <c r="INI4" s="226" t="s">
        <v>13330</v>
      </c>
      <c r="INJ4" s="227"/>
      <c r="INK4" s="227"/>
      <c r="INL4" s="228"/>
      <c r="INM4" s="226" t="s">
        <v>13330</v>
      </c>
      <c r="INN4" s="227"/>
      <c r="INO4" s="227"/>
      <c r="INP4" s="228"/>
      <c r="INQ4" s="226" t="s">
        <v>13330</v>
      </c>
      <c r="INR4" s="227"/>
      <c r="INS4" s="227"/>
      <c r="INT4" s="228"/>
      <c r="INU4" s="226" t="s">
        <v>13330</v>
      </c>
      <c r="INV4" s="227"/>
      <c r="INW4" s="227"/>
      <c r="INX4" s="228"/>
      <c r="INY4" s="226" t="s">
        <v>13330</v>
      </c>
      <c r="INZ4" s="227"/>
      <c r="IOA4" s="227"/>
      <c r="IOB4" s="228"/>
      <c r="IOC4" s="226" t="s">
        <v>13330</v>
      </c>
      <c r="IOD4" s="227"/>
      <c r="IOE4" s="227"/>
      <c r="IOF4" s="228"/>
      <c r="IOG4" s="226" t="s">
        <v>13330</v>
      </c>
      <c r="IOH4" s="227"/>
      <c r="IOI4" s="227"/>
      <c r="IOJ4" s="228"/>
      <c r="IOK4" s="226" t="s">
        <v>13330</v>
      </c>
      <c r="IOL4" s="227"/>
      <c r="IOM4" s="227"/>
      <c r="ION4" s="228"/>
      <c r="IOO4" s="226" t="s">
        <v>13330</v>
      </c>
      <c r="IOP4" s="227"/>
      <c r="IOQ4" s="227"/>
      <c r="IOR4" s="228"/>
      <c r="IOS4" s="226" t="s">
        <v>13330</v>
      </c>
      <c r="IOT4" s="227"/>
      <c r="IOU4" s="227"/>
      <c r="IOV4" s="228"/>
      <c r="IOW4" s="226" t="s">
        <v>13330</v>
      </c>
      <c r="IOX4" s="227"/>
      <c r="IOY4" s="227"/>
      <c r="IOZ4" s="228"/>
      <c r="IPA4" s="226" t="s">
        <v>13330</v>
      </c>
      <c r="IPB4" s="227"/>
      <c r="IPC4" s="227"/>
      <c r="IPD4" s="228"/>
      <c r="IPE4" s="226" t="s">
        <v>13330</v>
      </c>
      <c r="IPF4" s="227"/>
      <c r="IPG4" s="227"/>
      <c r="IPH4" s="228"/>
      <c r="IPI4" s="226" t="s">
        <v>13330</v>
      </c>
      <c r="IPJ4" s="227"/>
      <c r="IPK4" s="227"/>
      <c r="IPL4" s="228"/>
      <c r="IPM4" s="226" t="s">
        <v>13330</v>
      </c>
      <c r="IPN4" s="227"/>
      <c r="IPO4" s="227"/>
      <c r="IPP4" s="228"/>
      <c r="IPQ4" s="226" t="s">
        <v>13330</v>
      </c>
      <c r="IPR4" s="227"/>
      <c r="IPS4" s="227"/>
      <c r="IPT4" s="228"/>
      <c r="IPU4" s="226" t="s">
        <v>13330</v>
      </c>
      <c r="IPV4" s="227"/>
      <c r="IPW4" s="227"/>
      <c r="IPX4" s="228"/>
      <c r="IPY4" s="226" t="s">
        <v>13330</v>
      </c>
      <c r="IPZ4" s="227"/>
      <c r="IQA4" s="227"/>
      <c r="IQB4" s="228"/>
      <c r="IQC4" s="226" t="s">
        <v>13330</v>
      </c>
      <c r="IQD4" s="227"/>
      <c r="IQE4" s="227"/>
      <c r="IQF4" s="228"/>
      <c r="IQG4" s="226" t="s">
        <v>13330</v>
      </c>
      <c r="IQH4" s="227"/>
      <c r="IQI4" s="227"/>
      <c r="IQJ4" s="228"/>
      <c r="IQK4" s="226" t="s">
        <v>13330</v>
      </c>
      <c r="IQL4" s="227"/>
      <c r="IQM4" s="227"/>
      <c r="IQN4" s="228"/>
      <c r="IQO4" s="226" t="s">
        <v>13330</v>
      </c>
      <c r="IQP4" s="227"/>
      <c r="IQQ4" s="227"/>
      <c r="IQR4" s="228"/>
      <c r="IQS4" s="226" t="s">
        <v>13330</v>
      </c>
      <c r="IQT4" s="227"/>
      <c r="IQU4" s="227"/>
      <c r="IQV4" s="228"/>
      <c r="IQW4" s="226" t="s">
        <v>13330</v>
      </c>
      <c r="IQX4" s="227"/>
      <c r="IQY4" s="227"/>
      <c r="IQZ4" s="228"/>
      <c r="IRA4" s="226" t="s">
        <v>13330</v>
      </c>
      <c r="IRB4" s="227"/>
      <c r="IRC4" s="227"/>
      <c r="IRD4" s="228"/>
      <c r="IRE4" s="226" t="s">
        <v>13330</v>
      </c>
      <c r="IRF4" s="227"/>
      <c r="IRG4" s="227"/>
      <c r="IRH4" s="228"/>
      <c r="IRI4" s="226" t="s">
        <v>13330</v>
      </c>
      <c r="IRJ4" s="227"/>
      <c r="IRK4" s="227"/>
      <c r="IRL4" s="228"/>
      <c r="IRM4" s="226" t="s">
        <v>13330</v>
      </c>
      <c r="IRN4" s="227"/>
      <c r="IRO4" s="227"/>
      <c r="IRP4" s="228"/>
      <c r="IRQ4" s="226" t="s">
        <v>13330</v>
      </c>
      <c r="IRR4" s="227"/>
      <c r="IRS4" s="227"/>
      <c r="IRT4" s="228"/>
      <c r="IRU4" s="226" t="s">
        <v>13330</v>
      </c>
      <c r="IRV4" s="227"/>
      <c r="IRW4" s="227"/>
      <c r="IRX4" s="228"/>
      <c r="IRY4" s="226" t="s">
        <v>13330</v>
      </c>
      <c r="IRZ4" s="227"/>
      <c r="ISA4" s="227"/>
      <c r="ISB4" s="228"/>
      <c r="ISC4" s="226" t="s">
        <v>13330</v>
      </c>
      <c r="ISD4" s="227"/>
      <c r="ISE4" s="227"/>
      <c r="ISF4" s="228"/>
      <c r="ISG4" s="226" t="s">
        <v>13330</v>
      </c>
      <c r="ISH4" s="227"/>
      <c r="ISI4" s="227"/>
      <c r="ISJ4" s="228"/>
      <c r="ISK4" s="226" t="s">
        <v>13330</v>
      </c>
      <c r="ISL4" s="227"/>
      <c r="ISM4" s="227"/>
      <c r="ISN4" s="228"/>
      <c r="ISO4" s="226" t="s">
        <v>13330</v>
      </c>
      <c r="ISP4" s="227"/>
      <c r="ISQ4" s="227"/>
      <c r="ISR4" s="228"/>
      <c r="ISS4" s="226" t="s">
        <v>13330</v>
      </c>
      <c r="IST4" s="227"/>
      <c r="ISU4" s="227"/>
      <c r="ISV4" s="228"/>
      <c r="ISW4" s="226" t="s">
        <v>13330</v>
      </c>
      <c r="ISX4" s="227"/>
      <c r="ISY4" s="227"/>
      <c r="ISZ4" s="228"/>
      <c r="ITA4" s="226" t="s">
        <v>13330</v>
      </c>
      <c r="ITB4" s="227"/>
      <c r="ITC4" s="227"/>
      <c r="ITD4" s="228"/>
      <c r="ITE4" s="226" t="s">
        <v>13330</v>
      </c>
      <c r="ITF4" s="227"/>
      <c r="ITG4" s="227"/>
      <c r="ITH4" s="228"/>
      <c r="ITI4" s="226" t="s">
        <v>13330</v>
      </c>
      <c r="ITJ4" s="227"/>
      <c r="ITK4" s="227"/>
      <c r="ITL4" s="228"/>
      <c r="ITM4" s="226" t="s">
        <v>13330</v>
      </c>
      <c r="ITN4" s="227"/>
      <c r="ITO4" s="227"/>
      <c r="ITP4" s="228"/>
      <c r="ITQ4" s="226" t="s">
        <v>13330</v>
      </c>
      <c r="ITR4" s="227"/>
      <c r="ITS4" s="227"/>
      <c r="ITT4" s="228"/>
      <c r="ITU4" s="226" t="s">
        <v>13330</v>
      </c>
      <c r="ITV4" s="227"/>
      <c r="ITW4" s="227"/>
      <c r="ITX4" s="228"/>
      <c r="ITY4" s="226" t="s">
        <v>13330</v>
      </c>
      <c r="ITZ4" s="227"/>
      <c r="IUA4" s="227"/>
      <c r="IUB4" s="228"/>
      <c r="IUC4" s="226" t="s">
        <v>13330</v>
      </c>
      <c r="IUD4" s="227"/>
      <c r="IUE4" s="227"/>
      <c r="IUF4" s="228"/>
      <c r="IUG4" s="226" t="s">
        <v>13330</v>
      </c>
      <c r="IUH4" s="227"/>
      <c r="IUI4" s="227"/>
      <c r="IUJ4" s="228"/>
      <c r="IUK4" s="226" t="s">
        <v>13330</v>
      </c>
      <c r="IUL4" s="227"/>
      <c r="IUM4" s="227"/>
      <c r="IUN4" s="228"/>
      <c r="IUO4" s="226" t="s">
        <v>13330</v>
      </c>
      <c r="IUP4" s="227"/>
      <c r="IUQ4" s="227"/>
      <c r="IUR4" s="228"/>
      <c r="IUS4" s="226" t="s">
        <v>13330</v>
      </c>
      <c r="IUT4" s="227"/>
      <c r="IUU4" s="227"/>
      <c r="IUV4" s="228"/>
      <c r="IUW4" s="226" t="s">
        <v>13330</v>
      </c>
      <c r="IUX4" s="227"/>
      <c r="IUY4" s="227"/>
      <c r="IUZ4" s="228"/>
      <c r="IVA4" s="226" t="s">
        <v>13330</v>
      </c>
      <c r="IVB4" s="227"/>
      <c r="IVC4" s="227"/>
      <c r="IVD4" s="228"/>
      <c r="IVE4" s="226" t="s">
        <v>13330</v>
      </c>
      <c r="IVF4" s="227"/>
      <c r="IVG4" s="227"/>
      <c r="IVH4" s="228"/>
      <c r="IVI4" s="226" t="s">
        <v>13330</v>
      </c>
      <c r="IVJ4" s="227"/>
      <c r="IVK4" s="227"/>
      <c r="IVL4" s="228"/>
      <c r="IVM4" s="226" t="s">
        <v>13330</v>
      </c>
      <c r="IVN4" s="227"/>
      <c r="IVO4" s="227"/>
      <c r="IVP4" s="228"/>
      <c r="IVQ4" s="226" t="s">
        <v>13330</v>
      </c>
      <c r="IVR4" s="227"/>
      <c r="IVS4" s="227"/>
      <c r="IVT4" s="228"/>
      <c r="IVU4" s="226" t="s">
        <v>13330</v>
      </c>
      <c r="IVV4" s="227"/>
      <c r="IVW4" s="227"/>
      <c r="IVX4" s="228"/>
      <c r="IVY4" s="226" t="s">
        <v>13330</v>
      </c>
      <c r="IVZ4" s="227"/>
      <c r="IWA4" s="227"/>
      <c r="IWB4" s="228"/>
      <c r="IWC4" s="226" t="s">
        <v>13330</v>
      </c>
      <c r="IWD4" s="227"/>
      <c r="IWE4" s="227"/>
      <c r="IWF4" s="228"/>
      <c r="IWG4" s="226" t="s">
        <v>13330</v>
      </c>
      <c r="IWH4" s="227"/>
      <c r="IWI4" s="227"/>
      <c r="IWJ4" s="228"/>
      <c r="IWK4" s="226" t="s">
        <v>13330</v>
      </c>
      <c r="IWL4" s="227"/>
      <c r="IWM4" s="227"/>
      <c r="IWN4" s="228"/>
      <c r="IWO4" s="226" t="s">
        <v>13330</v>
      </c>
      <c r="IWP4" s="227"/>
      <c r="IWQ4" s="227"/>
      <c r="IWR4" s="228"/>
      <c r="IWS4" s="226" t="s">
        <v>13330</v>
      </c>
      <c r="IWT4" s="227"/>
      <c r="IWU4" s="227"/>
      <c r="IWV4" s="228"/>
      <c r="IWW4" s="226" t="s">
        <v>13330</v>
      </c>
      <c r="IWX4" s="227"/>
      <c r="IWY4" s="227"/>
      <c r="IWZ4" s="228"/>
      <c r="IXA4" s="226" t="s">
        <v>13330</v>
      </c>
      <c r="IXB4" s="227"/>
      <c r="IXC4" s="227"/>
      <c r="IXD4" s="228"/>
      <c r="IXE4" s="226" t="s">
        <v>13330</v>
      </c>
      <c r="IXF4" s="227"/>
      <c r="IXG4" s="227"/>
      <c r="IXH4" s="228"/>
      <c r="IXI4" s="226" t="s">
        <v>13330</v>
      </c>
      <c r="IXJ4" s="227"/>
      <c r="IXK4" s="227"/>
      <c r="IXL4" s="228"/>
      <c r="IXM4" s="226" t="s">
        <v>13330</v>
      </c>
      <c r="IXN4" s="227"/>
      <c r="IXO4" s="227"/>
      <c r="IXP4" s="228"/>
      <c r="IXQ4" s="226" t="s">
        <v>13330</v>
      </c>
      <c r="IXR4" s="227"/>
      <c r="IXS4" s="227"/>
      <c r="IXT4" s="228"/>
      <c r="IXU4" s="226" t="s">
        <v>13330</v>
      </c>
      <c r="IXV4" s="227"/>
      <c r="IXW4" s="227"/>
      <c r="IXX4" s="228"/>
      <c r="IXY4" s="226" t="s">
        <v>13330</v>
      </c>
      <c r="IXZ4" s="227"/>
      <c r="IYA4" s="227"/>
      <c r="IYB4" s="228"/>
      <c r="IYC4" s="226" t="s">
        <v>13330</v>
      </c>
      <c r="IYD4" s="227"/>
      <c r="IYE4" s="227"/>
      <c r="IYF4" s="228"/>
      <c r="IYG4" s="226" t="s">
        <v>13330</v>
      </c>
      <c r="IYH4" s="227"/>
      <c r="IYI4" s="227"/>
      <c r="IYJ4" s="228"/>
      <c r="IYK4" s="226" t="s">
        <v>13330</v>
      </c>
      <c r="IYL4" s="227"/>
      <c r="IYM4" s="227"/>
      <c r="IYN4" s="228"/>
      <c r="IYO4" s="226" t="s">
        <v>13330</v>
      </c>
      <c r="IYP4" s="227"/>
      <c r="IYQ4" s="227"/>
      <c r="IYR4" s="228"/>
      <c r="IYS4" s="226" t="s">
        <v>13330</v>
      </c>
      <c r="IYT4" s="227"/>
      <c r="IYU4" s="227"/>
      <c r="IYV4" s="228"/>
      <c r="IYW4" s="226" t="s">
        <v>13330</v>
      </c>
      <c r="IYX4" s="227"/>
      <c r="IYY4" s="227"/>
      <c r="IYZ4" s="228"/>
      <c r="IZA4" s="226" t="s">
        <v>13330</v>
      </c>
      <c r="IZB4" s="227"/>
      <c r="IZC4" s="227"/>
      <c r="IZD4" s="228"/>
      <c r="IZE4" s="226" t="s">
        <v>13330</v>
      </c>
      <c r="IZF4" s="227"/>
      <c r="IZG4" s="227"/>
      <c r="IZH4" s="228"/>
      <c r="IZI4" s="226" t="s">
        <v>13330</v>
      </c>
      <c r="IZJ4" s="227"/>
      <c r="IZK4" s="227"/>
      <c r="IZL4" s="228"/>
      <c r="IZM4" s="226" t="s">
        <v>13330</v>
      </c>
      <c r="IZN4" s="227"/>
      <c r="IZO4" s="227"/>
      <c r="IZP4" s="228"/>
      <c r="IZQ4" s="226" t="s">
        <v>13330</v>
      </c>
      <c r="IZR4" s="227"/>
      <c r="IZS4" s="227"/>
      <c r="IZT4" s="228"/>
      <c r="IZU4" s="226" t="s">
        <v>13330</v>
      </c>
      <c r="IZV4" s="227"/>
      <c r="IZW4" s="227"/>
      <c r="IZX4" s="228"/>
      <c r="IZY4" s="226" t="s">
        <v>13330</v>
      </c>
      <c r="IZZ4" s="227"/>
      <c r="JAA4" s="227"/>
      <c r="JAB4" s="228"/>
      <c r="JAC4" s="226" t="s">
        <v>13330</v>
      </c>
      <c r="JAD4" s="227"/>
      <c r="JAE4" s="227"/>
      <c r="JAF4" s="228"/>
      <c r="JAG4" s="226" t="s">
        <v>13330</v>
      </c>
      <c r="JAH4" s="227"/>
      <c r="JAI4" s="227"/>
      <c r="JAJ4" s="228"/>
      <c r="JAK4" s="226" t="s">
        <v>13330</v>
      </c>
      <c r="JAL4" s="227"/>
      <c r="JAM4" s="227"/>
      <c r="JAN4" s="228"/>
      <c r="JAO4" s="226" t="s">
        <v>13330</v>
      </c>
      <c r="JAP4" s="227"/>
      <c r="JAQ4" s="227"/>
      <c r="JAR4" s="228"/>
      <c r="JAS4" s="226" t="s">
        <v>13330</v>
      </c>
      <c r="JAT4" s="227"/>
      <c r="JAU4" s="227"/>
      <c r="JAV4" s="228"/>
      <c r="JAW4" s="226" t="s">
        <v>13330</v>
      </c>
      <c r="JAX4" s="227"/>
      <c r="JAY4" s="227"/>
      <c r="JAZ4" s="228"/>
      <c r="JBA4" s="226" t="s">
        <v>13330</v>
      </c>
      <c r="JBB4" s="227"/>
      <c r="JBC4" s="227"/>
      <c r="JBD4" s="228"/>
      <c r="JBE4" s="226" t="s">
        <v>13330</v>
      </c>
      <c r="JBF4" s="227"/>
      <c r="JBG4" s="227"/>
      <c r="JBH4" s="228"/>
      <c r="JBI4" s="226" t="s">
        <v>13330</v>
      </c>
      <c r="JBJ4" s="227"/>
      <c r="JBK4" s="227"/>
      <c r="JBL4" s="228"/>
      <c r="JBM4" s="226" t="s">
        <v>13330</v>
      </c>
      <c r="JBN4" s="227"/>
      <c r="JBO4" s="227"/>
      <c r="JBP4" s="228"/>
      <c r="JBQ4" s="226" t="s">
        <v>13330</v>
      </c>
      <c r="JBR4" s="227"/>
      <c r="JBS4" s="227"/>
      <c r="JBT4" s="228"/>
      <c r="JBU4" s="226" t="s">
        <v>13330</v>
      </c>
      <c r="JBV4" s="227"/>
      <c r="JBW4" s="227"/>
      <c r="JBX4" s="228"/>
      <c r="JBY4" s="226" t="s">
        <v>13330</v>
      </c>
      <c r="JBZ4" s="227"/>
      <c r="JCA4" s="227"/>
      <c r="JCB4" s="228"/>
      <c r="JCC4" s="226" t="s">
        <v>13330</v>
      </c>
      <c r="JCD4" s="227"/>
      <c r="JCE4" s="227"/>
      <c r="JCF4" s="228"/>
      <c r="JCG4" s="226" t="s">
        <v>13330</v>
      </c>
      <c r="JCH4" s="227"/>
      <c r="JCI4" s="227"/>
      <c r="JCJ4" s="228"/>
      <c r="JCK4" s="226" t="s">
        <v>13330</v>
      </c>
      <c r="JCL4" s="227"/>
      <c r="JCM4" s="227"/>
      <c r="JCN4" s="228"/>
      <c r="JCO4" s="226" t="s">
        <v>13330</v>
      </c>
      <c r="JCP4" s="227"/>
      <c r="JCQ4" s="227"/>
      <c r="JCR4" s="228"/>
      <c r="JCS4" s="226" t="s">
        <v>13330</v>
      </c>
      <c r="JCT4" s="227"/>
      <c r="JCU4" s="227"/>
      <c r="JCV4" s="228"/>
      <c r="JCW4" s="226" t="s">
        <v>13330</v>
      </c>
      <c r="JCX4" s="227"/>
      <c r="JCY4" s="227"/>
      <c r="JCZ4" s="228"/>
      <c r="JDA4" s="226" t="s">
        <v>13330</v>
      </c>
      <c r="JDB4" s="227"/>
      <c r="JDC4" s="227"/>
      <c r="JDD4" s="228"/>
      <c r="JDE4" s="226" t="s">
        <v>13330</v>
      </c>
      <c r="JDF4" s="227"/>
      <c r="JDG4" s="227"/>
      <c r="JDH4" s="228"/>
      <c r="JDI4" s="226" t="s">
        <v>13330</v>
      </c>
      <c r="JDJ4" s="227"/>
      <c r="JDK4" s="227"/>
      <c r="JDL4" s="228"/>
      <c r="JDM4" s="226" t="s">
        <v>13330</v>
      </c>
      <c r="JDN4" s="227"/>
      <c r="JDO4" s="227"/>
      <c r="JDP4" s="228"/>
      <c r="JDQ4" s="226" t="s">
        <v>13330</v>
      </c>
      <c r="JDR4" s="227"/>
      <c r="JDS4" s="227"/>
      <c r="JDT4" s="228"/>
      <c r="JDU4" s="226" t="s">
        <v>13330</v>
      </c>
      <c r="JDV4" s="227"/>
      <c r="JDW4" s="227"/>
      <c r="JDX4" s="228"/>
      <c r="JDY4" s="226" t="s">
        <v>13330</v>
      </c>
      <c r="JDZ4" s="227"/>
      <c r="JEA4" s="227"/>
      <c r="JEB4" s="228"/>
      <c r="JEC4" s="226" t="s">
        <v>13330</v>
      </c>
      <c r="JED4" s="227"/>
      <c r="JEE4" s="227"/>
      <c r="JEF4" s="228"/>
      <c r="JEG4" s="226" t="s">
        <v>13330</v>
      </c>
      <c r="JEH4" s="227"/>
      <c r="JEI4" s="227"/>
      <c r="JEJ4" s="228"/>
      <c r="JEK4" s="226" t="s">
        <v>13330</v>
      </c>
      <c r="JEL4" s="227"/>
      <c r="JEM4" s="227"/>
      <c r="JEN4" s="228"/>
      <c r="JEO4" s="226" t="s">
        <v>13330</v>
      </c>
      <c r="JEP4" s="227"/>
      <c r="JEQ4" s="227"/>
      <c r="JER4" s="228"/>
      <c r="JES4" s="226" t="s">
        <v>13330</v>
      </c>
      <c r="JET4" s="227"/>
      <c r="JEU4" s="227"/>
      <c r="JEV4" s="228"/>
      <c r="JEW4" s="226" t="s">
        <v>13330</v>
      </c>
      <c r="JEX4" s="227"/>
      <c r="JEY4" s="227"/>
      <c r="JEZ4" s="228"/>
      <c r="JFA4" s="226" t="s">
        <v>13330</v>
      </c>
      <c r="JFB4" s="227"/>
      <c r="JFC4" s="227"/>
      <c r="JFD4" s="228"/>
      <c r="JFE4" s="226" t="s">
        <v>13330</v>
      </c>
      <c r="JFF4" s="227"/>
      <c r="JFG4" s="227"/>
      <c r="JFH4" s="228"/>
      <c r="JFI4" s="226" t="s">
        <v>13330</v>
      </c>
      <c r="JFJ4" s="227"/>
      <c r="JFK4" s="227"/>
      <c r="JFL4" s="228"/>
      <c r="JFM4" s="226" t="s">
        <v>13330</v>
      </c>
      <c r="JFN4" s="227"/>
      <c r="JFO4" s="227"/>
      <c r="JFP4" s="228"/>
      <c r="JFQ4" s="226" t="s">
        <v>13330</v>
      </c>
      <c r="JFR4" s="227"/>
      <c r="JFS4" s="227"/>
      <c r="JFT4" s="228"/>
      <c r="JFU4" s="226" t="s">
        <v>13330</v>
      </c>
      <c r="JFV4" s="227"/>
      <c r="JFW4" s="227"/>
      <c r="JFX4" s="228"/>
      <c r="JFY4" s="226" t="s">
        <v>13330</v>
      </c>
      <c r="JFZ4" s="227"/>
      <c r="JGA4" s="227"/>
      <c r="JGB4" s="228"/>
      <c r="JGC4" s="226" t="s">
        <v>13330</v>
      </c>
      <c r="JGD4" s="227"/>
      <c r="JGE4" s="227"/>
      <c r="JGF4" s="228"/>
      <c r="JGG4" s="226" t="s">
        <v>13330</v>
      </c>
      <c r="JGH4" s="227"/>
      <c r="JGI4" s="227"/>
      <c r="JGJ4" s="228"/>
      <c r="JGK4" s="226" t="s">
        <v>13330</v>
      </c>
      <c r="JGL4" s="227"/>
      <c r="JGM4" s="227"/>
      <c r="JGN4" s="228"/>
      <c r="JGO4" s="226" t="s">
        <v>13330</v>
      </c>
      <c r="JGP4" s="227"/>
      <c r="JGQ4" s="227"/>
      <c r="JGR4" s="228"/>
      <c r="JGS4" s="226" t="s">
        <v>13330</v>
      </c>
      <c r="JGT4" s="227"/>
      <c r="JGU4" s="227"/>
      <c r="JGV4" s="228"/>
      <c r="JGW4" s="226" t="s">
        <v>13330</v>
      </c>
      <c r="JGX4" s="227"/>
      <c r="JGY4" s="227"/>
      <c r="JGZ4" s="228"/>
      <c r="JHA4" s="226" t="s">
        <v>13330</v>
      </c>
      <c r="JHB4" s="227"/>
      <c r="JHC4" s="227"/>
      <c r="JHD4" s="228"/>
      <c r="JHE4" s="226" t="s">
        <v>13330</v>
      </c>
      <c r="JHF4" s="227"/>
      <c r="JHG4" s="227"/>
      <c r="JHH4" s="228"/>
      <c r="JHI4" s="226" t="s">
        <v>13330</v>
      </c>
      <c r="JHJ4" s="227"/>
      <c r="JHK4" s="227"/>
      <c r="JHL4" s="228"/>
      <c r="JHM4" s="226" t="s">
        <v>13330</v>
      </c>
      <c r="JHN4" s="227"/>
      <c r="JHO4" s="227"/>
      <c r="JHP4" s="228"/>
      <c r="JHQ4" s="226" t="s">
        <v>13330</v>
      </c>
      <c r="JHR4" s="227"/>
      <c r="JHS4" s="227"/>
      <c r="JHT4" s="228"/>
      <c r="JHU4" s="226" t="s">
        <v>13330</v>
      </c>
      <c r="JHV4" s="227"/>
      <c r="JHW4" s="227"/>
      <c r="JHX4" s="228"/>
      <c r="JHY4" s="226" t="s">
        <v>13330</v>
      </c>
      <c r="JHZ4" s="227"/>
      <c r="JIA4" s="227"/>
      <c r="JIB4" s="228"/>
      <c r="JIC4" s="226" t="s">
        <v>13330</v>
      </c>
      <c r="JID4" s="227"/>
      <c r="JIE4" s="227"/>
      <c r="JIF4" s="228"/>
      <c r="JIG4" s="226" t="s">
        <v>13330</v>
      </c>
      <c r="JIH4" s="227"/>
      <c r="JII4" s="227"/>
      <c r="JIJ4" s="228"/>
      <c r="JIK4" s="226" t="s">
        <v>13330</v>
      </c>
      <c r="JIL4" s="227"/>
      <c r="JIM4" s="227"/>
      <c r="JIN4" s="228"/>
      <c r="JIO4" s="226" t="s">
        <v>13330</v>
      </c>
      <c r="JIP4" s="227"/>
      <c r="JIQ4" s="227"/>
      <c r="JIR4" s="228"/>
      <c r="JIS4" s="226" t="s">
        <v>13330</v>
      </c>
      <c r="JIT4" s="227"/>
      <c r="JIU4" s="227"/>
      <c r="JIV4" s="228"/>
      <c r="JIW4" s="226" t="s">
        <v>13330</v>
      </c>
      <c r="JIX4" s="227"/>
      <c r="JIY4" s="227"/>
      <c r="JIZ4" s="228"/>
      <c r="JJA4" s="226" t="s">
        <v>13330</v>
      </c>
      <c r="JJB4" s="227"/>
      <c r="JJC4" s="227"/>
      <c r="JJD4" s="228"/>
      <c r="JJE4" s="226" t="s">
        <v>13330</v>
      </c>
      <c r="JJF4" s="227"/>
      <c r="JJG4" s="227"/>
      <c r="JJH4" s="228"/>
      <c r="JJI4" s="226" t="s">
        <v>13330</v>
      </c>
      <c r="JJJ4" s="227"/>
      <c r="JJK4" s="227"/>
      <c r="JJL4" s="228"/>
      <c r="JJM4" s="226" t="s">
        <v>13330</v>
      </c>
      <c r="JJN4" s="227"/>
      <c r="JJO4" s="227"/>
      <c r="JJP4" s="228"/>
      <c r="JJQ4" s="226" t="s">
        <v>13330</v>
      </c>
      <c r="JJR4" s="227"/>
      <c r="JJS4" s="227"/>
      <c r="JJT4" s="228"/>
      <c r="JJU4" s="226" t="s">
        <v>13330</v>
      </c>
      <c r="JJV4" s="227"/>
      <c r="JJW4" s="227"/>
      <c r="JJX4" s="228"/>
      <c r="JJY4" s="226" t="s">
        <v>13330</v>
      </c>
      <c r="JJZ4" s="227"/>
      <c r="JKA4" s="227"/>
      <c r="JKB4" s="228"/>
      <c r="JKC4" s="226" t="s">
        <v>13330</v>
      </c>
      <c r="JKD4" s="227"/>
      <c r="JKE4" s="227"/>
      <c r="JKF4" s="228"/>
      <c r="JKG4" s="226" t="s">
        <v>13330</v>
      </c>
      <c r="JKH4" s="227"/>
      <c r="JKI4" s="227"/>
      <c r="JKJ4" s="228"/>
      <c r="JKK4" s="226" t="s">
        <v>13330</v>
      </c>
      <c r="JKL4" s="227"/>
      <c r="JKM4" s="227"/>
      <c r="JKN4" s="228"/>
      <c r="JKO4" s="226" t="s">
        <v>13330</v>
      </c>
      <c r="JKP4" s="227"/>
      <c r="JKQ4" s="227"/>
      <c r="JKR4" s="228"/>
      <c r="JKS4" s="226" t="s">
        <v>13330</v>
      </c>
      <c r="JKT4" s="227"/>
      <c r="JKU4" s="227"/>
      <c r="JKV4" s="228"/>
      <c r="JKW4" s="226" t="s">
        <v>13330</v>
      </c>
      <c r="JKX4" s="227"/>
      <c r="JKY4" s="227"/>
      <c r="JKZ4" s="228"/>
      <c r="JLA4" s="226" t="s">
        <v>13330</v>
      </c>
      <c r="JLB4" s="227"/>
      <c r="JLC4" s="227"/>
      <c r="JLD4" s="228"/>
      <c r="JLE4" s="226" t="s">
        <v>13330</v>
      </c>
      <c r="JLF4" s="227"/>
      <c r="JLG4" s="227"/>
      <c r="JLH4" s="228"/>
      <c r="JLI4" s="226" t="s">
        <v>13330</v>
      </c>
      <c r="JLJ4" s="227"/>
      <c r="JLK4" s="227"/>
      <c r="JLL4" s="228"/>
      <c r="JLM4" s="226" t="s">
        <v>13330</v>
      </c>
      <c r="JLN4" s="227"/>
      <c r="JLO4" s="227"/>
      <c r="JLP4" s="228"/>
      <c r="JLQ4" s="226" t="s">
        <v>13330</v>
      </c>
      <c r="JLR4" s="227"/>
      <c r="JLS4" s="227"/>
      <c r="JLT4" s="228"/>
      <c r="JLU4" s="226" t="s">
        <v>13330</v>
      </c>
      <c r="JLV4" s="227"/>
      <c r="JLW4" s="227"/>
      <c r="JLX4" s="228"/>
      <c r="JLY4" s="226" t="s">
        <v>13330</v>
      </c>
      <c r="JLZ4" s="227"/>
      <c r="JMA4" s="227"/>
      <c r="JMB4" s="228"/>
      <c r="JMC4" s="226" t="s">
        <v>13330</v>
      </c>
      <c r="JMD4" s="227"/>
      <c r="JME4" s="227"/>
      <c r="JMF4" s="228"/>
      <c r="JMG4" s="226" t="s">
        <v>13330</v>
      </c>
      <c r="JMH4" s="227"/>
      <c r="JMI4" s="227"/>
      <c r="JMJ4" s="228"/>
      <c r="JMK4" s="226" t="s">
        <v>13330</v>
      </c>
      <c r="JML4" s="227"/>
      <c r="JMM4" s="227"/>
      <c r="JMN4" s="228"/>
      <c r="JMO4" s="226" t="s">
        <v>13330</v>
      </c>
      <c r="JMP4" s="227"/>
      <c r="JMQ4" s="227"/>
      <c r="JMR4" s="228"/>
      <c r="JMS4" s="226" t="s">
        <v>13330</v>
      </c>
      <c r="JMT4" s="227"/>
      <c r="JMU4" s="227"/>
      <c r="JMV4" s="228"/>
      <c r="JMW4" s="226" t="s">
        <v>13330</v>
      </c>
      <c r="JMX4" s="227"/>
      <c r="JMY4" s="227"/>
      <c r="JMZ4" s="228"/>
      <c r="JNA4" s="226" t="s">
        <v>13330</v>
      </c>
      <c r="JNB4" s="227"/>
      <c r="JNC4" s="227"/>
      <c r="JND4" s="228"/>
      <c r="JNE4" s="226" t="s">
        <v>13330</v>
      </c>
      <c r="JNF4" s="227"/>
      <c r="JNG4" s="227"/>
      <c r="JNH4" s="228"/>
      <c r="JNI4" s="226" t="s">
        <v>13330</v>
      </c>
      <c r="JNJ4" s="227"/>
      <c r="JNK4" s="227"/>
      <c r="JNL4" s="228"/>
      <c r="JNM4" s="226" t="s">
        <v>13330</v>
      </c>
      <c r="JNN4" s="227"/>
      <c r="JNO4" s="227"/>
      <c r="JNP4" s="228"/>
      <c r="JNQ4" s="226" t="s">
        <v>13330</v>
      </c>
      <c r="JNR4" s="227"/>
      <c r="JNS4" s="227"/>
      <c r="JNT4" s="228"/>
      <c r="JNU4" s="226" t="s">
        <v>13330</v>
      </c>
      <c r="JNV4" s="227"/>
      <c r="JNW4" s="227"/>
      <c r="JNX4" s="228"/>
      <c r="JNY4" s="226" t="s">
        <v>13330</v>
      </c>
      <c r="JNZ4" s="227"/>
      <c r="JOA4" s="227"/>
      <c r="JOB4" s="228"/>
      <c r="JOC4" s="226" t="s">
        <v>13330</v>
      </c>
      <c r="JOD4" s="227"/>
      <c r="JOE4" s="227"/>
      <c r="JOF4" s="228"/>
      <c r="JOG4" s="226" t="s">
        <v>13330</v>
      </c>
      <c r="JOH4" s="227"/>
      <c r="JOI4" s="227"/>
      <c r="JOJ4" s="228"/>
      <c r="JOK4" s="226" t="s">
        <v>13330</v>
      </c>
      <c r="JOL4" s="227"/>
      <c r="JOM4" s="227"/>
      <c r="JON4" s="228"/>
      <c r="JOO4" s="226" t="s">
        <v>13330</v>
      </c>
      <c r="JOP4" s="227"/>
      <c r="JOQ4" s="227"/>
      <c r="JOR4" s="228"/>
      <c r="JOS4" s="226" t="s">
        <v>13330</v>
      </c>
      <c r="JOT4" s="227"/>
      <c r="JOU4" s="227"/>
      <c r="JOV4" s="228"/>
      <c r="JOW4" s="226" t="s">
        <v>13330</v>
      </c>
      <c r="JOX4" s="227"/>
      <c r="JOY4" s="227"/>
      <c r="JOZ4" s="228"/>
      <c r="JPA4" s="226" t="s">
        <v>13330</v>
      </c>
      <c r="JPB4" s="227"/>
      <c r="JPC4" s="227"/>
      <c r="JPD4" s="228"/>
      <c r="JPE4" s="226" t="s">
        <v>13330</v>
      </c>
      <c r="JPF4" s="227"/>
      <c r="JPG4" s="227"/>
      <c r="JPH4" s="228"/>
      <c r="JPI4" s="226" t="s">
        <v>13330</v>
      </c>
      <c r="JPJ4" s="227"/>
      <c r="JPK4" s="227"/>
      <c r="JPL4" s="228"/>
      <c r="JPM4" s="226" t="s">
        <v>13330</v>
      </c>
      <c r="JPN4" s="227"/>
      <c r="JPO4" s="227"/>
      <c r="JPP4" s="228"/>
      <c r="JPQ4" s="226" t="s">
        <v>13330</v>
      </c>
      <c r="JPR4" s="227"/>
      <c r="JPS4" s="227"/>
      <c r="JPT4" s="228"/>
      <c r="JPU4" s="226" t="s">
        <v>13330</v>
      </c>
      <c r="JPV4" s="227"/>
      <c r="JPW4" s="227"/>
      <c r="JPX4" s="228"/>
      <c r="JPY4" s="226" t="s">
        <v>13330</v>
      </c>
      <c r="JPZ4" s="227"/>
      <c r="JQA4" s="227"/>
      <c r="JQB4" s="228"/>
      <c r="JQC4" s="226" t="s">
        <v>13330</v>
      </c>
      <c r="JQD4" s="227"/>
      <c r="JQE4" s="227"/>
      <c r="JQF4" s="228"/>
      <c r="JQG4" s="226" t="s">
        <v>13330</v>
      </c>
      <c r="JQH4" s="227"/>
      <c r="JQI4" s="227"/>
      <c r="JQJ4" s="228"/>
      <c r="JQK4" s="226" t="s">
        <v>13330</v>
      </c>
      <c r="JQL4" s="227"/>
      <c r="JQM4" s="227"/>
      <c r="JQN4" s="228"/>
      <c r="JQO4" s="226" t="s">
        <v>13330</v>
      </c>
      <c r="JQP4" s="227"/>
      <c r="JQQ4" s="227"/>
      <c r="JQR4" s="228"/>
      <c r="JQS4" s="226" t="s">
        <v>13330</v>
      </c>
      <c r="JQT4" s="227"/>
      <c r="JQU4" s="227"/>
      <c r="JQV4" s="228"/>
      <c r="JQW4" s="226" t="s">
        <v>13330</v>
      </c>
      <c r="JQX4" s="227"/>
      <c r="JQY4" s="227"/>
      <c r="JQZ4" s="228"/>
      <c r="JRA4" s="226" t="s">
        <v>13330</v>
      </c>
      <c r="JRB4" s="227"/>
      <c r="JRC4" s="227"/>
      <c r="JRD4" s="228"/>
      <c r="JRE4" s="226" t="s">
        <v>13330</v>
      </c>
      <c r="JRF4" s="227"/>
      <c r="JRG4" s="227"/>
      <c r="JRH4" s="228"/>
      <c r="JRI4" s="226" t="s">
        <v>13330</v>
      </c>
      <c r="JRJ4" s="227"/>
      <c r="JRK4" s="227"/>
      <c r="JRL4" s="228"/>
      <c r="JRM4" s="226" t="s">
        <v>13330</v>
      </c>
      <c r="JRN4" s="227"/>
      <c r="JRO4" s="227"/>
      <c r="JRP4" s="228"/>
      <c r="JRQ4" s="226" t="s">
        <v>13330</v>
      </c>
      <c r="JRR4" s="227"/>
      <c r="JRS4" s="227"/>
      <c r="JRT4" s="228"/>
      <c r="JRU4" s="226" t="s">
        <v>13330</v>
      </c>
      <c r="JRV4" s="227"/>
      <c r="JRW4" s="227"/>
      <c r="JRX4" s="228"/>
      <c r="JRY4" s="226" t="s">
        <v>13330</v>
      </c>
      <c r="JRZ4" s="227"/>
      <c r="JSA4" s="227"/>
      <c r="JSB4" s="228"/>
      <c r="JSC4" s="226" t="s">
        <v>13330</v>
      </c>
      <c r="JSD4" s="227"/>
      <c r="JSE4" s="227"/>
      <c r="JSF4" s="228"/>
      <c r="JSG4" s="226" t="s">
        <v>13330</v>
      </c>
      <c r="JSH4" s="227"/>
      <c r="JSI4" s="227"/>
      <c r="JSJ4" s="228"/>
      <c r="JSK4" s="226" t="s">
        <v>13330</v>
      </c>
      <c r="JSL4" s="227"/>
      <c r="JSM4" s="227"/>
      <c r="JSN4" s="228"/>
      <c r="JSO4" s="226" t="s">
        <v>13330</v>
      </c>
      <c r="JSP4" s="227"/>
      <c r="JSQ4" s="227"/>
      <c r="JSR4" s="228"/>
      <c r="JSS4" s="226" t="s">
        <v>13330</v>
      </c>
      <c r="JST4" s="227"/>
      <c r="JSU4" s="227"/>
      <c r="JSV4" s="228"/>
      <c r="JSW4" s="226" t="s">
        <v>13330</v>
      </c>
      <c r="JSX4" s="227"/>
      <c r="JSY4" s="227"/>
      <c r="JSZ4" s="228"/>
      <c r="JTA4" s="226" t="s">
        <v>13330</v>
      </c>
      <c r="JTB4" s="227"/>
      <c r="JTC4" s="227"/>
      <c r="JTD4" s="228"/>
      <c r="JTE4" s="226" t="s">
        <v>13330</v>
      </c>
      <c r="JTF4" s="227"/>
      <c r="JTG4" s="227"/>
      <c r="JTH4" s="228"/>
      <c r="JTI4" s="226" t="s">
        <v>13330</v>
      </c>
      <c r="JTJ4" s="227"/>
      <c r="JTK4" s="227"/>
      <c r="JTL4" s="228"/>
      <c r="JTM4" s="226" t="s">
        <v>13330</v>
      </c>
      <c r="JTN4" s="227"/>
      <c r="JTO4" s="227"/>
      <c r="JTP4" s="228"/>
      <c r="JTQ4" s="226" t="s">
        <v>13330</v>
      </c>
      <c r="JTR4" s="227"/>
      <c r="JTS4" s="227"/>
      <c r="JTT4" s="228"/>
      <c r="JTU4" s="226" t="s">
        <v>13330</v>
      </c>
      <c r="JTV4" s="227"/>
      <c r="JTW4" s="227"/>
      <c r="JTX4" s="228"/>
      <c r="JTY4" s="226" t="s">
        <v>13330</v>
      </c>
      <c r="JTZ4" s="227"/>
      <c r="JUA4" s="227"/>
      <c r="JUB4" s="228"/>
      <c r="JUC4" s="226" t="s">
        <v>13330</v>
      </c>
      <c r="JUD4" s="227"/>
      <c r="JUE4" s="227"/>
      <c r="JUF4" s="228"/>
      <c r="JUG4" s="226" t="s">
        <v>13330</v>
      </c>
      <c r="JUH4" s="227"/>
      <c r="JUI4" s="227"/>
      <c r="JUJ4" s="228"/>
      <c r="JUK4" s="226" t="s">
        <v>13330</v>
      </c>
      <c r="JUL4" s="227"/>
      <c r="JUM4" s="227"/>
      <c r="JUN4" s="228"/>
      <c r="JUO4" s="226" t="s">
        <v>13330</v>
      </c>
      <c r="JUP4" s="227"/>
      <c r="JUQ4" s="227"/>
      <c r="JUR4" s="228"/>
      <c r="JUS4" s="226" t="s">
        <v>13330</v>
      </c>
      <c r="JUT4" s="227"/>
      <c r="JUU4" s="227"/>
      <c r="JUV4" s="228"/>
      <c r="JUW4" s="226" t="s">
        <v>13330</v>
      </c>
      <c r="JUX4" s="227"/>
      <c r="JUY4" s="227"/>
      <c r="JUZ4" s="228"/>
      <c r="JVA4" s="226" t="s">
        <v>13330</v>
      </c>
      <c r="JVB4" s="227"/>
      <c r="JVC4" s="227"/>
      <c r="JVD4" s="228"/>
      <c r="JVE4" s="226" t="s">
        <v>13330</v>
      </c>
      <c r="JVF4" s="227"/>
      <c r="JVG4" s="227"/>
      <c r="JVH4" s="228"/>
      <c r="JVI4" s="226" t="s">
        <v>13330</v>
      </c>
      <c r="JVJ4" s="227"/>
      <c r="JVK4" s="227"/>
      <c r="JVL4" s="228"/>
      <c r="JVM4" s="226" t="s">
        <v>13330</v>
      </c>
      <c r="JVN4" s="227"/>
      <c r="JVO4" s="227"/>
      <c r="JVP4" s="228"/>
      <c r="JVQ4" s="226" t="s">
        <v>13330</v>
      </c>
      <c r="JVR4" s="227"/>
      <c r="JVS4" s="227"/>
      <c r="JVT4" s="228"/>
      <c r="JVU4" s="226" t="s">
        <v>13330</v>
      </c>
      <c r="JVV4" s="227"/>
      <c r="JVW4" s="227"/>
      <c r="JVX4" s="228"/>
      <c r="JVY4" s="226" t="s">
        <v>13330</v>
      </c>
      <c r="JVZ4" s="227"/>
      <c r="JWA4" s="227"/>
      <c r="JWB4" s="228"/>
      <c r="JWC4" s="226" t="s">
        <v>13330</v>
      </c>
      <c r="JWD4" s="227"/>
      <c r="JWE4" s="227"/>
      <c r="JWF4" s="228"/>
      <c r="JWG4" s="226" t="s">
        <v>13330</v>
      </c>
      <c r="JWH4" s="227"/>
      <c r="JWI4" s="227"/>
      <c r="JWJ4" s="228"/>
      <c r="JWK4" s="226" t="s">
        <v>13330</v>
      </c>
      <c r="JWL4" s="227"/>
      <c r="JWM4" s="227"/>
      <c r="JWN4" s="228"/>
      <c r="JWO4" s="226" t="s">
        <v>13330</v>
      </c>
      <c r="JWP4" s="227"/>
      <c r="JWQ4" s="227"/>
      <c r="JWR4" s="228"/>
      <c r="JWS4" s="226" t="s">
        <v>13330</v>
      </c>
      <c r="JWT4" s="227"/>
      <c r="JWU4" s="227"/>
      <c r="JWV4" s="228"/>
      <c r="JWW4" s="226" t="s">
        <v>13330</v>
      </c>
      <c r="JWX4" s="227"/>
      <c r="JWY4" s="227"/>
      <c r="JWZ4" s="228"/>
      <c r="JXA4" s="226" t="s">
        <v>13330</v>
      </c>
      <c r="JXB4" s="227"/>
      <c r="JXC4" s="227"/>
      <c r="JXD4" s="228"/>
      <c r="JXE4" s="226" t="s">
        <v>13330</v>
      </c>
      <c r="JXF4" s="227"/>
      <c r="JXG4" s="227"/>
      <c r="JXH4" s="228"/>
      <c r="JXI4" s="226" t="s">
        <v>13330</v>
      </c>
      <c r="JXJ4" s="227"/>
      <c r="JXK4" s="227"/>
      <c r="JXL4" s="228"/>
      <c r="JXM4" s="226" t="s">
        <v>13330</v>
      </c>
      <c r="JXN4" s="227"/>
      <c r="JXO4" s="227"/>
      <c r="JXP4" s="228"/>
      <c r="JXQ4" s="226" t="s">
        <v>13330</v>
      </c>
      <c r="JXR4" s="227"/>
      <c r="JXS4" s="227"/>
      <c r="JXT4" s="228"/>
      <c r="JXU4" s="226" t="s">
        <v>13330</v>
      </c>
      <c r="JXV4" s="227"/>
      <c r="JXW4" s="227"/>
      <c r="JXX4" s="228"/>
      <c r="JXY4" s="226" t="s">
        <v>13330</v>
      </c>
      <c r="JXZ4" s="227"/>
      <c r="JYA4" s="227"/>
      <c r="JYB4" s="228"/>
      <c r="JYC4" s="226" t="s">
        <v>13330</v>
      </c>
      <c r="JYD4" s="227"/>
      <c r="JYE4" s="227"/>
      <c r="JYF4" s="228"/>
      <c r="JYG4" s="226" t="s">
        <v>13330</v>
      </c>
      <c r="JYH4" s="227"/>
      <c r="JYI4" s="227"/>
      <c r="JYJ4" s="228"/>
      <c r="JYK4" s="226" t="s">
        <v>13330</v>
      </c>
      <c r="JYL4" s="227"/>
      <c r="JYM4" s="227"/>
      <c r="JYN4" s="228"/>
      <c r="JYO4" s="226" t="s">
        <v>13330</v>
      </c>
      <c r="JYP4" s="227"/>
      <c r="JYQ4" s="227"/>
      <c r="JYR4" s="228"/>
      <c r="JYS4" s="226" t="s">
        <v>13330</v>
      </c>
      <c r="JYT4" s="227"/>
      <c r="JYU4" s="227"/>
      <c r="JYV4" s="228"/>
      <c r="JYW4" s="226" t="s">
        <v>13330</v>
      </c>
      <c r="JYX4" s="227"/>
      <c r="JYY4" s="227"/>
      <c r="JYZ4" s="228"/>
      <c r="JZA4" s="226" t="s">
        <v>13330</v>
      </c>
      <c r="JZB4" s="227"/>
      <c r="JZC4" s="227"/>
      <c r="JZD4" s="228"/>
      <c r="JZE4" s="226" t="s">
        <v>13330</v>
      </c>
      <c r="JZF4" s="227"/>
      <c r="JZG4" s="227"/>
      <c r="JZH4" s="228"/>
      <c r="JZI4" s="226" t="s">
        <v>13330</v>
      </c>
      <c r="JZJ4" s="227"/>
      <c r="JZK4" s="227"/>
      <c r="JZL4" s="228"/>
      <c r="JZM4" s="226" t="s">
        <v>13330</v>
      </c>
      <c r="JZN4" s="227"/>
      <c r="JZO4" s="227"/>
      <c r="JZP4" s="228"/>
      <c r="JZQ4" s="226" t="s">
        <v>13330</v>
      </c>
      <c r="JZR4" s="227"/>
      <c r="JZS4" s="227"/>
      <c r="JZT4" s="228"/>
      <c r="JZU4" s="226" t="s">
        <v>13330</v>
      </c>
      <c r="JZV4" s="227"/>
      <c r="JZW4" s="227"/>
      <c r="JZX4" s="228"/>
      <c r="JZY4" s="226" t="s">
        <v>13330</v>
      </c>
      <c r="JZZ4" s="227"/>
      <c r="KAA4" s="227"/>
      <c r="KAB4" s="228"/>
      <c r="KAC4" s="226" t="s">
        <v>13330</v>
      </c>
      <c r="KAD4" s="227"/>
      <c r="KAE4" s="227"/>
      <c r="KAF4" s="228"/>
      <c r="KAG4" s="226" t="s">
        <v>13330</v>
      </c>
      <c r="KAH4" s="227"/>
      <c r="KAI4" s="227"/>
      <c r="KAJ4" s="228"/>
      <c r="KAK4" s="226" t="s">
        <v>13330</v>
      </c>
      <c r="KAL4" s="227"/>
      <c r="KAM4" s="227"/>
      <c r="KAN4" s="228"/>
      <c r="KAO4" s="226" t="s">
        <v>13330</v>
      </c>
      <c r="KAP4" s="227"/>
      <c r="KAQ4" s="227"/>
      <c r="KAR4" s="228"/>
      <c r="KAS4" s="226" t="s">
        <v>13330</v>
      </c>
      <c r="KAT4" s="227"/>
      <c r="KAU4" s="227"/>
      <c r="KAV4" s="228"/>
      <c r="KAW4" s="226" t="s">
        <v>13330</v>
      </c>
      <c r="KAX4" s="227"/>
      <c r="KAY4" s="227"/>
      <c r="KAZ4" s="228"/>
      <c r="KBA4" s="226" t="s">
        <v>13330</v>
      </c>
      <c r="KBB4" s="227"/>
      <c r="KBC4" s="227"/>
      <c r="KBD4" s="228"/>
      <c r="KBE4" s="226" t="s">
        <v>13330</v>
      </c>
      <c r="KBF4" s="227"/>
      <c r="KBG4" s="227"/>
      <c r="KBH4" s="228"/>
      <c r="KBI4" s="226" t="s">
        <v>13330</v>
      </c>
      <c r="KBJ4" s="227"/>
      <c r="KBK4" s="227"/>
      <c r="KBL4" s="228"/>
      <c r="KBM4" s="226" t="s">
        <v>13330</v>
      </c>
      <c r="KBN4" s="227"/>
      <c r="KBO4" s="227"/>
      <c r="KBP4" s="228"/>
      <c r="KBQ4" s="226" t="s">
        <v>13330</v>
      </c>
      <c r="KBR4" s="227"/>
      <c r="KBS4" s="227"/>
      <c r="KBT4" s="228"/>
      <c r="KBU4" s="226" t="s">
        <v>13330</v>
      </c>
      <c r="KBV4" s="227"/>
      <c r="KBW4" s="227"/>
      <c r="KBX4" s="228"/>
      <c r="KBY4" s="226" t="s">
        <v>13330</v>
      </c>
      <c r="KBZ4" s="227"/>
      <c r="KCA4" s="227"/>
      <c r="KCB4" s="228"/>
      <c r="KCC4" s="226" t="s">
        <v>13330</v>
      </c>
      <c r="KCD4" s="227"/>
      <c r="KCE4" s="227"/>
      <c r="KCF4" s="228"/>
      <c r="KCG4" s="226" t="s">
        <v>13330</v>
      </c>
      <c r="KCH4" s="227"/>
      <c r="KCI4" s="227"/>
      <c r="KCJ4" s="228"/>
      <c r="KCK4" s="226" t="s">
        <v>13330</v>
      </c>
      <c r="KCL4" s="227"/>
      <c r="KCM4" s="227"/>
      <c r="KCN4" s="228"/>
      <c r="KCO4" s="226" t="s">
        <v>13330</v>
      </c>
      <c r="KCP4" s="227"/>
      <c r="KCQ4" s="227"/>
      <c r="KCR4" s="228"/>
      <c r="KCS4" s="226" t="s">
        <v>13330</v>
      </c>
      <c r="KCT4" s="227"/>
      <c r="KCU4" s="227"/>
      <c r="KCV4" s="228"/>
      <c r="KCW4" s="226" t="s">
        <v>13330</v>
      </c>
      <c r="KCX4" s="227"/>
      <c r="KCY4" s="227"/>
      <c r="KCZ4" s="228"/>
      <c r="KDA4" s="226" t="s">
        <v>13330</v>
      </c>
      <c r="KDB4" s="227"/>
      <c r="KDC4" s="227"/>
      <c r="KDD4" s="228"/>
      <c r="KDE4" s="226" t="s">
        <v>13330</v>
      </c>
      <c r="KDF4" s="227"/>
      <c r="KDG4" s="227"/>
      <c r="KDH4" s="228"/>
      <c r="KDI4" s="226" t="s">
        <v>13330</v>
      </c>
      <c r="KDJ4" s="227"/>
      <c r="KDK4" s="227"/>
      <c r="KDL4" s="228"/>
      <c r="KDM4" s="226" t="s">
        <v>13330</v>
      </c>
      <c r="KDN4" s="227"/>
      <c r="KDO4" s="227"/>
      <c r="KDP4" s="228"/>
      <c r="KDQ4" s="226" t="s">
        <v>13330</v>
      </c>
      <c r="KDR4" s="227"/>
      <c r="KDS4" s="227"/>
      <c r="KDT4" s="228"/>
      <c r="KDU4" s="226" t="s">
        <v>13330</v>
      </c>
      <c r="KDV4" s="227"/>
      <c r="KDW4" s="227"/>
      <c r="KDX4" s="228"/>
      <c r="KDY4" s="226" t="s">
        <v>13330</v>
      </c>
      <c r="KDZ4" s="227"/>
      <c r="KEA4" s="227"/>
      <c r="KEB4" s="228"/>
      <c r="KEC4" s="226" t="s">
        <v>13330</v>
      </c>
      <c r="KED4" s="227"/>
      <c r="KEE4" s="227"/>
      <c r="KEF4" s="228"/>
      <c r="KEG4" s="226" t="s">
        <v>13330</v>
      </c>
      <c r="KEH4" s="227"/>
      <c r="KEI4" s="227"/>
      <c r="KEJ4" s="228"/>
      <c r="KEK4" s="226" t="s">
        <v>13330</v>
      </c>
      <c r="KEL4" s="227"/>
      <c r="KEM4" s="227"/>
      <c r="KEN4" s="228"/>
      <c r="KEO4" s="226" t="s">
        <v>13330</v>
      </c>
      <c r="KEP4" s="227"/>
      <c r="KEQ4" s="227"/>
      <c r="KER4" s="228"/>
      <c r="KES4" s="226" t="s">
        <v>13330</v>
      </c>
      <c r="KET4" s="227"/>
      <c r="KEU4" s="227"/>
      <c r="KEV4" s="228"/>
      <c r="KEW4" s="226" t="s">
        <v>13330</v>
      </c>
      <c r="KEX4" s="227"/>
      <c r="KEY4" s="227"/>
      <c r="KEZ4" s="228"/>
      <c r="KFA4" s="226" t="s">
        <v>13330</v>
      </c>
      <c r="KFB4" s="227"/>
      <c r="KFC4" s="227"/>
      <c r="KFD4" s="228"/>
      <c r="KFE4" s="226" t="s">
        <v>13330</v>
      </c>
      <c r="KFF4" s="227"/>
      <c r="KFG4" s="227"/>
      <c r="KFH4" s="228"/>
      <c r="KFI4" s="226" t="s">
        <v>13330</v>
      </c>
      <c r="KFJ4" s="227"/>
      <c r="KFK4" s="227"/>
      <c r="KFL4" s="228"/>
      <c r="KFM4" s="226" t="s">
        <v>13330</v>
      </c>
      <c r="KFN4" s="227"/>
      <c r="KFO4" s="227"/>
      <c r="KFP4" s="228"/>
      <c r="KFQ4" s="226" t="s">
        <v>13330</v>
      </c>
      <c r="KFR4" s="227"/>
      <c r="KFS4" s="227"/>
      <c r="KFT4" s="228"/>
      <c r="KFU4" s="226" t="s">
        <v>13330</v>
      </c>
      <c r="KFV4" s="227"/>
      <c r="KFW4" s="227"/>
      <c r="KFX4" s="228"/>
      <c r="KFY4" s="226" t="s">
        <v>13330</v>
      </c>
      <c r="KFZ4" s="227"/>
      <c r="KGA4" s="227"/>
      <c r="KGB4" s="228"/>
      <c r="KGC4" s="226" t="s">
        <v>13330</v>
      </c>
      <c r="KGD4" s="227"/>
      <c r="KGE4" s="227"/>
      <c r="KGF4" s="228"/>
      <c r="KGG4" s="226" t="s">
        <v>13330</v>
      </c>
      <c r="KGH4" s="227"/>
      <c r="KGI4" s="227"/>
      <c r="KGJ4" s="228"/>
      <c r="KGK4" s="226" t="s">
        <v>13330</v>
      </c>
      <c r="KGL4" s="227"/>
      <c r="KGM4" s="227"/>
      <c r="KGN4" s="228"/>
      <c r="KGO4" s="226" t="s">
        <v>13330</v>
      </c>
      <c r="KGP4" s="227"/>
      <c r="KGQ4" s="227"/>
      <c r="KGR4" s="228"/>
      <c r="KGS4" s="226" t="s">
        <v>13330</v>
      </c>
      <c r="KGT4" s="227"/>
      <c r="KGU4" s="227"/>
      <c r="KGV4" s="228"/>
      <c r="KGW4" s="226" t="s">
        <v>13330</v>
      </c>
      <c r="KGX4" s="227"/>
      <c r="KGY4" s="227"/>
      <c r="KGZ4" s="228"/>
      <c r="KHA4" s="226" t="s">
        <v>13330</v>
      </c>
      <c r="KHB4" s="227"/>
      <c r="KHC4" s="227"/>
      <c r="KHD4" s="228"/>
      <c r="KHE4" s="226" t="s">
        <v>13330</v>
      </c>
      <c r="KHF4" s="227"/>
      <c r="KHG4" s="227"/>
      <c r="KHH4" s="228"/>
      <c r="KHI4" s="226" t="s">
        <v>13330</v>
      </c>
      <c r="KHJ4" s="227"/>
      <c r="KHK4" s="227"/>
      <c r="KHL4" s="228"/>
      <c r="KHM4" s="226" t="s">
        <v>13330</v>
      </c>
      <c r="KHN4" s="227"/>
      <c r="KHO4" s="227"/>
      <c r="KHP4" s="228"/>
      <c r="KHQ4" s="226" t="s">
        <v>13330</v>
      </c>
      <c r="KHR4" s="227"/>
      <c r="KHS4" s="227"/>
      <c r="KHT4" s="228"/>
      <c r="KHU4" s="226" t="s">
        <v>13330</v>
      </c>
      <c r="KHV4" s="227"/>
      <c r="KHW4" s="227"/>
      <c r="KHX4" s="228"/>
      <c r="KHY4" s="226" t="s">
        <v>13330</v>
      </c>
      <c r="KHZ4" s="227"/>
      <c r="KIA4" s="227"/>
      <c r="KIB4" s="228"/>
      <c r="KIC4" s="226" t="s">
        <v>13330</v>
      </c>
      <c r="KID4" s="227"/>
      <c r="KIE4" s="227"/>
      <c r="KIF4" s="228"/>
      <c r="KIG4" s="226" t="s">
        <v>13330</v>
      </c>
      <c r="KIH4" s="227"/>
      <c r="KII4" s="227"/>
      <c r="KIJ4" s="228"/>
      <c r="KIK4" s="226" t="s">
        <v>13330</v>
      </c>
      <c r="KIL4" s="227"/>
      <c r="KIM4" s="227"/>
      <c r="KIN4" s="228"/>
      <c r="KIO4" s="226" t="s">
        <v>13330</v>
      </c>
      <c r="KIP4" s="227"/>
      <c r="KIQ4" s="227"/>
      <c r="KIR4" s="228"/>
      <c r="KIS4" s="226" t="s">
        <v>13330</v>
      </c>
      <c r="KIT4" s="227"/>
      <c r="KIU4" s="227"/>
      <c r="KIV4" s="228"/>
      <c r="KIW4" s="226" t="s">
        <v>13330</v>
      </c>
      <c r="KIX4" s="227"/>
      <c r="KIY4" s="227"/>
      <c r="KIZ4" s="228"/>
      <c r="KJA4" s="226" t="s">
        <v>13330</v>
      </c>
      <c r="KJB4" s="227"/>
      <c r="KJC4" s="227"/>
      <c r="KJD4" s="228"/>
      <c r="KJE4" s="226" t="s">
        <v>13330</v>
      </c>
      <c r="KJF4" s="227"/>
      <c r="KJG4" s="227"/>
      <c r="KJH4" s="228"/>
      <c r="KJI4" s="226" t="s">
        <v>13330</v>
      </c>
      <c r="KJJ4" s="227"/>
      <c r="KJK4" s="227"/>
      <c r="KJL4" s="228"/>
      <c r="KJM4" s="226" t="s">
        <v>13330</v>
      </c>
      <c r="KJN4" s="227"/>
      <c r="KJO4" s="227"/>
      <c r="KJP4" s="228"/>
      <c r="KJQ4" s="226" t="s">
        <v>13330</v>
      </c>
      <c r="KJR4" s="227"/>
      <c r="KJS4" s="227"/>
      <c r="KJT4" s="228"/>
      <c r="KJU4" s="226" t="s">
        <v>13330</v>
      </c>
      <c r="KJV4" s="227"/>
      <c r="KJW4" s="227"/>
      <c r="KJX4" s="228"/>
      <c r="KJY4" s="226" t="s">
        <v>13330</v>
      </c>
      <c r="KJZ4" s="227"/>
      <c r="KKA4" s="227"/>
      <c r="KKB4" s="228"/>
      <c r="KKC4" s="226" t="s">
        <v>13330</v>
      </c>
      <c r="KKD4" s="227"/>
      <c r="KKE4" s="227"/>
      <c r="KKF4" s="228"/>
      <c r="KKG4" s="226" t="s">
        <v>13330</v>
      </c>
      <c r="KKH4" s="227"/>
      <c r="KKI4" s="227"/>
      <c r="KKJ4" s="228"/>
      <c r="KKK4" s="226" t="s">
        <v>13330</v>
      </c>
      <c r="KKL4" s="227"/>
      <c r="KKM4" s="227"/>
      <c r="KKN4" s="228"/>
      <c r="KKO4" s="226" t="s">
        <v>13330</v>
      </c>
      <c r="KKP4" s="227"/>
      <c r="KKQ4" s="227"/>
      <c r="KKR4" s="228"/>
      <c r="KKS4" s="226" t="s">
        <v>13330</v>
      </c>
      <c r="KKT4" s="227"/>
      <c r="KKU4" s="227"/>
      <c r="KKV4" s="228"/>
      <c r="KKW4" s="226" t="s">
        <v>13330</v>
      </c>
      <c r="KKX4" s="227"/>
      <c r="KKY4" s="227"/>
      <c r="KKZ4" s="228"/>
      <c r="KLA4" s="226" t="s">
        <v>13330</v>
      </c>
      <c r="KLB4" s="227"/>
      <c r="KLC4" s="227"/>
      <c r="KLD4" s="228"/>
      <c r="KLE4" s="226" t="s">
        <v>13330</v>
      </c>
      <c r="KLF4" s="227"/>
      <c r="KLG4" s="227"/>
      <c r="KLH4" s="228"/>
      <c r="KLI4" s="226" t="s">
        <v>13330</v>
      </c>
      <c r="KLJ4" s="227"/>
      <c r="KLK4" s="227"/>
      <c r="KLL4" s="228"/>
      <c r="KLM4" s="226" t="s">
        <v>13330</v>
      </c>
      <c r="KLN4" s="227"/>
      <c r="KLO4" s="227"/>
      <c r="KLP4" s="228"/>
      <c r="KLQ4" s="226" t="s">
        <v>13330</v>
      </c>
      <c r="KLR4" s="227"/>
      <c r="KLS4" s="227"/>
      <c r="KLT4" s="228"/>
      <c r="KLU4" s="226" t="s">
        <v>13330</v>
      </c>
      <c r="KLV4" s="227"/>
      <c r="KLW4" s="227"/>
      <c r="KLX4" s="228"/>
      <c r="KLY4" s="226" t="s">
        <v>13330</v>
      </c>
      <c r="KLZ4" s="227"/>
      <c r="KMA4" s="227"/>
      <c r="KMB4" s="228"/>
      <c r="KMC4" s="226" t="s">
        <v>13330</v>
      </c>
      <c r="KMD4" s="227"/>
      <c r="KME4" s="227"/>
      <c r="KMF4" s="228"/>
      <c r="KMG4" s="226" t="s">
        <v>13330</v>
      </c>
      <c r="KMH4" s="227"/>
      <c r="KMI4" s="227"/>
      <c r="KMJ4" s="228"/>
      <c r="KMK4" s="226" t="s">
        <v>13330</v>
      </c>
      <c r="KML4" s="227"/>
      <c r="KMM4" s="227"/>
      <c r="KMN4" s="228"/>
      <c r="KMO4" s="226" t="s">
        <v>13330</v>
      </c>
      <c r="KMP4" s="227"/>
      <c r="KMQ4" s="227"/>
      <c r="KMR4" s="228"/>
      <c r="KMS4" s="226" t="s">
        <v>13330</v>
      </c>
      <c r="KMT4" s="227"/>
      <c r="KMU4" s="227"/>
      <c r="KMV4" s="228"/>
      <c r="KMW4" s="226" t="s">
        <v>13330</v>
      </c>
      <c r="KMX4" s="227"/>
      <c r="KMY4" s="227"/>
      <c r="KMZ4" s="228"/>
      <c r="KNA4" s="226" t="s">
        <v>13330</v>
      </c>
      <c r="KNB4" s="227"/>
      <c r="KNC4" s="227"/>
      <c r="KND4" s="228"/>
      <c r="KNE4" s="226" t="s">
        <v>13330</v>
      </c>
      <c r="KNF4" s="227"/>
      <c r="KNG4" s="227"/>
      <c r="KNH4" s="228"/>
      <c r="KNI4" s="226" t="s">
        <v>13330</v>
      </c>
      <c r="KNJ4" s="227"/>
      <c r="KNK4" s="227"/>
      <c r="KNL4" s="228"/>
      <c r="KNM4" s="226" t="s">
        <v>13330</v>
      </c>
      <c r="KNN4" s="227"/>
      <c r="KNO4" s="227"/>
      <c r="KNP4" s="228"/>
      <c r="KNQ4" s="226" t="s">
        <v>13330</v>
      </c>
      <c r="KNR4" s="227"/>
      <c r="KNS4" s="227"/>
      <c r="KNT4" s="228"/>
      <c r="KNU4" s="226" t="s">
        <v>13330</v>
      </c>
      <c r="KNV4" s="227"/>
      <c r="KNW4" s="227"/>
      <c r="KNX4" s="228"/>
      <c r="KNY4" s="226" t="s">
        <v>13330</v>
      </c>
      <c r="KNZ4" s="227"/>
      <c r="KOA4" s="227"/>
      <c r="KOB4" s="228"/>
      <c r="KOC4" s="226" t="s">
        <v>13330</v>
      </c>
      <c r="KOD4" s="227"/>
      <c r="KOE4" s="227"/>
      <c r="KOF4" s="228"/>
      <c r="KOG4" s="226" t="s">
        <v>13330</v>
      </c>
      <c r="KOH4" s="227"/>
      <c r="KOI4" s="227"/>
      <c r="KOJ4" s="228"/>
      <c r="KOK4" s="226" t="s">
        <v>13330</v>
      </c>
      <c r="KOL4" s="227"/>
      <c r="KOM4" s="227"/>
      <c r="KON4" s="228"/>
      <c r="KOO4" s="226" t="s">
        <v>13330</v>
      </c>
      <c r="KOP4" s="227"/>
      <c r="KOQ4" s="227"/>
      <c r="KOR4" s="228"/>
      <c r="KOS4" s="226" t="s">
        <v>13330</v>
      </c>
      <c r="KOT4" s="227"/>
      <c r="KOU4" s="227"/>
      <c r="KOV4" s="228"/>
      <c r="KOW4" s="226" t="s">
        <v>13330</v>
      </c>
      <c r="KOX4" s="227"/>
      <c r="KOY4" s="227"/>
      <c r="KOZ4" s="228"/>
      <c r="KPA4" s="226" t="s">
        <v>13330</v>
      </c>
      <c r="KPB4" s="227"/>
      <c r="KPC4" s="227"/>
      <c r="KPD4" s="228"/>
      <c r="KPE4" s="226" t="s">
        <v>13330</v>
      </c>
      <c r="KPF4" s="227"/>
      <c r="KPG4" s="227"/>
      <c r="KPH4" s="228"/>
      <c r="KPI4" s="226" t="s">
        <v>13330</v>
      </c>
      <c r="KPJ4" s="227"/>
      <c r="KPK4" s="227"/>
      <c r="KPL4" s="228"/>
      <c r="KPM4" s="226" t="s">
        <v>13330</v>
      </c>
      <c r="KPN4" s="227"/>
      <c r="KPO4" s="227"/>
      <c r="KPP4" s="228"/>
      <c r="KPQ4" s="226" t="s">
        <v>13330</v>
      </c>
      <c r="KPR4" s="227"/>
      <c r="KPS4" s="227"/>
      <c r="KPT4" s="228"/>
      <c r="KPU4" s="226" t="s">
        <v>13330</v>
      </c>
      <c r="KPV4" s="227"/>
      <c r="KPW4" s="227"/>
      <c r="KPX4" s="228"/>
      <c r="KPY4" s="226" t="s">
        <v>13330</v>
      </c>
      <c r="KPZ4" s="227"/>
      <c r="KQA4" s="227"/>
      <c r="KQB4" s="228"/>
      <c r="KQC4" s="226" t="s">
        <v>13330</v>
      </c>
      <c r="KQD4" s="227"/>
      <c r="KQE4" s="227"/>
      <c r="KQF4" s="228"/>
      <c r="KQG4" s="226" t="s">
        <v>13330</v>
      </c>
      <c r="KQH4" s="227"/>
      <c r="KQI4" s="227"/>
      <c r="KQJ4" s="228"/>
      <c r="KQK4" s="226" t="s">
        <v>13330</v>
      </c>
      <c r="KQL4" s="227"/>
      <c r="KQM4" s="227"/>
      <c r="KQN4" s="228"/>
      <c r="KQO4" s="226" t="s">
        <v>13330</v>
      </c>
      <c r="KQP4" s="227"/>
      <c r="KQQ4" s="227"/>
      <c r="KQR4" s="228"/>
      <c r="KQS4" s="226" t="s">
        <v>13330</v>
      </c>
      <c r="KQT4" s="227"/>
      <c r="KQU4" s="227"/>
      <c r="KQV4" s="228"/>
      <c r="KQW4" s="226" t="s">
        <v>13330</v>
      </c>
      <c r="KQX4" s="227"/>
      <c r="KQY4" s="227"/>
      <c r="KQZ4" s="228"/>
      <c r="KRA4" s="226" t="s">
        <v>13330</v>
      </c>
      <c r="KRB4" s="227"/>
      <c r="KRC4" s="227"/>
      <c r="KRD4" s="228"/>
      <c r="KRE4" s="226" t="s">
        <v>13330</v>
      </c>
      <c r="KRF4" s="227"/>
      <c r="KRG4" s="227"/>
      <c r="KRH4" s="228"/>
      <c r="KRI4" s="226" t="s">
        <v>13330</v>
      </c>
      <c r="KRJ4" s="227"/>
      <c r="KRK4" s="227"/>
      <c r="KRL4" s="228"/>
      <c r="KRM4" s="226" t="s">
        <v>13330</v>
      </c>
      <c r="KRN4" s="227"/>
      <c r="KRO4" s="227"/>
      <c r="KRP4" s="228"/>
      <c r="KRQ4" s="226" t="s">
        <v>13330</v>
      </c>
      <c r="KRR4" s="227"/>
      <c r="KRS4" s="227"/>
      <c r="KRT4" s="228"/>
      <c r="KRU4" s="226" t="s">
        <v>13330</v>
      </c>
      <c r="KRV4" s="227"/>
      <c r="KRW4" s="227"/>
      <c r="KRX4" s="228"/>
      <c r="KRY4" s="226" t="s">
        <v>13330</v>
      </c>
      <c r="KRZ4" s="227"/>
      <c r="KSA4" s="227"/>
      <c r="KSB4" s="228"/>
      <c r="KSC4" s="226" t="s">
        <v>13330</v>
      </c>
      <c r="KSD4" s="227"/>
      <c r="KSE4" s="227"/>
      <c r="KSF4" s="228"/>
      <c r="KSG4" s="226" t="s">
        <v>13330</v>
      </c>
      <c r="KSH4" s="227"/>
      <c r="KSI4" s="227"/>
      <c r="KSJ4" s="228"/>
      <c r="KSK4" s="226" t="s">
        <v>13330</v>
      </c>
      <c r="KSL4" s="227"/>
      <c r="KSM4" s="227"/>
      <c r="KSN4" s="228"/>
      <c r="KSO4" s="226" t="s">
        <v>13330</v>
      </c>
      <c r="KSP4" s="227"/>
      <c r="KSQ4" s="227"/>
      <c r="KSR4" s="228"/>
      <c r="KSS4" s="226" t="s">
        <v>13330</v>
      </c>
      <c r="KST4" s="227"/>
      <c r="KSU4" s="227"/>
      <c r="KSV4" s="228"/>
      <c r="KSW4" s="226" t="s">
        <v>13330</v>
      </c>
      <c r="KSX4" s="227"/>
      <c r="KSY4" s="227"/>
      <c r="KSZ4" s="228"/>
      <c r="KTA4" s="226" t="s">
        <v>13330</v>
      </c>
      <c r="KTB4" s="227"/>
      <c r="KTC4" s="227"/>
      <c r="KTD4" s="228"/>
      <c r="KTE4" s="226" t="s">
        <v>13330</v>
      </c>
      <c r="KTF4" s="227"/>
      <c r="KTG4" s="227"/>
      <c r="KTH4" s="228"/>
      <c r="KTI4" s="226" t="s">
        <v>13330</v>
      </c>
      <c r="KTJ4" s="227"/>
      <c r="KTK4" s="227"/>
      <c r="KTL4" s="228"/>
      <c r="KTM4" s="226" t="s">
        <v>13330</v>
      </c>
      <c r="KTN4" s="227"/>
      <c r="KTO4" s="227"/>
      <c r="KTP4" s="228"/>
      <c r="KTQ4" s="226" t="s">
        <v>13330</v>
      </c>
      <c r="KTR4" s="227"/>
      <c r="KTS4" s="227"/>
      <c r="KTT4" s="228"/>
      <c r="KTU4" s="226" t="s">
        <v>13330</v>
      </c>
      <c r="KTV4" s="227"/>
      <c r="KTW4" s="227"/>
      <c r="KTX4" s="228"/>
      <c r="KTY4" s="226" t="s">
        <v>13330</v>
      </c>
      <c r="KTZ4" s="227"/>
      <c r="KUA4" s="227"/>
      <c r="KUB4" s="228"/>
      <c r="KUC4" s="226" t="s">
        <v>13330</v>
      </c>
      <c r="KUD4" s="227"/>
      <c r="KUE4" s="227"/>
      <c r="KUF4" s="228"/>
      <c r="KUG4" s="226" t="s">
        <v>13330</v>
      </c>
      <c r="KUH4" s="227"/>
      <c r="KUI4" s="227"/>
      <c r="KUJ4" s="228"/>
      <c r="KUK4" s="226" t="s">
        <v>13330</v>
      </c>
      <c r="KUL4" s="227"/>
      <c r="KUM4" s="227"/>
      <c r="KUN4" s="228"/>
      <c r="KUO4" s="226" t="s">
        <v>13330</v>
      </c>
      <c r="KUP4" s="227"/>
      <c r="KUQ4" s="227"/>
      <c r="KUR4" s="228"/>
      <c r="KUS4" s="226" t="s">
        <v>13330</v>
      </c>
      <c r="KUT4" s="227"/>
      <c r="KUU4" s="227"/>
      <c r="KUV4" s="228"/>
      <c r="KUW4" s="226" t="s">
        <v>13330</v>
      </c>
      <c r="KUX4" s="227"/>
      <c r="KUY4" s="227"/>
      <c r="KUZ4" s="228"/>
      <c r="KVA4" s="226" t="s">
        <v>13330</v>
      </c>
      <c r="KVB4" s="227"/>
      <c r="KVC4" s="227"/>
      <c r="KVD4" s="228"/>
      <c r="KVE4" s="226" t="s">
        <v>13330</v>
      </c>
      <c r="KVF4" s="227"/>
      <c r="KVG4" s="227"/>
      <c r="KVH4" s="228"/>
      <c r="KVI4" s="226" t="s">
        <v>13330</v>
      </c>
      <c r="KVJ4" s="227"/>
      <c r="KVK4" s="227"/>
      <c r="KVL4" s="228"/>
      <c r="KVM4" s="226" t="s">
        <v>13330</v>
      </c>
      <c r="KVN4" s="227"/>
      <c r="KVO4" s="227"/>
      <c r="KVP4" s="228"/>
      <c r="KVQ4" s="226" t="s">
        <v>13330</v>
      </c>
      <c r="KVR4" s="227"/>
      <c r="KVS4" s="227"/>
      <c r="KVT4" s="228"/>
      <c r="KVU4" s="226" t="s">
        <v>13330</v>
      </c>
      <c r="KVV4" s="227"/>
      <c r="KVW4" s="227"/>
      <c r="KVX4" s="228"/>
      <c r="KVY4" s="226" t="s">
        <v>13330</v>
      </c>
      <c r="KVZ4" s="227"/>
      <c r="KWA4" s="227"/>
      <c r="KWB4" s="228"/>
      <c r="KWC4" s="226" t="s">
        <v>13330</v>
      </c>
      <c r="KWD4" s="227"/>
      <c r="KWE4" s="227"/>
      <c r="KWF4" s="228"/>
      <c r="KWG4" s="226" t="s">
        <v>13330</v>
      </c>
      <c r="KWH4" s="227"/>
      <c r="KWI4" s="227"/>
      <c r="KWJ4" s="228"/>
      <c r="KWK4" s="226" t="s">
        <v>13330</v>
      </c>
      <c r="KWL4" s="227"/>
      <c r="KWM4" s="227"/>
      <c r="KWN4" s="228"/>
      <c r="KWO4" s="226" t="s">
        <v>13330</v>
      </c>
      <c r="KWP4" s="227"/>
      <c r="KWQ4" s="227"/>
      <c r="KWR4" s="228"/>
      <c r="KWS4" s="226" t="s">
        <v>13330</v>
      </c>
      <c r="KWT4" s="227"/>
      <c r="KWU4" s="227"/>
      <c r="KWV4" s="228"/>
      <c r="KWW4" s="226" t="s">
        <v>13330</v>
      </c>
      <c r="KWX4" s="227"/>
      <c r="KWY4" s="227"/>
      <c r="KWZ4" s="228"/>
      <c r="KXA4" s="226" t="s">
        <v>13330</v>
      </c>
      <c r="KXB4" s="227"/>
      <c r="KXC4" s="227"/>
      <c r="KXD4" s="228"/>
      <c r="KXE4" s="226" t="s">
        <v>13330</v>
      </c>
      <c r="KXF4" s="227"/>
      <c r="KXG4" s="227"/>
      <c r="KXH4" s="228"/>
      <c r="KXI4" s="226" t="s">
        <v>13330</v>
      </c>
      <c r="KXJ4" s="227"/>
      <c r="KXK4" s="227"/>
      <c r="KXL4" s="228"/>
      <c r="KXM4" s="226" t="s">
        <v>13330</v>
      </c>
      <c r="KXN4" s="227"/>
      <c r="KXO4" s="227"/>
      <c r="KXP4" s="228"/>
      <c r="KXQ4" s="226" t="s">
        <v>13330</v>
      </c>
      <c r="KXR4" s="227"/>
      <c r="KXS4" s="227"/>
      <c r="KXT4" s="228"/>
      <c r="KXU4" s="226" t="s">
        <v>13330</v>
      </c>
      <c r="KXV4" s="227"/>
      <c r="KXW4" s="227"/>
      <c r="KXX4" s="228"/>
      <c r="KXY4" s="226" t="s">
        <v>13330</v>
      </c>
      <c r="KXZ4" s="227"/>
      <c r="KYA4" s="227"/>
      <c r="KYB4" s="228"/>
      <c r="KYC4" s="226" t="s">
        <v>13330</v>
      </c>
      <c r="KYD4" s="227"/>
      <c r="KYE4" s="227"/>
      <c r="KYF4" s="228"/>
      <c r="KYG4" s="226" t="s">
        <v>13330</v>
      </c>
      <c r="KYH4" s="227"/>
      <c r="KYI4" s="227"/>
      <c r="KYJ4" s="228"/>
      <c r="KYK4" s="226" t="s">
        <v>13330</v>
      </c>
      <c r="KYL4" s="227"/>
      <c r="KYM4" s="227"/>
      <c r="KYN4" s="228"/>
      <c r="KYO4" s="226" t="s">
        <v>13330</v>
      </c>
      <c r="KYP4" s="227"/>
      <c r="KYQ4" s="227"/>
      <c r="KYR4" s="228"/>
      <c r="KYS4" s="226" t="s">
        <v>13330</v>
      </c>
      <c r="KYT4" s="227"/>
      <c r="KYU4" s="227"/>
      <c r="KYV4" s="228"/>
      <c r="KYW4" s="226" t="s">
        <v>13330</v>
      </c>
      <c r="KYX4" s="227"/>
      <c r="KYY4" s="227"/>
      <c r="KYZ4" s="228"/>
      <c r="KZA4" s="226" t="s">
        <v>13330</v>
      </c>
      <c r="KZB4" s="227"/>
      <c r="KZC4" s="227"/>
      <c r="KZD4" s="228"/>
      <c r="KZE4" s="226" t="s">
        <v>13330</v>
      </c>
      <c r="KZF4" s="227"/>
      <c r="KZG4" s="227"/>
      <c r="KZH4" s="228"/>
      <c r="KZI4" s="226" t="s">
        <v>13330</v>
      </c>
      <c r="KZJ4" s="227"/>
      <c r="KZK4" s="227"/>
      <c r="KZL4" s="228"/>
      <c r="KZM4" s="226" t="s">
        <v>13330</v>
      </c>
      <c r="KZN4" s="227"/>
      <c r="KZO4" s="227"/>
      <c r="KZP4" s="228"/>
      <c r="KZQ4" s="226" t="s">
        <v>13330</v>
      </c>
      <c r="KZR4" s="227"/>
      <c r="KZS4" s="227"/>
      <c r="KZT4" s="228"/>
      <c r="KZU4" s="226" t="s">
        <v>13330</v>
      </c>
      <c r="KZV4" s="227"/>
      <c r="KZW4" s="227"/>
      <c r="KZX4" s="228"/>
      <c r="KZY4" s="226" t="s">
        <v>13330</v>
      </c>
      <c r="KZZ4" s="227"/>
      <c r="LAA4" s="227"/>
      <c r="LAB4" s="228"/>
      <c r="LAC4" s="226" t="s">
        <v>13330</v>
      </c>
      <c r="LAD4" s="227"/>
      <c r="LAE4" s="227"/>
      <c r="LAF4" s="228"/>
      <c r="LAG4" s="226" t="s">
        <v>13330</v>
      </c>
      <c r="LAH4" s="227"/>
      <c r="LAI4" s="227"/>
      <c r="LAJ4" s="228"/>
      <c r="LAK4" s="226" t="s">
        <v>13330</v>
      </c>
      <c r="LAL4" s="227"/>
      <c r="LAM4" s="227"/>
      <c r="LAN4" s="228"/>
      <c r="LAO4" s="226" t="s">
        <v>13330</v>
      </c>
      <c r="LAP4" s="227"/>
      <c r="LAQ4" s="227"/>
      <c r="LAR4" s="228"/>
      <c r="LAS4" s="226" t="s">
        <v>13330</v>
      </c>
      <c r="LAT4" s="227"/>
      <c r="LAU4" s="227"/>
      <c r="LAV4" s="228"/>
      <c r="LAW4" s="226" t="s">
        <v>13330</v>
      </c>
      <c r="LAX4" s="227"/>
      <c r="LAY4" s="227"/>
      <c r="LAZ4" s="228"/>
      <c r="LBA4" s="226" t="s">
        <v>13330</v>
      </c>
      <c r="LBB4" s="227"/>
      <c r="LBC4" s="227"/>
      <c r="LBD4" s="228"/>
      <c r="LBE4" s="226" t="s">
        <v>13330</v>
      </c>
      <c r="LBF4" s="227"/>
      <c r="LBG4" s="227"/>
      <c r="LBH4" s="228"/>
      <c r="LBI4" s="226" t="s">
        <v>13330</v>
      </c>
      <c r="LBJ4" s="227"/>
      <c r="LBK4" s="227"/>
      <c r="LBL4" s="228"/>
      <c r="LBM4" s="226" t="s">
        <v>13330</v>
      </c>
      <c r="LBN4" s="227"/>
      <c r="LBO4" s="227"/>
      <c r="LBP4" s="228"/>
      <c r="LBQ4" s="226" t="s">
        <v>13330</v>
      </c>
      <c r="LBR4" s="227"/>
      <c r="LBS4" s="227"/>
      <c r="LBT4" s="228"/>
      <c r="LBU4" s="226" t="s">
        <v>13330</v>
      </c>
      <c r="LBV4" s="227"/>
      <c r="LBW4" s="227"/>
      <c r="LBX4" s="228"/>
      <c r="LBY4" s="226" t="s">
        <v>13330</v>
      </c>
      <c r="LBZ4" s="227"/>
      <c r="LCA4" s="227"/>
      <c r="LCB4" s="228"/>
      <c r="LCC4" s="226" t="s">
        <v>13330</v>
      </c>
      <c r="LCD4" s="227"/>
      <c r="LCE4" s="227"/>
      <c r="LCF4" s="228"/>
      <c r="LCG4" s="226" t="s">
        <v>13330</v>
      </c>
      <c r="LCH4" s="227"/>
      <c r="LCI4" s="227"/>
      <c r="LCJ4" s="228"/>
      <c r="LCK4" s="226" t="s">
        <v>13330</v>
      </c>
      <c r="LCL4" s="227"/>
      <c r="LCM4" s="227"/>
      <c r="LCN4" s="228"/>
      <c r="LCO4" s="226" t="s">
        <v>13330</v>
      </c>
      <c r="LCP4" s="227"/>
      <c r="LCQ4" s="227"/>
      <c r="LCR4" s="228"/>
      <c r="LCS4" s="226" t="s">
        <v>13330</v>
      </c>
      <c r="LCT4" s="227"/>
      <c r="LCU4" s="227"/>
      <c r="LCV4" s="228"/>
      <c r="LCW4" s="226" t="s">
        <v>13330</v>
      </c>
      <c r="LCX4" s="227"/>
      <c r="LCY4" s="227"/>
      <c r="LCZ4" s="228"/>
      <c r="LDA4" s="226" t="s">
        <v>13330</v>
      </c>
      <c r="LDB4" s="227"/>
      <c r="LDC4" s="227"/>
      <c r="LDD4" s="228"/>
      <c r="LDE4" s="226" t="s">
        <v>13330</v>
      </c>
      <c r="LDF4" s="227"/>
      <c r="LDG4" s="227"/>
      <c r="LDH4" s="228"/>
      <c r="LDI4" s="226" t="s">
        <v>13330</v>
      </c>
      <c r="LDJ4" s="227"/>
      <c r="LDK4" s="227"/>
      <c r="LDL4" s="228"/>
      <c r="LDM4" s="226" t="s">
        <v>13330</v>
      </c>
      <c r="LDN4" s="227"/>
      <c r="LDO4" s="227"/>
      <c r="LDP4" s="228"/>
      <c r="LDQ4" s="226" t="s">
        <v>13330</v>
      </c>
      <c r="LDR4" s="227"/>
      <c r="LDS4" s="227"/>
      <c r="LDT4" s="228"/>
      <c r="LDU4" s="226" t="s">
        <v>13330</v>
      </c>
      <c r="LDV4" s="227"/>
      <c r="LDW4" s="227"/>
      <c r="LDX4" s="228"/>
      <c r="LDY4" s="226" t="s">
        <v>13330</v>
      </c>
      <c r="LDZ4" s="227"/>
      <c r="LEA4" s="227"/>
      <c r="LEB4" s="228"/>
      <c r="LEC4" s="226" t="s">
        <v>13330</v>
      </c>
      <c r="LED4" s="227"/>
      <c r="LEE4" s="227"/>
      <c r="LEF4" s="228"/>
      <c r="LEG4" s="226" t="s">
        <v>13330</v>
      </c>
      <c r="LEH4" s="227"/>
      <c r="LEI4" s="227"/>
      <c r="LEJ4" s="228"/>
      <c r="LEK4" s="226" t="s">
        <v>13330</v>
      </c>
      <c r="LEL4" s="227"/>
      <c r="LEM4" s="227"/>
      <c r="LEN4" s="228"/>
      <c r="LEO4" s="226" t="s">
        <v>13330</v>
      </c>
      <c r="LEP4" s="227"/>
      <c r="LEQ4" s="227"/>
      <c r="LER4" s="228"/>
      <c r="LES4" s="226" t="s">
        <v>13330</v>
      </c>
      <c r="LET4" s="227"/>
      <c r="LEU4" s="227"/>
      <c r="LEV4" s="228"/>
      <c r="LEW4" s="226" t="s">
        <v>13330</v>
      </c>
      <c r="LEX4" s="227"/>
      <c r="LEY4" s="227"/>
      <c r="LEZ4" s="228"/>
      <c r="LFA4" s="226" t="s">
        <v>13330</v>
      </c>
      <c r="LFB4" s="227"/>
      <c r="LFC4" s="227"/>
      <c r="LFD4" s="228"/>
      <c r="LFE4" s="226" t="s">
        <v>13330</v>
      </c>
      <c r="LFF4" s="227"/>
      <c r="LFG4" s="227"/>
      <c r="LFH4" s="228"/>
      <c r="LFI4" s="226" t="s">
        <v>13330</v>
      </c>
      <c r="LFJ4" s="227"/>
      <c r="LFK4" s="227"/>
      <c r="LFL4" s="228"/>
      <c r="LFM4" s="226" t="s">
        <v>13330</v>
      </c>
      <c r="LFN4" s="227"/>
      <c r="LFO4" s="227"/>
      <c r="LFP4" s="228"/>
      <c r="LFQ4" s="226" t="s">
        <v>13330</v>
      </c>
      <c r="LFR4" s="227"/>
      <c r="LFS4" s="227"/>
      <c r="LFT4" s="228"/>
      <c r="LFU4" s="226" t="s">
        <v>13330</v>
      </c>
      <c r="LFV4" s="227"/>
      <c r="LFW4" s="227"/>
      <c r="LFX4" s="228"/>
      <c r="LFY4" s="226" t="s">
        <v>13330</v>
      </c>
      <c r="LFZ4" s="227"/>
      <c r="LGA4" s="227"/>
      <c r="LGB4" s="228"/>
      <c r="LGC4" s="226" t="s">
        <v>13330</v>
      </c>
      <c r="LGD4" s="227"/>
      <c r="LGE4" s="227"/>
      <c r="LGF4" s="228"/>
      <c r="LGG4" s="226" t="s">
        <v>13330</v>
      </c>
      <c r="LGH4" s="227"/>
      <c r="LGI4" s="227"/>
      <c r="LGJ4" s="228"/>
      <c r="LGK4" s="226" t="s">
        <v>13330</v>
      </c>
      <c r="LGL4" s="227"/>
      <c r="LGM4" s="227"/>
      <c r="LGN4" s="228"/>
      <c r="LGO4" s="226" t="s">
        <v>13330</v>
      </c>
      <c r="LGP4" s="227"/>
      <c r="LGQ4" s="227"/>
      <c r="LGR4" s="228"/>
      <c r="LGS4" s="226" t="s">
        <v>13330</v>
      </c>
      <c r="LGT4" s="227"/>
      <c r="LGU4" s="227"/>
      <c r="LGV4" s="228"/>
      <c r="LGW4" s="226" t="s">
        <v>13330</v>
      </c>
      <c r="LGX4" s="227"/>
      <c r="LGY4" s="227"/>
      <c r="LGZ4" s="228"/>
      <c r="LHA4" s="226" t="s">
        <v>13330</v>
      </c>
      <c r="LHB4" s="227"/>
      <c r="LHC4" s="227"/>
      <c r="LHD4" s="228"/>
      <c r="LHE4" s="226" t="s">
        <v>13330</v>
      </c>
      <c r="LHF4" s="227"/>
      <c r="LHG4" s="227"/>
      <c r="LHH4" s="228"/>
      <c r="LHI4" s="226" t="s">
        <v>13330</v>
      </c>
      <c r="LHJ4" s="227"/>
      <c r="LHK4" s="227"/>
      <c r="LHL4" s="228"/>
      <c r="LHM4" s="226" t="s">
        <v>13330</v>
      </c>
      <c r="LHN4" s="227"/>
      <c r="LHO4" s="227"/>
      <c r="LHP4" s="228"/>
      <c r="LHQ4" s="226" t="s">
        <v>13330</v>
      </c>
      <c r="LHR4" s="227"/>
      <c r="LHS4" s="227"/>
      <c r="LHT4" s="228"/>
      <c r="LHU4" s="226" t="s">
        <v>13330</v>
      </c>
      <c r="LHV4" s="227"/>
      <c r="LHW4" s="227"/>
      <c r="LHX4" s="228"/>
      <c r="LHY4" s="226" t="s">
        <v>13330</v>
      </c>
      <c r="LHZ4" s="227"/>
      <c r="LIA4" s="227"/>
      <c r="LIB4" s="228"/>
      <c r="LIC4" s="226" t="s">
        <v>13330</v>
      </c>
      <c r="LID4" s="227"/>
      <c r="LIE4" s="227"/>
      <c r="LIF4" s="228"/>
      <c r="LIG4" s="226" t="s">
        <v>13330</v>
      </c>
      <c r="LIH4" s="227"/>
      <c r="LII4" s="227"/>
      <c r="LIJ4" s="228"/>
      <c r="LIK4" s="226" t="s">
        <v>13330</v>
      </c>
      <c r="LIL4" s="227"/>
      <c r="LIM4" s="227"/>
      <c r="LIN4" s="228"/>
      <c r="LIO4" s="226" t="s">
        <v>13330</v>
      </c>
      <c r="LIP4" s="227"/>
      <c r="LIQ4" s="227"/>
      <c r="LIR4" s="228"/>
      <c r="LIS4" s="226" t="s">
        <v>13330</v>
      </c>
      <c r="LIT4" s="227"/>
      <c r="LIU4" s="227"/>
      <c r="LIV4" s="228"/>
      <c r="LIW4" s="226" t="s">
        <v>13330</v>
      </c>
      <c r="LIX4" s="227"/>
      <c r="LIY4" s="227"/>
      <c r="LIZ4" s="228"/>
      <c r="LJA4" s="226" t="s">
        <v>13330</v>
      </c>
      <c r="LJB4" s="227"/>
      <c r="LJC4" s="227"/>
      <c r="LJD4" s="228"/>
      <c r="LJE4" s="226" t="s">
        <v>13330</v>
      </c>
      <c r="LJF4" s="227"/>
      <c r="LJG4" s="227"/>
      <c r="LJH4" s="228"/>
      <c r="LJI4" s="226" t="s">
        <v>13330</v>
      </c>
      <c r="LJJ4" s="227"/>
      <c r="LJK4" s="227"/>
      <c r="LJL4" s="228"/>
      <c r="LJM4" s="226" t="s">
        <v>13330</v>
      </c>
      <c r="LJN4" s="227"/>
      <c r="LJO4" s="227"/>
      <c r="LJP4" s="228"/>
      <c r="LJQ4" s="226" t="s">
        <v>13330</v>
      </c>
      <c r="LJR4" s="227"/>
      <c r="LJS4" s="227"/>
      <c r="LJT4" s="228"/>
      <c r="LJU4" s="226" t="s">
        <v>13330</v>
      </c>
      <c r="LJV4" s="227"/>
      <c r="LJW4" s="227"/>
      <c r="LJX4" s="228"/>
      <c r="LJY4" s="226" t="s">
        <v>13330</v>
      </c>
      <c r="LJZ4" s="227"/>
      <c r="LKA4" s="227"/>
      <c r="LKB4" s="228"/>
      <c r="LKC4" s="226" t="s">
        <v>13330</v>
      </c>
      <c r="LKD4" s="227"/>
      <c r="LKE4" s="227"/>
      <c r="LKF4" s="228"/>
      <c r="LKG4" s="226" t="s">
        <v>13330</v>
      </c>
      <c r="LKH4" s="227"/>
      <c r="LKI4" s="227"/>
      <c r="LKJ4" s="228"/>
      <c r="LKK4" s="226" t="s">
        <v>13330</v>
      </c>
      <c r="LKL4" s="227"/>
      <c r="LKM4" s="227"/>
      <c r="LKN4" s="228"/>
      <c r="LKO4" s="226" t="s">
        <v>13330</v>
      </c>
      <c r="LKP4" s="227"/>
      <c r="LKQ4" s="227"/>
      <c r="LKR4" s="228"/>
      <c r="LKS4" s="226" t="s">
        <v>13330</v>
      </c>
      <c r="LKT4" s="227"/>
      <c r="LKU4" s="227"/>
      <c r="LKV4" s="228"/>
      <c r="LKW4" s="226" t="s">
        <v>13330</v>
      </c>
      <c r="LKX4" s="227"/>
      <c r="LKY4" s="227"/>
      <c r="LKZ4" s="228"/>
      <c r="LLA4" s="226" t="s">
        <v>13330</v>
      </c>
      <c r="LLB4" s="227"/>
      <c r="LLC4" s="227"/>
      <c r="LLD4" s="228"/>
      <c r="LLE4" s="226" t="s">
        <v>13330</v>
      </c>
      <c r="LLF4" s="227"/>
      <c r="LLG4" s="227"/>
      <c r="LLH4" s="228"/>
      <c r="LLI4" s="226" t="s">
        <v>13330</v>
      </c>
      <c r="LLJ4" s="227"/>
      <c r="LLK4" s="227"/>
      <c r="LLL4" s="228"/>
      <c r="LLM4" s="226" t="s">
        <v>13330</v>
      </c>
      <c r="LLN4" s="227"/>
      <c r="LLO4" s="227"/>
      <c r="LLP4" s="228"/>
      <c r="LLQ4" s="226" t="s">
        <v>13330</v>
      </c>
      <c r="LLR4" s="227"/>
      <c r="LLS4" s="227"/>
      <c r="LLT4" s="228"/>
      <c r="LLU4" s="226" t="s">
        <v>13330</v>
      </c>
      <c r="LLV4" s="227"/>
      <c r="LLW4" s="227"/>
      <c r="LLX4" s="228"/>
      <c r="LLY4" s="226" t="s">
        <v>13330</v>
      </c>
      <c r="LLZ4" s="227"/>
      <c r="LMA4" s="227"/>
      <c r="LMB4" s="228"/>
      <c r="LMC4" s="226" t="s">
        <v>13330</v>
      </c>
      <c r="LMD4" s="227"/>
      <c r="LME4" s="227"/>
      <c r="LMF4" s="228"/>
      <c r="LMG4" s="226" t="s">
        <v>13330</v>
      </c>
      <c r="LMH4" s="227"/>
      <c r="LMI4" s="227"/>
      <c r="LMJ4" s="228"/>
      <c r="LMK4" s="226" t="s">
        <v>13330</v>
      </c>
      <c r="LML4" s="227"/>
      <c r="LMM4" s="227"/>
      <c r="LMN4" s="228"/>
      <c r="LMO4" s="226" t="s">
        <v>13330</v>
      </c>
      <c r="LMP4" s="227"/>
      <c r="LMQ4" s="227"/>
      <c r="LMR4" s="228"/>
      <c r="LMS4" s="226" t="s">
        <v>13330</v>
      </c>
      <c r="LMT4" s="227"/>
      <c r="LMU4" s="227"/>
      <c r="LMV4" s="228"/>
      <c r="LMW4" s="226" t="s">
        <v>13330</v>
      </c>
      <c r="LMX4" s="227"/>
      <c r="LMY4" s="227"/>
      <c r="LMZ4" s="228"/>
      <c r="LNA4" s="226" t="s">
        <v>13330</v>
      </c>
      <c r="LNB4" s="227"/>
      <c r="LNC4" s="227"/>
      <c r="LND4" s="228"/>
      <c r="LNE4" s="226" t="s">
        <v>13330</v>
      </c>
      <c r="LNF4" s="227"/>
      <c r="LNG4" s="227"/>
      <c r="LNH4" s="228"/>
      <c r="LNI4" s="226" t="s">
        <v>13330</v>
      </c>
      <c r="LNJ4" s="227"/>
      <c r="LNK4" s="227"/>
      <c r="LNL4" s="228"/>
      <c r="LNM4" s="226" t="s">
        <v>13330</v>
      </c>
      <c r="LNN4" s="227"/>
      <c r="LNO4" s="227"/>
      <c r="LNP4" s="228"/>
      <c r="LNQ4" s="226" t="s">
        <v>13330</v>
      </c>
      <c r="LNR4" s="227"/>
      <c r="LNS4" s="227"/>
      <c r="LNT4" s="228"/>
      <c r="LNU4" s="226" t="s">
        <v>13330</v>
      </c>
      <c r="LNV4" s="227"/>
      <c r="LNW4" s="227"/>
      <c r="LNX4" s="228"/>
      <c r="LNY4" s="226" t="s">
        <v>13330</v>
      </c>
      <c r="LNZ4" s="227"/>
      <c r="LOA4" s="227"/>
      <c r="LOB4" s="228"/>
      <c r="LOC4" s="226" t="s">
        <v>13330</v>
      </c>
      <c r="LOD4" s="227"/>
      <c r="LOE4" s="227"/>
      <c r="LOF4" s="228"/>
      <c r="LOG4" s="226" t="s">
        <v>13330</v>
      </c>
      <c r="LOH4" s="227"/>
      <c r="LOI4" s="227"/>
      <c r="LOJ4" s="228"/>
      <c r="LOK4" s="226" t="s">
        <v>13330</v>
      </c>
      <c r="LOL4" s="227"/>
      <c r="LOM4" s="227"/>
      <c r="LON4" s="228"/>
      <c r="LOO4" s="226" t="s">
        <v>13330</v>
      </c>
      <c r="LOP4" s="227"/>
      <c r="LOQ4" s="227"/>
      <c r="LOR4" s="228"/>
      <c r="LOS4" s="226" t="s">
        <v>13330</v>
      </c>
      <c r="LOT4" s="227"/>
      <c r="LOU4" s="227"/>
      <c r="LOV4" s="228"/>
      <c r="LOW4" s="226" t="s">
        <v>13330</v>
      </c>
      <c r="LOX4" s="227"/>
      <c r="LOY4" s="227"/>
      <c r="LOZ4" s="228"/>
      <c r="LPA4" s="226" t="s">
        <v>13330</v>
      </c>
      <c r="LPB4" s="227"/>
      <c r="LPC4" s="227"/>
      <c r="LPD4" s="228"/>
      <c r="LPE4" s="226" t="s">
        <v>13330</v>
      </c>
      <c r="LPF4" s="227"/>
      <c r="LPG4" s="227"/>
      <c r="LPH4" s="228"/>
      <c r="LPI4" s="226" t="s">
        <v>13330</v>
      </c>
      <c r="LPJ4" s="227"/>
      <c r="LPK4" s="227"/>
      <c r="LPL4" s="228"/>
      <c r="LPM4" s="226" t="s">
        <v>13330</v>
      </c>
      <c r="LPN4" s="227"/>
      <c r="LPO4" s="227"/>
      <c r="LPP4" s="228"/>
      <c r="LPQ4" s="226" t="s">
        <v>13330</v>
      </c>
      <c r="LPR4" s="227"/>
      <c r="LPS4" s="227"/>
      <c r="LPT4" s="228"/>
      <c r="LPU4" s="226" t="s">
        <v>13330</v>
      </c>
      <c r="LPV4" s="227"/>
      <c r="LPW4" s="227"/>
      <c r="LPX4" s="228"/>
      <c r="LPY4" s="226" t="s">
        <v>13330</v>
      </c>
      <c r="LPZ4" s="227"/>
      <c r="LQA4" s="227"/>
      <c r="LQB4" s="228"/>
      <c r="LQC4" s="226" t="s">
        <v>13330</v>
      </c>
      <c r="LQD4" s="227"/>
      <c r="LQE4" s="227"/>
      <c r="LQF4" s="228"/>
      <c r="LQG4" s="226" t="s">
        <v>13330</v>
      </c>
      <c r="LQH4" s="227"/>
      <c r="LQI4" s="227"/>
      <c r="LQJ4" s="228"/>
      <c r="LQK4" s="226" t="s">
        <v>13330</v>
      </c>
      <c r="LQL4" s="227"/>
      <c r="LQM4" s="227"/>
      <c r="LQN4" s="228"/>
      <c r="LQO4" s="226" t="s">
        <v>13330</v>
      </c>
      <c r="LQP4" s="227"/>
      <c r="LQQ4" s="227"/>
      <c r="LQR4" s="228"/>
      <c r="LQS4" s="226" t="s">
        <v>13330</v>
      </c>
      <c r="LQT4" s="227"/>
      <c r="LQU4" s="227"/>
      <c r="LQV4" s="228"/>
      <c r="LQW4" s="226" t="s">
        <v>13330</v>
      </c>
      <c r="LQX4" s="227"/>
      <c r="LQY4" s="227"/>
      <c r="LQZ4" s="228"/>
      <c r="LRA4" s="226" t="s">
        <v>13330</v>
      </c>
      <c r="LRB4" s="227"/>
      <c r="LRC4" s="227"/>
      <c r="LRD4" s="228"/>
      <c r="LRE4" s="226" t="s">
        <v>13330</v>
      </c>
      <c r="LRF4" s="227"/>
      <c r="LRG4" s="227"/>
      <c r="LRH4" s="228"/>
      <c r="LRI4" s="226" t="s">
        <v>13330</v>
      </c>
      <c r="LRJ4" s="227"/>
      <c r="LRK4" s="227"/>
      <c r="LRL4" s="228"/>
      <c r="LRM4" s="226" t="s">
        <v>13330</v>
      </c>
      <c r="LRN4" s="227"/>
      <c r="LRO4" s="227"/>
      <c r="LRP4" s="228"/>
      <c r="LRQ4" s="226" t="s">
        <v>13330</v>
      </c>
      <c r="LRR4" s="227"/>
      <c r="LRS4" s="227"/>
      <c r="LRT4" s="228"/>
      <c r="LRU4" s="226" t="s">
        <v>13330</v>
      </c>
      <c r="LRV4" s="227"/>
      <c r="LRW4" s="227"/>
      <c r="LRX4" s="228"/>
      <c r="LRY4" s="226" t="s">
        <v>13330</v>
      </c>
      <c r="LRZ4" s="227"/>
      <c r="LSA4" s="227"/>
      <c r="LSB4" s="228"/>
      <c r="LSC4" s="226" t="s">
        <v>13330</v>
      </c>
      <c r="LSD4" s="227"/>
      <c r="LSE4" s="227"/>
      <c r="LSF4" s="228"/>
      <c r="LSG4" s="226" t="s">
        <v>13330</v>
      </c>
      <c r="LSH4" s="227"/>
      <c r="LSI4" s="227"/>
      <c r="LSJ4" s="228"/>
      <c r="LSK4" s="226" t="s">
        <v>13330</v>
      </c>
      <c r="LSL4" s="227"/>
      <c r="LSM4" s="227"/>
      <c r="LSN4" s="228"/>
      <c r="LSO4" s="226" t="s">
        <v>13330</v>
      </c>
      <c r="LSP4" s="227"/>
      <c r="LSQ4" s="227"/>
      <c r="LSR4" s="228"/>
      <c r="LSS4" s="226" t="s">
        <v>13330</v>
      </c>
      <c r="LST4" s="227"/>
      <c r="LSU4" s="227"/>
      <c r="LSV4" s="228"/>
      <c r="LSW4" s="226" t="s">
        <v>13330</v>
      </c>
      <c r="LSX4" s="227"/>
      <c r="LSY4" s="227"/>
      <c r="LSZ4" s="228"/>
      <c r="LTA4" s="226" t="s">
        <v>13330</v>
      </c>
      <c r="LTB4" s="227"/>
      <c r="LTC4" s="227"/>
      <c r="LTD4" s="228"/>
      <c r="LTE4" s="226" t="s">
        <v>13330</v>
      </c>
      <c r="LTF4" s="227"/>
      <c r="LTG4" s="227"/>
      <c r="LTH4" s="228"/>
      <c r="LTI4" s="226" t="s">
        <v>13330</v>
      </c>
      <c r="LTJ4" s="227"/>
      <c r="LTK4" s="227"/>
      <c r="LTL4" s="228"/>
      <c r="LTM4" s="226" t="s">
        <v>13330</v>
      </c>
      <c r="LTN4" s="227"/>
      <c r="LTO4" s="227"/>
      <c r="LTP4" s="228"/>
      <c r="LTQ4" s="226" t="s">
        <v>13330</v>
      </c>
      <c r="LTR4" s="227"/>
      <c r="LTS4" s="227"/>
      <c r="LTT4" s="228"/>
      <c r="LTU4" s="226" t="s">
        <v>13330</v>
      </c>
      <c r="LTV4" s="227"/>
      <c r="LTW4" s="227"/>
      <c r="LTX4" s="228"/>
      <c r="LTY4" s="226" t="s">
        <v>13330</v>
      </c>
      <c r="LTZ4" s="227"/>
      <c r="LUA4" s="227"/>
      <c r="LUB4" s="228"/>
      <c r="LUC4" s="226" t="s">
        <v>13330</v>
      </c>
      <c r="LUD4" s="227"/>
      <c r="LUE4" s="227"/>
      <c r="LUF4" s="228"/>
      <c r="LUG4" s="226" t="s">
        <v>13330</v>
      </c>
      <c r="LUH4" s="227"/>
      <c r="LUI4" s="227"/>
      <c r="LUJ4" s="228"/>
      <c r="LUK4" s="226" t="s">
        <v>13330</v>
      </c>
      <c r="LUL4" s="227"/>
      <c r="LUM4" s="227"/>
      <c r="LUN4" s="228"/>
      <c r="LUO4" s="226" t="s">
        <v>13330</v>
      </c>
      <c r="LUP4" s="227"/>
      <c r="LUQ4" s="227"/>
      <c r="LUR4" s="228"/>
      <c r="LUS4" s="226" t="s">
        <v>13330</v>
      </c>
      <c r="LUT4" s="227"/>
      <c r="LUU4" s="227"/>
      <c r="LUV4" s="228"/>
      <c r="LUW4" s="226" t="s">
        <v>13330</v>
      </c>
      <c r="LUX4" s="227"/>
      <c r="LUY4" s="227"/>
      <c r="LUZ4" s="228"/>
      <c r="LVA4" s="226" t="s">
        <v>13330</v>
      </c>
      <c r="LVB4" s="227"/>
      <c r="LVC4" s="227"/>
      <c r="LVD4" s="228"/>
      <c r="LVE4" s="226" t="s">
        <v>13330</v>
      </c>
      <c r="LVF4" s="227"/>
      <c r="LVG4" s="227"/>
      <c r="LVH4" s="228"/>
      <c r="LVI4" s="226" t="s">
        <v>13330</v>
      </c>
      <c r="LVJ4" s="227"/>
      <c r="LVK4" s="227"/>
      <c r="LVL4" s="228"/>
      <c r="LVM4" s="226" t="s">
        <v>13330</v>
      </c>
      <c r="LVN4" s="227"/>
      <c r="LVO4" s="227"/>
      <c r="LVP4" s="228"/>
      <c r="LVQ4" s="226" t="s">
        <v>13330</v>
      </c>
      <c r="LVR4" s="227"/>
      <c r="LVS4" s="227"/>
      <c r="LVT4" s="228"/>
      <c r="LVU4" s="226" t="s">
        <v>13330</v>
      </c>
      <c r="LVV4" s="227"/>
      <c r="LVW4" s="227"/>
      <c r="LVX4" s="228"/>
      <c r="LVY4" s="226" t="s">
        <v>13330</v>
      </c>
      <c r="LVZ4" s="227"/>
      <c r="LWA4" s="227"/>
      <c r="LWB4" s="228"/>
      <c r="LWC4" s="226" t="s">
        <v>13330</v>
      </c>
      <c r="LWD4" s="227"/>
      <c r="LWE4" s="227"/>
      <c r="LWF4" s="228"/>
      <c r="LWG4" s="226" t="s">
        <v>13330</v>
      </c>
      <c r="LWH4" s="227"/>
      <c r="LWI4" s="227"/>
      <c r="LWJ4" s="228"/>
      <c r="LWK4" s="226" t="s">
        <v>13330</v>
      </c>
      <c r="LWL4" s="227"/>
      <c r="LWM4" s="227"/>
      <c r="LWN4" s="228"/>
      <c r="LWO4" s="226" t="s">
        <v>13330</v>
      </c>
      <c r="LWP4" s="227"/>
      <c r="LWQ4" s="227"/>
      <c r="LWR4" s="228"/>
      <c r="LWS4" s="226" t="s">
        <v>13330</v>
      </c>
      <c r="LWT4" s="227"/>
      <c r="LWU4" s="227"/>
      <c r="LWV4" s="228"/>
      <c r="LWW4" s="226" t="s">
        <v>13330</v>
      </c>
      <c r="LWX4" s="227"/>
      <c r="LWY4" s="227"/>
      <c r="LWZ4" s="228"/>
      <c r="LXA4" s="226" t="s">
        <v>13330</v>
      </c>
      <c r="LXB4" s="227"/>
      <c r="LXC4" s="227"/>
      <c r="LXD4" s="228"/>
      <c r="LXE4" s="226" t="s">
        <v>13330</v>
      </c>
      <c r="LXF4" s="227"/>
      <c r="LXG4" s="227"/>
      <c r="LXH4" s="228"/>
      <c r="LXI4" s="226" t="s">
        <v>13330</v>
      </c>
      <c r="LXJ4" s="227"/>
      <c r="LXK4" s="227"/>
      <c r="LXL4" s="228"/>
      <c r="LXM4" s="226" t="s">
        <v>13330</v>
      </c>
      <c r="LXN4" s="227"/>
      <c r="LXO4" s="227"/>
      <c r="LXP4" s="228"/>
      <c r="LXQ4" s="226" t="s">
        <v>13330</v>
      </c>
      <c r="LXR4" s="227"/>
      <c r="LXS4" s="227"/>
      <c r="LXT4" s="228"/>
      <c r="LXU4" s="226" t="s">
        <v>13330</v>
      </c>
      <c r="LXV4" s="227"/>
      <c r="LXW4" s="227"/>
      <c r="LXX4" s="228"/>
      <c r="LXY4" s="226" t="s">
        <v>13330</v>
      </c>
      <c r="LXZ4" s="227"/>
      <c r="LYA4" s="227"/>
      <c r="LYB4" s="228"/>
      <c r="LYC4" s="226" t="s">
        <v>13330</v>
      </c>
      <c r="LYD4" s="227"/>
      <c r="LYE4" s="227"/>
      <c r="LYF4" s="228"/>
      <c r="LYG4" s="226" t="s">
        <v>13330</v>
      </c>
      <c r="LYH4" s="227"/>
      <c r="LYI4" s="227"/>
      <c r="LYJ4" s="228"/>
      <c r="LYK4" s="226" t="s">
        <v>13330</v>
      </c>
      <c r="LYL4" s="227"/>
      <c r="LYM4" s="227"/>
      <c r="LYN4" s="228"/>
      <c r="LYO4" s="226" t="s">
        <v>13330</v>
      </c>
      <c r="LYP4" s="227"/>
      <c r="LYQ4" s="227"/>
      <c r="LYR4" s="228"/>
      <c r="LYS4" s="226" t="s">
        <v>13330</v>
      </c>
      <c r="LYT4" s="227"/>
      <c r="LYU4" s="227"/>
      <c r="LYV4" s="228"/>
      <c r="LYW4" s="226" t="s">
        <v>13330</v>
      </c>
      <c r="LYX4" s="227"/>
      <c r="LYY4" s="227"/>
      <c r="LYZ4" s="228"/>
      <c r="LZA4" s="226" t="s">
        <v>13330</v>
      </c>
      <c r="LZB4" s="227"/>
      <c r="LZC4" s="227"/>
      <c r="LZD4" s="228"/>
      <c r="LZE4" s="226" t="s">
        <v>13330</v>
      </c>
      <c r="LZF4" s="227"/>
      <c r="LZG4" s="227"/>
      <c r="LZH4" s="228"/>
      <c r="LZI4" s="226" t="s">
        <v>13330</v>
      </c>
      <c r="LZJ4" s="227"/>
      <c r="LZK4" s="227"/>
      <c r="LZL4" s="228"/>
      <c r="LZM4" s="226" t="s">
        <v>13330</v>
      </c>
      <c r="LZN4" s="227"/>
      <c r="LZO4" s="227"/>
      <c r="LZP4" s="228"/>
      <c r="LZQ4" s="226" t="s">
        <v>13330</v>
      </c>
      <c r="LZR4" s="227"/>
      <c r="LZS4" s="227"/>
      <c r="LZT4" s="228"/>
      <c r="LZU4" s="226" t="s">
        <v>13330</v>
      </c>
      <c r="LZV4" s="227"/>
      <c r="LZW4" s="227"/>
      <c r="LZX4" s="228"/>
      <c r="LZY4" s="226" t="s">
        <v>13330</v>
      </c>
      <c r="LZZ4" s="227"/>
      <c r="MAA4" s="227"/>
      <c r="MAB4" s="228"/>
      <c r="MAC4" s="226" t="s">
        <v>13330</v>
      </c>
      <c r="MAD4" s="227"/>
      <c r="MAE4" s="227"/>
      <c r="MAF4" s="228"/>
      <c r="MAG4" s="226" t="s">
        <v>13330</v>
      </c>
      <c r="MAH4" s="227"/>
      <c r="MAI4" s="227"/>
      <c r="MAJ4" s="228"/>
      <c r="MAK4" s="226" t="s">
        <v>13330</v>
      </c>
      <c r="MAL4" s="227"/>
      <c r="MAM4" s="227"/>
      <c r="MAN4" s="228"/>
      <c r="MAO4" s="226" t="s">
        <v>13330</v>
      </c>
      <c r="MAP4" s="227"/>
      <c r="MAQ4" s="227"/>
      <c r="MAR4" s="228"/>
      <c r="MAS4" s="226" t="s">
        <v>13330</v>
      </c>
      <c r="MAT4" s="227"/>
      <c r="MAU4" s="227"/>
      <c r="MAV4" s="228"/>
      <c r="MAW4" s="226" t="s">
        <v>13330</v>
      </c>
      <c r="MAX4" s="227"/>
      <c r="MAY4" s="227"/>
      <c r="MAZ4" s="228"/>
      <c r="MBA4" s="226" t="s">
        <v>13330</v>
      </c>
      <c r="MBB4" s="227"/>
      <c r="MBC4" s="227"/>
      <c r="MBD4" s="228"/>
      <c r="MBE4" s="226" t="s">
        <v>13330</v>
      </c>
      <c r="MBF4" s="227"/>
      <c r="MBG4" s="227"/>
      <c r="MBH4" s="228"/>
      <c r="MBI4" s="226" t="s">
        <v>13330</v>
      </c>
      <c r="MBJ4" s="227"/>
      <c r="MBK4" s="227"/>
      <c r="MBL4" s="228"/>
      <c r="MBM4" s="226" t="s">
        <v>13330</v>
      </c>
      <c r="MBN4" s="227"/>
      <c r="MBO4" s="227"/>
      <c r="MBP4" s="228"/>
      <c r="MBQ4" s="226" t="s">
        <v>13330</v>
      </c>
      <c r="MBR4" s="227"/>
      <c r="MBS4" s="227"/>
      <c r="MBT4" s="228"/>
      <c r="MBU4" s="226" t="s">
        <v>13330</v>
      </c>
      <c r="MBV4" s="227"/>
      <c r="MBW4" s="227"/>
      <c r="MBX4" s="228"/>
      <c r="MBY4" s="226" t="s">
        <v>13330</v>
      </c>
      <c r="MBZ4" s="227"/>
      <c r="MCA4" s="227"/>
      <c r="MCB4" s="228"/>
      <c r="MCC4" s="226" t="s">
        <v>13330</v>
      </c>
      <c r="MCD4" s="227"/>
      <c r="MCE4" s="227"/>
      <c r="MCF4" s="228"/>
      <c r="MCG4" s="226" t="s">
        <v>13330</v>
      </c>
      <c r="MCH4" s="227"/>
      <c r="MCI4" s="227"/>
      <c r="MCJ4" s="228"/>
      <c r="MCK4" s="226" t="s">
        <v>13330</v>
      </c>
      <c r="MCL4" s="227"/>
      <c r="MCM4" s="227"/>
      <c r="MCN4" s="228"/>
      <c r="MCO4" s="226" t="s">
        <v>13330</v>
      </c>
      <c r="MCP4" s="227"/>
      <c r="MCQ4" s="227"/>
      <c r="MCR4" s="228"/>
      <c r="MCS4" s="226" t="s">
        <v>13330</v>
      </c>
      <c r="MCT4" s="227"/>
      <c r="MCU4" s="227"/>
      <c r="MCV4" s="228"/>
      <c r="MCW4" s="226" t="s">
        <v>13330</v>
      </c>
      <c r="MCX4" s="227"/>
      <c r="MCY4" s="227"/>
      <c r="MCZ4" s="228"/>
      <c r="MDA4" s="226" t="s">
        <v>13330</v>
      </c>
      <c r="MDB4" s="227"/>
      <c r="MDC4" s="227"/>
      <c r="MDD4" s="228"/>
      <c r="MDE4" s="226" t="s">
        <v>13330</v>
      </c>
      <c r="MDF4" s="227"/>
      <c r="MDG4" s="227"/>
      <c r="MDH4" s="228"/>
      <c r="MDI4" s="226" t="s">
        <v>13330</v>
      </c>
      <c r="MDJ4" s="227"/>
      <c r="MDK4" s="227"/>
      <c r="MDL4" s="228"/>
      <c r="MDM4" s="226" t="s">
        <v>13330</v>
      </c>
      <c r="MDN4" s="227"/>
      <c r="MDO4" s="227"/>
      <c r="MDP4" s="228"/>
      <c r="MDQ4" s="226" t="s">
        <v>13330</v>
      </c>
      <c r="MDR4" s="227"/>
      <c r="MDS4" s="227"/>
      <c r="MDT4" s="228"/>
      <c r="MDU4" s="226" t="s">
        <v>13330</v>
      </c>
      <c r="MDV4" s="227"/>
      <c r="MDW4" s="227"/>
      <c r="MDX4" s="228"/>
      <c r="MDY4" s="226" t="s">
        <v>13330</v>
      </c>
      <c r="MDZ4" s="227"/>
      <c r="MEA4" s="227"/>
      <c r="MEB4" s="228"/>
      <c r="MEC4" s="226" t="s">
        <v>13330</v>
      </c>
      <c r="MED4" s="227"/>
      <c r="MEE4" s="227"/>
      <c r="MEF4" s="228"/>
      <c r="MEG4" s="226" t="s">
        <v>13330</v>
      </c>
      <c r="MEH4" s="227"/>
      <c r="MEI4" s="227"/>
      <c r="MEJ4" s="228"/>
      <c r="MEK4" s="226" t="s">
        <v>13330</v>
      </c>
      <c r="MEL4" s="227"/>
      <c r="MEM4" s="227"/>
      <c r="MEN4" s="228"/>
      <c r="MEO4" s="226" t="s">
        <v>13330</v>
      </c>
      <c r="MEP4" s="227"/>
      <c r="MEQ4" s="227"/>
      <c r="MER4" s="228"/>
      <c r="MES4" s="226" t="s">
        <v>13330</v>
      </c>
      <c r="MET4" s="227"/>
      <c r="MEU4" s="227"/>
      <c r="MEV4" s="228"/>
      <c r="MEW4" s="226" t="s">
        <v>13330</v>
      </c>
      <c r="MEX4" s="227"/>
      <c r="MEY4" s="227"/>
      <c r="MEZ4" s="228"/>
      <c r="MFA4" s="226" t="s">
        <v>13330</v>
      </c>
      <c r="MFB4" s="227"/>
      <c r="MFC4" s="227"/>
      <c r="MFD4" s="228"/>
      <c r="MFE4" s="226" t="s">
        <v>13330</v>
      </c>
      <c r="MFF4" s="227"/>
      <c r="MFG4" s="227"/>
      <c r="MFH4" s="228"/>
      <c r="MFI4" s="226" t="s">
        <v>13330</v>
      </c>
      <c r="MFJ4" s="227"/>
      <c r="MFK4" s="227"/>
      <c r="MFL4" s="228"/>
      <c r="MFM4" s="226" t="s">
        <v>13330</v>
      </c>
      <c r="MFN4" s="227"/>
      <c r="MFO4" s="227"/>
      <c r="MFP4" s="228"/>
      <c r="MFQ4" s="226" t="s">
        <v>13330</v>
      </c>
      <c r="MFR4" s="227"/>
      <c r="MFS4" s="227"/>
      <c r="MFT4" s="228"/>
      <c r="MFU4" s="226" t="s">
        <v>13330</v>
      </c>
      <c r="MFV4" s="227"/>
      <c r="MFW4" s="227"/>
      <c r="MFX4" s="228"/>
      <c r="MFY4" s="226" t="s">
        <v>13330</v>
      </c>
      <c r="MFZ4" s="227"/>
      <c r="MGA4" s="227"/>
      <c r="MGB4" s="228"/>
      <c r="MGC4" s="226" t="s">
        <v>13330</v>
      </c>
      <c r="MGD4" s="227"/>
      <c r="MGE4" s="227"/>
      <c r="MGF4" s="228"/>
      <c r="MGG4" s="226" t="s">
        <v>13330</v>
      </c>
      <c r="MGH4" s="227"/>
      <c r="MGI4" s="227"/>
      <c r="MGJ4" s="228"/>
      <c r="MGK4" s="226" t="s">
        <v>13330</v>
      </c>
      <c r="MGL4" s="227"/>
      <c r="MGM4" s="227"/>
      <c r="MGN4" s="228"/>
      <c r="MGO4" s="226" t="s">
        <v>13330</v>
      </c>
      <c r="MGP4" s="227"/>
      <c r="MGQ4" s="227"/>
      <c r="MGR4" s="228"/>
      <c r="MGS4" s="226" t="s">
        <v>13330</v>
      </c>
      <c r="MGT4" s="227"/>
      <c r="MGU4" s="227"/>
      <c r="MGV4" s="228"/>
      <c r="MGW4" s="226" t="s">
        <v>13330</v>
      </c>
      <c r="MGX4" s="227"/>
      <c r="MGY4" s="227"/>
      <c r="MGZ4" s="228"/>
      <c r="MHA4" s="226" t="s">
        <v>13330</v>
      </c>
      <c r="MHB4" s="227"/>
      <c r="MHC4" s="227"/>
      <c r="MHD4" s="228"/>
      <c r="MHE4" s="226" t="s">
        <v>13330</v>
      </c>
      <c r="MHF4" s="227"/>
      <c r="MHG4" s="227"/>
      <c r="MHH4" s="228"/>
      <c r="MHI4" s="226" t="s">
        <v>13330</v>
      </c>
      <c r="MHJ4" s="227"/>
      <c r="MHK4" s="227"/>
      <c r="MHL4" s="228"/>
      <c r="MHM4" s="226" t="s">
        <v>13330</v>
      </c>
      <c r="MHN4" s="227"/>
      <c r="MHO4" s="227"/>
      <c r="MHP4" s="228"/>
      <c r="MHQ4" s="226" t="s">
        <v>13330</v>
      </c>
      <c r="MHR4" s="227"/>
      <c r="MHS4" s="227"/>
      <c r="MHT4" s="228"/>
      <c r="MHU4" s="226" t="s">
        <v>13330</v>
      </c>
      <c r="MHV4" s="227"/>
      <c r="MHW4" s="227"/>
      <c r="MHX4" s="228"/>
      <c r="MHY4" s="226" t="s">
        <v>13330</v>
      </c>
      <c r="MHZ4" s="227"/>
      <c r="MIA4" s="227"/>
      <c r="MIB4" s="228"/>
      <c r="MIC4" s="226" t="s">
        <v>13330</v>
      </c>
      <c r="MID4" s="227"/>
      <c r="MIE4" s="227"/>
      <c r="MIF4" s="228"/>
      <c r="MIG4" s="226" t="s">
        <v>13330</v>
      </c>
      <c r="MIH4" s="227"/>
      <c r="MII4" s="227"/>
      <c r="MIJ4" s="228"/>
      <c r="MIK4" s="226" t="s">
        <v>13330</v>
      </c>
      <c r="MIL4" s="227"/>
      <c r="MIM4" s="227"/>
      <c r="MIN4" s="228"/>
      <c r="MIO4" s="226" t="s">
        <v>13330</v>
      </c>
      <c r="MIP4" s="227"/>
      <c r="MIQ4" s="227"/>
      <c r="MIR4" s="228"/>
      <c r="MIS4" s="226" t="s">
        <v>13330</v>
      </c>
      <c r="MIT4" s="227"/>
      <c r="MIU4" s="227"/>
      <c r="MIV4" s="228"/>
      <c r="MIW4" s="226" t="s">
        <v>13330</v>
      </c>
      <c r="MIX4" s="227"/>
      <c r="MIY4" s="227"/>
      <c r="MIZ4" s="228"/>
      <c r="MJA4" s="226" t="s">
        <v>13330</v>
      </c>
      <c r="MJB4" s="227"/>
      <c r="MJC4" s="227"/>
      <c r="MJD4" s="228"/>
      <c r="MJE4" s="226" t="s">
        <v>13330</v>
      </c>
      <c r="MJF4" s="227"/>
      <c r="MJG4" s="227"/>
      <c r="MJH4" s="228"/>
      <c r="MJI4" s="226" t="s">
        <v>13330</v>
      </c>
      <c r="MJJ4" s="227"/>
      <c r="MJK4" s="227"/>
      <c r="MJL4" s="228"/>
      <c r="MJM4" s="226" t="s">
        <v>13330</v>
      </c>
      <c r="MJN4" s="227"/>
      <c r="MJO4" s="227"/>
      <c r="MJP4" s="228"/>
      <c r="MJQ4" s="226" t="s">
        <v>13330</v>
      </c>
      <c r="MJR4" s="227"/>
      <c r="MJS4" s="227"/>
      <c r="MJT4" s="228"/>
      <c r="MJU4" s="226" t="s">
        <v>13330</v>
      </c>
      <c r="MJV4" s="227"/>
      <c r="MJW4" s="227"/>
      <c r="MJX4" s="228"/>
      <c r="MJY4" s="226" t="s">
        <v>13330</v>
      </c>
      <c r="MJZ4" s="227"/>
      <c r="MKA4" s="227"/>
      <c r="MKB4" s="228"/>
      <c r="MKC4" s="226" t="s">
        <v>13330</v>
      </c>
      <c r="MKD4" s="227"/>
      <c r="MKE4" s="227"/>
      <c r="MKF4" s="228"/>
      <c r="MKG4" s="226" t="s">
        <v>13330</v>
      </c>
      <c r="MKH4" s="227"/>
      <c r="MKI4" s="227"/>
      <c r="MKJ4" s="228"/>
      <c r="MKK4" s="226" t="s">
        <v>13330</v>
      </c>
      <c r="MKL4" s="227"/>
      <c r="MKM4" s="227"/>
      <c r="MKN4" s="228"/>
      <c r="MKO4" s="226" t="s">
        <v>13330</v>
      </c>
      <c r="MKP4" s="227"/>
      <c r="MKQ4" s="227"/>
      <c r="MKR4" s="228"/>
      <c r="MKS4" s="226" t="s">
        <v>13330</v>
      </c>
      <c r="MKT4" s="227"/>
      <c r="MKU4" s="227"/>
      <c r="MKV4" s="228"/>
      <c r="MKW4" s="226" t="s">
        <v>13330</v>
      </c>
      <c r="MKX4" s="227"/>
      <c r="MKY4" s="227"/>
      <c r="MKZ4" s="228"/>
      <c r="MLA4" s="226" t="s">
        <v>13330</v>
      </c>
      <c r="MLB4" s="227"/>
      <c r="MLC4" s="227"/>
      <c r="MLD4" s="228"/>
      <c r="MLE4" s="226" t="s">
        <v>13330</v>
      </c>
      <c r="MLF4" s="227"/>
      <c r="MLG4" s="227"/>
      <c r="MLH4" s="228"/>
      <c r="MLI4" s="226" t="s">
        <v>13330</v>
      </c>
      <c r="MLJ4" s="227"/>
      <c r="MLK4" s="227"/>
      <c r="MLL4" s="228"/>
      <c r="MLM4" s="226" t="s">
        <v>13330</v>
      </c>
      <c r="MLN4" s="227"/>
      <c r="MLO4" s="227"/>
      <c r="MLP4" s="228"/>
      <c r="MLQ4" s="226" t="s">
        <v>13330</v>
      </c>
      <c r="MLR4" s="227"/>
      <c r="MLS4" s="227"/>
      <c r="MLT4" s="228"/>
      <c r="MLU4" s="226" t="s">
        <v>13330</v>
      </c>
      <c r="MLV4" s="227"/>
      <c r="MLW4" s="227"/>
      <c r="MLX4" s="228"/>
      <c r="MLY4" s="226" t="s">
        <v>13330</v>
      </c>
      <c r="MLZ4" s="227"/>
      <c r="MMA4" s="227"/>
      <c r="MMB4" s="228"/>
      <c r="MMC4" s="226" t="s">
        <v>13330</v>
      </c>
      <c r="MMD4" s="227"/>
      <c r="MME4" s="227"/>
      <c r="MMF4" s="228"/>
      <c r="MMG4" s="226" t="s">
        <v>13330</v>
      </c>
      <c r="MMH4" s="227"/>
      <c r="MMI4" s="227"/>
      <c r="MMJ4" s="228"/>
      <c r="MMK4" s="226" t="s">
        <v>13330</v>
      </c>
      <c r="MML4" s="227"/>
      <c r="MMM4" s="227"/>
      <c r="MMN4" s="228"/>
      <c r="MMO4" s="226" t="s">
        <v>13330</v>
      </c>
      <c r="MMP4" s="227"/>
      <c r="MMQ4" s="227"/>
      <c r="MMR4" s="228"/>
      <c r="MMS4" s="226" t="s">
        <v>13330</v>
      </c>
      <c r="MMT4" s="227"/>
      <c r="MMU4" s="227"/>
      <c r="MMV4" s="228"/>
      <c r="MMW4" s="226" t="s">
        <v>13330</v>
      </c>
      <c r="MMX4" s="227"/>
      <c r="MMY4" s="227"/>
      <c r="MMZ4" s="228"/>
      <c r="MNA4" s="226" t="s">
        <v>13330</v>
      </c>
      <c r="MNB4" s="227"/>
      <c r="MNC4" s="227"/>
      <c r="MND4" s="228"/>
      <c r="MNE4" s="226" t="s">
        <v>13330</v>
      </c>
      <c r="MNF4" s="227"/>
      <c r="MNG4" s="227"/>
      <c r="MNH4" s="228"/>
      <c r="MNI4" s="226" t="s">
        <v>13330</v>
      </c>
      <c r="MNJ4" s="227"/>
      <c r="MNK4" s="227"/>
      <c r="MNL4" s="228"/>
      <c r="MNM4" s="226" t="s">
        <v>13330</v>
      </c>
      <c r="MNN4" s="227"/>
      <c r="MNO4" s="227"/>
      <c r="MNP4" s="228"/>
      <c r="MNQ4" s="226" t="s">
        <v>13330</v>
      </c>
      <c r="MNR4" s="227"/>
      <c r="MNS4" s="227"/>
      <c r="MNT4" s="228"/>
      <c r="MNU4" s="226" t="s">
        <v>13330</v>
      </c>
      <c r="MNV4" s="227"/>
      <c r="MNW4" s="227"/>
      <c r="MNX4" s="228"/>
      <c r="MNY4" s="226" t="s">
        <v>13330</v>
      </c>
      <c r="MNZ4" s="227"/>
      <c r="MOA4" s="227"/>
      <c r="MOB4" s="228"/>
      <c r="MOC4" s="226" t="s">
        <v>13330</v>
      </c>
      <c r="MOD4" s="227"/>
      <c r="MOE4" s="227"/>
      <c r="MOF4" s="228"/>
      <c r="MOG4" s="226" t="s">
        <v>13330</v>
      </c>
      <c r="MOH4" s="227"/>
      <c r="MOI4" s="227"/>
      <c r="MOJ4" s="228"/>
      <c r="MOK4" s="226" t="s">
        <v>13330</v>
      </c>
      <c r="MOL4" s="227"/>
      <c r="MOM4" s="227"/>
      <c r="MON4" s="228"/>
      <c r="MOO4" s="226" t="s">
        <v>13330</v>
      </c>
      <c r="MOP4" s="227"/>
      <c r="MOQ4" s="227"/>
      <c r="MOR4" s="228"/>
      <c r="MOS4" s="226" t="s">
        <v>13330</v>
      </c>
      <c r="MOT4" s="227"/>
      <c r="MOU4" s="227"/>
      <c r="MOV4" s="228"/>
      <c r="MOW4" s="226" t="s">
        <v>13330</v>
      </c>
      <c r="MOX4" s="227"/>
      <c r="MOY4" s="227"/>
      <c r="MOZ4" s="228"/>
      <c r="MPA4" s="226" t="s">
        <v>13330</v>
      </c>
      <c r="MPB4" s="227"/>
      <c r="MPC4" s="227"/>
      <c r="MPD4" s="228"/>
      <c r="MPE4" s="226" t="s">
        <v>13330</v>
      </c>
      <c r="MPF4" s="227"/>
      <c r="MPG4" s="227"/>
      <c r="MPH4" s="228"/>
      <c r="MPI4" s="226" t="s">
        <v>13330</v>
      </c>
      <c r="MPJ4" s="227"/>
      <c r="MPK4" s="227"/>
      <c r="MPL4" s="228"/>
      <c r="MPM4" s="226" t="s">
        <v>13330</v>
      </c>
      <c r="MPN4" s="227"/>
      <c r="MPO4" s="227"/>
      <c r="MPP4" s="228"/>
      <c r="MPQ4" s="226" t="s">
        <v>13330</v>
      </c>
      <c r="MPR4" s="227"/>
      <c r="MPS4" s="227"/>
      <c r="MPT4" s="228"/>
      <c r="MPU4" s="226" t="s">
        <v>13330</v>
      </c>
      <c r="MPV4" s="227"/>
      <c r="MPW4" s="227"/>
      <c r="MPX4" s="228"/>
      <c r="MPY4" s="226" t="s">
        <v>13330</v>
      </c>
      <c r="MPZ4" s="227"/>
      <c r="MQA4" s="227"/>
      <c r="MQB4" s="228"/>
      <c r="MQC4" s="226" t="s">
        <v>13330</v>
      </c>
      <c r="MQD4" s="227"/>
      <c r="MQE4" s="227"/>
      <c r="MQF4" s="228"/>
      <c r="MQG4" s="226" t="s">
        <v>13330</v>
      </c>
      <c r="MQH4" s="227"/>
      <c r="MQI4" s="227"/>
      <c r="MQJ4" s="228"/>
      <c r="MQK4" s="226" t="s">
        <v>13330</v>
      </c>
      <c r="MQL4" s="227"/>
      <c r="MQM4" s="227"/>
      <c r="MQN4" s="228"/>
      <c r="MQO4" s="226" t="s">
        <v>13330</v>
      </c>
      <c r="MQP4" s="227"/>
      <c r="MQQ4" s="227"/>
      <c r="MQR4" s="228"/>
      <c r="MQS4" s="226" t="s">
        <v>13330</v>
      </c>
      <c r="MQT4" s="227"/>
      <c r="MQU4" s="227"/>
      <c r="MQV4" s="228"/>
      <c r="MQW4" s="226" t="s">
        <v>13330</v>
      </c>
      <c r="MQX4" s="227"/>
      <c r="MQY4" s="227"/>
      <c r="MQZ4" s="228"/>
      <c r="MRA4" s="226" t="s">
        <v>13330</v>
      </c>
      <c r="MRB4" s="227"/>
      <c r="MRC4" s="227"/>
      <c r="MRD4" s="228"/>
      <c r="MRE4" s="226" t="s">
        <v>13330</v>
      </c>
      <c r="MRF4" s="227"/>
      <c r="MRG4" s="227"/>
      <c r="MRH4" s="228"/>
      <c r="MRI4" s="226" t="s">
        <v>13330</v>
      </c>
      <c r="MRJ4" s="227"/>
      <c r="MRK4" s="227"/>
      <c r="MRL4" s="228"/>
      <c r="MRM4" s="226" t="s">
        <v>13330</v>
      </c>
      <c r="MRN4" s="227"/>
      <c r="MRO4" s="227"/>
      <c r="MRP4" s="228"/>
      <c r="MRQ4" s="226" t="s">
        <v>13330</v>
      </c>
      <c r="MRR4" s="227"/>
      <c r="MRS4" s="227"/>
      <c r="MRT4" s="228"/>
      <c r="MRU4" s="226" t="s">
        <v>13330</v>
      </c>
      <c r="MRV4" s="227"/>
      <c r="MRW4" s="227"/>
      <c r="MRX4" s="228"/>
      <c r="MRY4" s="226" t="s">
        <v>13330</v>
      </c>
      <c r="MRZ4" s="227"/>
      <c r="MSA4" s="227"/>
      <c r="MSB4" s="228"/>
      <c r="MSC4" s="226" t="s">
        <v>13330</v>
      </c>
      <c r="MSD4" s="227"/>
      <c r="MSE4" s="227"/>
      <c r="MSF4" s="228"/>
      <c r="MSG4" s="226" t="s">
        <v>13330</v>
      </c>
      <c r="MSH4" s="227"/>
      <c r="MSI4" s="227"/>
      <c r="MSJ4" s="228"/>
      <c r="MSK4" s="226" t="s">
        <v>13330</v>
      </c>
      <c r="MSL4" s="227"/>
      <c r="MSM4" s="227"/>
      <c r="MSN4" s="228"/>
      <c r="MSO4" s="226" t="s">
        <v>13330</v>
      </c>
      <c r="MSP4" s="227"/>
      <c r="MSQ4" s="227"/>
      <c r="MSR4" s="228"/>
      <c r="MSS4" s="226" t="s">
        <v>13330</v>
      </c>
      <c r="MST4" s="227"/>
      <c r="MSU4" s="227"/>
      <c r="MSV4" s="228"/>
      <c r="MSW4" s="226" t="s">
        <v>13330</v>
      </c>
      <c r="MSX4" s="227"/>
      <c r="MSY4" s="227"/>
      <c r="MSZ4" s="228"/>
      <c r="MTA4" s="226" t="s">
        <v>13330</v>
      </c>
      <c r="MTB4" s="227"/>
      <c r="MTC4" s="227"/>
      <c r="MTD4" s="228"/>
      <c r="MTE4" s="226" t="s">
        <v>13330</v>
      </c>
      <c r="MTF4" s="227"/>
      <c r="MTG4" s="227"/>
      <c r="MTH4" s="228"/>
      <c r="MTI4" s="226" t="s">
        <v>13330</v>
      </c>
      <c r="MTJ4" s="227"/>
      <c r="MTK4" s="227"/>
      <c r="MTL4" s="228"/>
      <c r="MTM4" s="226" t="s">
        <v>13330</v>
      </c>
      <c r="MTN4" s="227"/>
      <c r="MTO4" s="227"/>
      <c r="MTP4" s="228"/>
      <c r="MTQ4" s="226" t="s">
        <v>13330</v>
      </c>
      <c r="MTR4" s="227"/>
      <c r="MTS4" s="227"/>
      <c r="MTT4" s="228"/>
      <c r="MTU4" s="226" t="s">
        <v>13330</v>
      </c>
      <c r="MTV4" s="227"/>
      <c r="MTW4" s="227"/>
      <c r="MTX4" s="228"/>
      <c r="MTY4" s="226" t="s">
        <v>13330</v>
      </c>
      <c r="MTZ4" s="227"/>
      <c r="MUA4" s="227"/>
      <c r="MUB4" s="228"/>
      <c r="MUC4" s="226" t="s">
        <v>13330</v>
      </c>
      <c r="MUD4" s="227"/>
      <c r="MUE4" s="227"/>
      <c r="MUF4" s="228"/>
      <c r="MUG4" s="226" t="s">
        <v>13330</v>
      </c>
      <c r="MUH4" s="227"/>
      <c r="MUI4" s="227"/>
      <c r="MUJ4" s="228"/>
      <c r="MUK4" s="226" t="s">
        <v>13330</v>
      </c>
      <c r="MUL4" s="227"/>
      <c r="MUM4" s="227"/>
      <c r="MUN4" s="228"/>
      <c r="MUO4" s="226" t="s">
        <v>13330</v>
      </c>
      <c r="MUP4" s="227"/>
      <c r="MUQ4" s="227"/>
      <c r="MUR4" s="228"/>
      <c r="MUS4" s="226" t="s">
        <v>13330</v>
      </c>
      <c r="MUT4" s="227"/>
      <c r="MUU4" s="227"/>
      <c r="MUV4" s="228"/>
      <c r="MUW4" s="226" t="s">
        <v>13330</v>
      </c>
      <c r="MUX4" s="227"/>
      <c r="MUY4" s="227"/>
      <c r="MUZ4" s="228"/>
      <c r="MVA4" s="226" t="s">
        <v>13330</v>
      </c>
      <c r="MVB4" s="227"/>
      <c r="MVC4" s="227"/>
      <c r="MVD4" s="228"/>
      <c r="MVE4" s="226" t="s">
        <v>13330</v>
      </c>
      <c r="MVF4" s="227"/>
      <c r="MVG4" s="227"/>
      <c r="MVH4" s="228"/>
      <c r="MVI4" s="226" t="s">
        <v>13330</v>
      </c>
      <c r="MVJ4" s="227"/>
      <c r="MVK4" s="227"/>
      <c r="MVL4" s="228"/>
      <c r="MVM4" s="226" t="s">
        <v>13330</v>
      </c>
      <c r="MVN4" s="227"/>
      <c r="MVO4" s="227"/>
      <c r="MVP4" s="228"/>
      <c r="MVQ4" s="226" t="s">
        <v>13330</v>
      </c>
      <c r="MVR4" s="227"/>
      <c r="MVS4" s="227"/>
      <c r="MVT4" s="228"/>
      <c r="MVU4" s="226" t="s">
        <v>13330</v>
      </c>
      <c r="MVV4" s="227"/>
      <c r="MVW4" s="227"/>
      <c r="MVX4" s="228"/>
      <c r="MVY4" s="226" t="s">
        <v>13330</v>
      </c>
      <c r="MVZ4" s="227"/>
      <c r="MWA4" s="227"/>
      <c r="MWB4" s="228"/>
      <c r="MWC4" s="226" t="s">
        <v>13330</v>
      </c>
      <c r="MWD4" s="227"/>
      <c r="MWE4" s="227"/>
      <c r="MWF4" s="228"/>
      <c r="MWG4" s="226" t="s">
        <v>13330</v>
      </c>
      <c r="MWH4" s="227"/>
      <c r="MWI4" s="227"/>
      <c r="MWJ4" s="228"/>
      <c r="MWK4" s="226" t="s">
        <v>13330</v>
      </c>
      <c r="MWL4" s="227"/>
      <c r="MWM4" s="227"/>
      <c r="MWN4" s="228"/>
      <c r="MWO4" s="226" t="s">
        <v>13330</v>
      </c>
      <c r="MWP4" s="227"/>
      <c r="MWQ4" s="227"/>
      <c r="MWR4" s="228"/>
      <c r="MWS4" s="226" t="s">
        <v>13330</v>
      </c>
      <c r="MWT4" s="227"/>
      <c r="MWU4" s="227"/>
      <c r="MWV4" s="228"/>
      <c r="MWW4" s="226" t="s">
        <v>13330</v>
      </c>
      <c r="MWX4" s="227"/>
      <c r="MWY4" s="227"/>
      <c r="MWZ4" s="228"/>
      <c r="MXA4" s="226" t="s">
        <v>13330</v>
      </c>
      <c r="MXB4" s="227"/>
      <c r="MXC4" s="227"/>
      <c r="MXD4" s="228"/>
      <c r="MXE4" s="226" t="s">
        <v>13330</v>
      </c>
      <c r="MXF4" s="227"/>
      <c r="MXG4" s="227"/>
      <c r="MXH4" s="228"/>
      <c r="MXI4" s="226" t="s">
        <v>13330</v>
      </c>
      <c r="MXJ4" s="227"/>
      <c r="MXK4" s="227"/>
      <c r="MXL4" s="228"/>
      <c r="MXM4" s="226" t="s">
        <v>13330</v>
      </c>
      <c r="MXN4" s="227"/>
      <c r="MXO4" s="227"/>
      <c r="MXP4" s="228"/>
      <c r="MXQ4" s="226" t="s">
        <v>13330</v>
      </c>
      <c r="MXR4" s="227"/>
      <c r="MXS4" s="227"/>
      <c r="MXT4" s="228"/>
      <c r="MXU4" s="226" t="s">
        <v>13330</v>
      </c>
      <c r="MXV4" s="227"/>
      <c r="MXW4" s="227"/>
      <c r="MXX4" s="228"/>
      <c r="MXY4" s="226" t="s">
        <v>13330</v>
      </c>
      <c r="MXZ4" s="227"/>
      <c r="MYA4" s="227"/>
      <c r="MYB4" s="228"/>
      <c r="MYC4" s="226" t="s">
        <v>13330</v>
      </c>
      <c r="MYD4" s="227"/>
      <c r="MYE4" s="227"/>
      <c r="MYF4" s="228"/>
      <c r="MYG4" s="226" t="s">
        <v>13330</v>
      </c>
      <c r="MYH4" s="227"/>
      <c r="MYI4" s="227"/>
      <c r="MYJ4" s="228"/>
      <c r="MYK4" s="226" t="s">
        <v>13330</v>
      </c>
      <c r="MYL4" s="227"/>
      <c r="MYM4" s="227"/>
      <c r="MYN4" s="228"/>
      <c r="MYO4" s="226" t="s">
        <v>13330</v>
      </c>
      <c r="MYP4" s="227"/>
      <c r="MYQ4" s="227"/>
      <c r="MYR4" s="228"/>
      <c r="MYS4" s="226" t="s">
        <v>13330</v>
      </c>
      <c r="MYT4" s="227"/>
      <c r="MYU4" s="227"/>
      <c r="MYV4" s="228"/>
      <c r="MYW4" s="226" t="s">
        <v>13330</v>
      </c>
      <c r="MYX4" s="227"/>
      <c r="MYY4" s="227"/>
      <c r="MYZ4" s="228"/>
      <c r="MZA4" s="226" t="s">
        <v>13330</v>
      </c>
      <c r="MZB4" s="227"/>
      <c r="MZC4" s="227"/>
      <c r="MZD4" s="228"/>
      <c r="MZE4" s="226" t="s">
        <v>13330</v>
      </c>
      <c r="MZF4" s="227"/>
      <c r="MZG4" s="227"/>
      <c r="MZH4" s="228"/>
      <c r="MZI4" s="226" t="s">
        <v>13330</v>
      </c>
      <c r="MZJ4" s="227"/>
      <c r="MZK4" s="227"/>
      <c r="MZL4" s="228"/>
      <c r="MZM4" s="226" t="s">
        <v>13330</v>
      </c>
      <c r="MZN4" s="227"/>
      <c r="MZO4" s="227"/>
      <c r="MZP4" s="228"/>
      <c r="MZQ4" s="226" t="s">
        <v>13330</v>
      </c>
      <c r="MZR4" s="227"/>
      <c r="MZS4" s="227"/>
      <c r="MZT4" s="228"/>
      <c r="MZU4" s="226" t="s">
        <v>13330</v>
      </c>
      <c r="MZV4" s="227"/>
      <c r="MZW4" s="227"/>
      <c r="MZX4" s="228"/>
      <c r="MZY4" s="226" t="s">
        <v>13330</v>
      </c>
      <c r="MZZ4" s="227"/>
      <c r="NAA4" s="227"/>
      <c r="NAB4" s="228"/>
      <c r="NAC4" s="226" t="s">
        <v>13330</v>
      </c>
      <c r="NAD4" s="227"/>
      <c r="NAE4" s="227"/>
      <c r="NAF4" s="228"/>
      <c r="NAG4" s="226" t="s">
        <v>13330</v>
      </c>
      <c r="NAH4" s="227"/>
      <c r="NAI4" s="227"/>
      <c r="NAJ4" s="228"/>
      <c r="NAK4" s="226" t="s">
        <v>13330</v>
      </c>
      <c r="NAL4" s="227"/>
      <c r="NAM4" s="227"/>
      <c r="NAN4" s="228"/>
      <c r="NAO4" s="226" t="s">
        <v>13330</v>
      </c>
      <c r="NAP4" s="227"/>
      <c r="NAQ4" s="227"/>
      <c r="NAR4" s="228"/>
      <c r="NAS4" s="226" t="s">
        <v>13330</v>
      </c>
      <c r="NAT4" s="227"/>
      <c r="NAU4" s="227"/>
      <c r="NAV4" s="228"/>
      <c r="NAW4" s="226" t="s">
        <v>13330</v>
      </c>
      <c r="NAX4" s="227"/>
      <c r="NAY4" s="227"/>
      <c r="NAZ4" s="228"/>
      <c r="NBA4" s="226" t="s">
        <v>13330</v>
      </c>
      <c r="NBB4" s="227"/>
      <c r="NBC4" s="227"/>
      <c r="NBD4" s="228"/>
      <c r="NBE4" s="226" t="s">
        <v>13330</v>
      </c>
      <c r="NBF4" s="227"/>
      <c r="NBG4" s="227"/>
      <c r="NBH4" s="228"/>
      <c r="NBI4" s="226" t="s">
        <v>13330</v>
      </c>
      <c r="NBJ4" s="227"/>
      <c r="NBK4" s="227"/>
      <c r="NBL4" s="228"/>
      <c r="NBM4" s="226" t="s">
        <v>13330</v>
      </c>
      <c r="NBN4" s="227"/>
      <c r="NBO4" s="227"/>
      <c r="NBP4" s="228"/>
      <c r="NBQ4" s="226" t="s">
        <v>13330</v>
      </c>
      <c r="NBR4" s="227"/>
      <c r="NBS4" s="227"/>
      <c r="NBT4" s="228"/>
      <c r="NBU4" s="226" t="s">
        <v>13330</v>
      </c>
      <c r="NBV4" s="227"/>
      <c r="NBW4" s="227"/>
      <c r="NBX4" s="228"/>
      <c r="NBY4" s="226" t="s">
        <v>13330</v>
      </c>
      <c r="NBZ4" s="227"/>
      <c r="NCA4" s="227"/>
      <c r="NCB4" s="228"/>
      <c r="NCC4" s="226" t="s">
        <v>13330</v>
      </c>
      <c r="NCD4" s="227"/>
      <c r="NCE4" s="227"/>
      <c r="NCF4" s="228"/>
      <c r="NCG4" s="226" t="s">
        <v>13330</v>
      </c>
      <c r="NCH4" s="227"/>
      <c r="NCI4" s="227"/>
      <c r="NCJ4" s="228"/>
      <c r="NCK4" s="226" t="s">
        <v>13330</v>
      </c>
      <c r="NCL4" s="227"/>
      <c r="NCM4" s="227"/>
      <c r="NCN4" s="228"/>
      <c r="NCO4" s="226" t="s">
        <v>13330</v>
      </c>
      <c r="NCP4" s="227"/>
      <c r="NCQ4" s="227"/>
      <c r="NCR4" s="228"/>
      <c r="NCS4" s="226" t="s">
        <v>13330</v>
      </c>
      <c r="NCT4" s="227"/>
      <c r="NCU4" s="227"/>
      <c r="NCV4" s="228"/>
      <c r="NCW4" s="226" t="s">
        <v>13330</v>
      </c>
      <c r="NCX4" s="227"/>
      <c r="NCY4" s="227"/>
      <c r="NCZ4" s="228"/>
      <c r="NDA4" s="226" t="s">
        <v>13330</v>
      </c>
      <c r="NDB4" s="227"/>
      <c r="NDC4" s="227"/>
      <c r="NDD4" s="228"/>
      <c r="NDE4" s="226" t="s">
        <v>13330</v>
      </c>
      <c r="NDF4" s="227"/>
      <c r="NDG4" s="227"/>
      <c r="NDH4" s="228"/>
      <c r="NDI4" s="226" t="s">
        <v>13330</v>
      </c>
      <c r="NDJ4" s="227"/>
      <c r="NDK4" s="227"/>
      <c r="NDL4" s="228"/>
      <c r="NDM4" s="226" t="s">
        <v>13330</v>
      </c>
      <c r="NDN4" s="227"/>
      <c r="NDO4" s="227"/>
      <c r="NDP4" s="228"/>
      <c r="NDQ4" s="226" t="s">
        <v>13330</v>
      </c>
      <c r="NDR4" s="227"/>
      <c r="NDS4" s="227"/>
      <c r="NDT4" s="228"/>
      <c r="NDU4" s="226" t="s">
        <v>13330</v>
      </c>
      <c r="NDV4" s="227"/>
      <c r="NDW4" s="227"/>
      <c r="NDX4" s="228"/>
      <c r="NDY4" s="226" t="s">
        <v>13330</v>
      </c>
      <c r="NDZ4" s="227"/>
      <c r="NEA4" s="227"/>
      <c r="NEB4" s="228"/>
      <c r="NEC4" s="226" t="s">
        <v>13330</v>
      </c>
      <c r="NED4" s="227"/>
      <c r="NEE4" s="227"/>
      <c r="NEF4" s="228"/>
      <c r="NEG4" s="226" t="s">
        <v>13330</v>
      </c>
      <c r="NEH4" s="227"/>
      <c r="NEI4" s="227"/>
      <c r="NEJ4" s="228"/>
      <c r="NEK4" s="226" t="s">
        <v>13330</v>
      </c>
      <c r="NEL4" s="227"/>
      <c r="NEM4" s="227"/>
      <c r="NEN4" s="228"/>
      <c r="NEO4" s="226" t="s">
        <v>13330</v>
      </c>
      <c r="NEP4" s="227"/>
      <c r="NEQ4" s="227"/>
      <c r="NER4" s="228"/>
      <c r="NES4" s="226" t="s">
        <v>13330</v>
      </c>
      <c r="NET4" s="227"/>
      <c r="NEU4" s="227"/>
      <c r="NEV4" s="228"/>
      <c r="NEW4" s="226" t="s">
        <v>13330</v>
      </c>
      <c r="NEX4" s="227"/>
      <c r="NEY4" s="227"/>
      <c r="NEZ4" s="228"/>
      <c r="NFA4" s="226" t="s">
        <v>13330</v>
      </c>
      <c r="NFB4" s="227"/>
      <c r="NFC4" s="227"/>
      <c r="NFD4" s="228"/>
      <c r="NFE4" s="226" t="s">
        <v>13330</v>
      </c>
      <c r="NFF4" s="227"/>
      <c r="NFG4" s="227"/>
      <c r="NFH4" s="228"/>
      <c r="NFI4" s="226" t="s">
        <v>13330</v>
      </c>
      <c r="NFJ4" s="227"/>
      <c r="NFK4" s="227"/>
      <c r="NFL4" s="228"/>
      <c r="NFM4" s="226" t="s">
        <v>13330</v>
      </c>
      <c r="NFN4" s="227"/>
      <c r="NFO4" s="227"/>
      <c r="NFP4" s="228"/>
      <c r="NFQ4" s="226" t="s">
        <v>13330</v>
      </c>
      <c r="NFR4" s="227"/>
      <c r="NFS4" s="227"/>
      <c r="NFT4" s="228"/>
      <c r="NFU4" s="226" t="s">
        <v>13330</v>
      </c>
      <c r="NFV4" s="227"/>
      <c r="NFW4" s="227"/>
      <c r="NFX4" s="228"/>
      <c r="NFY4" s="226" t="s">
        <v>13330</v>
      </c>
      <c r="NFZ4" s="227"/>
      <c r="NGA4" s="227"/>
      <c r="NGB4" s="228"/>
      <c r="NGC4" s="226" t="s">
        <v>13330</v>
      </c>
      <c r="NGD4" s="227"/>
      <c r="NGE4" s="227"/>
      <c r="NGF4" s="228"/>
      <c r="NGG4" s="226" t="s">
        <v>13330</v>
      </c>
      <c r="NGH4" s="227"/>
      <c r="NGI4" s="227"/>
      <c r="NGJ4" s="228"/>
      <c r="NGK4" s="226" t="s">
        <v>13330</v>
      </c>
      <c r="NGL4" s="227"/>
      <c r="NGM4" s="227"/>
      <c r="NGN4" s="228"/>
      <c r="NGO4" s="226" t="s">
        <v>13330</v>
      </c>
      <c r="NGP4" s="227"/>
      <c r="NGQ4" s="227"/>
      <c r="NGR4" s="228"/>
      <c r="NGS4" s="226" t="s">
        <v>13330</v>
      </c>
      <c r="NGT4" s="227"/>
      <c r="NGU4" s="227"/>
      <c r="NGV4" s="228"/>
      <c r="NGW4" s="226" t="s">
        <v>13330</v>
      </c>
      <c r="NGX4" s="227"/>
      <c r="NGY4" s="227"/>
      <c r="NGZ4" s="228"/>
      <c r="NHA4" s="226" t="s">
        <v>13330</v>
      </c>
      <c r="NHB4" s="227"/>
      <c r="NHC4" s="227"/>
      <c r="NHD4" s="228"/>
      <c r="NHE4" s="226" t="s">
        <v>13330</v>
      </c>
      <c r="NHF4" s="227"/>
      <c r="NHG4" s="227"/>
      <c r="NHH4" s="228"/>
      <c r="NHI4" s="226" t="s">
        <v>13330</v>
      </c>
      <c r="NHJ4" s="227"/>
      <c r="NHK4" s="227"/>
      <c r="NHL4" s="228"/>
      <c r="NHM4" s="226" t="s">
        <v>13330</v>
      </c>
      <c r="NHN4" s="227"/>
      <c r="NHO4" s="227"/>
      <c r="NHP4" s="228"/>
      <c r="NHQ4" s="226" t="s">
        <v>13330</v>
      </c>
      <c r="NHR4" s="227"/>
      <c r="NHS4" s="227"/>
      <c r="NHT4" s="228"/>
      <c r="NHU4" s="226" t="s">
        <v>13330</v>
      </c>
      <c r="NHV4" s="227"/>
      <c r="NHW4" s="227"/>
      <c r="NHX4" s="228"/>
      <c r="NHY4" s="226" t="s">
        <v>13330</v>
      </c>
      <c r="NHZ4" s="227"/>
      <c r="NIA4" s="227"/>
      <c r="NIB4" s="228"/>
      <c r="NIC4" s="226" t="s">
        <v>13330</v>
      </c>
      <c r="NID4" s="227"/>
      <c r="NIE4" s="227"/>
      <c r="NIF4" s="228"/>
      <c r="NIG4" s="226" t="s">
        <v>13330</v>
      </c>
      <c r="NIH4" s="227"/>
      <c r="NII4" s="227"/>
      <c r="NIJ4" s="228"/>
      <c r="NIK4" s="226" t="s">
        <v>13330</v>
      </c>
      <c r="NIL4" s="227"/>
      <c r="NIM4" s="227"/>
      <c r="NIN4" s="228"/>
      <c r="NIO4" s="226" t="s">
        <v>13330</v>
      </c>
      <c r="NIP4" s="227"/>
      <c r="NIQ4" s="227"/>
      <c r="NIR4" s="228"/>
      <c r="NIS4" s="226" t="s">
        <v>13330</v>
      </c>
      <c r="NIT4" s="227"/>
      <c r="NIU4" s="227"/>
      <c r="NIV4" s="228"/>
      <c r="NIW4" s="226" t="s">
        <v>13330</v>
      </c>
      <c r="NIX4" s="227"/>
      <c r="NIY4" s="227"/>
      <c r="NIZ4" s="228"/>
      <c r="NJA4" s="226" t="s">
        <v>13330</v>
      </c>
      <c r="NJB4" s="227"/>
      <c r="NJC4" s="227"/>
      <c r="NJD4" s="228"/>
      <c r="NJE4" s="226" t="s">
        <v>13330</v>
      </c>
      <c r="NJF4" s="227"/>
      <c r="NJG4" s="227"/>
      <c r="NJH4" s="228"/>
      <c r="NJI4" s="226" t="s">
        <v>13330</v>
      </c>
      <c r="NJJ4" s="227"/>
      <c r="NJK4" s="227"/>
      <c r="NJL4" s="228"/>
      <c r="NJM4" s="226" t="s">
        <v>13330</v>
      </c>
      <c r="NJN4" s="227"/>
      <c r="NJO4" s="227"/>
      <c r="NJP4" s="228"/>
      <c r="NJQ4" s="226" t="s">
        <v>13330</v>
      </c>
      <c r="NJR4" s="227"/>
      <c r="NJS4" s="227"/>
      <c r="NJT4" s="228"/>
      <c r="NJU4" s="226" t="s">
        <v>13330</v>
      </c>
      <c r="NJV4" s="227"/>
      <c r="NJW4" s="227"/>
      <c r="NJX4" s="228"/>
      <c r="NJY4" s="226" t="s">
        <v>13330</v>
      </c>
      <c r="NJZ4" s="227"/>
      <c r="NKA4" s="227"/>
      <c r="NKB4" s="228"/>
      <c r="NKC4" s="226" t="s">
        <v>13330</v>
      </c>
      <c r="NKD4" s="227"/>
      <c r="NKE4" s="227"/>
      <c r="NKF4" s="228"/>
      <c r="NKG4" s="226" t="s">
        <v>13330</v>
      </c>
      <c r="NKH4" s="227"/>
      <c r="NKI4" s="227"/>
      <c r="NKJ4" s="228"/>
      <c r="NKK4" s="226" t="s">
        <v>13330</v>
      </c>
      <c r="NKL4" s="227"/>
      <c r="NKM4" s="227"/>
      <c r="NKN4" s="228"/>
      <c r="NKO4" s="226" t="s">
        <v>13330</v>
      </c>
      <c r="NKP4" s="227"/>
      <c r="NKQ4" s="227"/>
      <c r="NKR4" s="228"/>
      <c r="NKS4" s="226" t="s">
        <v>13330</v>
      </c>
      <c r="NKT4" s="227"/>
      <c r="NKU4" s="227"/>
      <c r="NKV4" s="228"/>
      <c r="NKW4" s="226" t="s">
        <v>13330</v>
      </c>
      <c r="NKX4" s="227"/>
      <c r="NKY4" s="227"/>
      <c r="NKZ4" s="228"/>
      <c r="NLA4" s="226" t="s">
        <v>13330</v>
      </c>
      <c r="NLB4" s="227"/>
      <c r="NLC4" s="227"/>
      <c r="NLD4" s="228"/>
      <c r="NLE4" s="226" t="s">
        <v>13330</v>
      </c>
      <c r="NLF4" s="227"/>
      <c r="NLG4" s="227"/>
      <c r="NLH4" s="228"/>
      <c r="NLI4" s="226" t="s">
        <v>13330</v>
      </c>
      <c r="NLJ4" s="227"/>
      <c r="NLK4" s="227"/>
      <c r="NLL4" s="228"/>
      <c r="NLM4" s="226" t="s">
        <v>13330</v>
      </c>
      <c r="NLN4" s="227"/>
      <c r="NLO4" s="227"/>
      <c r="NLP4" s="228"/>
      <c r="NLQ4" s="226" t="s">
        <v>13330</v>
      </c>
      <c r="NLR4" s="227"/>
      <c r="NLS4" s="227"/>
      <c r="NLT4" s="228"/>
      <c r="NLU4" s="226" t="s">
        <v>13330</v>
      </c>
      <c r="NLV4" s="227"/>
      <c r="NLW4" s="227"/>
      <c r="NLX4" s="228"/>
      <c r="NLY4" s="226" t="s">
        <v>13330</v>
      </c>
      <c r="NLZ4" s="227"/>
      <c r="NMA4" s="227"/>
      <c r="NMB4" s="228"/>
      <c r="NMC4" s="226" t="s">
        <v>13330</v>
      </c>
      <c r="NMD4" s="227"/>
      <c r="NME4" s="227"/>
      <c r="NMF4" s="228"/>
      <c r="NMG4" s="226" t="s">
        <v>13330</v>
      </c>
      <c r="NMH4" s="227"/>
      <c r="NMI4" s="227"/>
      <c r="NMJ4" s="228"/>
      <c r="NMK4" s="226" t="s">
        <v>13330</v>
      </c>
      <c r="NML4" s="227"/>
      <c r="NMM4" s="227"/>
      <c r="NMN4" s="228"/>
      <c r="NMO4" s="226" t="s">
        <v>13330</v>
      </c>
      <c r="NMP4" s="227"/>
      <c r="NMQ4" s="227"/>
      <c r="NMR4" s="228"/>
      <c r="NMS4" s="226" t="s">
        <v>13330</v>
      </c>
      <c r="NMT4" s="227"/>
      <c r="NMU4" s="227"/>
      <c r="NMV4" s="228"/>
      <c r="NMW4" s="226" t="s">
        <v>13330</v>
      </c>
      <c r="NMX4" s="227"/>
      <c r="NMY4" s="227"/>
      <c r="NMZ4" s="228"/>
      <c r="NNA4" s="226" t="s">
        <v>13330</v>
      </c>
      <c r="NNB4" s="227"/>
      <c r="NNC4" s="227"/>
      <c r="NND4" s="228"/>
      <c r="NNE4" s="226" t="s">
        <v>13330</v>
      </c>
      <c r="NNF4" s="227"/>
      <c r="NNG4" s="227"/>
      <c r="NNH4" s="228"/>
      <c r="NNI4" s="226" t="s">
        <v>13330</v>
      </c>
      <c r="NNJ4" s="227"/>
      <c r="NNK4" s="227"/>
      <c r="NNL4" s="228"/>
      <c r="NNM4" s="226" t="s">
        <v>13330</v>
      </c>
      <c r="NNN4" s="227"/>
      <c r="NNO4" s="227"/>
      <c r="NNP4" s="228"/>
      <c r="NNQ4" s="226" t="s">
        <v>13330</v>
      </c>
      <c r="NNR4" s="227"/>
      <c r="NNS4" s="227"/>
      <c r="NNT4" s="228"/>
      <c r="NNU4" s="226" t="s">
        <v>13330</v>
      </c>
      <c r="NNV4" s="227"/>
      <c r="NNW4" s="227"/>
      <c r="NNX4" s="228"/>
      <c r="NNY4" s="226" t="s">
        <v>13330</v>
      </c>
      <c r="NNZ4" s="227"/>
      <c r="NOA4" s="227"/>
      <c r="NOB4" s="228"/>
      <c r="NOC4" s="226" t="s">
        <v>13330</v>
      </c>
      <c r="NOD4" s="227"/>
      <c r="NOE4" s="227"/>
      <c r="NOF4" s="228"/>
      <c r="NOG4" s="226" t="s">
        <v>13330</v>
      </c>
      <c r="NOH4" s="227"/>
      <c r="NOI4" s="227"/>
      <c r="NOJ4" s="228"/>
      <c r="NOK4" s="226" t="s">
        <v>13330</v>
      </c>
      <c r="NOL4" s="227"/>
      <c r="NOM4" s="227"/>
      <c r="NON4" s="228"/>
      <c r="NOO4" s="226" t="s">
        <v>13330</v>
      </c>
      <c r="NOP4" s="227"/>
      <c r="NOQ4" s="227"/>
      <c r="NOR4" s="228"/>
      <c r="NOS4" s="226" t="s">
        <v>13330</v>
      </c>
      <c r="NOT4" s="227"/>
      <c r="NOU4" s="227"/>
      <c r="NOV4" s="228"/>
      <c r="NOW4" s="226" t="s">
        <v>13330</v>
      </c>
      <c r="NOX4" s="227"/>
      <c r="NOY4" s="227"/>
      <c r="NOZ4" s="228"/>
      <c r="NPA4" s="226" t="s">
        <v>13330</v>
      </c>
      <c r="NPB4" s="227"/>
      <c r="NPC4" s="227"/>
      <c r="NPD4" s="228"/>
      <c r="NPE4" s="226" t="s">
        <v>13330</v>
      </c>
      <c r="NPF4" s="227"/>
      <c r="NPG4" s="227"/>
      <c r="NPH4" s="228"/>
      <c r="NPI4" s="226" t="s">
        <v>13330</v>
      </c>
      <c r="NPJ4" s="227"/>
      <c r="NPK4" s="227"/>
      <c r="NPL4" s="228"/>
      <c r="NPM4" s="226" t="s">
        <v>13330</v>
      </c>
      <c r="NPN4" s="227"/>
      <c r="NPO4" s="227"/>
      <c r="NPP4" s="228"/>
      <c r="NPQ4" s="226" t="s">
        <v>13330</v>
      </c>
      <c r="NPR4" s="227"/>
      <c r="NPS4" s="227"/>
      <c r="NPT4" s="228"/>
      <c r="NPU4" s="226" t="s">
        <v>13330</v>
      </c>
      <c r="NPV4" s="227"/>
      <c r="NPW4" s="227"/>
      <c r="NPX4" s="228"/>
      <c r="NPY4" s="226" t="s">
        <v>13330</v>
      </c>
      <c r="NPZ4" s="227"/>
      <c r="NQA4" s="227"/>
      <c r="NQB4" s="228"/>
      <c r="NQC4" s="226" t="s">
        <v>13330</v>
      </c>
      <c r="NQD4" s="227"/>
      <c r="NQE4" s="227"/>
      <c r="NQF4" s="228"/>
      <c r="NQG4" s="226" t="s">
        <v>13330</v>
      </c>
      <c r="NQH4" s="227"/>
      <c r="NQI4" s="227"/>
      <c r="NQJ4" s="228"/>
      <c r="NQK4" s="226" t="s">
        <v>13330</v>
      </c>
      <c r="NQL4" s="227"/>
      <c r="NQM4" s="227"/>
      <c r="NQN4" s="228"/>
      <c r="NQO4" s="226" t="s">
        <v>13330</v>
      </c>
      <c r="NQP4" s="227"/>
      <c r="NQQ4" s="227"/>
      <c r="NQR4" s="228"/>
      <c r="NQS4" s="226" t="s">
        <v>13330</v>
      </c>
      <c r="NQT4" s="227"/>
      <c r="NQU4" s="227"/>
      <c r="NQV4" s="228"/>
      <c r="NQW4" s="226" t="s">
        <v>13330</v>
      </c>
      <c r="NQX4" s="227"/>
      <c r="NQY4" s="227"/>
      <c r="NQZ4" s="228"/>
      <c r="NRA4" s="226" t="s">
        <v>13330</v>
      </c>
      <c r="NRB4" s="227"/>
      <c r="NRC4" s="227"/>
      <c r="NRD4" s="228"/>
      <c r="NRE4" s="226" t="s">
        <v>13330</v>
      </c>
      <c r="NRF4" s="227"/>
      <c r="NRG4" s="227"/>
      <c r="NRH4" s="228"/>
      <c r="NRI4" s="226" t="s">
        <v>13330</v>
      </c>
      <c r="NRJ4" s="227"/>
      <c r="NRK4" s="227"/>
      <c r="NRL4" s="228"/>
      <c r="NRM4" s="226" t="s">
        <v>13330</v>
      </c>
      <c r="NRN4" s="227"/>
      <c r="NRO4" s="227"/>
      <c r="NRP4" s="228"/>
      <c r="NRQ4" s="226" t="s">
        <v>13330</v>
      </c>
      <c r="NRR4" s="227"/>
      <c r="NRS4" s="227"/>
      <c r="NRT4" s="228"/>
      <c r="NRU4" s="226" t="s">
        <v>13330</v>
      </c>
      <c r="NRV4" s="227"/>
      <c r="NRW4" s="227"/>
      <c r="NRX4" s="228"/>
      <c r="NRY4" s="226" t="s">
        <v>13330</v>
      </c>
      <c r="NRZ4" s="227"/>
      <c r="NSA4" s="227"/>
      <c r="NSB4" s="228"/>
      <c r="NSC4" s="226" t="s">
        <v>13330</v>
      </c>
      <c r="NSD4" s="227"/>
      <c r="NSE4" s="227"/>
      <c r="NSF4" s="228"/>
      <c r="NSG4" s="226" t="s">
        <v>13330</v>
      </c>
      <c r="NSH4" s="227"/>
      <c r="NSI4" s="227"/>
      <c r="NSJ4" s="228"/>
      <c r="NSK4" s="226" t="s">
        <v>13330</v>
      </c>
      <c r="NSL4" s="227"/>
      <c r="NSM4" s="227"/>
      <c r="NSN4" s="228"/>
      <c r="NSO4" s="226" t="s">
        <v>13330</v>
      </c>
      <c r="NSP4" s="227"/>
      <c r="NSQ4" s="227"/>
      <c r="NSR4" s="228"/>
      <c r="NSS4" s="226" t="s">
        <v>13330</v>
      </c>
      <c r="NST4" s="227"/>
      <c r="NSU4" s="227"/>
      <c r="NSV4" s="228"/>
      <c r="NSW4" s="226" t="s">
        <v>13330</v>
      </c>
      <c r="NSX4" s="227"/>
      <c r="NSY4" s="227"/>
      <c r="NSZ4" s="228"/>
      <c r="NTA4" s="226" t="s">
        <v>13330</v>
      </c>
      <c r="NTB4" s="227"/>
      <c r="NTC4" s="227"/>
      <c r="NTD4" s="228"/>
      <c r="NTE4" s="226" t="s">
        <v>13330</v>
      </c>
      <c r="NTF4" s="227"/>
      <c r="NTG4" s="227"/>
      <c r="NTH4" s="228"/>
      <c r="NTI4" s="226" t="s">
        <v>13330</v>
      </c>
      <c r="NTJ4" s="227"/>
      <c r="NTK4" s="227"/>
      <c r="NTL4" s="228"/>
      <c r="NTM4" s="226" t="s">
        <v>13330</v>
      </c>
      <c r="NTN4" s="227"/>
      <c r="NTO4" s="227"/>
      <c r="NTP4" s="228"/>
      <c r="NTQ4" s="226" t="s">
        <v>13330</v>
      </c>
      <c r="NTR4" s="227"/>
      <c r="NTS4" s="227"/>
      <c r="NTT4" s="228"/>
      <c r="NTU4" s="226" t="s">
        <v>13330</v>
      </c>
      <c r="NTV4" s="227"/>
      <c r="NTW4" s="227"/>
      <c r="NTX4" s="228"/>
      <c r="NTY4" s="226" t="s">
        <v>13330</v>
      </c>
      <c r="NTZ4" s="227"/>
      <c r="NUA4" s="227"/>
      <c r="NUB4" s="228"/>
      <c r="NUC4" s="226" t="s">
        <v>13330</v>
      </c>
      <c r="NUD4" s="227"/>
      <c r="NUE4" s="227"/>
      <c r="NUF4" s="228"/>
      <c r="NUG4" s="226" t="s">
        <v>13330</v>
      </c>
      <c r="NUH4" s="227"/>
      <c r="NUI4" s="227"/>
      <c r="NUJ4" s="228"/>
      <c r="NUK4" s="226" t="s">
        <v>13330</v>
      </c>
      <c r="NUL4" s="227"/>
      <c r="NUM4" s="227"/>
      <c r="NUN4" s="228"/>
      <c r="NUO4" s="226" t="s">
        <v>13330</v>
      </c>
      <c r="NUP4" s="227"/>
      <c r="NUQ4" s="227"/>
      <c r="NUR4" s="228"/>
      <c r="NUS4" s="226" t="s">
        <v>13330</v>
      </c>
      <c r="NUT4" s="227"/>
      <c r="NUU4" s="227"/>
      <c r="NUV4" s="228"/>
      <c r="NUW4" s="226" t="s">
        <v>13330</v>
      </c>
      <c r="NUX4" s="227"/>
      <c r="NUY4" s="227"/>
      <c r="NUZ4" s="228"/>
      <c r="NVA4" s="226" t="s">
        <v>13330</v>
      </c>
      <c r="NVB4" s="227"/>
      <c r="NVC4" s="227"/>
      <c r="NVD4" s="228"/>
      <c r="NVE4" s="226" t="s">
        <v>13330</v>
      </c>
      <c r="NVF4" s="227"/>
      <c r="NVG4" s="227"/>
      <c r="NVH4" s="228"/>
      <c r="NVI4" s="226" t="s">
        <v>13330</v>
      </c>
      <c r="NVJ4" s="227"/>
      <c r="NVK4" s="227"/>
      <c r="NVL4" s="228"/>
      <c r="NVM4" s="226" t="s">
        <v>13330</v>
      </c>
      <c r="NVN4" s="227"/>
      <c r="NVO4" s="227"/>
      <c r="NVP4" s="228"/>
      <c r="NVQ4" s="226" t="s">
        <v>13330</v>
      </c>
      <c r="NVR4" s="227"/>
      <c r="NVS4" s="227"/>
      <c r="NVT4" s="228"/>
      <c r="NVU4" s="226" t="s">
        <v>13330</v>
      </c>
      <c r="NVV4" s="227"/>
      <c r="NVW4" s="227"/>
      <c r="NVX4" s="228"/>
      <c r="NVY4" s="226" t="s">
        <v>13330</v>
      </c>
      <c r="NVZ4" s="227"/>
      <c r="NWA4" s="227"/>
      <c r="NWB4" s="228"/>
      <c r="NWC4" s="226" t="s">
        <v>13330</v>
      </c>
      <c r="NWD4" s="227"/>
      <c r="NWE4" s="227"/>
      <c r="NWF4" s="228"/>
      <c r="NWG4" s="226" t="s">
        <v>13330</v>
      </c>
      <c r="NWH4" s="227"/>
      <c r="NWI4" s="227"/>
      <c r="NWJ4" s="228"/>
      <c r="NWK4" s="226" t="s">
        <v>13330</v>
      </c>
      <c r="NWL4" s="227"/>
      <c r="NWM4" s="227"/>
      <c r="NWN4" s="228"/>
      <c r="NWO4" s="226" t="s">
        <v>13330</v>
      </c>
      <c r="NWP4" s="227"/>
      <c r="NWQ4" s="227"/>
      <c r="NWR4" s="228"/>
      <c r="NWS4" s="226" t="s">
        <v>13330</v>
      </c>
      <c r="NWT4" s="227"/>
      <c r="NWU4" s="227"/>
      <c r="NWV4" s="228"/>
      <c r="NWW4" s="226" t="s">
        <v>13330</v>
      </c>
      <c r="NWX4" s="227"/>
      <c r="NWY4" s="227"/>
      <c r="NWZ4" s="228"/>
      <c r="NXA4" s="226" t="s">
        <v>13330</v>
      </c>
      <c r="NXB4" s="227"/>
      <c r="NXC4" s="227"/>
      <c r="NXD4" s="228"/>
      <c r="NXE4" s="226" t="s">
        <v>13330</v>
      </c>
      <c r="NXF4" s="227"/>
      <c r="NXG4" s="227"/>
      <c r="NXH4" s="228"/>
      <c r="NXI4" s="226" t="s">
        <v>13330</v>
      </c>
      <c r="NXJ4" s="227"/>
      <c r="NXK4" s="227"/>
      <c r="NXL4" s="228"/>
      <c r="NXM4" s="226" t="s">
        <v>13330</v>
      </c>
      <c r="NXN4" s="227"/>
      <c r="NXO4" s="227"/>
      <c r="NXP4" s="228"/>
      <c r="NXQ4" s="226" t="s">
        <v>13330</v>
      </c>
      <c r="NXR4" s="227"/>
      <c r="NXS4" s="227"/>
      <c r="NXT4" s="228"/>
      <c r="NXU4" s="226" t="s">
        <v>13330</v>
      </c>
      <c r="NXV4" s="227"/>
      <c r="NXW4" s="227"/>
      <c r="NXX4" s="228"/>
      <c r="NXY4" s="226" t="s">
        <v>13330</v>
      </c>
      <c r="NXZ4" s="227"/>
      <c r="NYA4" s="227"/>
      <c r="NYB4" s="228"/>
      <c r="NYC4" s="226" t="s">
        <v>13330</v>
      </c>
      <c r="NYD4" s="227"/>
      <c r="NYE4" s="227"/>
      <c r="NYF4" s="228"/>
      <c r="NYG4" s="226" t="s">
        <v>13330</v>
      </c>
      <c r="NYH4" s="227"/>
      <c r="NYI4" s="227"/>
      <c r="NYJ4" s="228"/>
      <c r="NYK4" s="226" t="s">
        <v>13330</v>
      </c>
      <c r="NYL4" s="227"/>
      <c r="NYM4" s="227"/>
      <c r="NYN4" s="228"/>
      <c r="NYO4" s="226" t="s">
        <v>13330</v>
      </c>
      <c r="NYP4" s="227"/>
      <c r="NYQ4" s="227"/>
      <c r="NYR4" s="228"/>
      <c r="NYS4" s="226" t="s">
        <v>13330</v>
      </c>
      <c r="NYT4" s="227"/>
      <c r="NYU4" s="227"/>
      <c r="NYV4" s="228"/>
      <c r="NYW4" s="226" t="s">
        <v>13330</v>
      </c>
      <c r="NYX4" s="227"/>
      <c r="NYY4" s="227"/>
      <c r="NYZ4" s="228"/>
      <c r="NZA4" s="226" t="s">
        <v>13330</v>
      </c>
      <c r="NZB4" s="227"/>
      <c r="NZC4" s="227"/>
      <c r="NZD4" s="228"/>
      <c r="NZE4" s="226" t="s">
        <v>13330</v>
      </c>
      <c r="NZF4" s="227"/>
      <c r="NZG4" s="227"/>
      <c r="NZH4" s="228"/>
      <c r="NZI4" s="226" t="s">
        <v>13330</v>
      </c>
      <c r="NZJ4" s="227"/>
      <c r="NZK4" s="227"/>
      <c r="NZL4" s="228"/>
      <c r="NZM4" s="226" t="s">
        <v>13330</v>
      </c>
      <c r="NZN4" s="227"/>
      <c r="NZO4" s="227"/>
      <c r="NZP4" s="228"/>
      <c r="NZQ4" s="226" t="s">
        <v>13330</v>
      </c>
      <c r="NZR4" s="227"/>
      <c r="NZS4" s="227"/>
      <c r="NZT4" s="228"/>
      <c r="NZU4" s="226" t="s">
        <v>13330</v>
      </c>
      <c r="NZV4" s="227"/>
      <c r="NZW4" s="227"/>
      <c r="NZX4" s="228"/>
      <c r="NZY4" s="226" t="s">
        <v>13330</v>
      </c>
      <c r="NZZ4" s="227"/>
      <c r="OAA4" s="227"/>
      <c r="OAB4" s="228"/>
      <c r="OAC4" s="226" t="s">
        <v>13330</v>
      </c>
      <c r="OAD4" s="227"/>
      <c r="OAE4" s="227"/>
      <c r="OAF4" s="228"/>
      <c r="OAG4" s="226" t="s">
        <v>13330</v>
      </c>
      <c r="OAH4" s="227"/>
      <c r="OAI4" s="227"/>
      <c r="OAJ4" s="228"/>
      <c r="OAK4" s="226" t="s">
        <v>13330</v>
      </c>
      <c r="OAL4" s="227"/>
      <c r="OAM4" s="227"/>
      <c r="OAN4" s="228"/>
      <c r="OAO4" s="226" t="s">
        <v>13330</v>
      </c>
      <c r="OAP4" s="227"/>
      <c r="OAQ4" s="227"/>
      <c r="OAR4" s="228"/>
      <c r="OAS4" s="226" t="s">
        <v>13330</v>
      </c>
      <c r="OAT4" s="227"/>
      <c r="OAU4" s="227"/>
      <c r="OAV4" s="228"/>
      <c r="OAW4" s="226" t="s">
        <v>13330</v>
      </c>
      <c r="OAX4" s="227"/>
      <c r="OAY4" s="227"/>
      <c r="OAZ4" s="228"/>
      <c r="OBA4" s="226" t="s">
        <v>13330</v>
      </c>
      <c r="OBB4" s="227"/>
      <c r="OBC4" s="227"/>
      <c r="OBD4" s="228"/>
      <c r="OBE4" s="226" t="s">
        <v>13330</v>
      </c>
      <c r="OBF4" s="227"/>
      <c r="OBG4" s="227"/>
      <c r="OBH4" s="228"/>
      <c r="OBI4" s="226" t="s">
        <v>13330</v>
      </c>
      <c r="OBJ4" s="227"/>
      <c r="OBK4" s="227"/>
      <c r="OBL4" s="228"/>
      <c r="OBM4" s="226" t="s">
        <v>13330</v>
      </c>
      <c r="OBN4" s="227"/>
      <c r="OBO4" s="227"/>
      <c r="OBP4" s="228"/>
      <c r="OBQ4" s="226" t="s">
        <v>13330</v>
      </c>
      <c r="OBR4" s="227"/>
      <c r="OBS4" s="227"/>
      <c r="OBT4" s="228"/>
      <c r="OBU4" s="226" t="s">
        <v>13330</v>
      </c>
      <c r="OBV4" s="227"/>
      <c r="OBW4" s="227"/>
      <c r="OBX4" s="228"/>
      <c r="OBY4" s="226" t="s">
        <v>13330</v>
      </c>
      <c r="OBZ4" s="227"/>
      <c r="OCA4" s="227"/>
      <c r="OCB4" s="228"/>
      <c r="OCC4" s="226" t="s">
        <v>13330</v>
      </c>
      <c r="OCD4" s="227"/>
      <c r="OCE4" s="227"/>
      <c r="OCF4" s="228"/>
      <c r="OCG4" s="226" t="s">
        <v>13330</v>
      </c>
      <c r="OCH4" s="227"/>
      <c r="OCI4" s="227"/>
      <c r="OCJ4" s="228"/>
      <c r="OCK4" s="226" t="s">
        <v>13330</v>
      </c>
      <c r="OCL4" s="227"/>
      <c r="OCM4" s="227"/>
      <c r="OCN4" s="228"/>
      <c r="OCO4" s="226" t="s">
        <v>13330</v>
      </c>
      <c r="OCP4" s="227"/>
      <c r="OCQ4" s="227"/>
      <c r="OCR4" s="228"/>
      <c r="OCS4" s="226" t="s">
        <v>13330</v>
      </c>
      <c r="OCT4" s="227"/>
      <c r="OCU4" s="227"/>
      <c r="OCV4" s="228"/>
      <c r="OCW4" s="226" t="s">
        <v>13330</v>
      </c>
      <c r="OCX4" s="227"/>
      <c r="OCY4" s="227"/>
      <c r="OCZ4" s="228"/>
      <c r="ODA4" s="226" t="s">
        <v>13330</v>
      </c>
      <c r="ODB4" s="227"/>
      <c r="ODC4" s="227"/>
      <c r="ODD4" s="228"/>
      <c r="ODE4" s="226" t="s">
        <v>13330</v>
      </c>
      <c r="ODF4" s="227"/>
      <c r="ODG4" s="227"/>
      <c r="ODH4" s="228"/>
      <c r="ODI4" s="226" t="s">
        <v>13330</v>
      </c>
      <c r="ODJ4" s="227"/>
      <c r="ODK4" s="227"/>
      <c r="ODL4" s="228"/>
      <c r="ODM4" s="226" t="s">
        <v>13330</v>
      </c>
      <c r="ODN4" s="227"/>
      <c r="ODO4" s="227"/>
      <c r="ODP4" s="228"/>
      <c r="ODQ4" s="226" t="s">
        <v>13330</v>
      </c>
      <c r="ODR4" s="227"/>
      <c r="ODS4" s="227"/>
      <c r="ODT4" s="228"/>
      <c r="ODU4" s="226" t="s">
        <v>13330</v>
      </c>
      <c r="ODV4" s="227"/>
      <c r="ODW4" s="227"/>
      <c r="ODX4" s="228"/>
      <c r="ODY4" s="226" t="s">
        <v>13330</v>
      </c>
      <c r="ODZ4" s="227"/>
      <c r="OEA4" s="227"/>
      <c r="OEB4" s="228"/>
      <c r="OEC4" s="226" t="s">
        <v>13330</v>
      </c>
      <c r="OED4" s="227"/>
      <c r="OEE4" s="227"/>
      <c r="OEF4" s="228"/>
      <c r="OEG4" s="226" t="s">
        <v>13330</v>
      </c>
      <c r="OEH4" s="227"/>
      <c r="OEI4" s="227"/>
      <c r="OEJ4" s="228"/>
      <c r="OEK4" s="226" t="s">
        <v>13330</v>
      </c>
      <c r="OEL4" s="227"/>
      <c r="OEM4" s="227"/>
      <c r="OEN4" s="228"/>
      <c r="OEO4" s="226" t="s">
        <v>13330</v>
      </c>
      <c r="OEP4" s="227"/>
      <c r="OEQ4" s="227"/>
      <c r="OER4" s="228"/>
      <c r="OES4" s="226" t="s">
        <v>13330</v>
      </c>
      <c r="OET4" s="227"/>
      <c r="OEU4" s="227"/>
      <c r="OEV4" s="228"/>
      <c r="OEW4" s="226" t="s">
        <v>13330</v>
      </c>
      <c r="OEX4" s="227"/>
      <c r="OEY4" s="227"/>
      <c r="OEZ4" s="228"/>
      <c r="OFA4" s="226" t="s">
        <v>13330</v>
      </c>
      <c r="OFB4" s="227"/>
      <c r="OFC4" s="227"/>
      <c r="OFD4" s="228"/>
      <c r="OFE4" s="226" t="s">
        <v>13330</v>
      </c>
      <c r="OFF4" s="227"/>
      <c r="OFG4" s="227"/>
      <c r="OFH4" s="228"/>
      <c r="OFI4" s="226" t="s">
        <v>13330</v>
      </c>
      <c r="OFJ4" s="227"/>
      <c r="OFK4" s="227"/>
      <c r="OFL4" s="228"/>
      <c r="OFM4" s="226" t="s">
        <v>13330</v>
      </c>
      <c r="OFN4" s="227"/>
      <c r="OFO4" s="227"/>
      <c r="OFP4" s="228"/>
      <c r="OFQ4" s="226" t="s">
        <v>13330</v>
      </c>
      <c r="OFR4" s="227"/>
      <c r="OFS4" s="227"/>
      <c r="OFT4" s="228"/>
      <c r="OFU4" s="226" t="s">
        <v>13330</v>
      </c>
      <c r="OFV4" s="227"/>
      <c r="OFW4" s="227"/>
      <c r="OFX4" s="228"/>
      <c r="OFY4" s="226" t="s">
        <v>13330</v>
      </c>
      <c r="OFZ4" s="227"/>
      <c r="OGA4" s="227"/>
      <c r="OGB4" s="228"/>
      <c r="OGC4" s="226" t="s">
        <v>13330</v>
      </c>
      <c r="OGD4" s="227"/>
      <c r="OGE4" s="227"/>
      <c r="OGF4" s="228"/>
      <c r="OGG4" s="226" t="s">
        <v>13330</v>
      </c>
      <c r="OGH4" s="227"/>
      <c r="OGI4" s="227"/>
      <c r="OGJ4" s="228"/>
      <c r="OGK4" s="226" t="s">
        <v>13330</v>
      </c>
      <c r="OGL4" s="227"/>
      <c r="OGM4" s="227"/>
      <c r="OGN4" s="228"/>
      <c r="OGO4" s="226" t="s">
        <v>13330</v>
      </c>
      <c r="OGP4" s="227"/>
      <c r="OGQ4" s="227"/>
      <c r="OGR4" s="228"/>
      <c r="OGS4" s="226" t="s">
        <v>13330</v>
      </c>
      <c r="OGT4" s="227"/>
      <c r="OGU4" s="227"/>
      <c r="OGV4" s="228"/>
      <c r="OGW4" s="226" t="s">
        <v>13330</v>
      </c>
      <c r="OGX4" s="227"/>
      <c r="OGY4" s="227"/>
      <c r="OGZ4" s="228"/>
      <c r="OHA4" s="226" t="s">
        <v>13330</v>
      </c>
      <c r="OHB4" s="227"/>
      <c r="OHC4" s="227"/>
      <c r="OHD4" s="228"/>
      <c r="OHE4" s="226" t="s">
        <v>13330</v>
      </c>
      <c r="OHF4" s="227"/>
      <c r="OHG4" s="227"/>
      <c r="OHH4" s="228"/>
      <c r="OHI4" s="226" t="s">
        <v>13330</v>
      </c>
      <c r="OHJ4" s="227"/>
      <c r="OHK4" s="227"/>
      <c r="OHL4" s="228"/>
      <c r="OHM4" s="226" t="s">
        <v>13330</v>
      </c>
      <c r="OHN4" s="227"/>
      <c r="OHO4" s="227"/>
      <c r="OHP4" s="228"/>
      <c r="OHQ4" s="226" t="s">
        <v>13330</v>
      </c>
      <c r="OHR4" s="227"/>
      <c r="OHS4" s="227"/>
      <c r="OHT4" s="228"/>
      <c r="OHU4" s="226" t="s">
        <v>13330</v>
      </c>
      <c r="OHV4" s="227"/>
      <c r="OHW4" s="227"/>
      <c r="OHX4" s="228"/>
      <c r="OHY4" s="226" t="s">
        <v>13330</v>
      </c>
      <c r="OHZ4" s="227"/>
      <c r="OIA4" s="227"/>
      <c r="OIB4" s="228"/>
      <c r="OIC4" s="226" t="s">
        <v>13330</v>
      </c>
      <c r="OID4" s="227"/>
      <c r="OIE4" s="227"/>
      <c r="OIF4" s="228"/>
      <c r="OIG4" s="226" t="s">
        <v>13330</v>
      </c>
      <c r="OIH4" s="227"/>
      <c r="OII4" s="227"/>
      <c r="OIJ4" s="228"/>
      <c r="OIK4" s="226" t="s">
        <v>13330</v>
      </c>
      <c r="OIL4" s="227"/>
      <c r="OIM4" s="227"/>
      <c r="OIN4" s="228"/>
      <c r="OIO4" s="226" t="s">
        <v>13330</v>
      </c>
      <c r="OIP4" s="227"/>
      <c r="OIQ4" s="227"/>
      <c r="OIR4" s="228"/>
      <c r="OIS4" s="226" t="s">
        <v>13330</v>
      </c>
      <c r="OIT4" s="227"/>
      <c r="OIU4" s="227"/>
      <c r="OIV4" s="228"/>
      <c r="OIW4" s="226" t="s">
        <v>13330</v>
      </c>
      <c r="OIX4" s="227"/>
      <c r="OIY4" s="227"/>
      <c r="OIZ4" s="228"/>
      <c r="OJA4" s="226" t="s">
        <v>13330</v>
      </c>
      <c r="OJB4" s="227"/>
      <c r="OJC4" s="227"/>
      <c r="OJD4" s="228"/>
      <c r="OJE4" s="226" t="s">
        <v>13330</v>
      </c>
      <c r="OJF4" s="227"/>
      <c r="OJG4" s="227"/>
      <c r="OJH4" s="228"/>
      <c r="OJI4" s="226" t="s">
        <v>13330</v>
      </c>
      <c r="OJJ4" s="227"/>
      <c r="OJK4" s="227"/>
      <c r="OJL4" s="228"/>
      <c r="OJM4" s="226" t="s">
        <v>13330</v>
      </c>
      <c r="OJN4" s="227"/>
      <c r="OJO4" s="227"/>
      <c r="OJP4" s="228"/>
      <c r="OJQ4" s="226" t="s">
        <v>13330</v>
      </c>
      <c r="OJR4" s="227"/>
      <c r="OJS4" s="227"/>
      <c r="OJT4" s="228"/>
      <c r="OJU4" s="226" t="s">
        <v>13330</v>
      </c>
      <c r="OJV4" s="227"/>
      <c r="OJW4" s="227"/>
      <c r="OJX4" s="228"/>
      <c r="OJY4" s="226" t="s">
        <v>13330</v>
      </c>
      <c r="OJZ4" s="227"/>
      <c r="OKA4" s="227"/>
      <c r="OKB4" s="228"/>
      <c r="OKC4" s="226" t="s">
        <v>13330</v>
      </c>
      <c r="OKD4" s="227"/>
      <c r="OKE4" s="227"/>
      <c r="OKF4" s="228"/>
      <c r="OKG4" s="226" t="s">
        <v>13330</v>
      </c>
      <c r="OKH4" s="227"/>
      <c r="OKI4" s="227"/>
      <c r="OKJ4" s="228"/>
      <c r="OKK4" s="226" t="s">
        <v>13330</v>
      </c>
      <c r="OKL4" s="227"/>
      <c r="OKM4" s="227"/>
      <c r="OKN4" s="228"/>
      <c r="OKO4" s="226" t="s">
        <v>13330</v>
      </c>
      <c r="OKP4" s="227"/>
      <c r="OKQ4" s="227"/>
      <c r="OKR4" s="228"/>
      <c r="OKS4" s="226" t="s">
        <v>13330</v>
      </c>
      <c r="OKT4" s="227"/>
      <c r="OKU4" s="227"/>
      <c r="OKV4" s="228"/>
      <c r="OKW4" s="226" t="s">
        <v>13330</v>
      </c>
      <c r="OKX4" s="227"/>
      <c r="OKY4" s="227"/>
      <c r="OKZ4" s="228"/>
      <c r="OLA4" s="226" t="s">
        <v>13330</v>
      </c>
      <c r="OLB4" s="227"/>
      <c r="OLC4" s="227"/>
      <c r="OLD4" s="228"/>
      <c r="OLE4" s="226" t="s">
        <v>13330</v>
      </c>
      <c r="OLF4" s="227"/>
      <c r="OLG4" s="227"/>
      <c r="OLH4" s="228"/>
      <c r="OLI4" s="226" t="s">
        <v>13330</v>
      </c>
      <c r="OLJ4" s="227"/>
      <c r="OLK4" s="227"/>
      <c r="OLL4" s="228"/>
      <c r="OLM4" s="226" t="s">
        <v>13330</v>
      </c>
      <c r="OLN4" s="227"/>
      <c r="OLO4" s="227"/>
      <c r="OLP4" s="228"/>
      <c r="OLQ4" s="226" t="s">
        <v>13330</v>
      </c>
      <c r="OLR4" s="227"/>
      <c r="OLS4" s="227"/>
      <c r="OLT4" s="228"/>
      <c r="OLU4" s="226" t="s">
        <v>13330</v>
      </c>
      <c r="OLV4" s="227"/>
      <c r="OLW4" s="227"/>
      <c r="OLX4" s="228"/>
      <c r="OLY4" s="226" t="s">
        <v>13330</v>
      </c>
      <c r="OLZ4" s="227"/>
      <c r="OMA4" s="227"/>
      <c r="OMB4" s="228"/>
      <c r="OMC4" s="226" t="s">
        <v>13330</v>
      </c>
      <c r="OMD4" s="227"/>
      <c r="OME4" s="227"/>
      <c r="OMF4" s="228"/>
      <c r="OMG4" s="226" t="s">
        <v>13330</v>
      </c>
      <c r="OMH4" s="227"/>
      <c r="OMI4" s="227"/>
      <c r="OMJ4" s="228"/>
      <c r="OMK4" s="226" t="s">
        <v>13330</v>
      </c>
      <c r="OML4" s="227"/>
      <c r="OMM4" s="227"/>
      <c r="OMN4" s="228"/>
      <c r="OMO4" s="226" t="s">
        <v>13330</v>
      </c>
      <c r="OMP4" s="227"/>
      <c r="OMQ4" s="227"/>
      <c r="OMR4" s="228"/>
      <c r="OMS4" s="226" t="s">
        <v>13330</v>
      </c>
      <c r="OMT4" s="227"/>
      <c r="OMU4" s="227"/>
      <c r="OMV4" s="228"/>
      <c r="OMW4" s="226" t="s">
        <v>13330</v>
      </c>
      <c r="OMX4" s="227"/>
      <c r="OMY4" s="227"/>
      <c r="OMZ4" s="228"/>
      <c r="ONA4" s="226" t="s">
        <v>13330</v>
      </c>
      <c r="ONB4" s="227"/>
      <c r="ONC4" s="227"/>
      <c r="OND4" s="228"/>
      <c r="ONE4" s="226" t="s">
        <v>13330</v>
      </c>
      <c r="ONF4" s="227"/>
      <c r="ONG4" s="227"/>
      <c r="ONH4" s="228"/>
      <c r="ONI4" s="226" t="s">
        <v>13330</v>
      </c>
      <c r="ONJ4" s="227"/>
      <c r="ONK4" s="227"/>
      <c r="ONL4" s="228"/>
      <c r="ONM4" s="226" t="s">
        <v>13330</v>
      </c>
      <c r="ONN4" s="227"/>
      <c r="ONO4" s="227"/>
      <c r="ONP4" s="228"/>
      <c r="ONQ4" s="226" t="s">
        <v>13330</v>
      </c>
      <c r="ONR4" s="227"/>
      <c r="ONS4" s="227"/>
      <c r="ONT4" s="228"/>
      <c r="ONU4" s="226" t="s">
        <v>13330</v>
      </c>
      <c r="ONV4" s="227"/>
      <c r="ONW4" s="227"/>
      <c r="ONX4" s="228"/>
      <c r="ONY4" s="226" t="s">
        <v>13330</v>
      </c>
      <c r="ONZ4" s="227"/>
      <c r="OOA4" s="227"/>
      <c r="OOB4" s="228"/>
      <c r="OOC4" s="226" t="s">
        <v>13330</v>
      </c>
      <c r="OOD4" s="227"/>
      <c r="OOE4" s="227"/>
      <c r="OOF4" s="228"/>
      <c r="OOG4" s="226" t="s">
        <v>13330</v>
      </c>
      <c r="OOH4" s="227"/>
      <c r="OOI4" s="227"/>
      <c r="OOJ4" s="228"/>
      <c r="OOK4" s="226" t="s">
        <v>13330</v>
      </c>
      <c r="OOL4" s="227"/>
      <c r="OOM4" s="227"/>
      <c r="OON4" s="228"/>
      <c r="OOO4" s="226" t="s">
        <v>13330</v>
      </c>
      <c r="OOP4" s="227"/>
      <c r="OOQ4" s="227"/>
      <c r="OOR4" s="228"/>
      <c r="OOS4" s="226" t="s">
        <v>13330</v>
      </c>
      <c r="OOT4" s="227"/>
      <c r="OOU4" s="227"/>
      <c r="OOV4" s="228"/>
      <c r="OOW4" s="226" t="s">
        <v>13330</v>
      </c>
      <c r="OOX4" s="227"/>
      <c r="OOY4" s="227"/>
      <c r="OOZ4" s="228"/>
      <c r="OPA4" s="226" t="s">
        <v>13330</v>
      </c>
      <c r="OPB4" s="227"/>
      <c r="OPC4" s="227"/>
      <c r="OPD4" s="228"/>
      <c r="OPE4" s="226" t="s">
        <v>13330</v>
      </c>
      <c r="OPF4" s="227"/>
      <c r="OPG4" s="227"/>
      <c r="OPH4" s="228"/>
      <c r="OPI4" s="226" t="s">
        <v>13330</v>
      </c>
      <c r="OPJ4" s="227"/>
      <c r="OPK4" s="227"/>
      <c r="OPL4" s="228"/>
      <c r="OPM4" s="226" t="s">
        <v>13330</v>
      </c>
      <c r="OPN4" s="227"/>
      <c r="OPO4" s="227"/>
      <c r="OPP4" s="228"/>
      <c r="OPQ4" s="226" t="s">
        <v>13330</v>
      </c>
      <c r="OPR4" s="227"/>
      <c r="OPS4" s="227"/>
      <c r="OPT4" s="228"/>
      <c r="OPU4" s="226" t="s">
        <v>13330</v>
      </c>
      <c r="OPV4" s="227"/>
      <c r="OPW4" s="227"/>
      <c r="OPX4" s="228"/>
      <c r="OPY4" s="226" t="s">
        <v>13330</v>
      </c>
      <c r="OPZ4" s="227"/>
      <c r="OQA4" s="227"/>
      <c r="OQB4" s="228"/>
      <c r="OQC4" s="226" t="s">
        <v>13330</v>
      </c>
      <c r="OQD4" s="227"/>
      <c r="OQE4" s="227"/>
      <c r="OQF4" s="228"/>
      <c r="OQG4" s="226" t="s">
        <v>13330</v>
      </c>
      <c r="OQH4" s="227"/>
      <c r="OQI4" s="227"/>
      <c r="OQJ4" s="228"/>
      <c r="OQK4" s="226" t="s">
        <v>13330</v>
      </c>
      <c r="OQL4" s="227"/>
      <c r="OQM4" s="227"/>
      <c r="OQN4" s="228"/>
      <c r="OQO4" s="226" t="s">
        <v>13330</v>
      </c>
      <c r="OQP4" s="227"/>
      <c r="OQQ4" s="227"/>
      <c r="OQR4" s="228"/>
      <c r="OQS4" s="226" t="s">
        <v>13330</v>
      </c>
      <c r="OQT4" s="227"/>
      <c r="OQU4" s="227"/>
      <c r="OQV4" s="228"/>
      <c r="OQW4" s="226" t="s">
        <v>13330</v>
      </c>
      <c r="OQX4" s="227"/>
      <c r="OQY4" s="227"/>
      <c r="OQZ4" s="228"/>
      <c r="ORA4" s="226" t="s">
        <v>13330</v>
      </c>
      <c r="ORB4" s="227"/>
      <c r="ORC4" s="227"/>
      <c r="ORD4" s="228"/>
      <c r="ORE4" s="226" t="s">
        <v>13330</v>
      </c>
      <c r="ORF4" s="227"/>
      <c r="ORG4" s="227"/>
      <c r="ORH4" s="228"/>
      <c r="ORI4" s="226" t="s">
        <v>13330</v>
      </c>
      <c r="ORJ4" s="227"/>
      <c r="ORK4" s="227"/>
      <c r="ORL4" s="228"/>
      <c r="ORM4" s="226" t="s">
        <v>13330</v>
      </c>
      <c r="ORN4" s="227"/>
      <c r="ORO4" s="227"/>
      <c r="ORP4" s="228"/>
      <c r="ORQ4" s="226" t="s">
        <v>13330</v>
      </c>
      <c r="ORR4" s="227"/>
      <c r="ORS4" s="227"/>
      <c r="ORT4" s="228"/>
      <c r="ORU4" s="226" t="s">
        <v>13330</v>
      </c>
      <c r="ORV4" s="227"/>
      <c r="ORW4" s="227"/>
      <c r="ORX4" s="228"/>
      <c r="ORY4" s="226" t="s">
        <v>13330</v>
      </c>
      <c r="ORZ4" s="227"/>
      <c r="OSA4" s="227"/>
      <c r="OSB4" s="228"/>
      <c r="OSC4" s="226" t="s">
        <v>13330</v>
      </c>
      <c r="OSD4" s="227"/>
      <c r="OSE4" s="227"/>
      <c r="OSF4" s="228"/>
      <c r="OSG4" s="226" t="s">
        <v>13330</v>
      </c>
      <c r="OSH4" s="227"/>
      <c r="OSI4" s="227"/>
      <c r="OSJ4" s="228"/>
      <c r="OSK4" s="226" t="s">
        <v>13330</v>
      </c>
      <c r="OSL4" s="227"/>
      <c r="OSM4" s="227"/>
      <c r="OSN4" s="228"/>
      <c r="OSO4" s="226" t="s">
        <v>13330</v>
      </c>
      <c r="OSP4" s="227"/>
      <c r="OSQ4" s="227"/>
      <c r="OSR4" s="228"/>
      <c r="OSS4" s="226" t="s">
        <v>13330</v>
      </c>
      <c r="OST4" s="227"/>
      <c r="OSU4" s="227"/>
      <c r="OSV4" s="228"/>
      <c r="OSW4" s="226" t="s">
        <v>13330</v>
      </c>
      <c r="OSX4" s="227"/>
      <c r="OSY4" s="227"/>
      <c r="OSZ4" s="228"/>
      <c r="OTA4" s="226" t="s">
        <v>13330</v>
      </c>
      <c r="OTB4" s="227"/>
      <c r="OTC4" s="227"/>
      <c r="OTD4" s="228"/>
      <c r="OTE4" s="226" t="s">
        <v>13330</v>
      </c>
      <c r="OTF4" s="227"/>
      <c r="OTG4" s="227"/>
      <c r="OTH4" s="228"/>
      <c r="OTI4" s="226" t="s">
        <v>13330</v>
      </c>
      <c r="OTJ4" s="227"/>
      <c r="OTK4" s="227"/>
      <c r="OTL4" s="228"/>
      <c r="OTM4" s="226" t="s">
        <v>13330</v>
      </c>
      <c r="OTN4" s="227"/>
      <c r="OTO4" s="227"/>
      <c r="OTP4" s="228"/>
      <c r="OTQ4" s="226" t="s">
        <v>13330</v>
      </c>
      <c r="OTR4" s="227"/>
      <c r="OTS4" s="227"/>
      <c r="OTT4" s="228"/>
      <c r="OTU4" s="226" t="s">
        <v>13330</v>
      </c>
      <c r="OTV4" s="227"/>
      <c r="OTW4" s="227"/>
      <c r="OTX4" s="228"/>
      <c r="OTY4" s="226" t="s">
        <v>13330</v>
      </c>
      <c r="OTZ4" s="227"/>
      <c r="OUA4" s="227"/>
      <c r="OUB4" s="228"/>
      <c r="OUC4" s="226" t="s">
        <v>13330</v>
      </c>
      <c r="OUD4" s="227"/>
      <c r="OUE4" s="227"/>
      <c r="OUF4" s="228"/>
      <c r="OUG4" s="226" t="s">
        <v>13330</v>
      </c>
      <c r="OUH4" s="227"/>
      <c r="OUI4" s="227"/>
      <c r="OUJ4" s="228"/>
      <c r="OUK4" s="226" t="s">
        <v>13330</v>
      </c>
      <c r="OUL4" s="227"/>
      <c r="OUM4" s="227"/>
      <c r="OUN4" s="228"/>
      <c r="OUO4" s="226" t="s">
        <v>13330</v>
      </c>
      <c r="OUP4" s="227"/>
      <c r="OUQ4" s="227"/>
      <c r="OUR4" s="228"/>
      <c r="OUS4" s="226" t="s">
        <v>13330</v>
      </c>
      <c r="OUT4" s="227"/>
      <c r="OUU4" s="227"/>
      <c r="OUV4" s="228"/>
      <c r="OUW4" s="226" t="s">
        <v>13330</v>
      </c>
      <c r="OUX4" s="227"/>
      <c r="OUY4" s="227"/>
      <c r="OUZ4" s="228"/>
      <c r="OVA4" s="226" t="s">
        <v>13330</v>
      </c>
      <c r="OVB4" s="227"/>
      <c r="OVC4" s="227"/>
      <c r="OVD4" s="228"/>
      <c r="OVE4" s="226" t="s">
        <v>13330</v>
      </c>
      <c r="OVF4" s="227"/>
      <c r="OVG4" s="227"/>
      <c r="OVH4" s="228"/>
      <c r="OVI4" s="226" t="s">
        <v>13330</v>
      </c>
      <c r="OVJ4" s="227"/>
      <c r="OVK4" s="227"/>
      <c r="OVL4" s="228"/>
      <c r="OVM4" s="226" t="s">
        <v>13330</v>
      </c>
      <c r="OVN4" s="227"/>
      <c r="OVO4" s="227"/>
      <c r="OVP4" s="228"/>
      <c r="OVQ4" s="226" t="s">
        <v>13330</v>
      </c>
      <c r="OVR4" s="227"/>
      <c r="OVS4" s="227"/>
      <c r="OVT4" s="228"/>
      <c r="OVU4" s="226" t="s">
        <v>13330</v>
      </c>
      <c r="OVV4" s="227"/>
      <c r="OVW4" s="227"/>
      <c r="OVX4" s="228"/>
      <c r="OVY4" s="226" t="s">
        <v>13330</v>
      </c>
      <c r="OVZ4" s="227"/>
      <c r="OWA4" s="227"/>
      <c r="OWB4" s="228"/>
      <c r="OWC4" s="226" t="s">
        <v>13330</v>
      </c>
      <c r="OWD4" s="227"/>
      <c r="OWE4" s="227"/>
      <c r="OWF4" s="228"/>
      <c r="OWG4" s="226" t="s">
        <v>13330</v>
      </c>
      <c r="OWH4" s="227"/>
      <c r="OWI4" s="227"/>
      <c r="OWJ4" s="228"/>
      <c r="OWK4" s="226" t="s">
        <v>13330</v>
      </c>
      <c r="OWL4" s="227"/>
      <c r="OWM4" s="227"/>
      <c r="OWN4" s="228"/>
      <c r="OWO4" s="226" t="s">
        <v>13330</v>
      </c>
      <c r="OWP4" s="227"/>
      <c r="OWQ4" s="227"/>
      <c r="OWR4" s="228"/>
      <c r="OWS4" s="226" t="s">
        <v>13330</v>
      </c>
      <c r="OWT4" s="227"/>
      <c r="OWU4" s="227"/>
      <c r="OWV4" s="228"/>
      <c r="OWW4" s="226" t="s">
        <v>13330</v>
      </c>
      <c r="OWX4" s="227"/>
      <c r="OWY4" s="227"/>
      <c r="OWZ4" s="228"/>
      <c r="OXA4" s="226" t="s">
        <v>13330</v>
      </c>
      <c r="OXB4" s="227"/>
      <c r="OXC4" s="227"/>
      <c r="OXD4" s="228"/>
      <c r="OXE4" s="226" t="s">
        <v>13330</v>
      </c>
      <c r="OXF4" s="227"/>
      <c r="OXG4" s="227"/>
      <c r="OXH4" s="228"/>
      <c r="OXI4" s="226" t="s">
        <v>13330</v>
      </c>
      <c r="OXJ4" s="227"/>
      <c r="OXK4" s="227"/>
      <c r="OXL4" s="228"/>
      <c r="OXM4" s="226" t="s">
        <v>13330</v>
      </c>
      <c r="OXN4" s="227"/>
      <c r="OXO4" s="227"/>
      <c r="OXP4" s="228"/>
      <c r="OXQ4" s="226" t="s">
        <v>13330</v>
      </c>
      <c r="OXR4" s="227"/>
      <c r="OXS4" s="227"/>
      <c r="OXT4" s="228"/>
      <c r="OXU4" s="226" t="s">
        <v>13330</v>
      </c>
      <c r="OXV4" s="227"/>
      <c r="OXW4" s="227"/>
      <c r="OXX4" s="228"/>
      <c r="OXY4" s="226" t="s">
        <v>13330</v>
      </c>
      <c r="OXZ4" s="227"/>
      <c r="OYA4" s="227"/>
      <c r="OYB4" s="228"/>
      <c r="OYC4" s="226" t="s">
        <v>13330</v>
      </c>
      <c r="OYD4" s="227"/>
      <c r="OYE4" s="227"/>
      <c r="OYF4" s="228"/>
      <c r="OYG4" s="226" t="s">
        <v>13330</v>
      </c>
      <c r="OYH4" s="227"/>
      <c r="OYI4" s="227"/>
      <c r="OYJ4" s="228"/>
      <c r="OYK4" s="226" t="s">
        <v>13330</v>
      </c>
      <c r="OYL4" s="227"/>
      <c r="OYM4" s="227"/>
      <c r="OYN4" s="228"/>
      <c r="OYO4" s="226" t="s">
        <v>13330</v>
      </c>
      <c r="OYP4" s="227"/>
      <c r="OYQ4" s="227"/>
      <c r="OYR4" s="228"/>
      <c r="OYS4" s="226" t="s">
        <v>13330</v>
      </c>
      <c r="OYT4" s="227"/>
      <c r="OYU4" s="227"/>
      <c r="OYV4" s="228"/>
      <c r="OYW4" s="226" t="s">
        <v>13330</v>
      </c>
      <c r="OYX4" s="227"/>
      <c r="OYY4" s="227"/>
      <c r="OYZ4" s="228"/>
      <c r="OZA4" s="226" t="s">
        <v>13330</v>
      </c>
      <c r="OZB4" s="227"/>
      <c r="OZC4" s="227"/>
      <c r="OZD4" s="228"/>
      <c r="OZE4" s="226" t="s">
        <v>13330</v>
      </c>
      <c r="OZF4" s="227"/>
      <c r="OZG4" s="227"/>
      <c r="OZH4" s="228"/>
      <c r="OZI4" s="226" t="s">
        <v>13330</v>
      </c>
      <c r="OZJ4" s="227"/>
      <c r="OZK4" s="227"/>
      <c r="OZL4" s="228"/>
      <c r="OZM4" s="226" t="s">
        <v>13330</v>
      </c>
      <c r="OZN4" s="227"/>
      <c r="OZO4" s="227"/>
      <c r="OZP4" s="228"/>
      <c r="OZQ4" s="226" t="s">
        <v>13330</v>
      </c>
      <c r="OZR4" s="227"/>
      <c r="OZS4" s="227"/>
      <c r="OZT4" s="228"/>
      <c r="OZU4" s="226" t="s">
        <v>13330</v>
      </c>
      <c r="OZV4" s="227"/>
      <c r="OZW4" s="227"/>
      <c r="OZX4" s="228"/>
      <c r="OZY4" s="226" t="s">
        <v>13330</v>
      </c>
      <c r="OZZ4" s="227"/>
      <c r="PAA4" s="227"/>
      <c r="PAB4" s="228"/>
      <c r="PAC4" s="226" t="s">
        <v>13330</v>
      </c>
      <c r="PAD4" s="227"/>
      <c r="PAE4" s="227"/>
      <c r="PAF4" s="228"/>
      <c r="PAG4" s="226" t="s">
        <v>13330</v>
      </c>
      <c r="PAH4" s="227"/>
      <c r="PAI4" s="227"/>
      <c r="PAJ4" s="228"/>
      <c r="PAK4" s="226" t="s">
        <v>13330</v>
      </c>
      <c r="PAL4" s="227"/>
      <c r="PAM4" s="227"/>
      <c r="PAN4" s="228"/>
      <c r="PAO4" s="226" t="s">
        <v>13330</v>
      </c>
      <c r="PAP4" s="227"/>
      <c r="PAQ4" s="227"/>
      <c r="PAR4" s="228"/>
      <c r="PAS4" s="226" t="s">
        <v>13330</v>
      </c>
      <c r="PAT4" s="227"/>
      <c r="PAU4" s="227"/>
      <c r="PAV4" s="228"/>
      <c r="PAW4" s="226" t="s">
        <v>13330</v>
      </c>
      <c r="PAX4" s="227"/>
      <c r="PAY4" s="227"/>
      <c r="PAZ4" s="228"/>
      <c r="PBA4" s="226" t="s">
        <v>13330</v>
      </c>
      <c r="PBB4" s="227"/>
      <c r="PBC4" s="227"/>
      <c r="PBD4" s="228"/>
      <c r="PBE4" s="226" t="s">
        <v>13330</v>
      </c>
      <c r="PBF4" s="227"/>
      <c r="PBG4" s="227"/>
      <c r="PBH4" s="228"/>
      <c r="PBI4" s="226" t="s">
        <v>13330</v>
      </c>
      <c r="PBJ4" s="227"/>
      <c r="PBK4" s="227"/>
      <c r="PBL4" s="228"/>
      <c r="PBM4" s="226" t="s">
        <v>13330</v>
      </c>
      <c r="PBN4" s="227"/>
      <c r="PBO4" s="227"/>
      <c r="PBP4" s="228"/>
      <c r="PBQ4" s="226" t="s">
        <v>13330</v>
      </c>
      <c r="PBR4" s="227"/>
      <c r="PBS4" s="227"/>
      <c r="PBT4" s="228"/>
      <c r="PBU4" s="226" t="s">
        <v>13330</v>
      </c>
      <c r="PBV4" s="227"/>
      <c r="PBW4" s="227"/>
      <c r="PBX4" s="228"/>
      <c r="PBY4" s="226" t="s">
        <v>13330</v>
      </c>
      <c r="PBZ4" s="227"/>
      <c r="PCA4" s="227"/>
      <c r="PCB4" s="228"/>
      <c r="PCC4" s="226" t="s">
        <v>13330</v>
      </c>
      <c r="PCD4" s="227"/>
      <c r="PCE4" s="227"/>
      <c r="PCF4" s="228"/>
      <c r="PCG4" s="226" t="s">
        <v>13330</v>
      </c>
      <c r="PCH4" s="227"/>
      <c r="PCI4" s="227"/>
      <c r="PCJ4" s="228"/>
      <c r="PCK4" s="226" t="s">
        <v>13330</v>
      </c>
      <c r="PCL4" s="227"/>
      <c r="PCM4" s="227"/>
      <c r="PCN4" s="228"/>
      <c r="PCO4" s="226" t="s">
        <v>13330</v>
      </c>
      <c r="PCP4" s="227"/>
      <c r="PCQ4" s="227"/>
      <c r="PCR4" s="228"/>
      <c r="PCS4" s="226" t="s">
        <v>13330</v>
      </c>
      <c r="PCT4" s="227"/>
      <c r="PCU4" s="227"/>
      <c r="PCV4" s="228"/>
      <c r="PCW4" s="226" t="s">
        <v>13330</v>
      </c>
      <c r="PCX4" s="227"/>
      <c r="PCY4" s="227"/>
      <c r="PCZ4" s="228"/>
      <c r="PDA4" s="226" t="s">
        <v>13330</v>
      </c>
      <c r="PDB4" s="227"/>
      <c r="PDC4" s="227"/>
      <c r="PDD4" s="228"/>
      <c r="PDE4" s="226" t="s">
        <v>13330</v>
      </c>
      <c r="PDF4" s="227"/>
      <c r="PDG4" s="227"/>
      <c r="PDH4" s="228"/>
      <c r="PDI4" s="226" t="s">
        <v>13330</v>
      </c>
      <c r="PDJ4" s="227"/>
      <c r="PDK4" s="227"/>
      <c r="PDL4" s="228"/>
      <c r="PDM4" s="226" t="s">
        <v>13330</v>
      </c>
      <c r="PDN4" s="227"/>
      <c r="PDO4" s="227"/>
      <c r="PDP4" s="228"/>
      <c r="PDQ4" s="226" t="s">
        <v>13330</v>
      </c>
      <c r="PDR4" s="227"/>
      <c r="PDS4" s="227"/>
      <c r="PDT4" s="228"/>
      <c r="PDU4" s="226" t="s">
        <v>13330</v>
      </c>
      <c r="PDV4" s="227"/>
      <c r="PDW4" s="227"/>
      <c r="PDX4" s="228"/>
      <c r="PDY4" s="226" t="s">
        <v>13330</v>
      </c>
      <c r="PDZ4" s="227"/>
      <c r="PEA4" s="227"/>
      <c r="PEB4" s="228"/>
      <c r="PEC4" s="226" t="s">
        <v>13330</v>
      </c>
      <c r="PED4" s="227"/>
      <c r="PEE4" s="227"/>
      <c r="PEF4" s="228"/>
      <c r="PEG4" s="226" t="s">
        <v>13330</v>
      </c>
      <c r="PEH4" s="227"/>
      <c r="PEI4" s="227"/>
      <c r="PEJ4" s="228"/>
      <c r="PEK4" s="226" t="s">
        <v>13330</v>
      </c>
      <c r="PEL4" s="227"/>
      <c r="PEM4" s="227"/>
      <c r="PEN4" s="228"/>
      <c r="PEO4" s="226" t="s">
        <v>13330</v>
      </c>
      <c r="PEP4" s="227"/>
      <c r="PEQ4" s="227"/>
      <c r="PER4" s="228"/>
      <c r="PES4" s="226" t="s">
        <v>13330</v>
      </c>
      <c r="PET4" s="227"/>
      <c r="PEU4" s="227"/>
      <c r="PEV4" s="228"/>
      <c r="PEW4" s="226" t="s">
        <v>13330</v>
      </c>
      <c r="PEX4" s="227"/>
      <c r="PEY4" s="227"/>
      <c r="PEZ4" s="228"/>
      <c r="PFA4" s="226" t="s">
        <v>13330</v>
      </c>
      <c r="PFB4" s="227"/>
      <c r="PFC4" s="227"/>
      <c r="PFD4" s="228"/>
      <c r="PFE4" s="226" t="s">
        <v>13330</v>
      </c>
      <c r="PFF4" s="227"/>
      <c r="PFG4" s="227"/>
      <c r="PFH4" s="228"/>
      <c r="PFI4" s="226" t="s">
        <v>13330</v>
      </c>
      <c r="PFJ4" s="227"/>
      <c r="PFK4" s="227"/>
      <c r="PFL4" s="228"/>
      <c r="PFM4" s="226" t="s">
        <v>13330</v>
      </c>
      <c r="PFN4" s="227"/>
      <c r="PFO4" s="227"/>
      <c r="PFP4" s="228"/>
      <c r="PFQ4" s="226" t="s">
        <v>13330</v>
      </c>
      <c r="PFR4" s="227"/>
      <c r="PFS4" s="227"/>
      <c r="PFT4" s="228"/>
      <c r="PFU4" s="226" t="s">
        <v>13330</v>
      </c>
      <c r="PFV4" s="227"/>
      <c r="PFW4" s="227"/>
      <c r="PFX4" s="228"/>
      <c r="PFY4" s="226" t="s">
        <v>13330</v>
      </c>
      <c r="PFZ4" s="227"/>
      <c r="PGA4" s="227"/>
      <c r="PGB4" s="228"/>
      <c r="PGC4" s="226" t="s">
        <v>13330</v>
      </c>
      <c r="PGD4" s="227"/>
      <c r="PGE4" s="227"/>
      <c r="PGF4" s="228"/>
      <c r="PGG4" s="226" t="s">
        <v>13330</v>
      </c>
      <c r="PGH4" s="227"/>
      <c r="PGI4" s="227"/>
      <c r="PGJ4" s="228"/>
      <c r="PGK4" s="226" t="s">
        <v>13330</v>
      </c>
      <c r="PGL4" s="227"/>
      <c r="PGM4" s="227"/>
      <c r="PGN4" s="228"/>
      <c r="PGO4" s="226" t="s">
        <v>13330</v>
      </c>
      <c r="PGP4" s="227"/>
      <c r="PGQ4" s="227"/>
      <c r="PGR4" s="228"/>
      <c r="PGS4" s="226" t="s">
        <v>13330</v>
      </c>
      <c r="PGT4" s="227"/>
      <c r="PGU4" s="227"/>
      <c r="PGV4" s="228"/>
      <c r="PGW4" s="226" t="s">
        <v>13330</v>
      </c>
      <c r="PGX4" s="227"/>
      <c r="PGY4" s="227"/>
      <c r="PGZ4" s="228"/>
      <c r="PHA4" s="226" t="s">
        <v>13330</v>
      </c>
      <c r="PHB4" s="227"/>
      <c r="PHC4" s="227"/>
      <c r="PHD4" s="228"/>
      <c r="PHE4" s="226" t="s">
        <v>13330</v>
      </c>
      <c r="PHF4" s="227"/>
      <c r="PHG4" s="227"/>
      <c r="PHH4" s="228"/>
      <c r="PHI4" s="226" t="s">
        <v>13330</v>
      </c>
      <c r="PHJ4" s="227"/>
      <c r="PHK4" s="227"/>
      <c r="PHL4" s="228"/>
      <c r="PHM4" s="226" t="s">
        <v>13330</v>
      </c>
      <c r="PHN4" s="227"/>
      <c r="PHO4" s="227"/>
      <c r="PHP4" s="228"/>
      <c r="PHQ4" s="226" t="s">
        <v>13330</v>
      </c>
      <c r="PHR4" s="227"/>
      <c r="PHS4" s="227"/>
      <c r="PHT4" s="228"/>
      <c r="PHU4" s="226" t="s">
        <v>13330</v>
      </c>
      <c r="PHV4" s="227"/>
      <c r="PHW4" s="227"/>
      <c r="PHX4" s="228"/>
      <c r="PHY4" s="226" t="s">
        <v>13330</v>
      </c>
      <c r="PHZ4" s="227"/>
      <c r="PIA4" s="227"/>
      <c r="PIB4" s="228"/>
      <c r="PIC4" s="226" t="s">
        <v>13330</v>
      </c>
      <c r="PID4" s="227"/>
      <c r="PIE4" s="227"/>
      <c r="PIF4" s="228"/>
      <c r="PIG4" s="226" t="s">
        <v>13330</v>
      </c>
      <c r="PIH4" s="227"/>
      <c r="PII4" s="227"/>
      <c r="PIJ4" s="228"/>
      <c r="PIK4" s="226" t="s">
        <v>13330</v>
      </c>
      <c r="PIL4" s="227"/>
      <c r="PIM4" s="227"/>
      <c r="PIN4" s="228"/>
      <c r="PIO4" s="226" t="s">
        <v>13330</v>
      </c>
      <c r="PIP4" s="227"/>
      <c r="PIQ4" s="227"/>
      <c r="PIR4" s="228"/>
      <c r="PIS4" s="226" t="s">
        <v>13330</v>
      </c>
      <c r="PIT4" s="227"/>
      <c r="PIU4" s="227"/>
      <c r="PIV4" s="228"/>
      <c r="PIW4" s="226" t="s">
        <v>13330</v>
      </c>
      <c r="PIX4" s="227"/>
      <c r="PIY4" s="227"/>
      <c r="PIZ4" s="228"/>
      <c r="PJA4" s="226" t="s">
        <v>13330</v>
      </c>
      <c r="PJB4" s="227"/>
      <c r="PJC4" s="227"/>
      <c r="PJD4" s="228"/>
      <c r="PJE4" s="226" t="s">
        <v>13330</v>
      </c>
      <c r="PJF4" s="227"/>
      <c r="PJG4" s="227"/>
      <c r="PJH4" s="228"/>
      <c r="PJI4" s="226" t="s">
        <v>13330</v>
      </c>
      <c r="PJJ4" s="227"/>
      <c r="PJK4" s="227"/>
      <c r="PJL4" s="228"/>
      <c r="PJM4" s="226" t="s">
        <v>13330</v>
      </c>
      <c r="PJN4" s="227"/>
      <c r="PJO4" s="227"/>
      <c r="PJP4" s="228"/>
      <c r="PJQ4" s="226" t="s">
        <v>13330</v>
      </c>
      <c r="PJR4" s="227"/>
      <c r="PJS4" s="227"/>
      <c r="PJT4" s="228"/>
      <c r="PJU4" s="226" t="s">
        <v>13330</v>
      </c>
      <c r="PJV4" s="227"/>
      <c r="PJW4" s="227"/>
      <c r="PJX4" s="228"/>
      <c r="PJY4" s="226" t="s">
        <v>13330</v>
      </c>
      <c r="PJZ4" s="227"/>
      <c r="PKA4" s="227"/>
      <c r="PKB4" s="228"/>
      <c r="PKC4" s="226" t="s">
        <v>13330</v>
      </c>
      <c r="PKD4" s="227"/>
      <c r="PKE4" s="227"/>
      <c r="PKF4" s="228"/>
      <c r="PKG4" s="226" t="s">
        <v>13330</v>
      </c>
      <c r="PKH4" s="227"/>
      <c r="PKI4" s="227"/>
      <c r="PKJ4" s="228"/>
      <c r="PKK4" s="226" t="s">
        <v>13330</v>
      </c>
      <c r="PKL4" s="227"/>
      <c r="PKM4" s="227"/>
      <c r="PKN4" s="228"/>
      <c r="PKO4" s="226" t="s">
        <v>13330</v>
      </c>
      <c r="PKP4" s="227"/>
      <c r="PKQ4" s="227"/>
      <c r="PKR4" s="228"/>
      <c r="PKS4" s="226" t="s">
        <v>13330</v>
      </c>
      <c r="PKT4" s="227"/>
      <c r="PKU4" s="227"/>
      <c r="PKV4" s="228"/>
      <c r="PKW4" s="226" t="s">
        <v>13330</v>
      </c>
      <c r="PKX4" s="227"/>
      <c r="PKY4" s="227"/>
      <c r="PKZ4" s="228"/>
      <c r="PLA4" s="226" t="s">
        <v>13330</v>
      </c>
      <c r="PLB4" s="227"/>
      <c r="PLC4" s="227"/>
      <c r="PLD4" s="228"/>
      <c r="PLE4" s="226" t="s">
        <v>13330</v>
      </c>
      <c r="PLF4" s="227"/>
      <c r="PLG4" s="227"/>
      <c r="PLH4" s="228"/>
      <c r="PLI4" s="226" t="s">
        <v>13330</v>
      </c>
      <c r="PLJ4" s="227"/>
      <c r="PLK4" s="227"/>
      <c r="PLL4" s="228"/>
      <c r="PLM4" s="226" t="s">
        <v>13330</v>
      </c>
      <c r="PLN4" s="227"/>
      <c r="PLO4" s="227"/>
      <c r="PLP4" s="228"/>
      <c r="PLQ4" s="226" t="s">
        <v>13330</v>
      </c>
      <c r="PLR4" s="227"/>
      <c r="PLS4" s="227"/>
      <c r="PLT4" s="228"/>
      <c r="PLU4" s="226" t="s">
        <v>13330</v>
      </c>
      <c r="PLV4" s="227"/>
      <c r="PLW4" s="227"/>
      <c r="PLX4" s="228"/>
      <c r="PLY4" s="226" t="s">
        <v>13330</v>
      </c>
      <c r="PLZ4" s="227"/>
      <c r="PMA4" s="227"/>
      <c r="PMB4" s="228"/>
      <c r="PMC4" s="226" t="s">
        <v>13330</v>
      </c>
      <c r="PMD4" s="227"/>
      <c r="PME4" s="227"/>
      <c r="PMF4" s="228"/>
      <c r="PMG4" s="226" t="s">
        <v>13330</v>
      </c>
      <c r="PMH4" s="227"/>
      <c r="PMI4" s="227"/>
      <c r="PMJ4" s="228"/>
      <c r="PMK4" s="226" t="s">
        <v>13330</v>
      </c>
      <c r="PML4" s="227"/>
      <c r="PMM4" s="227"/>
      <c r="PMN4" s="228"/>
      <c r="PMO4" s="226" t="s">
        <v>13330</v>
      </c>
      <c r="PMP4" s="227"/>
      <c r="PMQ4" s="227"/>
      <c r="PMR4" s="228"/>
      <c r="PMS4" s="226" t="s">
        <v>13330</v>
      </c>
      <c r="PMT4" s="227"/>
      <c r="PMU4" s="227"/>
      <c r="PMV4" s="228"/>
      <c r="PMW4" s="226" t="s">
        <v>13330</v>
      </c>
      <c r="PMX4" s="227"/>
      <c r="PMY4" s="227"/>
      <c r="PMZ4" s="228"/>
      <c r="PNA4" s="226" t="s">
        <v>13330</v>
      </c>
      <c r="PNB4" s="227"/>
      <c r="PNC4" s="227"/>
      <c r="PND4" s="228"/>
      <c r="PNE4" s="226" t="s">
        <v>13330</v>
      </c>
      <c r="PNF4" s="227"/>
      <c r="PNG4" s="227"/>
      <c r="PNH4" s="228"/>
      <c r="PNI4" s="226" t="s">
        <v>13330</v>
      </c>
      <c r="PNJ4" s="227"/>
      <c r="PNK4" s="227"/>
      <c r="PNL4" s="228"/>
      <c r="PNM4" s="226" t="s">
        <v>13330</v>
      </c>
      <c r="PNN4" s="227"/>
      <c r="PNO4" s="227"/>
      <c r="PNP4" s="228"/>
      <c r="PNQ4" s="226" t="s">
        <v>13330</v>
      </c>
      <c r="PNR4" s="227"/>
      <c r="PNS4" s="227"/>
      <c r="PNT4" s="228"/>
      <c r="PNU4" s="226" t="s">
        <v>13330</v>
      </c>
      <c r="PNV4" s="227"/>
      <c r="PNW4" s="227"/>
      <c r="PNX4" s="228"/>
      <c r="PNY4" s="226" t="s">
        <v>13330</v>
      </c>
      <c r="PNZ4" s="227"/>
      <c r="POA4" s="227"/>
      <c r="POB4" s="228"/>
      <c r="POC4" s="226" t="s">
        <v>13330</v>
      </c>
      <c r="POD4" s="227"/>
      <c r="POE4" s="227"/>
      <c r="POF4" s="228"/>
      <c r="POG4" s="226" t="s">
        <v>13330</v>
      </c>
      <c r="POH4" s="227"/>
      <c r="POI4" s="227"/>
      <c r="POJ4" s="228"/>
      <c r="POK4" s="226" t="s">
        <v>13330</v>
      </c>
      <c r="POL4" s="227"/>
      <c r="POM4" s="227"/>
      <c r="PON4" s="228"/>
      <c r="POO4" s="226" t="s">
        <v>13330</v>
      </c>
      <c r="POP4" s="227"/>
      <c r="POQ4" s="227"/>
      <c r="POR4" s="228"/>
      <c r="POS4" s="226" t="s">
        <v>13330</v>
      </c>
      <c r="POT4" s="227"/>
      <c r="POU4" s="227"/>
      <c r="POV4" s="228"/>
      <c r="POW4" s="226" t="s">
        <v>13330</v>
      </c>
      <c r="POX4" s="227"/>
      <c r="POY4" s="227"/>
      <c r="POZ4" s="228"/>
      <c r="PPA4" s="226" t="s">
        <v>13330</v>
      </c>
      <c r="PPB4" s="227"/>
      <c r="PPC4" s="227"/>
      <c r="PPD4" s="228"/>
      <c r="PPE4" s="226" t="s">
        <v>13330</v>
      </c>
      <c r="PPF4" s="227"/>
      <c r="PPG4" s="227"/>
      <c r="PPH4" s="228"/>
      <c r="PPI4" s="226" t="s">
        <v>13330</v>
      </c>
      <c r="PPJ4" s="227"/>
      <c r="PPK4" s="227"/>
      <c r="PPL4" s="228"/>
      <c r="PPM4" s="226" t="s">
        <v>13330</v>
      </c>
      <c r="PPN4" s="227"/>
      <c r="PPO4" s="227"/>
      <c r="PPP4" s="228"/>
      <c r="PPQ4" s="226" t="s">
        <v>13330</v>
      </c>
      <c r="PPR4" s="227"/>
      <c r="PPS4" s="227"/>
      <c r="PPT4" s="228"/>
      <c r="PPU4" s="226" t="s">
        <v>13330</v>
      </c>
      <c r="PPV4" s="227"/>
      <c r="PPW4" s="227"/>
      <c r="PPX4" s="228"/>
      <c r="PPY4" s="226" t="s">
        <v>13330</v>
      </c>
      <c r="PPZ4" s="227"/>
      <c r="PQA4" s="227"/>
      <c r="PQB4" s="228"/>
      <c r="PQC4" s="226" t="s">
        <v>13330</v>
      </c>
      <c r="PQD4" s="227"/>
      <c r="PQE4" s="227"/>
      <c r="PQF4" s="228"/>
      <c r="PQG4" s="226" t="s">
        <v>13330</v>
      </c>
      <c r="PQH4" s="227"/>
      <c r="PQI4" s="227"/>
      <c r="PQJ4" s="228"/>
      <c r="PQK4" s="226" t="s">
        <v>13330</v>
      </c>
      <c r="PQL4" s="227"/>
      <c r="PQM4" s="227"/>
      <c r="PQN4" s="228"/>
      <c r="PQO4" s="226" t="s">
        <v>13330</v>
      </c>
      <c r="PQP4" s="227"/>
      <c r="PQQ4" s="227"/>
      <c r="PQR4" s="228"/>
      <c r="PQS4" s="226" t="s">
        <v>13330</v>
      </c>
      <c r="PQT4" s="227"/>
      <c r="PQU4" s="227"/>
      <c r="PQV4" s="228"/>
      <c r="PQW4" s="226" t="s">
        <v>13330</v>
      </c>
      <c r="PQX4" s="227"/>
      <c r="PQY4" s="227"/>
      <c r="PQZ4" s="228"/>
      <c r="PRA4" s="226" t="s">
        <v>13330</v>
      </c>
      <c r="PRB4" s="227"/>
      <c r="PRC4" s="227"/>
      <c r="PRD4" s="228"/>
      <c r="PRE4" s="226" t="s">
        <v>13330</v>
      </c>
      <c r="PRF4" s="227"/>
      <c r="PRG4" s="227"/>
      <c r="PRH4" s="228"/>
      <c r="PRI4" s="226" t="s">
        <v>13330</v>
      </c>
      <c r="PRJ4" s="227"/>
      <c r="PRK4" s="227"/>
      <c r="PRL4" s="228"/>
      <c r="PRM4" s="226" t="s">
        <v>13330</v>
      </c>
      <c r="PRN4" s="227"/>
      <c r="PRO4" s="227"/>
      <c r="PRP4" s="228"/>
      <c r="PRQ4" s="226" t="s">
        <v>13330</v>
      </c>
      <c r="PRR4" s="227"/>
      <c r="PRS4" s="227"/>
      <c r="PRT4" s="228"/>
      <c r="PRU4" s="226" t="s">
        <v>13330</v>
      </c>
      <c r="PRV4" s="227"/>
      <c r="PRW4" s="227"/>
      <c r="PRX4" s="228"/>
      <c r="PRY4" s="226" t="s">
        <v>13330</v>
      </c>
      <c r="PRZ4" s="227"/>
      <c r="PSA4" s="227"/>
      <c r="PSB4" s="228"/>
      <c r="PSC4" s="226" t="s">
        <v>13330</v>
      </c>
      <c r="PSD4" s="227"/>
      <c r="PSE4" s="227"/>
      <c r="PSF4" s="228"/>
      <c r="PSG4" s="226" t="s">
        <v>13330</v>
      </c>
      <c r="PSH4" s="227"/>
      <c r="PSI4" s="227"/>
      <c r="PSJ4" s="228"/>
      <c r="PSK4" s="226" t="s">
        <v>13330</v>
      </c>
      <c r="PSL4" s="227"/>
      <c r="PSM4" s="227"/>
      <c r="PSN4" s="228"/>
      <c r="PSO4" s="226" t="s">
        <v>13330</v>
      </c>
      <c r="PSP4" s="227"/>
      <c r="PSQ4" s="227"/>
      <c r="PSR4" s="228"/>
      <c r="PSS4" s="226" t="s">
        <v>13330</v>
      </c>
      <c r="PST4" s="227"/>
      <c r="PSU4" s="227"/>
      <c r="PSV4" s="228"/>
      <c r="PSW4" s="226" t="s">
        <v>13330</v>
      </c>
      <c r="PSX4" s="227"/>
      <c r="PSY4" s="227"/>
      <c r="PSZ4" s="228"/>
      <c r="PTA4" s="226" t="s">
        <v>13330</v>
      </c>
      <c r="PTB4" s="227"/>
      <c r="PTC4" s="227"/>
      <c r="PTD4" s="228"/>
      <c r="PTE4" s="226" t="s">
        <v>13330</v>
      </c>
      <c r="PTF4" s="227"/>
      <c r="PTG4" s="227"/>
      <c r="PTH4" s="228"/>
      <c r="PTI4" s="226" t="s">
        <v>13330</v>
      </c>
      <c r="PTJ4" s="227"/>
      <c r="PTK4" s="227"/>
      <c r="PTL4" s="228"/>
      <c r="PTM4" s="226" t="s">
        <v>13330</v>
      </c>
      <c r="PTN4" s="227"/>
      <c r="PTO4" s="227"/>
      <c r="PTP4" s="228"/>
      <c r="PTQ4" s="226" t="s">
        <v>13330</v>
      </c>
      <c r="PTR4" s="227"/>
      <c r="PTS4" s="227"/>
      <c r="PTT4" s="228"/>
      <c r="PTU4" s="226" t="s">
        <v>13330</v>
      </c>
      <c r="PTV4" s="227"/>
      <c r="PTW4" s="227"/>
      <c r="PTX4" s="228"/>
      <c r="PTY4" s="226" t="s">
        <v>13330</v>
      </c>
      <c r="PTZ4" s="227"/>
      <c r="PUA4" s="227"/>
      <c r="PUB4" s="228"/>
      <c r="PUC4" s="226" t="s">
        <v>13330</v>
      </c>
      <c r="PUD4" s="227"/>
      <c r="PUE4" s="227"/>
      <c r="PUF4" s="228"/>
      <c r="PUG4" s="226" t="s">
        <v>13330</v>
      </c>
      <c r="PUH4" s="227"/>
      <c r="PUI4" s="227"/>
      <c r="PUJ4" s="228"/>
      <c r="PUK4" s="226" t="s">
        <v>13330</v>
      </c>
      <c r="PUL4" s="227"/>
      <c r="PUM4" s="227"/>
      <c r="PUN4" s="228"/>
      <c r="PUO4" s="226" t="s">
        <v>13330</v>
      </c>
      <c r="PUP4" s="227"/>
      <c r="PUQ4" s="227"/>
      <c r="PUR4" s="228"/>
      <c r="PUS4" s="226" t="s">
        <v>13330</v>
      </c>
      <c r="PUT4" s="227"/>
      <c r="PUU4" s="227"/>
      <c r="PUV4" s="228"/>
      <c r="PUW4" s="226" t="s">
        <v>13330</v>
      </c>
      <c r="PUX4" s="227"/>
      <c r="PUY4" s="227"/>
      <c r="PUZ4" s="228"/>
      <c r="PVA4" s="226" t="s">
        <v>13330</v>
      </c>
      <c r="PVB4" s="227"/>
      <c r="PVC4" s="227"/>
      <c r="PVD4" s="228"/>
      <c r="PVE4" s="226" t="s">
        <v>13330</v>
      </c>
      <c r="PVF4" s="227"/>
      <c r="PVG4" s="227"/>
      <c r="PVH4" s="228"/>
      <c r="PVI4" s="226" t="s">
        <v>13330</v>
      </c>
      <c r="PVJ4" s="227"/>
      <c r="PVK4" s="227"/>
      <c r="PVL4" s="228"/>
      <c r="PVM4" s="226" t="s">
        <v>13330</v>
      </c>
      <c r="PVN4" s="227"/>
      <c r="PVO4" s="227"/>
      <c r="PVP4" s="228"/>
      <c r="PVQ4" s="226" t="s">
        <v>13330</v>
      </c>
      <c r="PVR4" s="227"/>
      <c r="PVS4" s="227"/>
      <c r="PVT4" s="228"/>
      <c r="PVU4" s="226" t="s">
        <v>13330</v>
      </c>
      <c r="PVV4" s="227"/>
      <c r="PVW4" s="227"/>
      <c r="PVX4" s="228"/>
      <c r="PVY4" s="226" t="s">
        <v>13330</v>
      </c>
      <c r="PVZ4" s="227"/>
      <c r="PWA4" s="227"/>
      <c r="PWB4" s="228"/>
      <c r="PWC4" s="226" t="s">
        <v>13330</v>
      </c>
      <c r="PWD4" s="227"/>
      <c r="PWE4" s="227"/>
      <c r="PWF4" s="228"/>
      <c r="PWG4" s="226" t="s">
        <v>13330</v>
      </c>
      <c r="PWH4" s="227"/>
      <c r="PWI4" s="227"/>
      <c r="PWJ4" s="228"/>
      <c r="PWK4" s="226" t="s">
        <v>13330</v>
      </c>
      <c r="PWL4" s="227"/>
      <c r="PWM4" s="227"/>
      <c r="PWN4" s="228"/>
      <c r="PWO4" s="226" t="s">
        <v>13330</v>
      </c>
      <c r="PWP4" s="227"/>
      <c r="PWQ4" s="227"/>
      <c r="PWR4" s="228"/>
      <c r="PWS4" s="226" t="s">
        <v>13330</v>
      </c>
      <c r="PWT4" s="227"/>
      <c r="PWU4" s="227"/>
      <c r="PWV4" s="228"/>
      <c r="PWW4" s="226" t="s">
        <v>13330</v>
      </c>
      <c r="PWX4" s="227"/>
      <c r="PWY4" s="227"/>
      <c r="PWZ4" s="228"/>
      <c r="PXA4" s="226" t="s">
        <v>13330</v>
      </c>
      <c r="PXB4" s="227"/>
      <c r="PXC4" s="227"/>
      <c r="PXD4" s="228"/>
      <c r="PXE4" s="226" t="s">
        <v>13330</v>
      </c>
      <c r="PXF4" s="227"/>
      <c r="PXG4" s="227"/>
      <c r="PXH4" s="228"/>
      <c r="PXI4" s="226" t="s">
        <v>13330</v>
      </c>
      <c r="PXJ4" s="227"/>
      <c r="PXK4" s="227"/>
      <c r="PXL4" s="228"/>
      <c r="PXM4" s="226" t="s">
        <v>13330</v>
      </c>
      <c r="PXN4" s="227"/>
      <c r="PXO4" s="227"/>
      <c r="PXP4" s="228"/>
      <c r="PXQ4" s="226" t="s">
        <v>13330</v>
      </c>
      <c r="PXR4" s="227"/>
      <c r="PXS4" s="227"/>
      <c r="PXT4" s="228"/>
      <c r="PXU4" s="226" t="s">
        <v>13330</v>
      </c>
      <c r="PXV4" s="227"/>
      <c r="PXW4" s="227"/>
      <c r="PXX4" s="228"/>
      <c r="PXY4" s="226" t="s">
        <v>13330</v>
      </c>
      <c r="PXZ4" s="227"/>
      <c r="PYA4" s="227"/>
      <c r="PYB4" s="228"/>
      <c r="PYC4" s="226" t="s">
        <v>13330</v>
      </c>
      <c r="PYD4" s="227"/>
      <c r="PYE4" s="227"/>
      <c r="PYF4" s="228"/>
      <c r="PYG4" s="226" t="s">
        <v>13330</v>
      </c>
      <c r="PYH4" s="227"/>
      <c r="PYI4" s="227"/>
      <c r="PYJ4" s="228"/>
      <c r="PYK4" s="226" t="s">
        <v>13330</v>
      </c>
      <c r="PYL4" s="227"/>
      <c r="PYM4" s="227"/>
      <c r="PYN4" s="228"/>
      <c r="PYO4" s="226" t="s">
        <v>13330</v>
      </c>
      <c r="PYP4" s="227"/>
      <c r="PYQ4" s="227"/>
      <c r="PYR4" s="228"/>
      <c r="PYS4" s="226" t="s">
        <v>13330</v>
      </c>
      <c r="PYT4" s="227"/>
      <c r="PYU4" s="227"/>
      <c r="PYV4" s="228"/>
      <c r="PYW4" s="226" t="s">
        <v>13330</v>
      </c>
      <c r="PYX4" s="227"/>
      <c r="PYY4" s="227"/>
      <c r="PYZ4" s="228"/>
      <c r="PZA4" s="226" t="s">
        <v>13330</v>
      </c>
      <c r="PZB4" s="227"/>
      <c r="PZC4" s="227"/>
      <c r="PZD4" s="228"/>
      <c r="PZE4" s="226" t="s">
        <v>13330</v>
      </c>
      <c r="PZF4" s="227"/>
      <c r="PZG4" s="227"/>
      <c r="PZH4" s="228"/>
      <c r="PZI4" s="226" t="s">
        <v>13330</v>
      </c>
      <c r="PZJ4" s="227"/>
      <c r="PZK4" s="227"/>
      <c r="PZL4" s="228"/>
      <c r="PZM4" s="226" t="s">
        <v>13330</v>
      </c>
      <c r="PZN4" s="227"/>
      <c r="PZO4" s="227"/>
      <c r="PZP4" s="228"/>
      <c r="PZQ4" s="226" t="s">
        <v>13330</v>
      </c>
      <c r="PZR4" s="227"/>
      <c r="PZS4" s="227"/>
      <c r="PZT4" s="228"/>
      <c r="PZU4" s="226" t="s">
        <v>13330</v>
      </c>
      <c r="PZV4" s="227"/>
      <c r="PZW4" s="227"/>
      <c r="PZX4" s="228"/>
      <c r="PZY4" s="226" t="s">
        <v>13330</v>
      </c>
      <c r="PZZ4" s="227"/>
      <c r="QAA4" s="227"/>
      <c r="QAB4" s="228"/>
      <c r="QAC4" s="226" t="s">
        <v>13330</v>
      </c>
      <c r="QAD4" s="227"/>
      <c r="QAE4" s="227"/>
      <c r="QAF4" s="228"/>
      <c r="QAG4" s="226" t="s">
        <v>13330</v>
      </c>
      <c r="QAH4" s="227"/>
      <c r="QAI4" s="227"/>
      <c r="QAJ4" s="228"/>
      <c r="QAK4" s="226" t="s">
        <v>13330</v>
      </c>
      <c r="QAL4" s="227"/>
      <c r="QAM4" s="227"/>
      <c r="QAN4" s="228"/>
      <c r="QAO4" s="226" t="s">
        <v>13330</v>
      </c>
      <c r="QAP4" s="227"/>
      <c r="QAQ4" s="227"/>
      <c r="QAR4" s="228"/>
      <c r="QAS4" s="226" t="s">
        <v>13330</v>
      </c>
      <c r="QAT4" s="227"/>
      <c r="QAU4" s="227"/>
      <c r="QAV4" s="228"/>
      <c r="QAW4" s="226" t="s">
        <v>13330</v>
      </c>
      <c r="QAX4" s="227"/>
      <c r="QAY4" s="227"/>
      <c r="QAZ4" s="228"/>
      <c r="QBA4" s="226" t="s">
        <v>13330</v>
      </c>
      <c r="QBB4" s="227"/>
      <c r="QBC4" s="227"/>
      <c r="QBD4" s="228"/>
      <c r="QBE4" s="226" t="s">
        <v>13330</v>
      </c>
      <c r="QBF4" s="227"/>
      <c r="QBG4" s="227"/>
      <c r="QBH4" s="228"/>
      <c r="QBI4" s="226" t="s">
        <v>13330</v>
      </c>
      <c r="QBJ4" s="227"/>
      <c r="QBK4" s="227"/>
      <c r="QBL4" s="228"/>
      <c r="QBM4" s="226" t="s">
        <v>13330</v>
      </c>
      <c r="QBN4" s="227"/>
      <c r="QBO4" s="227"/>
      <c r="QBP4" s="228"/>
      <c r="QBQ4" s="226" t="s">
        <v>13330</v>
      </c>
      <c r="QBR4" s="227"/>
      <c r="QBS4" s="227"/>
      <c r="QBT4" s="228"/>
      <c r="QBU4" s="226" t="s">
        <v>13330</v>
      </c>
      <c r="QBV4" s="227"/>
      <c r="QBW4" s="227"/>
      <c r="QBX4" s="228"/>
      <c r="QBY4" s="226" t="s">
        <v>13330</v>
      </c>
      <c r="QBZ4" s="227"/>
      <c r="QCA4" s="227"/>
      <c r="QCB4" s="228"/>
      <c r="QCC4" s="226" t="s">
        <v>13330</v>
      </c>
      <c r="QCD4" s="227"/>
      <c r="QCE4" s="227"/>
      <c r="QCF4" s="228"/>
      <c r="QCG4" s="226" t="s">
        <v>13330</v>
      </c>
      <c r="QCH4" s="227"/>
      <c r="QCI4" s="227"/>
      <c r="QCJ4" s="228"/>
      <c r="QCK4" s="226" t="s">
        <v>13330</v>
      </c>
      <c r="QCL4" s="227"/>
      <c r="QCM4" s="227"/>
      <c r="QCN4" s="228"/>
      <c r="QCO4" s="226" t="s">
        <v>13330</v>
      </c>
      <c r="QCP4" s="227"/>
      <c r="QCQ4" s="227"/>
      <c r="QCR4" s="228"/>
      <c r="QCS4" s="226" t="s">
        <v>13330</v>
      </c>
      <c r="QCT4" s="227"/>
      <c r="QCU4" s="227"/>
      <c r="QCV4" s="228"/>
      <c r="QCW4" s="226" t="s">
        <v>13330</v>
      </c>
      <c r="QCX4" s="227"/>
      <c r="QCY4" s="227"/>
      <c r="QCZ4" s="228"/>
      <c r="QDA4" s="226" t="s">
        <v>13330</v>
      </c>
      <c r="QDB4" s="227"/>
      <c r="QDC4" s="227"/>
      <c r="QDD4" s="228"/>
      <c r="QDE4" s="226" t="s">
        <v>13330</v>
      </c>
      <c r="QDF4" s="227"/>
      <c r="QDG4" s="227"/>
      <c r="QDH4" s="228"/>
      <c r="QDI4" s="226" t="s">
        <v>13330</v>
      </c>
      <c r="QDJ4" s="227"/>
      <c r="QDK4" s="227"/>
      <c r="QDL4" s="228"/>
      <c r="QDM4" s="226" t="s">
        <v>13330</v>
      </c>
      <c r="QDN4" s="227"/>
      <c r="QDO4" s="227"/>
      <c r="QDP4" s="228"/>
      <c r="QDQ4" s="226" t="s">
        <v>13330</v>
      </c>
      <c r="QDR4" s="227"/>
      <c r="QDS4" s="227"/>
      <c r="QDT4" s="228"/>
      <c r="QDU4" s="226" t="s">
        <v>13330</v>
      </c>
      <c r="QDV4" s="227"/>
      <c r="QDW4" s="227"/>
      <c r="QDX4" s="228"/>
      <c r="QDY4" s="226" t="s">
        <v>13330</v>
      </c>
      <c r="QDZ4" s="227"/>
      <c r="QEA4" s="227"/>
      <c r="QEB4" s="228"/>
      <c r="QEC4" s="226" t="s">
        <v>13330</v>
      </c>
      <c r="QED4" s="227"/>
      <c r="QEE4" s="227"/>
      <c r="QEF4" s="228"/>
      <c r="QEG4" s="226" t="s">
        <v>13330</v>
      </c>
      <c r="QEH4" s="227"/>
      <c r="QEI4" s="227"/>
      <c r="QEJ4" s="228"/>
      <c r="QEK4" s="226" t="s">
        <v>13330</v>
      </c>
      <c r="QEL4" s="227"/>
      <c r="QEM4" s="227"/>
      <c r="QEN4" s="228"/>
      <c r="QEO4" s="226" t="s">
        <v>13330</v>
      </c>
      <c r="QEP4" s="227"/>
      <c r="QEQ4" s="227"/>
      <c r="QER4" s="228"/>
      <c r="QES4" s="226" t="s">
        <v>13330</v>
      </c>
      <c r="QET4" s="227"/>
      <c r="QEU4" s="227"/>
      <c r="QEV4" s="228"/>
      <c r="QEW4" s="226" t="s">
        <v>13330</v>
      </c>
      <c r="QEX4" s="227"/>
      <c r="QEY4" s="227"/>
      <c r="QEZ4" s="228"/>
      <c r="QFA4" s="226" t="s">
        <v>13330</v>
      </c>
      <c r="QFB4" s="227"/>
      <c r="QFC4" s="227"/>
      <c r="QFD4" s="228"/>
      <c r="QFE4" s="226" t="s">
        <v>13330</v>
      </c>
      <c r="QFF4" s="227"/>
      <c r="QFG4" s="227"/>
      <c r="QFH4" s="228"/>
      <c r="QFI4" s="226" t="s">
        <v>13330</v>
      </c>
      <c r="QFJ4" s="227"/>
      <c r="QFK4" s="227"/>
      <c r="QFL4" s="228"/>
      <c r="QFM4" s="226" t="s">
        <v>13330</v>
      </c>
      <c r="QFN4" s="227"/>
      <c r="QFO4" s="227"/>
      <c r="QFP4" s="228"/>
      <c r="QFQ4" s="226" t="s">
        <v>13330</v>
      </c>
      <c r="QFR4" s="227"/>
      <c r="QFS4" s="227"/>
      <c r="QFT4" s="228"/>
      <c r="QFU4" s="226" t="s">
        <v>13330</v>
      </c>
      <c r="QFV4" s="227"/>
      <c r="QFW4" s="227"/>
      <c r="QFX4" s="228"/>
      <c r="QFY4" s="226" t="s">
        <v>13330</v>
      </c>
      <c r="QFZ4" s="227"/>
      <c r="QGA4" s="227"/>
      <c r="QGB4" s="228"/>
      <c r="QGC4" s="226" t="s">
        <v>13330</v>
      </c>
      <c r="QGD4" s="227"/>
      <c r="QGE4" s="227"/>
      <c r="QGF4" s="228"/>
      <c r="QGG4" s="226" t="s">
        <v>13330</v>
      </c>
      <c r="QGH4" s="227"/>
      <c r="QGI4" s="227"/>
      <c r="QGJ4" s="228"/>
      <c r="QGK4" s="226" t="s">
        <v>13330</v>
      </c>
      <c r="QGL4" s="227"/>
      <c r="QGM4" s="227"/>
      <c r="QGN4" s="228"/>
      <c r="QGO4" s="226" t="s">
        <v>13330</v>
      </c>
      <c r="QGP4" s="227"/>
      <c r="QGQ4" s="227"/>
      <c r="QGR4" s="228"/>
      <c r="QGS4" s="226" t="s">
        <v>13330</v>
      </c>
      <c r="QGT4" s="227"/>
      <c r="QGU4" s="227"/>
      <c r="QGV4" s="228"/>
      <c r="QGW4" s="226" t="s">
        <v>13330</v>
      </c>
      <c r="QGX4" s="227"/>
      <c r="QGY4" s="227"/>
      <c r="QGZ4" s="228"/>
      <c r="QHA4" s="226" t="s">
        <v>13330</v>
      </c>
      <c r="QHB4" s="227"/>
      <c r="QHC4" s="227"/>
      <c r="QHD4" s="228"/>
      <c r="QHE4" s="226" t="s">
        <v>13330</v>
      </c>
      <c r="QHF4" s="227"/>
      <c r="QHG4" s="227"/>
      <c r="QHH4" s="228"/>
      <c r="QHI4" s="226" t="s">
        <v>13330</v>
      </c>
      <c r="QHJ4" s="227"/>
      <c r="QHK4" s="227"/>
      <c r="QHL4" s="228"/>
      <c r="QHM4" s="226" t="s">
        <v>13330</v>
      </c>
      <c r="QHN4" s="227"/>
      <c r="QHO4" s="227"/>
      <c r="QHP4" s="228"/>
      <c r="QHQ4" s="226" t="s">
        <v>13330</v>
      </c>
      <c r="QHR4" s="227"/>
      <c r="QHS4" s="227"/>
      <c r="QHT4" s="228"/>
      <c r="QHU4" s="226" t="s">
        <v>13330</v>
      </c>
      <c r="QHV4" s="227"/>
      <c r="QHW4" s="227"/>
      <c r="QHX4" s="228"/>
      <c r="QHY4" s="226" t="s">
        <v>13330</v>
      </c>
      <c r="QHZ4" s="227"/>
      <c r="QIA4" s="227"/>
      <c r="QIB4" s="228"/>
      <c r="QIC4" s="226" t="s">
        <v>13330</v>
      </c>
      <c r="QID4" s="227"/>
      <c r="QIE4" s="227"/>
      <c r="QIF4" s="228"/>
      <c r="QIG4" s="226" t="s">
        <v>13330</v>
      </c>
      <c r="QIH4" s="227"/>
      <c r="QII4" s="227"/>
      <c r="QIJ4" s="228"/>
      <c r="QIK4" s="226" t="s">
        <v>13330</v>
      </c>
      <c r="QIL4" s="227"/>
      <c r="QIM4" s="227"/>
      <c r="QIN4" s="228"/>
      <c r="QIO4" s="226" t="s">
        <v>13330</v>
      </c>
      <c r="QIP4" s="227"/>
      <c r="QIQ4" s="227"/>
      <c r="QIR4" s="228"/>
      <c r="QIS4" s="226" t="s">
        <v>13330</v>
      </c>
      <c r="QIT4" s="227"/>
      <c r="QIU4" s="227"/>
      <c r="QIV4" s="228"/>
      <c r="QIW4" s="226" t="s">
        <v>13330</v>
      </c>
      <c r="QIX4" s="227"/>
      <c r="QIY4" s="227"/>
      <c r="QIZ4" s="228"/>
      <c r="QJA4" s="226" t="s">
        <v>13330</v>
      </c>
      <c r="QJB4" s="227"/>
      <c r="QJC4" s="227"/>
      <c r="QJD4" s="228"/>
      <c r="QJE4" s="226" t="s">
        <v>13330</v>
      </c>
      <c r="QJF4" s="227"/>
      <c r="QJG4" s="227"/>
      <c r="QJH4" s="228"/>
      <c r="QJI4" s="226" t="s">
        <v>13330</v>
      </c>
      <c r="QJJ4" s="227"/>
      <c r="QJK4" s="227"/>
      <c r="QJL4" s="228"/>
      <c r="QJM4" s="226" t="s">
        <v>13330</v>
      </c>
      <c r="QJN4" s="227"/>
      <c r="QJO4" s="227"/>
      <c r="QJP4" s="228"/>
      <c r="QJQ4" s="226" t="s">
        <v>13330</v>
      </c>
      <c r="QJR4" s="227"/>
      <c r="QJS4" s="227"/>
      <c r="QJT4" s="228"/>
      <c r="QJU4" s="226" t="s">
        <v>13330</v>
      </c>
      <c r="QJV4" s="227"/>
      <c r="QJW4" s="227"/>
      <c r="QJX4" s="228"/>
      <c r="QJY4" s="226" t="s">
        <v>13330</v>
      </c>
      <c r="QJZ4" s="227"/>
      <c r="QKA4" s="227"/>
      <c r="QKB4" s="228"/>
      <c r="QKC4" s="226" t="s">
        <v>13330</v>
      </c>
      <c r="QKD4" s="227"/>
      <c r="QKE4" s="227"/>
      <c r="QKF4" s="228"/>
      <c r="QKG4" s="226" t="s">
        <v>13330</v>
      </c>
      <c r="QKH4" s="227"/>
      <c r="QKI4" s="227"/>
      <c r="QKJ4" s="228"/>
      <c r="QKK4" s="226" t="s">
        <v>13330</v>
      </c>
      <c r="QKL4" s="227"/>
      <c r="QKM4" s="227"/>
      <c r="QKN4" s="228"/>
      <c r="QKO4" s="226" t="s">
        <v>13330</v>
      </c>
      <c r="QKP4" s="227"/>
      <c r="QKQ4" s="227"/>
      <c r="QKR4" s="228"/>
      <c r="QKS4" s="226" t="s">
        <v>13330</v>
      </c>
      <c r="QKT4" s="227"/>
      <c r="QKU4" s="227"/>
      <c r="QKV4" s="228"/>
      <c r="QKW4" s="226" t="s">
        <v>13330</v>
      </c>
      <c r="QKX4" s="227"/>
      <c r="QKY4" s="227"/>
      <c r="QKZ4" s="228"/>
      <c r="QLA4" s="226" t="s">
        <v>13330</v>
      </c>
      <c r="QLB4" s="227"/>
      <c r="QLC4" s="227"/>
      <c r="QLD4" s="228"/>
      <c r="QLE4" s="226" t="s">
        <v>13330</v>
      </c>
      <c r="QLF4" s="227"/>
      <c r="QLG4" s="227"/>
      <c r="QLH4" s="228"/>
      <c r="QLI4" s="226" t="s">
        <v>13330</v>
      </c>
      <c r="QLJ4" s="227"/>
      <c r="QLK4" s="227"/>
      <c r="QLL4" s="228"/>
      <c r="QLM4" s="226" t="s">
        <v>13330</v>
      </c>
      <c r="QLN4" s="227"/>
      <c r="QLO4" s="227"/>
      <c r="QLP4" s="228"/>
      <c r="QLQ4" s="226" t="s">
        <v>13330</v>
      </c>
      <c r="QLR4" s="227"/>
      <c r="QLS4" s="227"/>
      <c r="QLT4" s="228"/>
      <c r="QLU4" s="226" t="s">
        <v>13330</v>
      </c>
      <c r="QLV4" s="227"/>
      <c r="QLW4" s="227"/>
      <c r="QLX4" s="228"/>
      <c r="QLY4" s="226" t="s">
        <v>13330</v>
      </c>
      <c r="QLZ4" s="227"/>
      <c r="QMA4" s="227"/>
      <c r="QMB4" s="228"/>
      <c r="QMC4" s="226" t="s">
        <v>13330</v>
      </c>
      <c r="QMD4" s="227"/>
      <c r="QME4" s="227"/>
      <c r="QMF4" s="228"/>
      <c r="QMG4" s="226" t="s">
        <v>13330</v>
      </c>
      <c r="QMH4" s="227"/>
      <c r="QMI4" s="227"/>
      <c r="QMJ4" s="228"/>
      <c r="QMK4" s="226" t="s">
        <v>13330</v>
      </c>
      <c r="QML4" s="227"/>
      <c r="QMM4" s="227"/>
      <c r="QMN4" s="228"/>
      <c r="QMO4" s="226" t="s">
        <v>13330</v>
      </c>
      <c r="QMP4" s="227"/>
      <c r="QMQ4" s="227"/>
      <c r="QMR4" s="228"/>
      <c r="QMS4" s="226" t="s">
        <v>13330</v>
      </c>
      <c r="QMT4" s="227"/>
      <c r="QMU4" s="227"/>
      <c r="QMV4" s="228"/>
      <c r="QMW4" s="226" t="s">
        <v>13330</v>
      </c>
      <c r="QMX4" s="227"/>
      <c r="QMY4" s="227"/>
      <c r="QMZ4" s="228"/>
      <c r="QNA4" s="226" t="s">
        <v>13330</v>
      </c>
      <c r="QNB4" s="227"/>
      <c r="QNC4" s="227"/>
      <c r="QND4" s="228"/>
      <c r="QNE4" s="226" t="s">
        <v>13330</v>
      </c>
      <c r="QNF4" s="227"/>
      <c r="QNG4" s="227"/>
      <c r="QNH4" s="228"/>
      <c r="QNI4" s="226" t="s">
        <v>13330</v>
      </c>
      <c r="QNJ4" s="227"/>
      <c r="QNK4" s="227"/>
      <c r="QNL4" s="228"/>
      <c r="QNM4" s="226" t="s">
        <v>13330</v>
      </c>
      <c r="QNN4" s="227"/>
      <c r="QNO4" s="227"/>
      <c r="QNP4" s="228"/>
      <c r="QNQ4" s="226" t="s">
        <v>13330</v>
      </c>
      <c r="QNR4" s="227"/>
      <c r="QNS4" s="227"/>
      <c r="QNT4" s="228"/>
      <c r="QNU4" s="226" t="s">
        <v>13330</v>
      </c>
      <c r="QNV4" s="227"/>
      <c r="QNW4" s="227"/>
      <c r="QNX4" s="228"/>
      <c r="QNY4" s="226" t="s">
        <v>13330</v>
      </c>
      <c r="QNZ4" s="227"/>
      <c r="QOA4" s="227"/>
      <c r="QOB4" s="228"/>
      <c r="QOC4" s="226" t="s">
        <v>13330</v>
      </c>
      <c r="QOD4" s="227"/>
      <c r="QOE4" s="227"/>
      <c r="QOF4" s="228"/>
      <c r="QOG4" s="226" t="s">
        <v>13330</v>
      </c>
      <c r="QOH4" s="227"/>
      <c r="QOI4" s="227"/>
      <c r="QOJ4" s="228"/>
      <c r="QOK4" s="226" t="s">
        <v>13330</v>
      </c>
      <c r="QOL4" s="227"/>
      <c r="QOM4" s="227"/>
      <c r="QON4" s="228"/>
      <c r="QOO4" s="226" t="s">
        <v>13330</v>
      </c>
      <c r="QOP4" s="227"/>
      <c r="QOQ4" s="227"/>
      <c r="QOR4" s="228"/>
      <c r="QOS4" s="226" t="s">
        <v>13330</v>
      </c>
      <c r="QOT4" s="227"/>
      <c r="QOU4" s="227"/>
      <c r="QOV4" s="228"/>
      <c r="QOW4" s="226" t="s">
        <v>13330</v>
      </c>
      <c r="QOX4" s="227"/>
      <c r="QOY4" s="227"/>
      <c r="QOZ4" s="228"/>
      <c r="QPA4" s="226" t="s">
        <v>13330</v>
      </c>
      <c r="QPB4" s="227"/>
      <c r="QPC4" s="227"/>
      <c r="QPD4" s="228"/>
      <c r="QPE4" s="226" t="s">
        <v>13330</v>
      </c>
      <c r="QPF4" s="227"/>
      <c r="QPG4" s="227"/>
      <c r="QPH4" s="228"/>
      <c r="QPI4" s="226" t="s">
        <v>13330</v>
      </c>
      <c r="QPJ4" s="227"/>
      <c r="QPK4" s="227"/>
      <c r="QPL4" s="228"/>
      <c r="QPM4" s="226" t="s">
        <v>13330</v>
      </c>
      <c r="QPN4" s="227"/>
      <c r="QPO4" s="227"/>
      <c r="QPP4" s="228"/>
      <c r="QPQ4" s="226" t="s">
        <v>13330</v>
      </c>
      <c r="QPR4" s="227"/>
      <c r="QPS4" s="227"/>
      <c r="QPT4" s="228"/>
      <c r="QPU4" s="226" t="s">
        <v>13330</v>
      </c>
      <c r="QPV4" s="227"/>
      <c r="QPW4" s="227"/>
      <c r="QPX4" s="228"/>
      <c r="QPY4" s="226" t="s">
        <v>13330</v>
      </c>
      <c r="QPZ4" s="227"/>
      <c r="QQA4" s="227"/>
      <c r="QQB4" s="228"/>
      <c r="QQC4" s="226" t="s">
        <v>13330</v>
      </c>
      <c r="QQD4" s="227"/>
      <c r="QQE4" s="227"/>
      <c r="QQF4" s="228"/>
      <c r="QQG4" s="226" t="s">
        <v>13330</v>
      </c>
      <c r="QQH4" s="227"/>
      <c r="QQI4" s="227"/>
      <c r="QQJ4" s="228"/>
      <c r="QQK4" s="226" t="s">
        <v>13330</v>
      </c>
      <c r="QQL4" s="227"/>
      <c r="QQM4" s="227"/>
      <c r="QQN4" s="228"/>
      <c r="QQO4" s="226" t="s">
        <v>13330</v>
      </c>
      <c r="QQP4" s="227"/>
      <c r="QQQ4" s="227"/>
      <c r="QQR4" s="228"/>
      <c r="QQS4" s="226" t="s">
        <v>13330</v>
      </c>
      <c r="QQT4" s="227"/>
      <c r="QQU4" s="227"/>
      <c r="QQV4" s="228"/>
      <c r="QQW4" s="226" t="s">
        <v>13330</v>
      </c>
      <c r="QQX4" s="227"/>
      <c r="QQY4" s="227"/>
      <c r="QQZ4" s="228"/>
      <c r="QRA4" s="226" t="s">
        <v>13330</v>
      </c>
      <c r="QRB4" s="227"/>
      <c r="QRC4" s="227"/>
      <c r="QRD4" s="228"/>
      <c r="QRE4" s="226" t="s">
        <v>13330</v>
      </c>
      <c r="QRF4" s="227"/>
      <c r="QRG4" s="227"/>
      <c r="QRH4" s="228"/>
      <c r="QRI4" s="226" t="s">
        <v>13330</v>
      </c>
      <c r="QRJ4" s="227"/>
      <c r="QRK4" s="227"/>
      <c r="QRL4" s="228"/>
      <c r="QRM4" s="226" t="s">
        <v>13330</v>
      </c>
      <c r="QRN4" s="227"/>
      <c r="QRO4" s="227"/>
      <c r="QRP4" s="228"/>
      <c r="QRQ4" s="226" t="s">
        <v>13330</v>
      </c>
      <c r="QRR4" s="227"/>
      <c r="QRS4" s="227"/>
      <c r="QRT4" s="228"/>
      <c r="QRU4" s="226" t="s">
        <v>13330</v>
      </c>
      <c r="QRV4" s="227"/>
      <c r="QRW4" s="227"/>
      <c r="QRX4" s="228"/>
      <c r="QRY4" s="226" t="s">
        <v>13330</v>
      </c>
      <c r="QRZ4" s="227"/>
      <c r="QSA4" s="227"/>
      <c r="QSB4" s="228"/>
      <c r="QSC4" s="226" t="s">
        <v>13330</v>
      </c>
      <c r="QSD4" s="227"/>
      <c r="QSE4" s="227"/>
      <c r="QSF4" s="228"/>
      <c r="QSG4" s="226" t="s">
        <v>13330</v>
      </c>
      <c r="QSH4" s="227"/>
      <c r="QSI4" s="227"/>
      <c r="QSJ4" s="228"/>
      <c r="QSK4" s="226" t="s">
        <v>13330</v>
      </c>
      <c r="QSL4" s="227"/>
      <c r="QSM4" s="227"/>
      <c r="QSN4" s="228"/>
      <c r="QSO4" s="226" t="s">
        <v>13330</v>
      </c>
      <c r="QSP4" s="227"/>
      <c r="QSQ4" s="227"/>
      <c r="QSR4" s="228"/>
      <c r="QSS4" s="226" t="s">
        <v>13330</v>
      </c>
      <c r="QST4" s="227"/>
      <c r="QSU4" s="227"/>
      <c r="QSV4" s="228"/>
      <c r="QSW4" s="226" t="s">
        <v>13330</v>
      </c>
      <c r="QSX4" s="227"/>
      <c r="QSY4" s="227"/>
      <c r="QSZ4" s="228"/>
      <c r="QTA4" s="226" t="s">
        <v>13330</v>
      </c>
      <c r="QTB4" s="227"/>
      <c r="QTC4" s="227"/>
      <c r="QTD4" s="228"/>
      <c r="QTE4" s="226" t="s">
        <v>13330</v>
      </c>
      <c r="QTF4" s="227"/>
      <c r="QTG4" s="227"/>
      <c r="QTH4" s="228"/>
      <c r="QTI4" s="226" t="s">
        <v>13330</v>
      </c>
      <c r="QTJ4" s="227"/>
      <c r="QTK4" s="227"/>
      <c r="QTL4" s="228"/>
      <c r="QTM4" s="226" t="s">
        <v>13330</v>
      </c>
      <c r="QTN4" s="227"/>
      <c r="QTO4" s="227"/>
      <c r="QTP4" s="228"/>
      <c r="QTQ4" s="226" t="s">
        <v>13330</v>
      </c>
      <c r="QTR4" s="227"/>
      <c r="QTS4" s="227"/>
      <c r="QTT4" s="228"/>
      <c r="QTU4" s="226" t="s">
        <v>13330</v>
      </c>
      <c r="QTV4" s="227"/>
      <c r="QTW4" s="227"/>
      <c r="QTX4" s="228"/>
      <c r="QTY4" s="226" t="s">
        <v>13330</v>
      </c>
      <c r="QTZ4" s="227"/>
      <c r="QUA4" s="227"/>
      <c r="QUB4" s="228"/>
      <c r="QUC4" s="226" t="s">
        <v>13330</v>
      </c>
      <c r="QUD4" s="227"/>
      <c r="QUE4" s="227"/>
      <c r="QUF4" s="228"/>
      <c r="QUG4" s="226" t="s">
        <v>13330</v>
      </c>
      <c r="QUH4" s="227"/>
      <c r="QUI4" s="227"/>
      <c r="QUJ4" s="228"/>
      <c r="QUK4" s="226" t="s">
        <v>13330</v>
      </c>
      <c r="QUL4" s="227"/>
      <c r="QUM4" s="227"/>
      <c r="QUN4" s="228"/>
      <c r="QUO4" s="226" t="s">
        <v>13330</v>
      </c>
      <c r="QUP4" s="227"/>
      <c r="QUQ4" s="227"/>
      <c r="QUR4" s="228"/>
      <c r="QUS4" s="226" t="s">
        <v>13330</v>
      </c>
      <c r="QUT4" s="227"/>
      <c r="QUU4" s="227"/>
      <c r="QUV4" s="228"/>
      <c r="QUW4" s="226" t="s">
        <v>13330</v>
      </c>
      <c r="QUX4" s="227"/>
      <c r="QUY4" s="227"/>
      <c r="QUZ4" s="228"/>
      <c r="QVA4" s="226" t="s">
        <v>13330</v>
      </c>
      <c r="QVB4" s="227"/>
      <c r="QVC4" s="227"/>
      <c r="QVD4" s="228"/>
      <c r="QVE4" s="226" t="s">
        <v>13330</v>
      </c>
      <c r="QVF4" s="227"/>
      <c r="QVG4" s="227"/>
      <c r="QVH4" s="228"/>
      <c r="QVI4" s="226" t="s">
        <v>13330</v>
      </c>
      <c r="QVJ4" s="227"/>
      <c r="QVK4" s="227"/>
      <c r="QVL4" s="228"/>
      <c r="QVM4" s="226" t="s">
        <v>13330</v>
      </c>
      <c r="QVN4" s="227"/>
      <c r="QVO4" s="227"/>
      <c r="QVP4" s="228"/>
      <c r="QVQ4" s="226" t="s">
        <v>13330</v>
      </c>
      <c r="QVR4" s="227"/>
      <c r="QVS4" s="227"/>
      <c r="QVT4" s="228"/>
      <c r="QVU4" s="226" t="s">
        <v>13330</v>
      </c>
      <c r="QVV4" s="227"/>
      <c r="QVW4" s="227"/>
      <c r="QVX4" s="228"/>
      <c r="QVY4" s="226" t="s">
        <v>13330</v>
      </c>
      <c r="QVZ4" s="227"/>
      <c r="QWA4" s="227"/>
      <c r="QWB4" s="228"/>
      <c r="QWC4" s="226" t="s">
        <v>13330</v>
      </c>
      <c r="QWD4" s="227"/>
      <c r="QWE4" s="227"/>
      <c r="QWF4" s="228"/>
      <c r="QWG4" s="226" t="s">
        <v>13330</v>
      </c>
      <c r="QWH4" s="227"/>
      <c r="QWI4" s="227"/>
      <c r="QWJ4" s="228"/>
      <c r="QWK4" s="226" t="s">
        <v>13330</v>
      </c>
      <c r="QWL4" s="227"/>
      <c r="QWM4" s="227"/>
      <c r="QWN4" s="228"/>
      <c r="QWO4" s="226" t="s">
        <v>13330</v>
      </c>
      <c r="QWP4" s="227"/>
      <c r="QWQ4" s="227"/>
      <c r="QWR4" s="228"/>
      <c r="QWS4" s="226" t="s">
        <v>13330</v>
      </c>
      <c r="QWT4" s="227"/>
      <c r="QWU4" s="227"/>
      <c r="QWV4" s="228"/>
      <c r="QWW4" s="226" t="s">
        <v>13330</v>
      </c>
      <c r="QWX4" s="227"/>
      <c r="QWY4" s="227"/>
      <c r="QWZ4" s="228"/>
      <c r="QXA4" s="226" t="s">
        <v>13330</v>
      </c>
      <c r="QXB4" s="227"/>
      <c r="QXC4" s="227"/>
      <c r="QXD4" s="228"/>
      <c r="QXE4" s="226" t="s">
        <v>13330</v>
      </c>
      <c r="QXF4" s="227"/>
      <c r="QXG4" s="227"/>
      <c r="QXH4" s="228"/>
      <c r="QXI4" s="226" t="s">
        <v>13330</v>
      </c>
      <c r="QXJ4" s="227"/>
      <c r="QXK4" s="227"/>
      <c r="QXL4" s="228"/>
      <c r="QXM4" s="226" t="s">
        <v>13330</v>
      </c>
      <c r="QXN4" s="227"/>
      <c r="QXO4" s="227"/>
      <c r="QXP4" s="228"/>
      <c r="QXQ4" s="226" t="s">
        <v>13330</v>
      </c>
      <c r="QXR4" s="227"/>
      <c r="QXS4" s="227"/>
      <c r="QXT4" s="228"/>
      <c r="QXU4" s="226" t="s">
        <v>13330</v>
      </c>
      <c r="QXV4" s="227"/>
      <c r="QXW4" s="227"/>
      <c r="QXX4" s="228"/>
      <c r="QXY4" s="226" t="s">
        <v>13330</v>
      </c>
      <c r="QXZ4" s="227"/>
      <c r="QYA4" s="227"/>
      <c r="QYB4" s="228"/>
      <c r="QYC4" s="226" t="s">
        <v>13330</v>
      </c>
      <c r="QYD4" s="227"/>
      <c r="QYE4" s="227"/>
      <c r="QYF4" s="228"/>
      <c r="QYG4" s="226" t="s">
        <v>13330</v>
      </c>
      <c r="QYH4" s="227"/>
      <c r="QYI4" s="227"/>
      <c r="QYJ4" s="228"/>
      <c r="QYK4" s="226" t="s">
        <v>13330</v>
      </c>
      <c r="QYL4" s="227"/>
      <c r="QYM4" s="227"/>
      <c r="QYN4" s="228"/>
      <c r="QYO4" s="226" t="s">
        <v>13330</v>
      </c>
      <c r="QYP4" s="227"/>
      <c r="QYQ4" s="227"/>
      <c r="QYR4" s="228"/>
      <c r="QYS4" s="226" t="s">
        <v>13330</v>
      </c>
      <c r="QYT4" s="227"/>
      <c r="QYU4" s="227"/>
      <c r="QYV4" s="228"/>
      <c r="QYW4" s="226" t="s">
        <v>13330</v>
      </c>
      <c r="QYX4" s="227"/>
      <c r="QYY4" s="227"/>
      <c r="QYZ4" s="228"/>
      <c r="QZA4" s="226" t="s">
        <v>13330</v>
      </c>
      <c r="QZB4" s="227"/>
      <c r="QZC4" s="227"/>
      <c r="QZD4" s="228"/>
      <c r="QZE4" s="226" t="s">
        <v>13330</v>
      </c>
      <c r="QZF4" s="227"/>
      <c r="QZG4" s="227"/>
      <c r="QZH4" s="228"/>
      <c r="QZI4" s="226" t="s">
        <v>13330</v>
      </c>
      <c r="QZJ4" s="227"/>
      <c r="QZK4" s="227"/>
      <c r="QZL4" s="228"/>
      <c r="QZM4" s="226" t="s">
        <v>13330</v>
      </c>
      <c r="QZN4" s="227"/>
      <c r="QZO4" s="227"/>
      <c r="QZP4" s="228"/>
      <c r="QZQ4" s="226" t="s">
        <v>13330</v>
      </c>
      <c r="QZR4" s="227"/>
      <c r="QZS4" s="227"/>
      <c r="QZT4" s="228"/>
      <c r="QZU4" s="226" t="s">
        <v>13330</v>
      </c>
      <c r="QZV4" s="227"/>
      <c r="QZW4" s="227"/>
      <c r="QZX4" s="228"/>
      <c r="QZY4" s="226" t="s">
        <v>13330</v>
      </c>
      <c r="QZZ4" s="227"/>
      <c r="RAA4" s="227"/>
      <c r="RAB4" s="228"/>
      <c r="RAC4" s="226" t="s">
        <v>13330</v>
      </c>
      <c r="RAD4" s="227"/>
      <c r="RAE4" s="227"/>
      <c r="RAF4" s="228"/>
      <c r="RAG4" s="226" t="s">
        <v>13330</v>
      </c>
      <c r="RAH4" s="227"/>
      <c r="RAI4" s="227"/>
      <c r="RAJ4" s="228"/>
      <c r="RAK4" s="226" t="s">
        <v>13330</v>
      </c>
      <c r="RAL4" s="227"/>
      <c r="RAM4" s="227"/>
      <c r="RAN4" s="228"/>
      <c r="RAO4" s="226" t="s">
        <v>13330</v>
      </c>
      <c r="RAP4" s="227"/>
      <c r="RAQ4" s="227"/>
      <c r="RAR4" s="228"/>
      <c r="RAS4" s="226" t="s">
        <v>13330</v>
      </c>
      <c r="RAT4" s="227"/>
      <c r="RAU4" s="227"/>
      <c r="RAV4" s="228"/>
      <c r="RAW4" s="226" t="s">
        <v>13330</v>
      </c>
      <c r="RAX4" s="227"/>
      <c r="RAY4" s="227"/>
      <c r="RAZ4" s="228"/>
      <c r="RBA4" s="226" t="s">
        <v>13330</v>
      </c>
      <c r="RBB4" s="227"/>
      <c r="RBC4" s="227"/>
      <c r="RBD4" s="228"/>
      <c r="RBE4" s="226" t="s">
        <v>13330</v>
      </c>
      <c r="RBF4" s="227"/>
      <c r="RBG4" s="227"/>
      <c r="RBH4" s="228"/>
      <c r="RBI4" s="226" t="s">
        <v>13330</v>
      </c>
      <c r="RBJ4" s="227"/>
      <c r="RBK4" s="227"/>
      <c r="RBL4" s="228"/>
      <c r="RBM4" s="226" t="s">
        <v>13330</v>
      </c>
      <c r="RBN4" s="227"/>
      <c r="RBO4" s="227"/>
      <c r="RBP4" s="228"/>
      <c r="RBQ4" s="226" t="s">
        <v>13330</v>
      </c>
      <c r="RBR4" s="227"/>
      <c r="RBS4" s="227"/>
      <c r="RBT4" s="228"/>
      <c r="RBU4" s="226" t="s">
        <v>13330</v>
      </c>
      <c r="RBV4" s="227"/>
      <c r="RBW4" s="227"/>
      <c r="RBX4" s="228"/>
      <c r="RBY4" s="226" t="s">
        <v>13330</v>
      </c>
      <c r="RBZ4" s="227"/>
      <c r="RCA4" s="227"/>
      <c r="RCB4" s="228"/>
      <c r="RCC4" s="226" t="s">
        <v>13330</v>
      </c>
      <c r="RCD4" s="227"/>
      <c r="RCE4" s="227"/>
      <c r="RCF4" s="228"/>
      <c r="RCG4" s="226" t="s">
        <v>13330</v>
      </c>
      <c r="RCH4" s="227"/>
      <c r="RCI4" s="227"/>
      <c r="RCJ4" s="228"/>
      <c r="RCK4" s="226" t="s">
        <v>13330</v>
      </c>
      <c r="RCL4" s="227"/>
      <c r="RCM4" s="227"/>
      <c r="RCN4" s="228"/>
      <c r="RCO4" s="226" t="s">
        <v>13330</v>
      </c>
      <c r="RCP4" s="227"/>
      <c r="RCQ4" s="227"/>
      <c r="RCR4" s="228"/>
      <c r="RCS4" s="226" t="s">
        <v>13330</v>
      </c>
      <c r="RCT4" s="227"/>
      <c r="RCU4" s="227"/>
      <c r="RCV4" s="228"/>
      <c r="RCW4" s="226" t="s">
        <v>13330</v>
      </c>
      <c r="RCX4" s="227"/>
      <c r="RCY4" s="227"/>
      <c r="RCZ4" s="228"/>
      <c r="RDA4" s="226" t="s">
        <v>13330</v>
      </c>
      <c r="RDB4" s="227"/>
      <c r="RDC4" s="227"/>
      <c r="RDD4" s="228"/>
      <c r="RDE4" s="226" t="s">
        <v>13330</v>
      </c>
      <c r="RDF4" s="227"/>
      <c r="RDG4" s="227"/>
      <c r="RDH4" s="228"/>
      <c r="RDI4" s="226" t="s">
        <v>13330</v>
      </c>
      <c r="RDJ4" s="227"/>
      <c r="RDK4" s="227"/>
      <c r="RDL4" s="228"/>
      <c r="RDM4" s="226" t="s">
        <v>13330</v>
      </c>
      <c r="RDN4" s="227"/>
      <c r="RDO4" s="227"/>
      <c r="RDP4" s="228"/>
      <c r="RDQ4" s="226" t="s">
        <v>13330</v>
      </c>
      <c r="RDR4" s="227"/>
      <c r="RDS4" s="227"/>
      <c r="RDT4" s="228"/>
      <c r="RDU4" s="226" t="s">
        <v>13330</v>
      </c>
      <c r="RDV4" s="227"/>
      <c r="RDW4" s="227"/>
      <c r="RDX4" s="228"/>
      <c r="RDY4" s="226" t="s">
        <v>13330</v>
      </c>
      <c r="RDZ4" s="227"/>
      <c r="REA4" s="227"/>
      <c r="REB4" s="228"/>
      <c r="REC4" s="226" t="s">
        <v>13330</v>
      </c>
      <c r="RED4" s="227"/>
      <c r="REE4" s="227"/>
      <c r="REF4" s="228"/>
      <c r="REG4" s="226" t="s">
        <v>13330</v>
      </c>
      <c r="REH4" s="227"/>
      <c r="REI4" s="227"/>
      <c r="REJ4" s="228"/>
      <c r="REK4" s="226" t="s">
        <v>13330</v>
      </c>
      <c r="REL4" s="227"/>
      <c r="REM4" s="227"/>
      <c r="REN4" s="228"/>
      <c r="REO4" s="226" t="s">
        <v>13330</v>
      </c>
      <c r="REP4" s="227"/>
      <c r="REQ4" s="227"/>
      <c r="RER4" s="228"/>
      <c r="RES4" s="226" t="s">
        <v>13330</v>
      </c>
      <c r="RET4" s="227"/>
      <c r="REU4" s="227"/>
      <c r="REV4" s="228"/>
      <c r="REW4" s="226" t="s">
        <v>13330</v>
      </c>
      <c r="REX4" s="227"/>
      <c r="REY4" s="227"/>
      <c r="REZ4" s="228"/>
      <c r="RFA4" s="226" t="s">
        <v>13330</v>
      </c>
      <c r="RFB4" s="227"/>
      <c r="RFC4" s="227"/>
      <c r="RFD4" s="228"/>
      <c r="RFE4" s="226" t="s">
        <v>13330</v>
      </c>
      <c r="RFF4" s="227"/>
      <c r="RFG4" s="227"/>
      <c r="RFH4" s="228"/>
      <c r="RFI4" s="226" t="s">
        <v>13330</v>
      </c>
      <c r="RFJ4" s="227"/>
      <c r="RFK4" s="227"/>
      <c r="RFL4" s="228"/>
      <c r="RFM4" s="226" t="s">
        <v>13330</v>
      </c>
      <c r="RFN4" s="227"/>
      <c r="RFO4" s="227"/>
      <c r="RFP4" s="228"/>
      <c r="RFQ4" s="226" t="s">
        <v>13330</v>
      </c>
      <c r="RFR4" s="227"/>
      <c r="RFS4" s="227"/>
      <c r="RFT4" s="228"/>
      <c r="RFU4" s="226" t="s">
        <v>13330</v>
      </c>
      <c r="RFV4" s="227"/>
      <c r="RFW4" s="227"/>
      <c r="RFX4" s="228"/>
      <c r="RFY4" s="226" t="s">
        <v>13330</v>
      </c>
      <c r="RFZ4" s="227"/>
      <c r="RGA4" s="227"/>
      <c r="RGB4" s="228"/>
      <c r="RGC4" s="226" t="s">
        <v>13330</v>
      </c>
      <c r="RGD4" s="227"/>
      <c r="RGE4" s="227"/>
      <c r="RGF4" s="228"/>
      <c r="RGG4" s="226" t="s">
        <v>13330</v>
      </c>
      <c r="RGH4" s="227"/>
      <c r="RGI4" s="227"/>
      <c r="RGJ4" s="228"/>
      <c r="RGK4" s="226" t="s">
        <v>13330</v>
      </c>
      <c r="RGL4" s="227"/>
      <c r="RGM4" s="227"/>
      <c r="RGN4" s="228"/>
      <c r="RGO4" s="226" t="s">
        <v>13330</v>
      </c>
      <c r="RGP4" s="227"/>
      <c r="RGQ4" s="227"/>
      <c r="RGR4" s="228"/>
      <c r="RGS4" s="226" t="s">
        <v>13330</v>
      </c>
      <c r="RGT4" s="227"/>
      <c r="RGU4" s="227"/>
      <c r="RGV4" s="228"/>
      <c r="RGW4" s="226" t="s">
        <v>13330</v>
      </c>
      <c r="RGX4" s="227"/>
      <c r="RGY4" s="227"/>
      <c r="RGZ4" s="228"/>
      <c r="RHA4" s="226" t="s">
        <v>13330</v>
      </c>
      <c r="RHB4" s="227"/>
      <c r="RHC4" s="227"/>
      <c r="RHD4" s="228"/>
      <c r="RHE4" s="226" t="s">
        <v>13330</v>
      </c>
      <c r="RHF4" s="227"/>
      <c r="RHG4" s="227"/>
      <c r="RHH4" s="228"/>
      <c r="RHI4" s="226" t="s">
        <v>13330</v>
      </c>
      <c r="RHJ4" s="227"/>
      <c r="RHK4" s="227"/>
      <c r="RHL4" s="228"/>
      <c r="RHM4" s="226" t="s">
        <v>13330</v>
      </c>
      <c r="RHN4" s="227"/>
      <c r="RHO4" s="227"/>
      <c r="RHP4" s="228"/>
      <c r="RHQ4" s="226" t="s">
        <v>13330</v>
      </c>
      <c r="RHR4" s="227"/>
      <c r="RHS4" s="227"/>
      <c r="RHT4" s="228"/>
      <c r="RHU4" s="226" t="s">
        <v>13330</v>
      </c>
      <c r="RHV4" s="227"/>
      <c r="RHW4" s="227"/>
      <c r="RHX4" s="228"/>
      <c r="RHY4" s="226" t="s">
        <v>13330</v>
      </c>
      <c r="RHZ4" s="227"/>
      <c r="RIA4" s="227"/>
      <c r="RIB4" s="228"/>
      <c r="RIC4" s="226" t="s">
        <v>13330</v>
      </c>
      <c r="RID4" s="227"/>
      <c r="RIE4" s="227"/>
      <c r="RIF4" s="228"/>
      <c r="RIG4" s="226" t="s">
        <v>13330</v>
      </c>
      <c r="RIH4" s="227"/>
      <c r="RII4" s="227"/>
      <c r="RIJ4" s="228"/>
      <c r="RIK4" s="226" t="s">
        <v>13330</v>
      </c>
      <c r="RIL4" s="227"/>
      <c r="RIM4" s="227"/>
      <c r="RIN4" s="228"/>
      <c r="RIO4" s="226" t="s">
        <v>13330</v>
      </c>
      <c r="RIP4" s="227"/>
      <c r="RIQ4" s="227"/>
      <c r="RIR4" s="228"/>
      <c r="RIS4" s="226" t="s">
        <v>13330</v>
      </c>
      <c r="RIT4" s="227"/>
      <c r="RIU4" s="227"/>
      <c r="RIV4" s="228"/>
      <c r="RIW4" s="226" t="s">
        <v>13330</v>
      </c>
      <c r="RIX4" s="227"/>
      <c r="RIY4" s="227"/>
      <c r="RIZ4" s="228"/>
      <c r="RJA4" s="226" t="s">
        <v>13330</v>
      </c>
      <c r="RJB4" s="227"/>
      <c r="RJC4" s="227"/>
      <c r="RJD4" s="228"/>
      <c r="RJE4" s="226" t="s">
        <v>13330</v>
      </c>
      <c r="RJF4" s="227"/>
      <c r="RJG4" s="227"/>
      <c r="RJH4" s="228"/>
      <c r="RJI4" s="226" t="s">
        <v>13330</v>
      </c>
      <c r="RJJ4" s="227"/>
      <c r="RJK4" s="227"/>
      <c r="RJL4" s="228"/>
      <c r="RJM4" s="226" t="s">
        <v>13330</v>
      </c>
      <c r="RJN4" s="227"/>
      <c r="RJO4" s="227"/>
      <c r="RJP4" s="228"/>
      <c r="RJQ4" s="226" t="s">
        <v>13330</v>
      </c>
      <c r="RJR4" s="227"/>
      <c r="RJS4" s="227"/>
      <c r="RJT4" s="228"/>
      <c r="RJU4" s="226" t="s">
        <v>13330</v>
      </c>
      <c r="RJV4" s="227"/>
      <c r="RJW4" s="227"/>
      <c r="RJX4" s="228"/>
      <c r="RJY4" s="226" t="s">
        <v>13330</v>
      </c>
      <c r="RJZ4" s="227"/>
      <c r="RKA4" s="227"/>
      <c r="RKB4" s="228"/>
      <c r="RKC4" s="226" t="s">
        <v>13330</v>
      </c>
      <c r="RKD4" s="227"/>
      <c r="RKE4" s="227"/>
      <c r="RKF4" s="228"/>
      <c r="RKG4" s="226" t="s">
        <v>13330</v>
      </c>
      <c r="RKH4" s="227"/>
      <c r="RKI4" s="227"/>
      <c r="RKJ4" s="228"/>
      <c r="RKK4" s="226" t="s">
        <v>13330</v>
      </c>
      <c r="RKL4" s="227"/>
      <c r="RKM4" s="227"/>
      <c r="RKN4" s="228"/>
      <c r="RKO4" s="226" t="s">
        <v>13330</v>
      </c>
      <c r="RKP4" s="227"/>
      <c r="RKQ4" s="227"/>
      <c r="RKR4" s="228"/>
      <c r="RKS4" s="226" t="s">
        <v>13330</v>
      </c>
      <c r="RKT4" s="227"/>
      <c r="RKU4" s="227"/>
      <c r="RKV4" s="228"/>
      <c r="RKW4" s="226" t="s">
        <v>13330</v>
      </c>
      <c r="RKX4" s="227"/>
      <c r="RKY4" s="227"/>
      <c r="RKZ4" s="228"/>
      <c r="RLA4" s="226" t="s">
        <v>13330</v>
      </c>
      <c r="RLB4" s="227"/>
      <c r="RLC4" s="227"/>
      <c r="RLD4" s="228"/>
      <c r="RLE4" s="226" t="s">
        <v>13330</v>
      </c>
      <c r="RLF4" s="227"/>
      <c r="RLG4" s="227"/>
      <c r="RLH4" s="228"/>
      <c r="RLI4" s="226" t="s">
        <v>13330</v>
      </c>
      <c r="RLJ4" s="227"/>
      <c r="RLK4" s="227"/>
      <c r="RLL4" s="228"/>
      <c r="RLM4" s="226" t="s">
        <v>13330</v>
      </c>
      <c r="RLN4" s="227"/>
      <c r="RLO4" s="227"/>
      <c r="RLP4" s="228"/>
      <c r="RLQ4" s="226" t="s">
        <v>13330</v>
      </c>
      <c r="RLR4" s="227"/>
      <c r="RLS4" s="227"/>
      <c r="RLT4" s="228"/>
      <c r="RLU4" s="226" t="s">
        <v>13330</v>
      </c>
      <c r="RLV4" s="227"/>
      <c r="RLW4" s="227"/>
      <c r="RLX4" s="228"/>
      <c r="RLY4" s="226" t="s">
        <v>13330</v>
      </c>
      <c r="RLZ4" s="227"/>
      <c r="RMA4" s="227"/>
      <c r="RMB4" s="228"/>
      <c r="RMC4" s="226" t="s">
        <v>13330</v>
      </c>
      <c r="RMD4" s="227"/>
      <c r="RME4" s="227"/>
      <c r="RMF4" s="228"/>
      <c r="RMG4" s="226" t="s">
        <v>13330</v>
      </c>
      <c r="RMH4" s="227"/>
      <c r="RMI4" s="227"/>
      <c r="RMJ4" s="228"/>
      <c r="RMK4" s="226" t="s">
        <v>13330</v>
      </c>
      <c r="RML4" s="227"/>
      <c r="RMM4" s="227"/>
      <c r="RMN4" s="228"/>
      <c r="RMO4" s="226" t="s">
        <v>13330</v>
      </c>
      <c r="RMP4" s="227"/>
      <c r="RMQ4" s="227"/>
      <c r="RMR4" s="228"/>
      <c r="RMS4" s="226" t="s">
        <v>13330</v>
      </c>
      <c r="RMT4" s="227"/>
      <c r="RMU4" s="227"/>
      <c r="RMV4" s="228"/>
      <c r="RMW4" s="226" t="s">
        <v>13330</v>
      </c>
      <c r="RMX4" s="227"/>
      <c r="RMY4" s="227"/>
      <c r="RMZ4" s="228"/>
      <c r="RNA4" s="226" t="s">
        <v>13330</v>
      </c>
      <c r="RNB4" s="227"/>
      <c r="RNC4" s="227"/>
      <c r="RND4" s="228"/>
      <c r="RNE4" s="226" t="s">
        <v>13330</v>
      </c>
      <c r="RNF4" s="227"/>
      <c r="RNG4" s="227"/>
      <c r="RNH4" s="228"/>
      <c r="RNI4" s="226" t="s">
        <v>13330</v>
      </c>
      <c r="RNJ4" s="227"/>
      <c r="RNK4" s="227"/>
      <c r="RNL4" s="228"/>
      <c r="RNM4" s="226" t="s">
        <v>13330</v>
      </c>
      <c r="RNN4" s="227"/>
      <c r="RNO4" s="227"/>
      <c r="RNP4" s="228"/>
      <c r="RNQ4" s="226" t="s">
        <v>13330</v>
      </c>
      <c r="RNR4" s="227"/>
      <c r="RNS4" s="227"/>
      <c r="RNT4" s="228"/>
      <c r="RNU4" s="226" t="s">
        <v>13330</v>
      </c>
      <c r="RNV4" s="227"/>
      <c r="RNW4" s="227"/>
      <c r="RNX4" s="228"/>
      <c r="RNY4" s="226" t="s">
        <v>13330</v>
      </c>
      <c r="RNZ4" s="227"/>
      <c r="ROA4" s="227"/>
      <c r="ROB4" s="228"/>
      <c r="ROC4" s="226" t="s">
        <v>13330</v>
      </c>
      <c r="ROD4" s="227"/>
      <c r="ROE4" s="227"/>
      <c r="ROF4" s="228"/>
      <c r="ROG4" s="226" t="s">
        <v>13330</v>
      </c>
      <c r="ROH4" s="227"/>
      <c r="ROI4" s="227"/>
      <c r="ROJ4" s="228"/>
      <c r="ROK4" s="226" t="s">
        <v>13330</v>
      </c>
      <c r="ROL4" s="227"/>
      <c r="ROM4" s="227"/>
      <c r="RON4" s="228"/>
      <c r="ROO4" s="226" t="s">
        <v>13330</v>
      </c>
      <c r="ROP4" s="227"/>
      <c r="ROQ4" s="227"/>
      <c r="ROR4" s="228"/>
      <c r="ROS4" s="226" t="s">
        <v>13330</v>
      </c>
      <c r="ROT4" s="227"/>
      <c r="ROU4" s="227"/>
      <c r="ROV4" s="228"/>
      <c r="ROW4" s="226" t="s">
        <v>13330</v>
      </c>
      <c r="ROX4" s="227"/>
      <c r="ROY4" s="227"/>
      <c r="ROZ4" s="228"/>
      <c r="RPA4" s="226" t="s">
        <v>13330</v>
      </c>
      <c r="RPB4" s="227"/>
      <c r="RPC4" s="227"/>
      <c r="RPD4" s="228"/>
      <c r="RPE4" s="226" t="s">
        <v>13330</v>
      </c>
      <c r="RPF4" s="227"/>
      <c r="RPG4" s="227"/>
      <c r="RPH4" s="228"/>
      <c r="RPI4" s="226" t="s">
        <v>13330</v>
      </c>
      <c r="RPJ4" s="227"/>
      <c r="RPK4" s="227"/>
      <c r="RPL4" s="228"/>
      <c r="RPM4" s="226" t="s">
        <v>13330</v>
      </c>
      <c r="RPN4" s="227"/>
      <c r="RPO4" s="227"/>
      <c r="RPP4" s="228"/>
      <c r="RPQ4" s="226" t="s">
        <v>13330</v>
      </c>
      <c r="RPR4" s="227"/>
      <c r="RPS4" s="227"/>
      <c r="RPT4" s="228"/>
      <c r="RPU4" s="226" t="s">
        <v>13330</v>
      </c>
      <c r="RPV4" s="227"/>
      <c r="RPW4" s="227"/>
      <c r="RPX4" s="228"/>
      <c r="RPY4" s="226" t="s">
        <v>13330</v>
      </c>
      <c r="RPZ4" s="227"/>
      <c r="RQA4" s="227"/>
      <c r="RQB4" s="228"/>
      <c r="RQC4" s="226" t="s">
        <v>13330</v>
      </c>
      <c r="RQD4" s="227"/>
      <c r="RQE4" s="227"/>
      <c r="RQF4" s="228"/>
      <c r="RQG4" s="226" t="s">
        <v>13330</v>
      </c>
      <c r="RQH4" s="227"/>
      <c r="RQI4" s="227"/>
      <c r="RQJ4" s="228"/>
      <c r="RQK4" s="226" t="s">
        <v>13330</v>
      </c>
      <c r="RQL4" s="227"/>
      <c r="RQM4" s="227"/>
      <c r="RQN4" s="228"/>
      <c r="RQO4" s="226" t="s">
        <v>13330</v>
      </c>
      <c r="RQP4" s="227"/>
      <c r="RQQ4" s="227"/>
      <c r="RQR4" s="228"/>
      <c r="RQS4" s="226" t="s">
        <v>13330</v>
      </c>
      <c r="RQT4" s="227"/>
      <c r="RQU4" s="227"/>
      <c r="RQV4" s="228"/>
      <c r="RQW4" s="226" t="s">
        <v>13330</v>
      </c>
      <c r="RQX4" s="227"/>
      <c r="RQY4" s="227"/>
      <c r="RQZ4" s="228"/>
      <c r="RRA4" s="226" t="s">
        <v>13330</v>
      </c>
      <c r="RRB4" s="227"/>
      <c r="RRC4" s="227"/>
      <c r="RRD4" s="228"/>
      <c r="RRE4" s="226" t="s">
        <v>13330</v>
      </c>
      <c r="RRF4" s="227"/>
      <c r="RRG4" s="227"/>
      <c r="RRH4" s="228"/>
      <c r="RRI4" s="226" t="s">
        <v>13330</v>
      </c>
      <c r="RRJ4" s="227"/>
      <c r="RRK4" s="227"/>
      <c r="RRL4" s="228"/>
      <c r="RRM4" s="226" t="s">
        <v>13330</v>
      </c>
      <c r="RRN4" s="227"/>
      <c r="RRO4" s="227"/>
      <c r="RRP4" s="228"/>
      <c r="RRQ4" s="226" t="s">
        <v>13330</v>
      </c>
      <c r="RRR4" s="227"/>
      <c r="RRS4" s="227"/>
      <c r="RRT4" s="228"/>
      <c r="RRU4" s="226" t="s">
        <v>13330</v>
      </c>
      <c r="RRV4" s="227"/>
      <c r="RRW4" s="227"/>
      <c r="RRX4" s="228"/>
      <c r="RRY4" s="226" t="s">
        <v>13330</v>
      </c>
      <c r="RRZ4" s="227"/>
      <c r="RSA4" s="227"/>
      <c r="RSB4" s="228"/>
      <c r="RSC4" s="226" t="s">
        <v>13330</v>
      </c>
      <c r="RSD4" s="227"/>
      <c r="RSE4" s="227"/>
      <c r="RSF4" s="228"/>
      <c r="RSG4" s="226" t="s">
        <v>13330</v>
      </c>
      <c r="RSH4" s="227"/>
      <c r="RSI4" s="227"/>
      <c r="RSJ4" s="228"/>
      <c r="RSK4" s="226" t="s">
        <v>13330</v>
      </c>
      <c r="RSL4" s="227"/>
      <c r="RSM4" s="227"/>
      <c r="RSN4" s="228"/>
      <c r="RSO4" s="226" t="s">
        <v>13330</v>
      </c>
      <c r="RSP4" s="227"/>
      <c r="RSQ4" s="227"/>
      <c r="RSR4" s="228"/>
      <c r="RSS4" s="226" t="s">
        <v>13330</v>
      </c>
      <c r="RST4" s="227"/>
      <c r="RSU4" s="227"/>
      <c r="RSV4" s="228"/>
      <c r="RSW4" s="226" t="s">
        <v>13330</v>
      </c>
      <c r="RSX4" s="227"/>
      <c r="RSY4" s="227"/>
      <c r="RSZ4" s="228"/>
      <c r="RTA4" s="226" t="s">
        <v>13330</v>
      </c>
      <c r="RTB4" s="227"/>
      <c r="RTC4" s="227"/>
      <c r="RTD4" s="228"/>
      <c r="RTE4" s="226" t="s">
        <v>13330</v>
      </c>
      <c r="RTF4" s="227"/>
      <c r="RTG4" s="227"/>
      <c r="RTH4" s="228"/>
      <c r="RTI4" s="226" t="s">
        <v>13330</v>
      </c>
      <c r="RTJ4" s="227"/>
      <c r="RTK4" s="227"/>
      <c r="RTL4" s="228"/>
      <c r="RTM4" s="226" t="s">
        <v>13330</v>
      </c>
      <c r="RTN4" s="227"/>
      <c r="RTO4" s="227"/>
      <c r="RTP4" s="228"/>
      <c r="RTQ4" s="226" t="s">
        <v>13330</v>
      </c>
      <c r="RTR4" s="227"/>
      <c r="RTS4" s="227"/>
      <c r="RTT4" s="228"/>
      <c r="RTU4" s="226" t="s">
        <v>13330</v>
      </c>
      <c r="RTV4" s="227"/>
      <c r="RTW4" s="227"/>
      <c r="RTX4" s="228"/>
      <c r="RTY4" s="226" t="s">
        <v>13330</v>
      </c>
      <c r="RTZ4" s="227"/>
      <c r="RUA4" s="227"/>
      <c r="RUB4" s="228"/>
      <c r="RUC4" s="226" t="s">
        <v>13330</v>
      </c>
      <c r="RUD4" s="227"/>
      <c r="RUE4" s="227"/>
      <c r="RUF4" s="228"/>
      <c r="RUG4" s="226" t="s">
        <v>13330</v>
      </c>
      <c r="RUH4" s="227"/>
      <c r="RUI4" s="227"/>
      <c r="RUJ4" s="228"/>
      <c r="RUK4" s="226" t="s">
        <v>13330</v>
      </c>
      <c r="RUL4" s="227"/>
      <c r="RUM4" s="227"/>
      <c r="RUN4" s="228"/>
      <c r="RUO4" s="226" t="s">
        <v>13330</v>
      </c>
      <c r="RUP4" s="227"/>
      <c r="RUQ4" s="227"/>
      <c r="RUR4" s="228"/>
      <c r="RUS4" s="226" t="s">
        <v>13330</v>
      </c>
      <c r="RUT4" s="227"/>
      <c r="RUU4" s="227"/>
      <c r="RUV4" s="228"/>
      <c r="RUW4" s="226" t="s">
        <v>13330</v>
      </c>
      <c r="RUX4" s="227"/>
      <c r="RUY4" s="227"/>
      <c r="RUZ4" s="228"/>
      <c r="RVA4" s="226" t="s">
        <v>13330</v>
      </c>
      <c r="RVB4" s="227"/>
      <c r="RVC4" s="227"/>
      <c r="RVD4" s="228"/>
      <c r="RVE4" s="226" t="s">
        <v>13330</v>
      </c>
      <c r="RVF4" s="227"/>
      <c r="RVG4" s="227"/>
      <c r="RVH4" s="228"/>
      <c r="RVI4" s="226" t="s">
        <v>13330</v>
      </c>
      <c r="RVJ4" s="227"/>
      <c r="RVK4" s="227"/>
      <c r="RVL4" s="228"/>
      <c r="RVM4" s="226" t="s">
        <v>13330</v>
      </c>
      <c r="RVN4" s="227"/>
      <c r="RVO4" s="227"/>
      <c r="RVP4" s="228"/>
      <c r="RVQ4" s="226" t="s">
        <v>13330</v>
      </c>
      <c r="RVR4" s="227"/>
      <c r="RVS4" s="227"/>
      <c r="RVT4" s="228"/>
      <c r="RVU4" s="226" t="s">
        <v>13330</v>
      </c>
      <c r="RVV4" s="227"/>
      <c r="RVW4" s="227"/>
      <c r="RVX4" s="228"/>
      <c r="RVY4" s="226" t="s">
        <v>13330</v>
      </c>
      <c r="RVZ4" s="227"/>
      <c r="RWA4" s="227"/>
      <c r="RWB4" s="228"/>
      <c r="RWC4" s="226" t="s">
        <v>13330</v>
      </c>
      <c r="RWD4" s="227"/>
      <c r="RWE4" s="227"/>
      <c r="RWF4" s="228"/>
      <c r="RWG4" s="226" t="s">
        <v>13330</v>
      </c>
      <c r="RWH4" s="227"/>
      <c r="RWI4" s="227"/>
      <c r="RWJ4" s="228"/>
      <c r="RWK4" s="226" t="s">
        <v>13330</v>
      </c>
      <c r="RWL4" s="227"/>
      <c r="RWM4" s="227"/>
      <c r="RWN4" s="228"/>
      <c r="RWO4" s="226" t="s">
        <v>13330</v>
      </c>
      <c r="RWP4" s="227"/>
      <c r="RWQ4" s="227"/>
      <c r="RWR4" s="228"/>
      <c r="RWS4" s="226" t="s">
        <v>13330</v>
      </c>
      <c r="RWT4" s="227"/>
      <c r="RWU4" s="227"/>
      <c r="RWV4" s="228"/>
      <c r="RWW4" s="226" t="s">
        <v>13330</v>
      </c>
      <c r="RWX4" s="227"/>
      <c r="RWY4" s="227"/>
      <c r="RWZ4" s="228"/>
      <c r="RXA4" s="226" t="s">
        <v>13330</v>
      </c>
      <c r="RXB4" s="227"/>
      <c r="RXC4" s="227"/>
      <c r="RXD4" s="228"/>
      <c r="RXE4" s="226" t="s">
        <v>13330</v>
      </c>
      <c r="RXF4" s="227"/>
      <c r="RXG4" s="227"/>
      <c r="RXH4" s="228"/>
      <c r="RXI4" s="226" t="s">
        <v>13330</v>
      </c>
      <c r="RXJ4" s="227"/>
      <c r="RXK4" s="227"/>
      <c r="RXL4" s="228"/>
      <c r="RXM4" s="226" t="s">
        <v>13330</v>
      </c>
      <c r="RXN4" s="227"/>
      <c r="RXO4" s="227"/>
      <c r="RXP4" s="228"/>
      <c r="RXQ4" s="226" t="s">
        <v>13330</v>
      </c>
      <c r="RXR4" s="227"/>
      <c r="RXS4" s="227"/>
      <c r="RXT4" s="228"/>
      <c r="RXU4" s="226" t="s">
        <v>13330</v>
      </c>
      <c r="RXV4" s="227"/>
      <c r="RXW4" s="227"/>
      <c r="RXX4" s="228"/>
      <c r="RXY4" s="226" t="s">
        <v>13330</v>
      </c>
      <c r="RXZ4" s="227"/>
      <c r="RYA4" s="227"/>
      <c r="RYB4" s="228"/>
      <c r="RYC4" s="226" t="s">
        <v>13330</v>
      </c>
      <c r="RYD4" s="227"/>
      <c r="RYE4" s="227"/>
      <c r="RYF4" s="228"/>
      <c r="RYG4" s="226" t="s">
        <v>13330</v>
      </c>
      <c r="RYH4" s="227"/>
      <c r="RYI4" s="227"/>
      <c r="RYJ4" s="228"/>
      <c r="RYK4" s="226" t="s">
        <v>13330</v>
      </c>
      <c r="RYL4" s="227"/>
      <c r="RYM4" s="227"/>
      <c r="RYN4" s="228"/>
      <c r="RYO4" s="226" t="s">
        <v>13330</v>
      </c>
      <c r="RYP4" s="227"/>
      <c r="RYQ4" s="227"/>
      <c r="RYR4" s="228"/>
      <c r="RYS4" s="226" t="s">
        <v>13330</v>
      </c>
      <c r="RYT4" s="227"/>
      <c r="RYU4" s="227"/>
      <c r="RYV4" s="228"/>
      <c r="RYW4" s="226" t="s">
        <v>13330</v>
      </c>
      <c r="RYX4" s="227"/>
      <c r="RYY4" s="227"/>
      <c r="RYZ4" s="228"/>
      <c r="RZA4" s="226" t="s">
        <v>13330</v>
      </c>
      <c r="RZB4" s="227"/>
      <c r="RZC4" s="227"/>
      <c r="RZD4" s="228"/>
      <c r="RZE4" s="226" t="s">
        <v>13330</v>
      </c>
      <c r="RZF4" s="227"/>
      <c r="RZG4" s="227"/>
      <c r="RZH4" s="228"/>
      <c r="RZI4" s="226" t="s">
        <v>13330</v>
      </c>
      <c r="RZJ4" s="227"/>
      <c r="RZK4" s="227"/>
      <c r="RZL4" s="228"/>
      <c r="RZM4" s="226" t="s">
        <v>13330</v>
      </c>
      <c r="RZN4" s="227"/>
      <c r="RZO4" s="227"/>
      <c r="RZP4" s="228"/>
      <c r="RZQ4" s="226" t="s">
        <v>13330</v>
      </c>
      <c r="RZR4" s="227"/>
      <c r="RZS4" s="227"/>
      <c r="RZT4" s="228"/>
      <c r="RZU4" s="226" t="s">
        <v>13330</v>
      </c>
      <c r="RZV4" s="227"/>
      <c r="RZW4" s="227"/>
      <c r="RZX4" s="228"/>
      <c r="RZY4" s="226" t="s">
        <v>13330</v>
      </c>
      <c r="RZZ4" s="227"/>
      <c r="SAA4" s="227"/>
      <c r="SAB4" s="228"/>
      <c r="SAC4" s="226" t="s">
        <v>13330</v>
      </c>
      <c r="SAD4" s="227"/>
      <c r="SAE4" s="227"/>
      <c r="SAF4" s="228"/>
      <c r="SAG4" s="226" t="s">
        <v>13330</v>
      </c>
      <c r="SAH4" s="227"/>
      <c r="SAI4" s="227"/>
      <c r="SAJ4" s="228"/>
      <c r="SAK4" s="226" t="s">
        <v>13330</v>
      </c>
      <c r="SAL4" s="227"/>
      <c r="SAM4" s="227"/>
      <c r="SAN4" s="228"/>
      <c r="SAO4" s="226" t="s">
        <v>13330</v>
      </c>
      <c r="SAP4" s="227"/>
      <c r="SAQ4" s="227"/>
      <c r="SAR4" s="228"/>
      <c r="SAS4" s="226" t="s">
        <v>13330</v>
      </c>
      <c r="SAT4" s="227"/>
      <c r="SAU4" s="227"/>
      <c r="SAV4" s="228"/>
      <c r="SAW4" s="226" t="s">
        <v>13330</v>
      </c>
      <c r="SAX4" s="227"/>
      <c r="SAY4" s="227"/>
      <c r="SAZ4" s="228"/>
      <c r="SBA4" s="226" t="s">
        <v>13330</v>
      </c>
      <c r="SBB4" s="227"/>
      <c r="SBC4" s="227"/>
      <c r="SBD4" s="228"/>
      <c r="SBE4" s="226" t="s">
        <v>13330</v>
      </c>
      <c r="SBF4" s="227"/>
      <c r="SBG4" s="227"/>
      <c r="SBH4" s="228"/>
      <c r="SBI4" s="226" t="s">
        <v>13330</v>
      </c>
      <c r="SBJ4" s="227"/>
      <c r="SBK4" s="227"/>
      <c r="SBL4" s="228"/>
      <c r="SBM4" s="226" t="s">
        <v>13330</v>
      </c>
      <c r="SBN4" s="227"/>
      <c r="SBO4" s="227"/>
      <c r="SBP4" s="228"/>
      <c r="SBQ4" s="226" t="s">
        <v>13330</v>
      </c>
      <c r="SBR4" s="227"/>
      <c r="SBS4" s="227"/>
      <c r="SBT4" s="228"/>
      <c r="SBU4" s="226" t="s">
        <v>13330</v>
      </c>
      <c r="SBV4" s="227"/>
      <c r="SBW4" s="227"/>
      <c r="SBX4" s="228"/>
      <c r="SBY4" s="226" t="s">
        <v>13330</v>
      </c>
      <c r="SBZ4" s="227"/>
      <c r="SCA4" s="227"/>
      <c r="SCB4" s="228"/>
      <c r="SCC4" s="226" t="s">
        <v>13330</v>
      </c>
      <c r="SCD4" s="227"/>
      <c r="SCE4" s="227"/>
      <c r="SCF4" s="228"/>
      <c r="SCG4" s="226" t="s">
        <v>13330</v>
      </c>
      <c r="SCH4" s="227"/>
      <c r="SCI4" s="227"/>
      <c r="SCJ4" s="228"/>
      <c r="SCK4" s="226" t="s">
        <v>13330</v>
      </c>
      <c r="SCL4" s="227"/>
      <c r="SCM4" s="227"/>
      <c r="SCN4" s="228"/>
      <c r="SCO4" s="226" t="s">
        <v>13330</v>
      </c>
      <c r="SCP4" s="227"/>
      <c r="SCQ4" s="227"/>
      <c r="SCR4" s="228"/>
      <c r="SCS4" s="226" t="s">
        <v>13330</v>
      </c>
      <c r="SCT4" s="227"/>
      <c r="SCU4" s="227"/>
      <c r="SCV4" s="228"/>
      <c r="SCW4" s="226" t="s">
        <v>13330</v>
      </c>
      <c r="SCX4" s="227"/>
      <c r="SCY4" s="227"/>
      <c r="SCZ4" s="228"/>
      <c r="SDA4" s="226" t="s">
        <v>13330</v>
      </c>
      <c r="SDB4" s="227"/>
      <c r="SDC4" s="227"/>
      <c r="SDD4" s="228"/>
      <c r="SDE4" s="226" t="s">
        <v>13330</v>
      </c>
      <c r="SDF4" s="227"/>
      <c r="SDG4" s="227"/>
      <c r="SDH4" s="228"/>
      <c r="SDI4" s="226" t="s">
        <v>13330</v>
      </c>
      <c r="SDJ4" s="227"/>
      <c r="SDK4" s="227"/>
      <c r="SDL4" s="228"/>
      <c r="SDM4" s="226" t="s">
        <v>13330</v>
      </c>
      <c r="SDN4" s="227"/>
      <c r="SDO4" s="227"/>
      <c r="SDP4" s="228"/>
      <c r="SDQ4" s="226" t="s">
        <v>13330</v>
      </c>
      <c r="SDR4" s="227"/>
      <c r="SDS4" s="227"/>
      <c r="SDT4" s="228"/>
      <c r="SDU4" s="226" t="s">
        <v>13330</v>
      </c>
      <c r="SDV4" s="227"/>
      <c r="SDW4" s="227"/>
      <c r="SDX4" s="228"/>
      <c r="SDY4" s="226" t="s">
        <v>13330</v>
      </c>
      <c r="SDZ4" s="227"/>
      <c r="SEA4" s="227"/>
      <c r="SEB4" s="228"/>
      <c r="SEC4" s="226" t="s">
        <v>13330</v>
      </c>
      <c r="SED4" s="227"/>
      <c r="SEE4" s="227"/>
      <c r="SEF4" s="228"/>
      <c r="SEG4" s="226" t="s">
        <v>13330</v>
      </c>
      <c r="SEH4" s="227"/>
      <c r="SEI4" s="227"/>
      <c r="SEJ4" s="228"/>
      <c r="SEK4" s="226" t="s">
        <v>13330</v>
      </c>
      <c r="SEL4" s="227"/>
      <c r="SEM4" s="227"/>
      <c r="SEN4" s="228"/>
      <c r="SEO4" s="226" t="s">
        <v>13330</v>
      </c>
      <c r="SEP4" s="227"/>
      <c r="SEQ4" s="227"/>
      <c r="SER4" s="228"/>
      <c r="SES4" s="226" t="s">
        <v>13330</v>
      </c>
      <c r="SET4" s="227"/>
      <c r="SEU4" s="227"/>
      <c r="SEV4" s="228"/>
      <c r="SEW4" s="226" t="s">
        <v>13330</v>
      </c>
      <c r="SEX4" s="227"/>
      <c r="SEY4" s="227"/>
      <c r="SEZ4" s="228"/>
      <c r="SFA4" s="226" t="s">
        <v>13330</v>
      </c>
      <c r="SFB4" s="227"/>
      <c r="SFC4" s="227"/>
      <c r="SFD4" s="228"/>
      <c r="SFE4" s="226" t="s">
        <v>13330</v>
      </c>
      <c r="SFF4" s="227"/>
      <c r="SFG4" s="227"/>
      <c r="SFH4" s="228"/>
      <c r="SFI4" s="226" t="s">
        <v>13330</v>
      </c>
      <c r="SFJ4" s="227"/>
      <c r="SFK4" s="227"/>
      <c r="SFL4" s="228"/>
      <c r="SFM4" s="226" t="s">
        <v>13330</v>
      </c>
      <c r="SFN4" s="227"/>
      <c r="SFO4" s="227"/>
      <c r="SFP4" s="228"/>
      <c r="SFQ4" s="226" t="s">
        <v>13330</v>
      </c>
      <c r="SFR4" s="227"/>
      <c r="SFS4" s="227"/>
      <c r="SFT4" s="228"/>
      <c r="SFU4" s="226" t="s">
        <v>13330</v>
      </c>
      <c r="SFV4" s="227"/>
      <c r="SFW4" s="227"/>
      <c r="SFX4" s="228"/>
      <c r="SFY4" s="226" t="s">
        <v>13330</v>
      </c>
      <c r="SFZ4" s="227"/>
      <c r="SGA4" s="227"/>
      <c r="SGB4" s="228"/>
      <c r="SGC4" s="226" t="s">
        <v>13330</v>
      </c>
      <c r="SGD4" s="227"/>
      <c r="SGE4" s="227"/>
      <c r="SGF4" s="228"/>
      <c r="SGG4" s="226" t="s">
        <v>13330</v>
      </c>
      <c r="SGH4" s="227"/>
      <c r="SGI4" s="227"/>
      <c r="SGJ4" s="228"/>
      <c r="SGK4" s="226" t="s">
        <v>13330</v>
      </c>
      <c r="SGL4" s="227"/>
      <c r="SGM4" s="227"/>
      <c r="SGN4" s="228"/>
      <c r="SGO4" s="226" t="s">
        <v>13330</v>
      </c>
      <c r="SGP4" s="227"/>
      <c r="SGQ4" s="227"/>
      <c r="SGR4" s="228"/>
      <c r="SGS4" s="226" t="s">
        <v>13330</v>
      </c>
      <c r="SGT4" s="227"/>
      <c r="SGU4" s="227"/>
      <c r="SGV4" s="228"/>
      <c r="SGW4" s="226" t="s">
        <v>13330</v>
      </c>
      <c r="SGX4" s="227"/>
      <c r="SGY4" s="227"/>
      <c r="SGZ4" s="228"/>
      <c r="SHA4" s="226" t="s">
        <v>13330</v>
      </c>
      <c r="SHB4" s="227"/>
      <c r="SHC4" s="227"/>
      <c r="SHD4" s="228"/>
      <c r="SHE4" s="226" t="s">
        <v>13330</v>
      </c>
      <c r="SHF4" s="227"/>
      <c r="SHG4" s="227"/>
      <c r="SHH4" s="228"/>
      <c r="SHI4" s="226" t="s">
        <v>13330</v>
      </c>
      <c r="SHJ4" s="227"/>
      <c r="SHK4" s="227"/>
      <c r="SHL4" s="228"/>
      <c r="SHM4" s="226" t="s">
        <v>13330</v>
      </c>
      <c r="SHN4" s="227"/>
      <c r="SHO4" s="227"/>
      <c r="SHP4" s="228"/>
      <c r="SHQ4" s="226" t="s">
        <v>13330</v>
      </c>
      <c r="SHR4" s="227"/>
      <c r="SHS4" s="227"/>
      <c r="SHT4" s="228"/>
      <c r="SHU4" s="226" t="s">
        <v>13330</v>
      </c>
      <c r="SHV4" s="227"/>
      <c r="SHW4" s="227"/>
      <c r="SHX4" s="228"/>
      <c r="SHY4" s="226" t="s">
        <v>13330</v>
      </c>
      <c r="SHZ4" s="227"/>
      <c r="SIA4" s="227"/>
      <c r="SIB4" s="228"/>
      <c r="SIC4" s="226" t="s">
        <v>13330</v>
      </c>
      <c r="SID4" s="227"/>
      <c r="SIE4" s="227"/>
      <c r="SIF4" s="228"/>
      <c r="SIG4" s="226" t="s">
        <v>13330</v>
      </c>
      <c r="SIH4" s="227"/>
      <c r="SII4" s="227"/>
      <c r="SIJ4" s="228"/>
      <c r="SIK4" s="226" t="s">
        <v>13330</v>
      </c>
      <c r="SIL4" s="227"/>
      <c r="SIM4" s="227"/>
      <c r="SIN4" s="228"/>
      <c r="SIO4" s="226" t="s">
        <v>13330</v>
      </c>
      <c r="SIP4" s="227"/>
      <c r="SIQ4" s="227"/>
      <c r="SIR4" s="228"/>
      <c r="SIS4" s="226" t="s">
        <v>13330</v>
      </c>
      <c r="SIT4" s="227"/>
      <c r="SIU4" s="227"/>
      <c r="SIV4" s="228"/>
      <c r="SIW4" s="226" t="s">
        <v>13330</v>
      </c>
      <c r="SIX4" s="227"/>
      <c r="SIY4" s="227"/>
      <c r="SIZ4" s="228"/>
      <c r="SJA4" s="226" t="s">
        <v>13330</v>
      </c>
      <c r="SJB4" s="227"/>
      <c r="SJC4" s="227"/>
      <c r="SJD4" s="228"/>
      <c r="SJE4" s="226" t="s">
        <v>13330</v>
      </c>
      <c r="SJF4" s="227"/>
      <c r="SJG4" s="227"/>
      <c r="SJH4" s="228"/>
      <c r="SJI4" s="226" t="s">
        <v>13330</v>
      </c>
      <c r="SJJ4" s="227"/>
      <c r="SJK4" s="227"/>
      <c r="SJL4" s="228"/>
      <c r="SJM4" s="226" t="s">
        <v>13330</v>
      </c>
      <c r="SJN4" s="227"/>
      <c r="SJO4" s="227"/>
      <c r="SJP4" s="228"/>
      <c r="SJQ4" s="226" t="s">
        <v>13330</v>
      </c>
      <c r="SJR4" s="227"/>
      <c r="SJS4" s="227"/>
      <c r="SJT4" s="228"/>
      <c r="SJU4" s="226" t="s">
        <v>13330</v>
      </c>
      <c r="SJV4" s="227"/>
      <c r="SJW4" s="227"/>
      <c r="SJX4" s="228"/>
      <c r="SJY4" s="226" t="s">
        <v>13330</v>
      </c>
      <c r="SJZ4" s="227"/>
      <c r="SKA4" s="227"/>
      <c r="SKB4" s="228"/>
      <c r="SKC4" s="226" t="s">
        <v>13330</v>
      </c>
      <c r="SKD4" s="227"/>
      <c r="SKE4" s="227"/>
      <c r="SKF4" s="228"/>
      <c r="SKG4" s="226" t="s">
        <v>13330</v>
      </c>
      <c r="SKH4" s="227"/>
      <c r="SKI4" s="227"/>
      <c r="SKJ4" s="228"/>
      <c r="SKK4" s="226" t="s">
        <v>13330</v>
      </c>
      <c r="SKL4" s="227"/>
      <c r="SKM4" s="227"/>
      <c r="SKN4" s="228"/>
      <c r="SKO4" s="226" t="s">
        <v>13330</v>
      </c>
      <c r="SKP4" s="227"/>
      <c r="SKQ4" s="227"/>
      <c r="SKR4" s="228"/>
      <c r="SKS4" s="226" t="s">
        <v>13330</v>
      </c>
      <c r="SKT4" s="227"/>
      <c r="SKU4" s="227"/>
      <c r="SKV4" s="228"/>
      <c r="SKW4" s="226" t="s">
        <v>13330</v>
      </c>
      <c r="SKX4" s="227"/>
      <c r="SKY4" s="227"/>
      <c r="SKZ4" s="228"/>
      <c r="SLA4" s="226" t="s">
        <v>13330</v>
      </c>
      <c r="SLB4" s="227"/>
      <c r="SLC4" s="227"/>
      <c r="SLD4" s="228"/>
      <c r="SLE4" s="226" t="s">
        <v>13330</v>
      </c>
      <c r="SLF4" s="227"/>
      <c r="SLG4" s="227"/>
      <c r="SLH4" s="228"/>
      <c r="SLI4" s="226" t="s">
        <v>13330</v>
      </c>
      <c r="SLJ4" s="227"/>
      <c r="SLK4" s="227"/>
      <c r="SLL4" s="228"/>
      <c r="SLM4" s="226" t="s">
        <v>13330</v>
      </c>
      <c r="SLN4" s="227"/>
      <c r="SLO4" s="227"/>
      <c r="SLP4" s="228"/>
      <c r="SLQ4" s="226" t="s">
        <v>13330</v>
      </c>
      <c r="SLR4" s="227"/>
      <c r="SLS4" s="227"/>
      <c r="SLT4" s="228"/>
      <c r="SLU4" s="226" t="s">
        <v>13330</v>
      </c>
      <c r="SLV4" s="227"/>
      <c r="SLW4" s="227"/>
      <c r="SLX4" s="228"/>
      <c r="SLY4" s="226" t="s">
        <v>13330</v>
      </c>
      <c r="SLZ4" s="227"/>
      <c r="SMA4" s="227"/>
      <c r="SMB4" s="228"/>
      <c r="SMC4" s="226" t="s">
        <v>13330</v>
      </c>
      <c r="SMD4" s="227"/>
      <c r="SME4" s="227"/>
      <c r="SMF4" s="228"/>
      <c r="SMG4" s="226" t="s">
        <v>13330</v>
      </c>
      <c r="SMH4" s="227"/>
      <c r="SMI4" s="227"/>
      <c r="SMJ4" s="228"/>
      <c r="SMK4" s="226" t="s">
        <v>13330</v>
      </c>
      <c r="SML4" s="227"/>
      <c r="SMM4" s="227"/>
      <c r="SMN4" s="228"/>
      <c r="SMO4" s="226" t="s">
        <v>13330</v>
      </c>
      <c r="SMP4" s="227"/>
      <c r="SMQ4" s="227"/>
      <c r="SMR4" s="228"/>
      <c r="SMS4" s="226" t="s">
        <v>13330</v>
      </c>
      <c r="SMT4" s="227"/>
      <c r="SMU4" s="227"/>
      <c r="SMV4" s="228"/>
      <c r="SMW4" s="226" t="s">
        <v>13330</v>
      </c>
      <c r="SMX4" s="227"/>
      <c r="SMY4" s="227"/>
      <c r="SMZ4" s="228"/>
      <c r="SNA4" s="226" t="s">
        <v>13330</v>
      </c>
      <c r="SNB4" s="227"/>
      <c r="SNC4" s="227"/>
      <c r="SND4" s="228"/>
      <c r="SNE4" s="226" t="s">
        <v>13330</v>
      </c>
      <c r="SNF4" s="227"/>
      <c r="SNG4" s="227"/>
      <c r="SNH4" s="228"/>
      <c r="SNI4" s="226" t="s">
        <v>13330</v>
      </c>
      <c r="SNJ4" s="227"/>
      <c r="SNK4" s="227"/>
      <c r="SNL4" s="228"/>
      <c r="SNM4" s="226" t="s">
        <v>13330</v>
      </c>
      <c r="SNN4" s="227"/>
      <c r="SNO4" s="227"/>
      <c r="SNP4" s="228"/>
      <c r="SNQ4" s="226" t="s">
        <v>13330</v>
      </c>
      <c r="SNR4" s="227"/>
      <c r="SNS4" s="227"/>
      <c r="SNT4" s="228"/>
      <c r="SNU4" s="226" t="s">
        <v>13330</v>
      </c>
      <c r="SNV4" s="227"/>
      <c r="SNW4" s="227"/>
      <c r="SNX4" s="228"/>
      <c r="SNY4" s="226" t="s">
        <v>13330</v>
      </c>
      <c r="SNZ4" s="227"/>
      <c r="SOA4" s="227"/>
      <c r="SOB4" s="228"/>
      <c r="SOC4" s="226" t="s">
        <v>13330</v>
      </c>
      <c r="SOD4" s="227"/>
      <c r="SOE4" s="227"/>
      <c r="SOF4" s="228"/>
      <c r="SOG4" s="226" t="s">
        <v>13330</v>
      </c>
      <c r="SOH4" s="227"/>
      <c r="SOI4" s="227"/>
      <c r="SOJ4" s="228"/>
      <c r="SOK4" s="226" t="s">
        <v>13330</v>
      </c>
      <c r="SOL4" s="227"/>
      <c r="SOM4" s="227"/>
      <c r="SON4" s="228"/>
      <c r="SOO4" s="226" t="s">
        <v>13330</v>
      </c>
      <c r="SOP4" s="227"/>
      <c r="SOQ4" s="227"/>
      <c r="SOR4" s="228"/>
      <c r="SOS4" s="226" t="s">
        <v>13330</v>
      </c>
      <c r="SOT4" s="227"/>
      <c r="SOU4" s="227"/>
      <c r="SOV4" s="228"/>
      <c r="SOW4" s="226" t="s">
        <v>13330</v>
      </c>
      <c r="SOX4" s="227"/>
      <c r="SOY4" s="227"/>
      <c r="SOZ4" s="228"/>
      <c r="SPA4" s="226" t="s">
        <v>13330</v>
      </c>
      <c r="SPB4" s="227"/>
      <c r="SPC4" s="227"/>
      <c r="SPD4" s="228"/>
      <c r="SPE4" s="226" t="s">
        <v>13330</v>
      </c>
      <c r="SPF4" s="227"/>
      <c r="SPG4" s="227"/>
      <c r="SPH4" s="228"/>
      <c r="SPI4" s="226" t="s">
        <v>13330</v>
      </c>
      <c r="SPJ4" s="227"/>
      <c r="SPK4" s="227"/>
      <c r="SPL4" s="228"/>
      <c r="SPM4" s="226" t="s">
        <v>13330</v>
      </c>
      <c r="SPN4" s="227"/>
      <c r="SPO4" s="227"/>
      <c r="SPP4" s="228"/>
      <c r="SPQ4" s="226" t="s">
        <v>13330</v>
      </c>
      <c r="SPR4" s="227"/>
      <c r="SPS4" s="227"/>
      <c r="SPT4" s="228"/>
      <c r="SPU4" s="226" t="s">
        <v>13330</v>
      </c>
      <c r="SPV4" s="227"/>
      <c r="SPW4" s="227"/>
      <c r="SPX4" s="228"/>
      <c r="SPY4" s="226" t="s">
        <v>13330</v>
      </c>
      <c r="SPZ4" s="227"/>
      <c r="SQA4" s="227"/>
      <c r="SQB4" s="228"/>
      <c r="SQC4" s="226" t="s">
        <v>13330</v>
      </c>
      <c r="SQD4" s="227"/>
      <c r="SQE4" s="227"/>
      <c r="SQF4" s="228"/>
      <c r="SQG4" s="226" t="s">
        <v>13330</v>
      </c>
      <c r="SQH4" s="227"/>
      <c r="SQI4" s="227"/>
      <c r="SQJ4" s="228"/>
      <c r="SQK4" s="226" t="s">
        <v>13330</v>
      </c>
      <c r="SQL4" s="227"/>
      <c r="SQM4" s="227"/>
      <c r="SQN4" s="228"/>
      <c r="SQO4" s="226" t="s">
        <v>13330</v>
      </c>
      <c r="SQP4" s="227"/>
      <c r="SQQ4" s="227"/>
      <c r="SQR4" s="228"/>
      <c r="SQS4" s="226" t="s">
        <v>13330</v>
      </c>
      <c r="SQT4" s="227"/>
      <c r="SQU4" s="227"/>
      <c r="SQV4" s="228"/>
      <c r="SQW4" s="226" t="s">
        <v>13330</v>
      </c>
      <c r="SQX4" s="227"/>
      <c r="SQY4" s="227"/>
      <c r="SQZ4" s="228"/>
      <c r="SRA4" s="226" t="s">
        <v>13330</v>
      </c>
      <c r="SRB4" s="227"/>
      <c r="SRC4" s="227"/>
      <c r="SRD4" s="228"/>
      <c r="SRE4" s="226" t="s">
        <v>13330</v>
      </c>
      <c r="SRF4" s="227"/>
      <c r="SRG4" s="227"/>
      <c r="SRH4" s="228"/>
      <c r="SRI4" s="226" t="s">
        <v>13330</v>
      </c>
      <c r="SRJ4" s="227"/>
      <c r="SRK4" s="227"/>
      <c r="SRL4" s="228"/>
      <c r="SRM4" s="226" t="s">
        <v>13330</v>
      </c>
      <c r="SRN4" s="227"/>
      <c r="SRO4" s="227"/>
      <c r="SRP4" s="228"/>
      <c r="SRQ4" s="226" t="s">
        <v>13330</v>
      </c>
      <c r="SRR4" s="227"/>
      <c r="SRS4" s="227"/>
      <c r="SRT4" s="228"/>
      <c r="SRU4" s="226" t="s">
        <v>13330</v>
      </c>
      <c r="SRV4" s="227"/>
      <c r="SRW4" s="227"/>
      <c r="SRX4" s="228"/>
      <c r="SRY4" s="226" t="s">
        <v>13330</v>
      </c>
      <c r="SRZ4" s="227"/>
      <c r="SSA4" s="227"/>
      <c r="SSB4" s="228"/>
      <c r="SSC4" s="226" t="s">
        <v>13330</v>
      </c>
      <c r="SSD4" s="227"/>
      <c r="SSE4" s="227"/>
      <c r="SSF4" s="228"/>
      <c r="SSG4" s="226" t="s">
        <v>13330</v>
      </c>
      <c r="SSH4" s="227"/>
      <c r="SSI4" s="227"/>
      <c r="SSJ4" s="228"/>
      <c r="SSK4" s="226" t="s">
        <v>13330</v>
      </c>
      <c r="SSL4" s="227"/>
      <c r="SSM4" s="227"/>
      <c r="SSN4" s="228"/>
      <c r="SSO4" s="226" t="s">
        <v>13330</v>
      </c>
      <c r="SSP4" s="227"/>
      <c r="SSQ4" s="227"/>
      <c r="SSR4" s="228"/>
      <c r="SSS4" s="226" t="s">
        <v>13330</v>
      </c>
      <c r="SST4" s="227"/>
      <c r="SSU4" s="227"/>
      <c r="SSV4" s="228"/>
      <c r="SSW4" s="226" t="s">
        <v>13330</v>
      </c>
      <c r="SSX4" s="227"/>
      <c r="SSY4" s="227"/>
      <c r="SSZ4" s="228"/>
      <c r="STA4" s="226" t="s">
        <v>13330</v>
      </c>
      <c r="STB4" s="227"/>
      <c r="STC4" s="227"/>
      <c r="STD4" s="228"/>
      <c r="STE4" s="226" t="s">
        <v>13330</v>
      </c>
      <c r="STF4" s="227"/>
      <c r="STG4" s="227"/>
      <c r="STH4" s="228"/>
      <c r="STI4" s="226" t="s">
        <v>13330</v>
      </c>
      <c r="STJ4" s="227"/>
      <c r="STK4" s="227"/>
      <c r="STL4" s="228"/>
      <c r="STM4" s="226" t="s">
        <v>13330</v>
      </c>
      <c r="STN4" s="227"/>
      <c r="STO4" s="227"/>
      <c r="STP4" s="228"/>
      <c r="STQ4" s="226" t="s">
        <v>13330</v>
      </c>
      <c r="STR4" s="227"/>
      <c r="STS4" s="227"/>
      <c r="STT4" s="228"/>
      <c r="STU4" s="226" t="s">
        <v>13330</v>
      </c>
      <c r="STV4" s="227"/>
      <c r="STW4" s="227"/>
      <c r="STX4" s="228"/>
      <c r="STY4" s="226" t="s">
        <v>13330</v>
      </c>
      <c r="STZ4" s="227"/>
      <c r="SUA4" s="227"/>
      <c r="SUB4" s="228"/>
      <c r="SUC4" s="226" t="s">
        <v>13330</v>
      </c>
      <c r="SUD4" s="227"/>
      <c r="SUE4" s="227"/>
      <c r="SUF4" s="228"/>
      <c r="SUG4" s="226" t="s">
        <v>13330</v>
      </c>
      <c r="SUH4" s="227"/>
      <c r="SUI4" s="227"/>
      <c r="SUJ4" s="228"/>
      <c r="SUK4" s="226" t="s">
        <v>13330</v>
      </c>
      <c r="SUL4" s="227"/>
      <c r="SUM4" s="227"/>
      <c r="SUN4" s="228"/>
      <c r="SUO4" s="226" t="s">
        <v>13330</v>
      </c>
      <c r="SUP4" s="227"/>
      <c r="SUQ4" s="227"/>
      <c r="SUR4" s="228"/>
      <c r="SUS4" s="226" t="s">
        <v>13330</v>
      </c>
      <c r="SUT4" s="227"/>
      <c r="SUU4" s="227"/>
      <c r="SUV4" s="228"/>
      <c r="SUW4" s="226" t="s">
        <v>13330</v>
      </c>
      <c r="SUX4" s="227"/>
      <c r="SUY4" s="227"/>
      <c r="SUZ4" s="228"/>
      <c r="SVA4" s="226" t="s">
        <v>13330</v>
      </c>
      <c r="SVB4" s="227"/>
      <c r="SVC4" s="227"/>
      <c r="SVD4" s="228"/>
      <c r="SVE4" s="226" t="s">
        <v>13330</v>
      </c>
      <c r="SVF4" s="227"/>
      <c r="SVG4" s="227"/>
      <c r="SVH4" s="228"/>
      <c r="SVI4" s="226" t="s">
        <v>13330</v>
      </c>
      <c r="SVJ4" s="227"/>
      <c r="SVK4" s="227"/>
      <c r="SVL4" s="228"/>
      <c r="SVM4" s="226" t="s">
        <v>13330</v>
      </c>
      <c r="SVN4" s="227"/>
      <c r="SVO4" s="227"/>
      <c r="SVP4" s="228"/>
      <c r="SVQ4" s="226" t="s">
        <v>13330</v>
      </c>
      <c r="SVR4" s="227"/>
      <c r="SVS4" s="227"/>
      <c r="SVT4" s="228"/>
      <c r="SVU4" s="226" t="s">
        <v>13330</v>
      </c>
      <c r="SVV4" s="227"/>
      <c r="SVW4" s="227"/>
      <c r="SVX4" s="228"/>
      <c r="SVY4" s="226" t="s">
        <v>13330</v>
      </c>
      <c r="SVZ4" s="227"/>
      <c r="SWA4" s="227"/>
      <c r="SWB4" s="228"/>
      <c r="SWC4" s="226" t="s">
        <v>13330</v>
      </c>
      <c r="SWD4" s="227"/>
      <c r="SWE4" s="227"/>
      <c r="SWF4" s="228"/>
      <c r="SWG4" s="226" t="s">
        <v>13330</v>
      </c>
      <c r="SWH4" s="227"/>
      <c r="SWI4" s="227"/>
      <c r="SWJ4" s="228"/>
      <c r="SWK4" s="226" t="s">
        <v>13330</v>
      </c>
      <c r="SWL4" s="227"/>
      <c r="SWM4" s="227"/>
      <c r="SWN4" s="228"/>
      <c r="SWO4" s="226" t="s">
        <v>13330</v>
      </c>
      <c r="SWP4" s="227"/>
      <c r="SWQ4" s="227"/>
      <c r="SWR4" s="228"/>
      <c r="SWS4" s="226" t="s">
        <v>13330</v>
      </c>
      <c r="SWT4" s="227"/>
      <c r="SWU4" s="227"/>
      <c r="SWV4" s="228"/>
      <c r="SWW4" s="226" t="s">
        <v>13330</v>
      </c>
      <c r="SWX4" s="227"/>
      <c r="SWY4" s="227"/>
      <c r="SWZ4" s="228"/>
      <c r="SXA4" s="226" t="s">
        <v>13330</v>
      </c>
      <c r="SXB4" s="227"/>
      <c r="SXC4" s="227"/>
      <c r="SXD4" s="228"/>
      <c r="SXE4" s="226" t="s">
        <v>13330</v>
      </c>
      <c r="SXF4" s="227"/>
      <c r="SXG4" s="227"/>
      <c r="SXH4" s="228"/>
      <c r="SXI4" s="226" t="s">
        <v>13330</v>
      </c>
      <c r="SXJ4" s="227"/>
      <c r="SXK4" s="227"/>
      <c r="SXL4" s="228"/>
      <c r="SXM4" s="226" t="s">
        <v>13330</v>
      </c>
      <c r="SXN4" s="227"/>
      <c r="SXO4" s="227"/>
      <c r="SXP4" s="228"/>
      <c r="SXQ4" s="226" t="s">
        <v>13330</v>
      </c>
      <c r="SXR4" s="227"/>
      <c r="SXS4" s="227"/>
      <c r="SXT4" s="228"/>
      <c r="SXU4" s="226" t="s">
        <v>13330</v>
      </c>
      <c r="SXV4" s="227"/>
      <c r="SXW4" s="227"/>
      <c r="SXX4" s="228"/>
      <c r="SXY4" s="226" t="s">
        <v>13330</v>
      </c>
      <c r="SXZ4" s="227"/>
      <c r="SYA4" s="227"/>
      <c r="SYB4" s="228"/>
      <c r="SYC4" s="226" t="s">
        <v>13330</v>
      </c>
      <c r="SYD4" s="227"/>
      <c r="SYE4" s="227"/>
      <c r="SYF4" s="228"/>
      <c r="SYG4" s="226" t="s">
        <v>13330</v>
      </c>
      <c r="SYH4" s="227"/>
      <c r="SYI4" s="227"/>
      <c r="SYJ4" s="228"/>
      <c r="SYK4" s="226" t="s">
        <v>13330</v>
      </c>
      <c r="SYL4" s="227"/>
      <c r="SYM4" s="227"/>
      <c r="SYN4" s="228"/>
      <c r="SYO4" s="226" t="s">
        <v>13330</v>
      </c>
      <c r="SYP4" s="227"/>
      <c r="SYQ4" s="227"/>
      <c r="SYR4" s="228"/>
      <c r="SYS4" s="226" t="s">
        <v>13330</v>
      </c>
      <c r="SYT4" s="227"/>
      <c r="SYU4" s="227"/>
      <c r="SYV4" s="228"/>
      <c r="SYW4" s="226" t="s">
        <v>13330</v>
      </c>
      <c r="SYX4" s="227"/>
      <c r="SYY4" s="227"/>
      <c r="SYZ4" s="228"/>
      <c r="SZA4" s="226" t="s">
        <v>13330</v>
      </c>
      <c r="SZB4" s="227"/>
      <c r="SZC4" s="227"/>
      <c r="SZD4" s="228"/>
      <c r="SZE4" s="226" t="s">
        <v>13330</v>
      </c>
      <c r="SZF4" s="227"/>
      <c r="SZG4" s="227"/>
      <c r="SZH4" s="228"/>
      <c r="SZI4" s="226" t="s">
        <v>13330</v>
      </c>
      <c r="SZJ4" s="227"/>
      <c r="SZK4" s="227"/>
      <c r="SZL4" s="228"/>
      <c r="SZM4" s="226" t="s">
        <v>13330</v>
      </c>
      <c r="SZN4" s="227"/>
      <c r="SZO4" s="227"/>
      <c r="SZP4" s="228"/>
      <c r="SZQ4" s="226" t="s">
        <v>13330</v>
      </c>
      <c r="SZR4" s="227"/>
      <c r="SZS4" s="227"/>
      <c r="SZT4" s="228"/>
      <c r="SZU4" s="226" t="s">
        <v>13330</v>
      </c>
      <c r="SZV4" s="227"/>
      <c r="SZW4" s="227"/>
      <c r="SZX4" s="228"/>
      <c r="SZY4" s="226" t="s">
        <v>13330</v>
      </c>
      <c r="SZZ4" s="227"/>
      <c r="TAA4" s="227"/>
      <c r="TAB4" s="228"/>
      <c r="TAC4" s="226" t="s">
        <v>13330</v>
      </c>
      <c r="TAD4" s="227"/>
      <c r="TAE4" s="227"/>
      <c r="TAF4" s="228"/>
      <c r="TAG4" s="226" t="s">
        <v>13330</v>
      </c>
      <c r="TAH4" s="227"/>
      <c r="TAI4" s="227"/>
      <c r="TAJ4" s="228"/>
      <c r="TAK4" s="226" t="s">
        <v>13330</v>
      </c>
      <c r="TAL4" s="227"/>
      <c r="TAM4" s="227"/>
      <c r="TAN4" s="228"/>
      <c r="TAO4" s="226" t="s">
        <v>13330</v>
      </c>
      <c r="TAP4" s="227"/>
      <c r="TAQ4" s="227"/>
      <c r="TAR4" s="228"/>
      <c r="TAS4" s="226" t="s">
        <v>13330</v>
      </c>
      <c r="TAT4" s="227"/>
      <c r="TAU4" s="227"/>
      <c r="TAV4" s="228"/>
      <c r="TAW4" s="226" t="s">
        <v>13330</v>
      </c>
      <c r="TAX4" s="227"/>
      <c r="TAY4" s="227"/>
      <c r="TAZ4" s="228"/>
      <c r="TBA4" s="226" t="s">
        <v>13330</v>
      </c>
      <c r="TBB4" s="227"/>
      <c r="TBC4" s="227"/>
      <c r="TBD4" s="228"/>
      <c r="TBE4" s="226" t="s">
        <v>13330</v>
      </c>
      <c r="TBF4" s="227"/>
      <c r="TBG4" s="227"/>
      <c r="TBH4" s="228"/>
      <c r="TBI4" s="226" t="s">
        <v>13330</v>
      </c>
      <c r="TBJ4" s="227"/>
      <c r="TBK4" s="227"/>
      <c r="TBL4" s="228"/>
      <c r="TBM4" s="226" t="s">
        <v>13330</v>
      </c>
      <c r="TBN4" s="227"/>
      <c r="TBO4" s="227"/>
      <c r="TBP4" s="228"/>
      <c r="TBQ4" s="226" t="s">
        <v>13330</v>
      </c>
      <c r="TBR4" s="227"/>
      <c r="TBS4" s="227"/>
      <c r="TBT4" s="228"/>
      <c r="TBU4" s="226" t="s">
        <v>13330</v>
      </c>
      <c r="TBV4" s="227"/>
      <c r="TBW4" s="227"/>
      <c r="TBX4" s="228"/>
      <c r="TBY4" s="226" t="s">
        <v>13330</v>
      </c>
      <c r="TBZ4" s="227"/>
      <c r="TCA4" s="227"/>
      <c r="TCB4" s="228"/>
      <c r="TCC4" s="226" t="s">
        <v>13330</v>
      </c>
      <c r="TCD4" s="227"/>
      <c r="TCE4" s="227"/>
      <c r="TCF4" s="228"/>
      <c r="TCG4" s="226" t="s">
        <v>13330</v>
      </c>
      <c r="TCH4" s="227"/>
      <c r="TCI4" s="227"/>
      <c r="TCJ4" s="228"/>
      <c r="TCK4" s="226" t="s">
        <v>13330</v>
      </c>
      <c r="TCL4" s="227"/>
      <c r="TCM4" s="227"/>
      <c r="TCN4" s="228"/>
      <c r="TCO4" s="226" t="s">
        <v>13330</v>
      </c>
      <c r="TCP4" s="227"/>
      <c r="TCQ4" s="227"/>
      <c r="TCR4" s="228"/>
      <c r="TCS4" s="226" t="s">
        <v>13330</v>
      </c>
      <c r="TCT4" s="227"/>
      <c r="TCU4" s="227"/>
      <c r="TCV4" s="228"/>
      <c r="TCW4" s="226" t="s">
        <v>13330</v>
      </c>
      <c r="TCX4" s="227"/>
      <c r="TCY4" s="227"/>
      <c r="TCZ4" s="228"/>
      <c r="TDA4" s="226" t="s">
        <v>13330</v>
      </c>
      <c r="TDB4" s="227"/>
      <c r="TDC4" s="227"/>
      <c r="TDD4" s="228"/>
      <c r="TDE4" s="226" t="s">
        <v>13330</v>
      </c>
      <c r="TDF4" s="227"/>
      <c r="TDG4" s="227"/>
      <c r="TDH4" s="228"/>
      <c r="TDI4" s="226" t="s">
        <v>13330</v>
      </c>
      <c r="TDJ4" s="227"/>
      <c r="TDK4" s="227"/>
      <c r="TDL4" s="228"/>
      <c r="TDM4" s="226" t="s">
        <v>13330</v>
      </c>
      <c r="TDN4" s="227"/>
      <c r="TDO4" s="227"/>
      <c r="TDP4" s="228"/>
      <c r="TDQ4" s="226" t="s">
        <v>13330</v>
      </c>
      <c r="TDR4" s="227"/>
      <c r="TDS4" s="227"/>
      <c r="TDT4" s="228"/>
      <c r="TDU4" s="226" t="s">
        <v>13330</v>
      </c>
      <c r="TDV4" s="227"/>
      <c r="TDW4" s="227"/>
      <c r="TDX4" s="228"/>
      <c r="TDY4" s="226" t="s">
        <v>13330</v>
      </c>
      <c r="TDZ4" s="227"/>
      <c r="TEA4" s="227"/>
      <c r="TEB4" s="228"/>
      <c r="TEC4" s="226" t="s">
        <v>13330</v>
      </c>
      <c r="TED4" s="227"/>
      <c r="TEE4" s="227"/>
      <c r="TEF4" s="228"/>
      <c r="TEG4" s="226" t="s">
        <v>13330</v>
      </c>
      <c r="TEH4" s="227"/>
      <c r="TEI4" s="227"/>
      <c r="TEJ4" s="228"/>
      <c r="TEK4" s="226" t="s">
        <v>13330</v>
      </c>
      <c r="TEL4" s="227"/>
      <c r="TEM4" s="227"/>
      <c r="TEN4" s="228"/>
      <c r="TEO4" s="226" t="s">
        <v>13330</v>
      </c>
      <c r="TEP4" s="227"/>
      <c r="TEQ4" s="227"/>
      <c r="TER4" s="228"/>
      <c r="TES4" s="226" t="s">
        <v>13330</v>
      </c>
      <c r="TET4" s="227"/>
      <c r="TEU4" s="227"/>
      <c r="TEV4" s="228"/>
      <c r="TEW4" s="226" t="s">
        <v>13330</v>
      </c>
      <c r="TEX4" s="227"/>
      <c r="TEY4" s="227"/>
      <c r="TEZ4" s="228"/>
      <c r="TFA4" s="226" t="s">
        <v>13330</v>
      </c>
      <c r="TFB4" s="227"/>
      <c r="TFC4" s="227"/>
      <c r="TFD4" s="228"/>
      <c r="TFE4" s="226" t="s">
        <v>13330</v>
      </c>
      <c r="TFF4" s="227"/>
      <c r="TFG4" s="227"/>
      <c r="TFH4" s="228"/>
      <c r="TFI4" s="226" t="s">
        <v>13330</v>
      </c>
      <c r="TFJ4" s="227"/>
      <c r="TFK4" s="227"/>
      <c r="TFL4" s="228"/>
      <c r="TFM4" s="226" t="s">
        <v>13330</v>
      </c>
      <c r="TFN4" s="227"/>
      <c r="TFO4" s="227"/>
      <c r="TFP4" s="228"/>
      <c r="TFQ4" s="226" t="s">
        <v>13330</v>
      </c>
      <c r="TFR4" s="227"/>
      <c r="TFS4" s="227"/>
      <c r="TFT4" s="228"/>
      <c r="TFU4" s="226" t="s">
        <v>13330</v>
      </c>
      <c r="TFV4" s="227"/>
      <c r="TFW4" s="227"/>
      <c r="TFX4" s="228"/>
      <c r="TFY4" s="226" t="s">
        <v>13330</v>
      </c>
      <c r="TFZ4" s="227"/>
      <c r="TGA4" s="227"/>
      <c r="TGB4" s="228"/>
      <c r="TGC4" s="226" t="s">
        <v>13330</v>
      </c>
      <c r="TGD4" s="227"/>
      <c r="TGE4" s="227"/>
      <c r="TGF4" s="228"/>
      <c r="TGG4" s="226" t="s">
        <v>13330</v>
      </c>
      <c r="TGH4" s="227"/>
      <c r="TGI4" s="227"/>
      <c r="TGJ4" s="228"/>
      <c r="TGK4" s="226" t="s">
        <v>13330</v>
      </c>
      <c r="TGL4" s="227"/>
      <c r="TGM4" s="227"/>
      <c r="TGN4" s="228"/>
      <c r="TGO4" s="226" t="s">
        <v>13330</v>
      </c>
      <c r="TGP4" s="227"/>
      <c r="TGQ4" s="227"/>
      <c r="TGR4" s="228"/>
      <c r="TGS4" s="226" t="s">
        <v>13330</v>
      </c>
      <c r="TGT4" s="227"/>
      <c r="TGU4" s="227"/>
      <c r="TGV4" s="228"/>
      <c r="TGW4" s="226" t="s">
        <v>13330</v>
      </c>
      <c r="TGX4" s="227"/>
      <c r="TGY4" s="227"/>
      <c r="TGZ4" s="228"/>
      <c r="THA4" s="226" t="s">
        <v>13330</v>
      </c>
      <c r="THB4" s="227"/>
      <c r="THC4" s="227"/>
      <c r="THD4" s="228"/>
      <c r="THE4" s="226" t="s">
        <v>13330</v>
      </c>
      <c r="THF4" s="227"/>
      <c r="THG4" s="227"/>
      <c r="THH4" s="228"/>
      <c r="THI4" s="226" t="s">
        <v>13330</v>
      </c>
      <c r="THJ4" s="227"/>
      <c r="THK4" s="227"/>
      <c r="THL4" s="228"/>
      <c r="THM4" s="226" t="s">
        <v>13330</v>
      </c>
      <c r="THN4" s="227"/>
      <c r="THO4" s="227"/>
      <c r="THP4" s="228"/>
      <c r="THQ4" s="226" t="s">
        <v>13330</v>
      </c>
      <c r="THR4" s="227"/>
      <c r="THS4" s="227"/>
      <c r="THT4" s="228"/>
      <c r="THU4" s="226" t="s">
        <v>13330</v>
      </c>
      <c r="THV4" s="227"/>
      <c r="THW4" s="227"/>
      <c r="THX4" s="228"/>
      <c r="THY4" s="226" t="s">
        <v>13330</v>
      </c>
      <c r="THZ4" s="227"/>
      <c r="TIA4" s="227"/>
      <c r="TIB4" s="228"/>
      <c r="TIC4" s="226" t="s">
        <v>13330</v>
      </c>
      <c r="TID4" s="227"/>
      <c r="TIE4" s="227"/>
      <c r="TIF4" s="228"/>
      <c r="TIG4" s="226" t="s">
        <v>13330</v>
      </c>
      <c r="TIH4" s="227"/>
      <c r="TII4" s="227"/>
      <c r="TIJ4" s="228"/>
      <c r="TIK4" s="226" t="s">
        <v>13330</v>
      </c>
      <c r="TIL4" s="227"/>
      <c r="TIM4" s="227"/>
      <c r="TIN4" s="228"/>
      <c r="TIO4" s="226" t="s">
        <v>13330</v>
      </c>
      <c r="TIP4" s="227"/>
      <c r="TIQ4" s="227"/>
      <c r="TIR4" s="228"/>
      <c r="TIS4" s="226" t="s">
        <v>13330</v>
      </c>
      <c r="TIT4" s="227"/>
      <c r="TIU4" s="227"/>
      <c r="TIV4" s="228"/>
      <c r="TIW4" s="226" t="s">
        <v>13330</v>
      </c>
      <c r="TIX4" s="227"/>
      <c r="TIY4" s="227"/>
      <c r="TIZ4" s="228"/>
      <c r="TJA4" s="226" t="s">
        <v>13330</v>
      </c>
      <c r="TJB4" s="227"/>
      <c r="TJC4" s="227"/>
      <c r="TJD4" s="228"/>
      <c r="TJE4" s="226" t="s">
        <v>13330</v>
      </c>
      <c r="TJF4" s="227"/>
      <c r="TJG4" s="227"/>
      <c r="TJH4" s="228"/>
      <c r="TJI4" s="226" t="s">
        <v>13330</v>
      </c>
      <c r="TJJ4" s="227"/>
      <c r="TJK4" s="227"/>
      <c r="TJL4" s="228"/>
      <c r="TJM4" s="226" t="s">
        <v>13330</v>
      </c>
      <c r="TJN4" s="227"/>
      <c r="TJO4" s="227"/>
      <c r="TJP4" s="228"/>
      <c r="TJQ4" s="226" t="s">
        <v>13330</v>
      </c>
      <c r="TJR4" s="227"/>
      <c r="TJS4" s="227"/>
      <c r="TJT4" s="228"/>
      <c r="TJU4" s="226" t="s">
        <v>13330</v>
      </c>
      <c r="TJV4" s="227"/>
      <c r="TJW4" s="227"/>
      <c r="TJX4" s="228"/>
      <c r="TJY4" s="226" t="s">
        <v>13330</v>
      </c>
      <c r="TJZ4" s="227"/>
      <c r="TKA4" s="227"/>
      <c r="TKB4" s="228"/>
      <c r="TKC4" s="226" t="s">
        <v>13330</v>
      </c>
      <c r="TKD4" s="227"/>
      <c r="TKE4" s="227"/>
      <c r="TKF4" s="228"/>
      <c r="TKG4" s="226" t="s">
        <v>13330</v>
      </c>
      <c r="TKH4" s="227"/>
      <c r="TKI4" s="227"/>
      <c r="TKJ4" s="228"/>
      <c r="TKK4" s="226" t="s">
        <v>13330</v>
      </c>
      <c r="TKL4" s="227"/>
      <c r="TKM4" s="227"/>
      <c r="TKN4" s="228"/>
      <c r="TKO4" s="226" t="s">
        <v>13330</v>
      </c>
      <c r="TKP4" s="227"/>
      <c r="TKQ4" s="227"/>
      <c r="TKR4" s="228"/>
      <c r="TKS4" s="226" t="s">
        <v>13330</v>
      </c>
      <c r="TKT4" s="227"/>
      <c r="TKU4" s="227"/>
      <c r="TKV4" s="228"/>
      <c r="TKW4" s="226" t="s">
        <v>13330</v>
      </c>
      <c r="TKX4" s="227"/>
      <c r="TKY4" s="227"/>
      <c r="TKZ4" s="228"/>
      <c r="TLA4" s="226" t="s">
        <v>13330</v>
      </c>
      <c r="TLB4" s="227"/>
      <c r="TLC4" s="227"/>
      <c r="TLD4" s="228"/>
      <c r="TLE4" s="226" t="s">
        <v>13330</v>
      </c>
      <c r="TLF4" s="227"/>
      <c r="TLG4" s="227"/>
      <c r="TLH4" s="228"/>
      <c r="TLI4" s="226" t="s">
        <v>13330</v>
      </c>
      <c r="TLJ4" s="227"/>
      <c r="TLK4" s="227"/>
      <c r="TLL4" s="228"/>
      <c r="TLM4" s="226" t="s">
        <v>13330</v>
      </c>
      <c r="TLN4" s="227"/>
      <c r="TLO4" s="227"/>
      <c r="TLP4" s="228"/>
      <c r="TLQ4" s="226" t="s">
        <v>13330</v>
      </c>
      <c r="TLR4" s="227"/>
      <c r="TLS4" s="227"/>
      <c r="TLT4" s="228"/>
      <c r="TLU4" s="226" t="s">
        <v>13330</v>
      </c>
      <c r="TLV4" s="227"/>
      <c r="TLW4" s="227"/>
      <c r="TLX4" s="228"/>
      <c r="TLY4" s="226" t="s">
        <v>13330</v>
      </c>
      <c r="TLZ4" s="227"/>
      <c r="TMA4" s="227"/>
      <c r="TMB4" s="228"/>
      <c r="TMC4" s="226" t="s">
        <v>13330</v>
      </c>
      <c r="TMD4" s="227"/>
      <c r="TME4" s="227"/>
      <c r="TMF4" s="228"/>
      <c r="TMG4" s="226" t="s">
        <v>13330</v>
      </c>
      <c r="TMH4" s="227"/>
      <c r="TMI4" s="227"/>
      <c r="TMJ4" s="228"/>
      <c r="TMK4" s="226" t="s">
        <v>13330</v>
      </c>
      <c r="TML4" s="227"/>
      <c r="TMM4" s="227"/>
      <c r="TMN4" s="228"/>
      <c r="TMO4" s="226" t="s">
        <v>13330</v>
      </c>
      <c r="TMP4" s="227"/>
      <c r="TMQ4" s="227"/>
      <c r="TMR4" s="228"/>
      <c r="TMS4" s="226" t="s">
        <v>13330</v>
      </c>
      <c r="TMT4" s="227"/>
      <c r="TMU4" s="227"/>
      <c r="TMV4" s="228"/>
      <c r="TMW4" s="226" t="s">
        <v>13330</v>
      </c>
      <c r="TMX4" s="227"/>
      <c r="TMY4" s="227"/>
      <c r="TMZ4" s="228"/>
      <c r="TNA4" s="226" t="s">
        <v>13330</v>
      </c>
      <c r="TNB4" s="227"/>
      <c r="TNC4" s="227"/>
      <c r="TND4" s="228"/>
      <c r="TNE4" s="226" t="s">
        <v>13330</v>
      </c>
      <c r="TNF4" s="227"/>
      <c r="TNG4" s="227"/>
      <c r="TNH4" s="228"/>
      <c r="TNI4" s="226" t="s">
        <v>13330</v>
      </c>
      <c r="TNJ4" s="227"/>
      <c r="TNK4" s="227"/>
      <c r="TNL4" s="228"/>
      <c r="TNM4" s="226" t="s">
        <v>13330</v>
      </c>
      <c r="TNN4" s="227"/>
      <c r="TNO4" s="227"/>
      <c r="TNP4" s="228"/>
      <c r="TNQ4" s="226" t="s">
        <v>13330</v>
      </c>
      <c r="TNR4" s="227"/>
      <c r="TNS4" s="227"/>
      <c r="TNT4" s="228"/>
      <c r="TNU4" s="226" t="s">
        <v>13330</v>
      </c>
      <c r="TNV4" s="227"/>
      <c r="TNW4" s="227"/>
      <c r="TNX4" s="228"/>
      <c r="TNY4" s="226" t="s">
        <v>13330</v>
      </c>
      <c r="TNZ4" s="227"/>
      <c r="TOA4" s="227"/>
      <c r="TOB4" s="228"/>
      <c r="TOC4" s="226" t="s">
        <v>13330</v>
      </c>
      <c r="TOD4" s="227"/>
      <c r="TOE4" s="227"/>
      <c r="TOF4" s="228"/>
      <c r="TOG4" s="226" t="s">
        <v>13330</v>
      </c>
      <c r="TOH4" s="227"/>
      <c r="TOI4" s="227"/>
      <c r="TOJ4" s="228"/>
      <c r="TOK4" s="226" t="s">
        <v>13330</v>
      </c>
      <c r="TOL4" s="227"/>
      <c r="TOM4" s="227"/>
      <c r="TON4" s="228"/>
      <c r="TOO4" s="226" t="s">
        <v>13330</v>
      </c>
      <c r="TOP4" s="227"/>
      <c r="TOQ4" s="227"/>
      <c r="TOR4" s="228"/>
      <c r="TOS4" s="226" t="s">
        <v>13330</v>
      </c>
      <c r="TOT4" s="227"/>
      <c r="TOU4" s="227"/>
      <c r="TOV4" s="228"/>
      <c r="TOW4" s="226" t="s">
        <v>13330</v>
      </c>
      <c r="TOX4" s="227"/>
      <c r="TOY4" s="227"/>
      <c r="TOZ4" s="228"/>
      <c r="TPA4" s="226" t="s">
        <v>13330</v>
      </c>
      <c r="TPB4" s="227"/>
      <c r="TPC4" s="227"/>
      <c r="TPD4" s="228"/>
      <c r="TPE4" s="226" t="s">
        <v>13330</v>
      </c>
      <c r="TPF4" s="227"/>
      <c r="TPG4" s="227"/>
      <c r="TPH4" s="228"/>
      <c r="TPI4" s="226" t="s">
        <v>13330</v>
      </c>
      <c r="TPJ4" s="227"/>
      <c r="TPK4" s="227"/>
      <c r="TPL4" s="228"/>
      <c r="TPM4" s="226" t="s">
        <v>13330</v>
      </c>
      <c r="TPN4" s="227"/>
      <c r="TPO4" s="227"/>
      <c r="TPP4" s="228"/>
      <c r="TPQ4" s="226" t="s">
        <v>13330</v>
      </c>
      <c r="TPR4" s="227"/>
      <c r="TPS4" s="227"/>
      <c r="TPT4" s="228"/>
      <c r="TPU4" s="226" t="s">
        <v>13330</v>
      </c>
      <c r="TPV4" s="227"/>
      <c r="TPW4" s="227"/>
      <c r="TPX4" s="228"/>
      <c r="TPY4" s="226" t="s">
        <v>13330</v>
      </c>
      <c r="TPZ4" s="227"/>
      <c r="TQA4" s="227"/>
      <c r="TQB4" s="228"/>
      <c r="TQC4" s="226" t="s">
        <v>13330</v>
      </c>
      <c r="TQD4" s="227"/>
      <c r="TQE4" s="227"/>
      <c r="TQF4" s="228"/>
      <c r="TQG4" s="226" t="s">
        <v>13330</v>
      </c>
      <c r="TQH4" s="227"/>
      <c r="TQI4" s="227"/>
      <c r="TQJ4" s="228"/>
      <c r="TQK4" s="226" t="s">
        <v>13330</v>
      </c>
      <c r="TQL4" s="227"/>
      <c r="TQM4" s="227"/>
      <c r="TQN4" s="228"/>
      <c r="TQO4" s="226" t="s">
        <v>13330</v>
      </c>
      <c r="TQP4" s="227"/>
      <c r="TQQ4" s="227"/>
      <c r="TQR4" s="228"/>
      <c r="TQS4" s="226" t="s">
        <v>13330</v>
      </c>
      <c r="TQT4" s="227"/>
      <c r="TQU4" s="227"/>
      <c r="TQV4" s="228"/>
      <c r="TQW4" s="226" t="s">
        <v>13330</v>
      </c>
      <c r="TQX4" s="227"/>
      <c r="TQY4" s="227"/>
      <c r="TQZ4" s="228"/>
      <c r="TRA4" s="226" t="s">
        <v>13330</v>
      </c>
      <c r="TRB4" s="227"/>
      <c r="TRC4" s="227"/>
      <c r="TRD4" s="228"/>
      <c r="TRE4" s="226" t="s">
        <v>13330</v>
      </c>
      <c r="TRF4" s="227"/>
      <c r="TRG4" s="227"/>
      <c r="TRH4" s="228"/>
      <c r="TRI4" s="226" t="s">
        <v>13330</v>
      </c>
      <c r="TRJ4" s="227"/>
      <c r="TRK4" s="227"/>
      <c r="TRL4" s="228"/>
      <c r="TRM4" s="226" t="s">
        <v>13330</v>
      </c>
      <c r="TRN4" s="227"/>
      <c r="TRO4" s="227"/>
      <c r="TRP4" s="228"/>
      <c r="TRQ4" s="226" t="s">
        <v>13330</v>
      </c>
      <c r="TRR4" s="227"/>
      <c r="TRS4" s="227"/>
      <c r="TRT4" s="228"/>
      <c r="TRU4" s="226" t="s">
        <v>13330</v>
      </c>
      <c r="TRV4" s="227"/>
      <c r="TRW4" s="227"/>
      <c r="TRX4" s="228"/>
      <c r="TRY4" s="226" t="s">
        <v>13330</v>
      </c>
      <c r="TRZ4" s="227"/>
      <c r="TSA4" s="227"/>
      <c r="TSB4" s="228"/>
      <c r="TSC4" s="226" t="s">
        <v>13330</v>
      </c>
      <c r="TSD4" s="227"/>
      <c r="TSE4" s="227"/>
      <c r="TSF4" s="228"/>
      <c r="TSG4" s="226" t="s">
        <v>13330</v>
      </c>
      <c r="TSH4" s="227"/>
      <c r="TSI4" s="227"/>
      <c r="TSJ4" s="228"/>
      <c r="TSK4" s="226" t="s">
        <v>13330</v>
      </c>
      <c r="TSL4" s="227"/>
      <c r="TSM4" s="227"/>
      <c r="TSN4" s="228"/>
      <c r="TSO4" s="226" t="s">
        <v>13330</v>
      </c>
      <c r="TSP4" s="227"/>
      <c r="TSQ4" s="227"/>
      <c r="TSR4" s="228"/>
      <c r="TSS4" s="226" t="s">
        <v>13330</v>
      </c>
      <c r="TST4" s="227"/>
      <c r="TSU4" s="227"/>
      <c r="TSV4" s="228"/>
      <c r="TSW4" s="226" t="s">
        <v>13330</v>
      </c>
      <c r="TSX4" s="227"/>
      <c r="TSY4" s="227"/>
      <c r="TSZ4" s="228"/>
      <c r="TTA4" s="226" t="s">
        <v>13330</v>
      </c>
      <c r="TTB4" s="227"/>
      <c r="TTC4" s="227"/>
      <c r="TTD4" s="228"/>
      <c r="TTE4" s="226" t="s">
        <v>13330</v>
      </c>
      <c r="TTF4" s="227"/>
      <c r="TTG4" s="227"/>
      <c r="TTH4" s="228"/>
      <c r="TTI4" s="226" t="s">
        <v>13330</v>
      </c>
      <c r="TTJ4" s="227"/>
      <c r="TTK4" s="227"/>
      <c r="TTL4" s="228"/>
      <c r="TTM4" s="226" t="s">
        <v>13330</v>
      </c>
      <c r="TTN4" s="227"/>
      <c r="TTO4" s="227"/>
      <c r="TTP4" s="228"/>
      <c r="TTQ4" s="226" t="s">
        <v>13330</v>
      </c>
      <c r="TTR4" s="227"/>
      <c r="TTS4" s="227"/>
      <c r="TTT4" s="228"/>
      <c r="TTU4" s="226" t="s">
        <v>13330</v>
      </c>
      <c r="TTV4" s="227"/>
      <c r="TTW4" s="227"/>
      <c r="TTX4" s="228"/>
      <c r="TTY4" s="226" t="s">
        <v>13330</v>
      </c>
      <c r="TTZ4" s="227"/>
      <c r="TUA4" s="227"/>
      <c r="TUB4" s="228"/>
      <c r="TUC4" s="226" t="s">
        <v>13330</v>
      </c>
      <c r="TUD4" s="227"/>
      <c r="TUE4" s="227"/>
      <c r="TUF4" s="228"/>
      <c r="TUG4" s="226" t="s">
        <v>13330</v>
      </c>
      <c r="TUH4" s="227"/>
      <c r="TUI4" s="227"/>
      <c r="TUJ4" s="228"/>
      <c r="TUK4" s="226" t="s">
        <v>13330</v>
      </c>
      <c r="TUL4" s="227"/>
      <c r="TUM4" s="227"/>
      <c r="TUN4" s="228"/>
      <c r="TUO4" s="226" t="s">
        <v>13330</v>
      </c>
      <c r="TUP4" s="227"/>
      <c r="TUQ4" s="227"/>
      <c r="TUR4" s="228"/>
      <c r="TUS4" s="226" t="s">
        <v>13330</v>
      </c>
      <c r="TUT4" s="227"/>
      <c r="TUU4" s="227"/>
      <c r="TUV4" s="228"/>
      <c r="TUW4" s="226" t="s">
        <v>13330</v>
      </c>
      <c r="TUX4" s="227"/>
      <c r="TUY4" s="227"/>
      <c r="TUZ4" s="228"/>
      <c r="TVA4" s="226" t="s">
        <v>13330</v>
      </c>
      <c r="TVB4" s="227"/>
      <c r="TVC4" s="227"/>
      <c r="TVD4" s="228"/>
      <c r="TVE4" s="226" t="s">
        <v>13330</v>
      </c>
      <c r="TVF4" s="227"/>
      <c r="TVG4" s="227"/>
      <c r="TVH4" s="228"/>
      <c r="TVI4" s="226" t="s">
        <v>13330</v>
      </c>
      <c r="TVJ4" s="227"/>
      <c r="TVK4" s="227"/>
      <c r="TVL4" s="228"/>
      <c r="TVM4" s="226" t="s">
        <v>13330</v>
      </c>
      <c r="TVN4" s="227"/>
      <c r="TVO4" s="227"/>
      <c r="TVP4" s="228"/>
      <c r="TVQ4" s="226" t="s">
        <v>13330</v>
      </c>
      <c r="TVR4" s="227"/>
      <c r="TVS4" s="227"/>
      <c r="TVT4" s="228"/>
      <c r="TVU4" s="226" t="s">
        <v>13330</v>
      </c>
      <c r="TVV4" s="227"/>
      <c r="TVW4" s="227"/>
      <c r="TVX4" s="228"/>
      <c r="TVY4" s="226" t="s">
        <v>13330</v>
      </c>
      <c r="TVZ4" s="227"/>
      <c r="TWA4" s="227"/>
      <c r="TWB4" s="228"/>
      <c r="TWC4" s="226" t="s">
        <v>13330</v>
      </c>
      <c r="TWD4" s="227"/>
      <c r="TWE4" s="227"/>
      <c r="TWF4" s="228"/>
      <c r="TWG4" s="226" t="s">
        <v>13330</v>
      </c>
      <c r="TWH4" s="227"/>
      <c r="TWI4" s="227"/>
      <c r="TWJ4" s="228"/>
      <c r="TWK4" s="226" t="s">
        <v>13330</v>
      </c>
      <c r="TWL4" s="227"/>
      <c r="TWM4" s="227"/>
      <c r="TWN4" s="228"/>
      <c r="TWO4" s="226" t="s">
        <v>13330</v>
      </c>
      <c r="TWP4" s="227"/>
      <c r="TWQ4" s="227"/>
      <c r="TWR4" s="228"/>
      <c r="TWS4" s="226" t="s">
        <v>13330</v>
      </c>
      <c r="TWT4" s="227"/>
      <c r="TWU4" s="227"/>
      <c r="TWV4" s="228"/>
      <c r="TWW4" s="226" t="s">
        <v>13330</v>
      </c>
      <c r="TWX4" s="227"/>
      <c r="TWY4" s="227"/>
      <c r="TWZ4" s="228"/>
      <c r="TXA4" s="226" t="s">
        <v>13330</v>
      </c>
      <c r="TXB4" s="227"/>
      <c r="TXC4" s="227"/>
      <c r="TXD4" s="228"/>
      <c r="TXE4" s="226" t="s">
        <v>13330</v>
      </c>
      <c r="TXF4" s="227"/>
      <c r="TXG4" s="227"/>
      <c r="TXH4" s="228"/>
      <c r="TXI4" s="226" t="s">
        <v>13330</v>
      </c>
      <c r="TXJ4" s="227"/>
      <c r="TXK4" s="227"/>
      <c r="TXL4" s="228"/>
      <c r="TXM4" s="226" t="s">
        <v>13330</v>
      </c>
      <c r="TXN4" s="227"/>
      <c r="TXO4" s="227"/>
      <c r="TXP4" s="228"/>
      <c r="TXQ4" s="226" t="s">
        <v>13330</v>
      </c>
      <c r="TXR4" s="227"/>
      <c r="TXS4" s="227"/>
      <c r="TXT4" s="228"/>
      <c r="TXU4" s="226" t="s">
        <v>13330</v>
      </c>
      <c r="TXV4" s="227"/>
      <c r="TXW4" s="227"/>
      <c r="TXX4" s="228"/>
      <c r="TXY4" s="226" t="s">
        <v>13330</v>
      </c>
      <c r="TXZ4" s="227"/>
      <c r="TYA4" s="227"/>
      <c r="TYB4" s="228"/>
      <c r="TYC4" s="226" t="s">
        <v>13330</v>
      </c>
      <c r="TYD4" s="227"/>
      <c r="TYE4" s="227"/>
      <c r="TYF4" s="228"/>
      <c r="TYG4" s="226" t="s">
        <v>13330</v>
      </c>
      <c r="TYH4" s="227"/>
      <c r="TYI4" s="227"/>
      <c r="TYJ4" s="228"/>
      <c r="TYK4" s="226" t="s">
        <v>13330</v>
      </c>
      <c r="TYL4" s="227"/>
      <c r="TYM4" s="227"/>
      <c r="TYN4" s="228"/>
      <c r="TYO4" s="226" t="s">
        <v>13330</v>
      </c>
      <c r="TYP4" s="227"/>
      <c r="TYQ4" s="227"/>
      <c r="TYR4" s="228"/>
      <c r="TYS4" s="226" t="s">
        <v>13330</v>
      </c>
      <c r="TYT4" s="227"/>
      <c r="TYU4" s="227"/>
      <c r="TYV4" s="228"/>
      <c r="TYW4" s="226" t="s">
        <v>13330</v>
      </c>
      <c r="TYX4" s="227"/>
      <c r="TYY4" s="227"/>
      <c r="TYZ4" s="228"/>
      <c r="TZA4" s="226" t="s">
        <v>13330</v>
      </c>
      <c r="TZB4" s="227"/>
      <c r="TZC4" s="227"/>
      <c r="TZD4" s="228"/>
      <c r="TZE4" s="226" t="s">
        <v>13330</v>
      </c>
      <c r="TZF4" s="227"/>
      <c r="TZG4" s="227"/>
      <c r="TZH4" s="228"/>
      <c r="TZI4" s="226" t="s">
        <v>13330</v>
      </c>
      <c r="TZJ4" s="227"/>
      <c r="TZK4" s="227"/>
      <c r="TZL4" s="228"/>
      <c r="TZM4" s="226" t="s">
        <v>13330</v>
      </c>
      <c r="TZN4" s="227"/>
      <c r="TZO4" s="227"/>
      <c r="TZP4" s="228"/>
      <c r="TZQ4" s="226" t="s">
        <v>13330</v>
      </c>
      <c r="TZR4" s="227"/>
      <c r="TZS4" s="227"/>
      <c r="TZT4" s="228"/>
      <c r="TZU4" s="226" t="s">
        <v>13330</v>
      </c>
      <c r="TZV4" s="227"/>
      <c r="TZW4" s="227"/>
      <c r="TZX4" s="228"/>
      <c r="TZY4" s="226" t="s">
        <v>13330</v>
      </c>
      <c r="TZZ4" s="227"/>
      <c r="UAA4" s="227"/>
      <c r="UAB4" s="228"/>
      <c r="UAC4" s="226" t="s">
        <v>13330</v>
      </c>
      <c r="UAD4" s="227"/>
      <c r="UAE4" s="227"/>
      <c r="UAF4" s="228"/>
      <c r="UAG4" s="226" t="s">
        <v>13330</v>
      </c>
      <c r="UAH4" s="227"/>
      <c r="UAI4" s="227"/>
      <c r="UAJ4" s="228"/>
      <c r="UAK4" s="226" t="s">
        <v>13330</v>
      </c>
      <c r="UAL4" s="227"/>
      <c r="UAM4" s="227"/>
      <c r="UAN4" s="228"/>
      <c r="UAO4" s="226" t="s">
        <v>13330</v>
      </c>
      <c r="UAP4" s="227"/>
      <c r="UAQ4" s="227"/>
      <c r="UAR4" s="228"/>
      <c r="UAS4" s="226" t="s">
        <v>13330</v>
      </c>
      <c r="UAT4" s="227"/>
      <c r="UAU4" s="227"/>
      <c r="UAV4" s="228"/>
      <c r="UAW4" s="226" t="s">
        <v>13330</v>
      </c>
      <c r="UAX4" s="227"/>
      <c r="UAY4" s="227"/>
      <c r="UAZ4" s="228"/>
      <c r="UBA4" s="226" t="s">
        <v>13330</v>
      </c>
      <c r="UBB4" s="227"/>
      <c r="UBC4" s="227"/>
      <c r="UBD4" s="228"/>
      <c r="UBE4" s="226" t="s">
        <v>13330</v>
      </c>
      <c r="UBF4" s="227"/>
      <c r="UBG4" s="227"/>
      <c r="UBH4" s="228"/>
      <c r="UBI4" s="226" t="s">
        <v>13330</v>
      </c>
      <c r="UBJ4" s="227"/>
      <c r="UBK4" s="227"/>
      <c r="UBL4" s="228"/>
      <c r="UBM4" s="226" t="s">
        <v>13330</v>
      </c>
      <c r="UBN4" s="227"/>
      <c r="UBO4" s="227"/>
      <c r="UBP4" s="228"/>
      <c r="UBQ4" s="226" t="s">
        <v>13330</v>
      </c>
      <c r="UBR4" s="227"/>
      <c r="UBS4" s="227"/>
      <c r="UBT4" s="228"/>
      <c r="UBU4" s="226" t="s">
        <v>13330</v>
      </c>
      <c r="UBV4" s="227"/>
      <c r="UBW4" s="227"/>
      <c r="UBX4" s="228"/>
      <c r="UBY4" s="226" t="s">
        <v>13330</v>
      </c>
      <c r="UBZ4" s="227"/>
      <c r="UCA4" s="227"/>
      <c r="UCB4" s="228"/>
      <c r="UCC4" s="226" t="s">
        <v>13330</v>
      </c>
      <c r="UCD4" s="227"/>
      <c r="UCE4" s="227"/>
      <c r="UCF4" s="228"/>
      <c r="UCG4" s="226" t="s">
        <v>13330</v>
      </c>
      <c r="UCH4" s="227"/>
      <c r="UCI4" s="227"/>
      <c r="UCJ4" s="228"/>
      <c r="UCK4" s="226" t="s">
        <v>13330</v>
      </c>
      <c r="UCL4" s="227"/>
      <c r="UCM4" s="227"/>
      <c r="UCN4" s="228"/>
      <c r="UCO4" s="226" t="s">
        <v>13330</v>
      </c>
      <c r="UCP4" s="227"/>
      <c r="UCQ4" s="227"/>
      <c r="UCR4" s="228"/>
      <c r="UCS4" s="226" t="s">
        <v>13330</v>
      </c>
      <c r="UCT4" s="227"/>
      <c r="UCU4" s="227"/>
      <c r="UCV4" s="228"/>
      <c r="UCW4" s="226" t="s">
        <v>13330</v>
      </c>
      <c r="UCX4" s="227"/>
      <c r="UCY4" s="227"/>
      <c r="UCZ4" s="228"/>
      <c r="UDA4" s="226" t="s">
        <v>13330</v>
      </c>
      <c r="UDB4" s="227"/>
      <c r="UDC4" s="227"/>
      <c r="UDD4" s="228"/>
      <c r="UDE4" s="226" t="s">
        <v>13330</v>
      </c>
      <c r="UDF4" s="227"/>
      <c r="UDG4" s="227"/>
      <c r="UDH4" s="228"/>
      <c r="UDI4" s="226" t="s">
        <v>13330</v>
      </c>
      <c r="UDJ4" s="227"/>
      <c r="UDK4" s="227"/>
      <c r="UDL4" s="228"/>
      <c r="UDM4" s="226" t="s">
        <v>13330</v>
      </c>
      <c r="UDN4" s="227"/>
      <c r="UDO4" s="227"/>
      <c r="UDP4" s="228"/>
      <c r="UDQ4" s="226" t="s">
        <v>13330</v>
      </c>
      <c r="UDR4" s="227"/>
      <c r="UDS4" s="227"/>
      <c r="UDT4" s="228"/>
      <c r="UDU4" s="226" t="s">
        <v>13330</v>
      </c>
      <c r="UDV4" s="227"/>
      <c r="UDW4" s="227"/>
      <c r="UDX4" s="228"/>
      <c r="UDY4" s="226" t="s">
        <v>13330</v>
      </c>
      <c r="UDZ4" s="227"/>
      <c r="UEA4" s="227"/>
      <c r="UEB4" s="228"/>
      <c r="UEC4" s="226" t="s">
        <v>13330</v>
      </c>
      <c r="UED4" s="227"/>
      <c r="UEE4" s="227"/>
      <c r="UEF4" s="228"/>
      <c r="UEG4" s="226" t="s">
        <v>13330</v>
      </c>
      <c r="UEH4" s="227"/>
      <c r="UEI4" s="227"/>
      <c r="UEJ4" s="228"/>
      <c r="UEK4" s="226" t="s">
        <v>13330</v>
      </c>
      <c r="UEL4" s="227"/>
      <c r="UEM4" s="227"/>
      <c r="UEN4" s="228"/>
      <c r="UEO4" s="226" t="s">
        <v>13330</v>
      </c>
      <c r="UEP4" s="227"/>
      <c r="UEQ4" s="227"/>
      <c r="UER4" s="228"/>
      <c r="UES4" s="226" t="s">
        <v>13330</v>
      </c>
      <c r="UET4" s="227"/>
      <c r="UEU4" s="227"/>
      <c r="UEV4" s="228"/>
      <c r="UEW4" s="226" t="s">
        <v>13330</v>
      </c>
      <c r="UEX4" s="227"/>
      <c r="UEY4" s="227"/>
      <c r="UEZ4" s="228"/>
      <c r="UFA4" s="226" t="s">
        <v>13330</v>
      </c>
      <c r="UFB4" s="227"/>
      <c r="UFC4" s="227"/>
      <c r="UFD4" s="228"/>
      <c r="UFE4" s="226" t="s">
        <v>13330</v>
      </c>
      <c r="UFF4" s="227"/>
      <c r="UFG4" s="227"/>
      <c r="UFH4" s="228"/>
      <c r="UFI4" s="226" t="s">
        <v>13330</v>
      </c>
      <c r="UFJ4" s="227"/>
      <c r="UFK4" s="227"/>
      <c r="UFL4" s="228"/>
      <c r="UFM4" s="226" t="s">
        <v>13330</v>
      </c>
      <c r="UFN4" s="227"/>
      <c r="UFO4" s="227"/>
      <c r="UFP4" s="228"/>
      <c r="UFQ4" s="226" t="s">
        <v>13330</v>
      </c>
      <c r="UFR4" s="227"/>
      <c r="UFS4" s="227"/>
      <c r="UFT4" s="228"/>
      <c r="UFU4" s="226" t="s">
        <v>13330</v>
      </c>
      <c r="UFV4" s="227"/>
      <c r="UFW4" s="227"/>
      <c r="UFX4" s="228"/>
      <c r="UFY4" s="226" t="s">
        <v>13330</v>
      </c>
      <c r="UFZ4" s="227"/>
      <c r="UGA4" s="227"/>
      <c r="UGB4" s="228"/>
      <c r="UGC4" s="226" t="s">
        <v>13330</v>
      </c>
      <c r="UGD4" s="227"/>
      <c r="UGE4" s="227"/>
      <c r="UGF4" s="228"/>
      <c r="UGG4" s="226" t="s">
        <v>13330</v>
      </c>
      <c r="UGH4" s="227"/>
      <c r="UGI4" s="227"/>
      <c r="UGJ4" s="228"/>
      <c r="UGK4" s="226" t="s">
        <v>13330</v>
      </c>
      <c r="UGL4" s="227"/>
      <c r="UGM4" s="227"/>
      <c r="UGN4" s="228"/>
      <c r="UGO4" s="226" t="s">
        <v>13330</v>
      </c>
      <c r="UGP4" s="227"/>
      <c r="UGQ4" s="227"/>
      <c r="UGR4" s="228"/>
      <c r="UGS4" s="226" t="s">
        <v>13330</v>
      </c>
      <c r="UGT4" s="227"/>
      <c r="UGU4" s="227"/>
      <c r="UGV4" s="228"/>
      <c r="UGW4" s="226" t="s">
        <v>13330</v>
      </c>
      <c r="UGX4" s="227"/>
      <c r="UGY4" s="227"/>
      <c r="UGZ4" s="228"/>
      <c r="UHA4" s="226" t="s">
        <v>13330</v>
      </c>
      <c r="UHB4" s="227"/>
      <c r="UHC4" s="227"/>
      <c r="UHD4" s="228"/>
      <c r="UHE4" s="226" t="s">
        <v>13330</v>
      </c>
      <c r="UHF4" s="227"/>
      <c r="UHG4" s="227"/>
      <c r="UHH4" s="228"/>
      <c r="UHI4" s="226" t="s">
        <v>13330</v>
      </c>
      <c r="UHJ4" s="227"/>
      <c r="UHK4" s="227"/>
      <c r="UHL4" s="228"/>
      <c r="UHM4" s="226" t="s">
        <v>13330</v>
      </c>
      <c r="UHN4" s="227"/>
      <c r="UHO4" s="227"/>
      <c r="UHP4" s="228"/>
      <c r="UHQ4" s="226" t="s">
        <v>13330</v>
      </c>
      <c r="UHR4" s="227"/>
      <c r="UHS4" s="227"/>
      <c r="UHT4" s="228"/>
      <c r="UHU4" s="226" t="s">
        <v>13330</v>
      </c>
      <c r="UHV4" s="227"/>
      <c r="UHW4" s="227"/>
      <c r="UHX4" s="228"/>
      <c r="UHY4" s="226" t="s">
        <v>13330</v>
      </c>
      <c r="UHZ4" s="227"/>
      <c r="UIA4" s="227"/>
      <c r="UIB4" s="228"/>
      <c r="UIC4" s="226" t="s">
        <v>13330</v>
      </c>
      <c r="UID4" s="227"/>
      <c r="UIE4" s="227"/>
      <c r="UIF4" s="228"/>
      <c r="UIG4" s="226" t="s">
        <v>13330</v>
      </c>
      <c r="UIH4" s="227"/>
      <c r="UII4" s="227"/>
      <c r="UIJ4" s="228"/>
      <c r="UIK4" s="226" t="s">
        <v>13330</v>
      </c>
      <c r="UIL4" s="227"/>
      <c r="UIM4" s="227"/>
      <c r="UIN4" s="228"/>
      <c r="UIO4" s="226" t="s">
        <v>13330</v>
      </c>
      <c r="UIP4" s="227"/>
      <c r="UIQ4" s="227"/>
      <c r="UIR4" s="228"/>
      <c r="UIS4" s="226" t="s">
        <v>13330</v>
      </c>
      <c r="UIT4" s="227"/>
      <c r="UIU4" s="227"/>
      <c r="UIV4" s="228"/>
      <c r="UIW4" s="226" t="s">
        <v>13330</v>
      </c>
      <c r="UIX4" s="227"/>
      <c r="UIY4" s="227"/>
      <c r="UIZ4" s="228"/>
      <c r="UJA4" s="226" t="s">
        <v>13330</v>
      </c>
      <c r="UJB4" s="227"/>
      <c r="UJC4" s="227"/>
      <c r="UJD4" s="228"/>
      <c r="UJE4" s="226" t="s">
        <v>13330</v>
      </c>
      <c r="UJF4" s="227"/>
      <c r="UJG4" s="227"/>
      <c r="UJH4" s="228"/>
      <c r="UJI4" s="226" t="s">
        <v>13330</v>
      </c>
      <c r="UJJ4" s="227"/>
      <c r="UJK4" s="227"/>
      <c r="UJL4" s="228"/>
      <c r="UJM4" s="226" t="s">
        <v>13330</v>
      </c>
      <c r="UJN4" s="227"/>
      <c r="UJO4" s="227"/>
      <c r="UJP4" s="228"/>
      <c r="UJQ4" s="226" t="s">
        <v>13330</v>
      </c>
      <c r="UJR4" s="227"/>
      <c r="UJS4" s="227"/>
      <c r="UJT4" s="228"/>
      <c r="UJU4" s="226" t="s">
        <v>13330</v>
      </c>
      <c r="UJV4" s="227"/>
      <c r="UJW4" s="227"/>
      <c r="UJX4" s="228"/>
      <c r="UJY4" s="226" t="s">
        <v>13330</v>
      </c>
      <c r="UJZ4" s="227"/>
      <c r="UKA4" s="227"/>
      <c r="UKB4" s="228"/>
      <c r="UKC4" s="226" t="s">
        <v>13330</v>
      </c>
      <c r="UKD4" s="227"/>
      <c r="UKE4" s="227"/>
      <c r="UKF4" s="228"/>
      <c r="UKG4" s="226" t="s">
        <v>13330</v>
      </c>
      <c r="UKH4" s="227"/>
      <c r="UKI4" s="227"/>
      <c r="UKJ4" s="228"/>
      <c r="UKK4" s="226" t="s">
        <v>13330</v>
      </c>
      <c r="UKL4" s="227"/>
      <c r="UKM4" s="227"/>
      <c r="UKN4" s="228"/>
      <c r="UKO4" s="226" t="s">
        <v>13330</v>
      </c>
      <c r="UKP4" s="227"/>
      <c r="UKQ4" s="227"/>
      <c r="UKR4" s="228"/>
      <c r="UKS4" s="226" t="s">
        <v>13330</v>
      </c>
      <c r="UKT4" s="227"/>
      <c r="UKU4" s="227"/>
      <c r="UKV4" s="228"/>
      <c r="UKW4" s="226" t="s">
        <v>13330</v>
      </c>
      <c r="UKX4" s="227"/>
      <c r="UKY4" s="227"/>
      <c r="UKZ4" s="228"/>
      <c r="ULA4" s="226" t="s">
        <v>13330</v>
      </c>
      <c r="ULB4" s="227"/>
      <c r="ULC4" s="227"/>
      <c r="ULD4" s="228"/>
      <c r="ULE4" s="226" t="s">
        <v>13330</v>
      </c>
      <c r="ULF4" s="227"/>
      <c r="ULG4" s="227"/>
      <c r="ULH4" s="228"/>
      <c r="ULI4" s="226" t="s">
        <v>13330</v>
      </c>
      <c r="ULJ4" s="227"/>
      <c r="ULK4" s="227"/>
      <c r="ULL4" s="228"/>
      <c r="ULM4" s="226" t="s">
        <v>13330</v>
      </c>
      <c r="ULN4" s="227"/>
      <c r="ULO4" s="227"/>
      <c r="ULP4" s="228"/>
      <c r="ULQ4" s="226" t="s">
        <v>13330</v>
      </c>
      <c r="ULR4" s="227"/>
      <c r="ULS4" s="227"/>
      <c r="ULT4" s="228"/>
      <c r="ULU4" s="226" t="s">
        <v>13330</v>
      </c>
      <c r="ULV4" s="227"/>
      <c r="ULW4" s="227"/>
      <c r="ULX4" s="228"/>
      <c r="ULY4" s="226" t="s">
        <v>13330</v>
      </c>
      <c r="ULZ4" s="227"/>
      <c r="UMA4" s="227"/>
      <c r="UMB4" s="228"/>
      <c r="UMC4" s="226" t="s">
        <v>13330</v>
      </c>
      <c r="UMD4" s="227"/>
      <c r="UME4" s="227"/>
      <c r="UMF4" s="228"/>
      <c r="UMG4" s="226" t="s">
        <v>13330</v>
      </c>
      <c r="UMH4" s="227"/>
      <c r="UMI4" s="227"/>
      <c r="UMJ4" s="228"/>
      <c r="UMK4" s="226" t="s">
        <v>13330</v>
      </c>
      <c r="UML4" s="227"/>
      <c r="UMM4" s="227"/>
      <c r="UMN4" s="228"/>
      <c r="UMO4" s="226" t="s">
        <v>13330</v>
      </c>
      <c r="UMP4" s="227"/>
      <c r="UMQ4" s="227"/>
      <c r="UMR4" s="228"/>
      <c r="UMS4" s="226" t="s">
        <v>13330</v>
      </c>
      <c r="UMT4" s="227"/>
      <c r="UMU4" s="227"/>
      <c r="UMV4" s="228"/>
      <c r="UMW4" s="226" t="s">
        <v>13330</v>
      </c>
      <c r="UMX4" s="227"/>
      <c r="UMY4" s="227"/>
      <c r="UMZ4" s="228"/>
      <c r="UNA4" s="226" t="s">
        <v>13330</v>
      </c>
      <c r="UNB4" s="227"/>
      <c r="UNC4" s="227"/>
      <c r="UND4" s="228"/>
      <c r="UNE4" s="226" t="s">
        <v>13330</v>
      </c>
      <c r="UNF4" s="227"/>
      <c r="UNG4" s="227"/>
      <c r="UNH4" s="228"/>
      <c r="UNI4" s="226" t="s">
        <v>13330</v>
      </c>
      <c r="UNJ4" s="227"/>
      <c r="UNK4" s="227"/>
      <c r="UNL4" s="228"/>
      <c r="UNM4" s="226" t="s">
        <v>13330</v>
      </c>
      <c r="UNN4" s="227"/>
      <c r="UNO4" s="227"/>
      <c r="UNP4" s="228"/>
      <c r="UNQ4" s="226" t="s">
        <v>13330</v>
      </c>
      <c r="UNR4" s="227"/>
      <c r="UNS4" s="227"/>
      <c r="UNT4" s="228"/>
      <c r="UNU4" s="226" t="s">
        <v>13330</v>
      </c>
      <c r="UNV4" s="227"/>
      <c r="UNW4" s="227"/>
      <c r="UNX4" s="228"/>
      <c r="UNY4" s="226" t="s">
        <v>13330</v>
      </c>
      <c r="UNZ4" s="227"/>
      <c r="UOA4" s="227"/>
      <c r="UOB4" s="228"/>
      <c r="UOC4" s="226" t="s">
        <v>13330</v>
      </c>
      <c r="UOD4" s="227"/>
      <c r="UOE4" s="227"/>
      <c r="UOF4" s="228"/>
      <c r="UOG4" s="226" t="s">
        <v>13330</v>
      </c>
      <c r="UOH4" s="227"/>
      <c r="UOI4" s="227"/>
      <c r="UOJ4" s="228"/>
      <c r="UOK4" s="226" t="s">
        <v>13330</v>
      </c>
      <c r="UOL4" s="227"/>
      <c r="UOM4" s="227"/>
      <c r="UON4" s="228"/>
      <c r="UOO4" s="226" t="s">
        <v>13330</v>
      </c>
      <c r="UOP4" s="227"/>
      <c r="UOQ4" s="227"/>
      <c r="UOR4" s="228"/>
      <c r="UOS4" s="226" t="s">
        <v>13330</v>
      </c>
      <c r="UOT4" s="227"/>
      <c r="UOU4" s="227"/>
      <c r="UOV4" s="228"/>
      <c r="UOW4" s="226" t="s">
        <v>13330</v>
      </c>
      <c r="UOX4" s="227"/>
      <c r="UOY4" s="227"/>
      <c r="UOZ4" s="228"/>
      <c r="UPA4" s="226" t="s">
        <v>13330</v>
      </c>
      <c r="UPB4" s="227"/>
      <c r="UPC4" s="227"/>
      <c r="UPD4" s="228"/>
      <c r="UPE4" s="226" t="s">
        <v>13330</v>
      </c>
      <c r="UPF4" s="227"/>
      <c r="UPG4" s="227"/>
      <c r="UPH4" s="228"/>
      <c r="UPI4" s="226" t="s">
        <v>13330</v>
      </c>
      <c r="UPJ4" s="227"/>
      <c r="UPK4" s="227"/>
      <c r="UPL4" s="228"/>
      <c r="UPM4" s="226" t="s">
        <v>13330</v>
      </c>
      <c r="UPN4" s="227"/>
      <c r="UPO4" s="227"/>
      <c r="UPP4" s="228"/>
      <c r="UPQ4" s="226" t="s">
        <v>13330</v>
      </c>
      <c r="UPR4" s="227"/>
      <c r="UPS4" s="227"/>
      <c r="UPT4" s="228"/>
      <c r="UPU4" s="226" t="s">
        <v>13330</v>
      </c>
      <c r="UPV4" s="227"/>
      <c r="UPW4" s="227"/>
      <c r="UPX4" s="228"/>
      <c r="UPY4" s="226" t="s">
        <v>13330</v>
      </c>
      <c r="UPZ4" s="227"/>
      <c r="UQA4" s="227"/>
      <c r="UQB4" s="228"/>
      <c r="UQC4" s="226" t="s">
        <v>13330</v>
      </c>
      <c r="UQD4" s="227"/>
      <c r="UQE4" s="227"/>
      <c r="UQF4" s="228"/>
      <c r="UQG4" s="226" t="s">
        <v>13330</v>
      </c>
      <c r="UQH4" s="227"/>
      <c r="UQI4" s="227"/>
      <c r="UQJ4" s="228"/>
      <c r="UQK4" s="226" t="s">
        <v>13330</v>
      </c>
      <c r="UQL4" s="227"/>
      <c r="UQM4" s="227"/>
      <c r="UQN4" s="228"/>
      <c r="UQO4" s="226" t="s">
        <v>13330</v>
      </c>
      <c r="UQP4" s="227"/>
      <c r="UQQ4" s="227"/>
      <c r="UQR4" s="228"/>
      <c r="UQS4" s="226" t="s">
        <v>13330</v>
      </c>
      <c r="UQT4" s="227"/>
      <c r="UQU4" s="227"/>
      <c r="UQV4" s="228"/>
      <c r="UQW4" s="226" t="s">
        <v>13330</v>
      </c>
      <c r="UQX4" s="227"/>
      <c r="UQY4" s="227"/>
      <c r="UQZ4" s="228"/>
      <c r="URA4" s="226" t="s">
        <v>13330</v>
      </c>
      <c r="URB4" s="227"/>
      <c r="URC4" s="227"/>
      <c r="URD4" s="228"/>
      <c r="URE4" s="226" t="s">
        <v>13330</v>
      </c>
      <c r="URF4" s="227"/>
      <c r="URG4" s="227"/>
      <c r="URH4" s="228"/>
      <c r="URI4" s="226" t="s">
        <v>13330</v>
      </c>
      <c r="URJ4" s="227"/>
      <c r="URK4" s="227"/>
      <c r="URL4" s="228"/>
      <c r="URM4" s="226" t="s">
        <v>13330</v>
      </c>
      <c r="URN4" s="227"/>
      <c r="URO4" s="227"/>
      <c r="URP4" s="228"/>
      <c r="URQ4" s="226" t="s">
        <v>13330</v>
      </c>
      <c r="URR4" s="227"/>
      <c r="URS4" s="227"/>
      <c r="URT4" s="228"/>
      <c r="URU4" s="226" t="s">
        <v>13330</v>
      </c>
      <c r="URV4" s="227"/>
      <c r="URW4" s="227"/>
      <c r="URX4" s="228"/>
      <c r="URY4" s="226" t="s">
        <v>13330</v>
      </c>
      <c r="URZ4" s="227"/>
      <c r="USA4" s="227"/>
      <c r="USB4" s="228"/>
      <c r="USC4" s="226" t="s">
        <v>13330</v>
      </c>
      <c r="USD4" s="227"/>
      <c r="USE4" s="227"/>
      <c r="USF4" s="228"/>
      <c r="USG4" s="226" t="s">
        <v>13330</v>
      </c>
      <c r="USH4" s="227"/>
      <c r="USI4" s="227"/>
      <c r="USJ4" s="228"/>
      <c r="USK4" s="226" t="s">
        <v>13330</v>
      </c>
      <c r="USL4" s="227"/>
      <c r="USM4" s="227"/>
      <c r="USN4" s="228"/>
      <c r="USO4" s="226" t="s">
        <v>13330</v>
      </c>
      <c r="USP4" s="227"/>
      <c r="USQ4" s="227"/>
      <c r="USR4" s="228"/>
      <c r="USS4" s="226" t="s">
        <v>13330</v>
      </c>
      <c r="UST4" s="227"/>
      <c r="USU4" s="227"/>
      <c r="USV4" s="228"/>
      <c r="USW4" s="226" t="s">
        <v>13330</v>
      </c>
      <c r="USX4" s="227"/>
      <c r="USY4" s="227"/>
      <c r="USZ4" s="228"/>
      <c r="UTA4" s="226" t="s">
        <v>13330</v>
      </c>
      <c r="UTB4" s="227"/>
      <c r="UTC4" s="227"/>
      <c r="UTD4" s="228"/>
      <c r="UTE4" s="226" t="s">
        <v>13330</v>
      </c>
      <c r="UTF4" s="227"/>
      <c r="UTG4" s="227"/>
      <c r="UTH4" s="228"/>
      <c r="UTI4" s="226" t="s">
        <v>13330</v>
      </c>
      <c r="UTJ4" s="227"/>
      <c r="UTK4" s="227"/>
      <c r="UTL4" s="228"/>
      <c r="UTM4" s="226" t="s">
        <v>13330</v>
      </c>
      <c r="UTN4" s="227"/>
      <c r="UTO4" s="227"/>
      <c r="UTP4" s="228"/>
      <c r="UTQ4" s="226" t="s">
        <v>13330</v>
      </c>
      <c r="UTR4" s="227"/>
      <c r="UTS4" s="227"/>
      <c r="UTT4" s="228"/>
      <c r="UTU4" s="226" t="s">
        <v>13330</v>
      </c>
      <c r="UTV4" s="227"/>
      <c r="UTW4" s="227"/>
      <c r="UTX4" s="228"/>
      <c r="UTY4" s="226" t="s">
        <v>13330</v>
      </c>
      <c r="UTZ4" s="227"/>
      <c r="UUA4" s="227"/>
      <c r="UUB4" s="228"/>
      <c r="UUC4" s="226" t="s">
        <v>13330</v>
      </c>
      <c r="UUD4" s="227"/>
      <c r="UUE4" s="227"/>
      <c r="UUF4" s="228"/>
      <c r="UUG4" s="226" t="s">
        <v>13330</v>
      </c>
      <c r="UUH4" s="227"/>
      <c r="UUI4" s="227"/>
      <c r="UUJ4" s="228"/>
      <c r="UUK4" s="226" t="s">
        <v>13330</v>
      </c>
      <c r="UUL4" s="227"/>
      <c r="UUM4" s="227"/>
      <c r="UUN4" s="228"/>
      <c r="UUO4" s="226" t="s">
        <v>13330</v>
      </c>
      <c r="UUP4" s="227"/>
      <c r="UUQ4" s="227"/>
      <c r="UUR4" s="228"/>
      <c r="UUS4" s="226" t="s">
        <v>13330</v>
      </c>
      <c r="UUT4" s="227"/>
      <c r="UUU4" s="227"/>
      <c r="UUV4" s="228"/>
      <c r="UUW4" s="226" t="s">
        <v>13330</v>
      </c>
      <c r="UUX4" s="227"/>
      <c r="UUY4" s="227"/>
      <c r="UUZ4" s="228"/>
      <c r="UVA4" s="226" t="s">
        <v>13330</v>
      </c>
      <c r="UVB4" s="227"/>
      <c r="UVC4" s="227"/>
      <c r="UVD4" s="228"/>
      <c r="UVE4" s="226" t="s">
        <v>13330</v>
      </c>
      <c r="UVF4" s="227"/>
      <c r="UVG4" s="227"/>
      <c r="UVH4" s="228"/>
      <c r="UVI4" s="226" t="s">
        <v>13330</v>
      </c>
      <c r="UVJ4" s="227"/>
      <c r="UVK4" s="227"/>
      <c r="UVL4" s="228"/>
      <c r="UVM4" s="226" t="s">
        <v>13330</v>
      </c>
      <c r="UVN4" s="227"/>
      <c r="UVO4" s="227"/>
      <c r="UVP4" s="228"/>
      <c r="UVQ4" s="226" t="s">
        <v>13330</v>
      </c>
      <c r="UVR4" s="227"/>
      <c r="UVS4" s="227"/>
      <c r="UVT4" s="228"/>
      <c r="UVU4" s="226" t="s">
        <v>13330</v>
      </c>
      <c r="UVV4" s="227"/>
      <c r="UVW4" s="227"/>
      <c r="UVX4" s="228"/>
      <c r="UVY4" s="226" t="s">
        <v>13330</v>
      </c>
      <c r="UVZ4" s="227"/>
      <c r="UWA4" s="227"/>
      <c r="UWB4" s="228"/>
      <c r="UWC4" s="226" t="s">
        <v>13330</v>
      </c>
      <c r="UWD4" s="227"/>
      <c r="UWE4" s="227"/>
      <c r="UWF4" s="228"/>
      <c r="UWG4" s="226" t="s">
        <v>13330</v>
      </c>
      <c r="UWH4" s="227"/>
      <c r="UWI4" s="227"/>
      <c r="UWJ4" s="228"/>
      <c r="UWK4" s="226" t="s">
        <v>13330</v>
      </c>
      <c r="UWL4" s="227"/>
      <c r="UWM4" s="227"/>
      <c r="UWN4" s="228"/>
      <c r="UWO4" s="226" t="s">
        <v>13330</v>
      </c>
      <c r="UWP4" s="227"/>
      <c r="UWQ4" s="227"/>
      <c r="UWR4" s="228"/>
      <c r="UWS4" s="226" t="s">
        <v>13330</v>
      </c>
      <c r="UWT4" s="227"/>
      <c r="UWU4" s="227"/>
      <c r="UWV4" s="228"/>
      <c r="UWW4" s="226" t="s">
        <v>13330</v>
      </c>
      <c r="UWX4" s="227"/>
      <c r="UWY4" s="227"/>
      <c r="UWZ4" s="228"/>
      <c r="UXA4" s="226" t="s">
        <v>13330</v>
      </c>
      <c r="UXB4" s="227"/>
      <c r="UXC4" s="227"/>
      <c r="UXD4" s="228"/>
      <c r="UXE4" s="226" t="s">
        <v>13330</v>
      </c>
      <c r="UXF4" s="227"/>
      <c r="UXG4" s="227"/>
      <c r="UXH4" s="228"/>
      <c r="UXI4" s="226" t="s">
        <v>13330</v>
      </c>
      <c r="UXJ4" s="227"/>
      <c r="UXK4" s="227"/>
      <c r="UXL4" s="228"/>
      <c r="UXM4" s="226" t="s">
        <v>13330</v>
      </c>
      <c r="UXN4" s="227"/>
      <c r="UXO4" s="227"/>
      <c r="UXP4" s="228"/>
      <c r="UXQ4" s="226" t="s">
        <v>13330</v>
      </c>
      <c r="UXR4" s="227"/>
      <c r="UXS4" s="227"/>
      <c r="UXT4" s="228"/>
      <c r="UXU4" s="226" t="s">
        <v>13330</v>
      </c>
      <c r="UXV4" s="227"/>
      <c r="UXW4" s="227"/>
      <c r="UXX4" s="228"/>
      <c r="UXY4" s="226" t="s">
        <v>13330</v>
      </c>
      <c r="UXZ4" s="227"/>
      <c r="UYA4" s="227"/>
      <c r="UYB4" s="228"/>
      <c r="UYC4" s="226" t="s">
        <v>13330</v>
      </c>
      <c r="UYD4" s="227"/>
      <c r="UYE4" s="227"/>
      <c r="UYF4" s="228"/>
      <c r="UYG4" s="226" t="s">
        <v>13330</v>
      </c>
      <c r="UYH4" s="227"/>
      <c r="UYI4" s="227"/>
      <c r="UYJ4" s="228"/>
      <c r="UYK4" s="226" t="s">
        <v>13330</v>
      </c>
      <c r="UYL4" s="227"/>
      <c r="UYM4" s="227"/>
      <c r="UYN4" s="228"/>
      <c r="UYO4" s="226" t="s">
        <v>13330</v>
      </c>
      <c r="UYP4" s="227"/>
      <c r="UYQ4" s="227"/>
      <c r="UYR4" s="228"/>
      <c r="UYS4" s="226" t="s">
        <v>13330</v>
      </c>
      <c r="UYT4" s="227"/>
      <c r="UYU4" s="227"/>
      <c r="UYV4" s="228"/>
      <c r="UYW4" s="226" t="s">
        <v>13330</v>
      </c>
      <c r="UYX4" s="227"/>
      <c r="UYY4" s="227"/>
      <c r="UYZ4" s="228"/>
      <c r="UZA4" s="226" t="s">
        <v>13330</v>
      </c>
      <c r="UZB4" s="227"/>
      <c r="UZC4" s="227"/>
      <c r="UZD4" s="228"/>
      <c r="UZE4" s="226" t="s">
        <v>13330</v>
      </c>
      <c r="UZF4" s="227"/>
      <c r="UZG4" s="227"/>
      <c r="UZH4" s="228"/>
      <c r="UZI4" s="226" t="s">
        <v>13330</v>
      </c>
      <c r="UZJ4" s="227"/>
      <c r="UZK4" s="227"/>
      <c r="UZL4" s="228"/>
      <c r="UZM4" s="226" t="s">
        <v>13330</v>
      </c>
      <c r="UZN4" s="227"/>
      <c r="UZO4" s="227"/>
      <c r="UZP4" s="228"/>
      <c r="UZQ4" s="226" t="s">
        <v>13330</v>
      </c>
      <c r="UZR4" s="227"/>
      <c r="UZS4" s="227"/>
      <c r="UZT4" s="228"/>
      <c r="UZU4" s="226" t="s">
        <v>13330</v>
      </c>
      <c r="UZV4" s="227"/>
      <c r="UZW4" s="227"/>
      <c r="UZX4" s="228"/>
      <c r="UZY4" s="226" t="s">
        <v>13330</v>
      </c>
      <c r="UZZ4" s="227"/>
      <c r="VAA4" s="227"/>
      <c r="VAB4" s="228"/>
      <c r="VAC4" s="226" t="s">
        <v>13330</v>
      </c>
      <c r="VAD4" s="227"/>
      <c r="VAE4" s="227"/>
      <c r="VAF4" s="228"/>
      <c r="VAG4" s="226" t="s">
        <v>13330</v>
      </c>
      <c r="VAH4" s="227"/>
      <c r="VAI4" s="227"/>
      <c r="VAJ4" s="228"/>
      <c r="VAK4" s="226" t="s">
        <v>13330</v>
      </c>
      <c r="VAL4" s="227"/>
      <c r="VAM4" s="227"/>
      <c r="VAN4" s="228"/>
      <c r="VAO4" s="226" t="s">
        <v>13330</v>
      </c>
      <c r="VAP4" s="227"/>
      <c r="VAQ4" s="227"/>
      <c r="VAR4" s="228"/>
      <c r="VAS4" s="226" t="s">
        <v>13330</v>
      </c>
      <c r="VAT4" s="227"/>
      <c r="VAU4" s="227"/>
      <c r="VAV4" s="228"/>
      <c r="VAW4" s="226" t="s">
        <v>13330</v>
      </c>
      <c r="VAX4" s="227"/>
      <c r="VAY4" s="227"/>
      <c r="VAZ4" s="228"/>
      <c r="VBA4" s="226" t="s">
        <v>13330</v>
      </c>
      <c r="VBB4" s="227"/>
      <c r="VBC4" s="227"/>
      <c r="VBD4" s="228"/>
      <c r="VBE4" s="226" t="s">
        <v>13330</v>
      </c>
      <c r="VBF4" s="227"/>
      <c r="VBG4" s="227"/>
      <c r="VBH4" s="228"/>
      <c r="VBI4" s="226" t="s">
        <v>13330</v>
      </c>
      <c r="VBJ4" s="227"/>
      <c r="VBK4" s="227"/>
      <c r="VBL4" s="228"/>
      <c r="VBM4" s="226" t="s">
        <v>13330</v>
      </c>
      <c r="VBN4" s="227"/>
      <c r="VBO4" s="227"/>
      <c r="VBP4" s="228"/>
      <c r="VBQ4" s="226" t="s">
        <v>13330</v>
      </c>
      <c r="VBR4" s="227"/>
      <c r="VBS4" s="227"/>
      <c r="VBT4" s="228"/>
      <c r="VBU4" s="226" t="s">
        <v>13330</v>
      </c>
      <c r="VBV4" s="227"/>
      <c r="VBW4" s="227"/>
      <c r="VBX4" s="228"/>
      <c r="VBY4" s="226" t="s">
        <v>13330</v>
      </c>
      <c r="VBZ4" s="227"/>
      <c r="VCA4" s="227"/>
      <c r="VCB4" s="228"/>
      <c r="VCC4" s="226" t="s">
        <v>13330</v>
      </c>
      <c r="VCD4" s="227"/>
      <c r="VCE4" s="227"/>
      <c r="VCF4" s="228"/>
      <c r="VCG4" s="226" t="s">
        <v>13330</v>
      </c>
      <c r="VCH4" s="227"/>
      <c r="VCI4" s="227"/>
      <c r="VCJ4" s="228"/>
      <c r="VCK4" s="226" t="s">
        <v>13330</v>
      </c>
      <c r="VCL4" s="227"/>
      <c r="VCM4" s="227"/>
      <c r="VCN4" s="228"/>
      <c r="VCO4" s="226" t="s">
        <v>13330</v>
      </c>
      <c r="VCP4" s="227"/>
      <c r="VCQ4" s="227"/>
      <c r="VCR4" s="228"/>
      <c r="VCS4" s="226" t="s">
        <v>13330</v>
      </c>
      <c r="VCT4" s="227"/>
      <c r="VCU4" s="227"/>
      <c r="VCV4" s="228"/>
      <c r="VCW4" s="226" t="s">
        <v>13330</v>
      </c>
      <c r="VCX4" s="227"/>
      <c r="VCY4" s="227"/>
      <c r="VCZ4" s="228"/>
      <c r="VDA4" s="226" t="s">
        <v>13330</v>
      </c>
      <c r="VDB4" s="227"/>
      <c r="VDC4" s="227"/>
      <c r="VDD4" s="228"/>
      <c r="VDE4" s="226" t="s">
        <v>13330</v>
      </c>
      <c r="VDF4" s="227"/>
      <c r="VDG4" s="227"/>
      <c r="VDH4" s="228"/>
      <c r="VDI4" s="226" t="s">
        <v>13330</v>
      </c>
      <c r="VDJ4" s="227"/>
      <c r="VDK4" s="227"/>
      <c r="VDL4" s="228"/>
      <c r="VDM4" s="226" t="s">
        <v>13330</v>
      </c>
      <c r="VDN4" s="227"/>
      <c r="VDO4" s="227"/>
      <c r="VDP4" s="228"/>
      <c r="VDQ4" s="226" t="s">
        <v>13330</v>
      </c>
      <c r="VDR4" s="227"/>
      <c r="VDS4" s="227"/>
      <c r="VDT4" s="228"/>
      <c r="VDU4" s="226" t="s">
        <v>13330</v>
      </c>
      <c r="VDV4" s="227"/>
      <c r="VDW4" s="227"/>
      <c r="VDX4" s="228"/>
      <c r="VDY4" s="226" t="s">
        <v>13330</v>
      </c>
      <c r="VDZ4" s="227"/>
      <c r="VEA4" s="227"/>
      <c r="VEB4" s="228"/>
      <c r="VEC4" s="226" t="s">
        <v>13330</v>
      </c>
      <c r="VED4" s="227"/>
      <c r="VEE4" s="227"/>
      <c r="VEF4" s="228"/>
      <c r="VEG4" s="226" t="s">
        <v>13330</v>
      </c>
      <c r="VEH4" s="227"/>
      <c r="VEI4" s="227"/>
      <c r="VEJ4" s="228"/>
      <c r="VEK4" s="226" t="s">
        <v>13330</v>
      </c>
      <c r="VEL4" s="227"/>
      <c r="VEM4" s="227"/>
      <c r="VEN4" s="228"/>
      <c r="VEO4" s="226" t="s">
        <v>13330</v>
      </c>
      <c r="VEP4" s="227"/>
      <c r="VEQ4" s="227"/>
      <c r="VER4" s="228"/>
      <c r="VES4" s="226" t="s">
        <v>13330</v>
      </c>
      <c r="VET4" s="227"/>
      <c r="VEU4" s="227"/>
      <c r="VEV4" s="228"/>
      <c r="VEW4" s="226" t="s">
        <v>13330</v>
      </c>
      <c r="VEX4" s="227"/>
      <c r="VEY4" s="227"/>
      <c r="VEZ4" s="228"/>
      <c r="VFA4" s="226" t="s">
        <v>13330</v>
      </c>
      <c r="VFB4" s="227"/>
      <c r="VFC4" s="227"/>
      <c r="VFD4" s="228"/>
      <c r="VFE4" s="226" t="s">
        <v>13330</v>
      </c>
      <c r="VFF4" s="227"/>
      <c r="VFG4" s="227"/>
      <c r="VFH4" s="228"/>
      <c r="VFI4" s="226" t="s">
        <v>13330</v>
      </c>
      <c r="VFJ4" s="227"/>
      <c r="VFK4" s="227"/>
      <c r="VFL4" s="228"/>
      <c r="VFM4" s="226" t="s">
        <v>13330</v>
      </c>
      <c r="VFN4" s="227"/>
      <c r="VFO4" s="227"/>
      <c r="VFP4" s="228"/>
      <c r="VFQ4" s="226" t="s">
        <v>13330</v>
      </c>
      <c r="VFR4" s="227"/>
      <c r="VFS4" s="227"/>
      <c r="VFT4" s="228"/>
      <c r="VFU4" s="226" t="s">
        <v>13330</v>
      </c>
      <c r="VFV4" s="227"/>
      <c r="VFW4" s="227"/>
      <c r="VFX4" s="228"/>
      <c r="VFY4" s="226" t="s">
        <v>13330</v>
      </c>
      <c r="VFZ4" s="227"/>
      <c r="VGA4" s="227"/>
      <c r="VGB4" s="228"/>
      <c r="VGC4" s="226" t="s">
        <v>13330</v>
      </c>
      <c r="VGD4" s="227"/>
      <c r="VGE4" s="227"/>
      <c r="VGF4" s="228"/>
      <c r="VGG4" s="226" t="s">
        <v>13330</v>
      </c>
      <c r="VGH4" s="227"/>
      <c r="VGI4" s="227"/>
      <c r="VGJ4" s="228"/>
      <c r="VGK4" s="226" t="s">
        <v>13330</v>
      </c>
      <c r="VGL4" s="227"/>
      <c r="VGM4" s="227"/>
      <c r="VGN4" s="228"/>
      <c r="VGO4" s="226" t="s">
        <v>13330</v>
      </c>
      <c r="VGP4" s="227"/>
      <c r="VGQ4" s="227"/>
      <c r="VGR4" s="228"/>
      <c r="VGS4" s="226" t="s">
        <v>13330</v>
      </c>
      <c r="VGT4" s="227"/>
      <c r="VGU4" s="227"/>
      <c r="VGV4" s="228"/>
      <c r="VGW4" s="226" t="s">
        <v>13330</v>
      </c>
      <c r="VGX4" s="227"/>
      <c r="VGY4" s="227"/>
      <c r="VGZ4" s="228"/>
      <c r="VHA4" s="226" t="s">
        <v>13330</v>
      </c>
      <c r="VHB4" s="227"/>
      <c r="VHC4" s="227"/>
      <c r="VHD4" s="228"/>
      <c r="VHE4" s="226" t="s">
        <v>13330</v>
      </c>
      <c r="VHF4" s="227"/>
      <c r="VHG4" s="227"/>
      <c r="VHH4" s="228"/>
      <c r="VHI4" s="226" t="s">
        <v>13330</v>
      </c>
      <c r="VHJ4" s="227"/>
      <c r="VHK4" s="227"/>
      <c r="VHL4" s="228"/>
      <c r="VHM4" s="226" t="s">
        <v>13330</v>
      </c>
      <c r="VHN4" s="227"/>
      <c r="VHO4" s="227"/>
      <c r="VHP4" s="228"/>
      <c r="VHQ4" s="226" t="s">
        <v>13330</v>
      </c>
      <c r="VHR4" s="227"/>
      <c r="VHS4" s="227"/>
      <c r="VHT4" s="228"/>
      <c r="VHU4" s="226" t="s">
        <v>13330</v>
      </c>
      <c r="VHV4" s="227"/>
      <c r="VHW4" s="227"/>
      <c r="VHX4" s="228"/>
      <c r="VHY4" s="226" t="s">
        <v>13330</v>
      </c>
      <c r="VHZ4" s="227"/>
      <c r="VIA4" s="227"/>
      <c r="VIB4" s="228"/>
      <c r="VIC4" s="226" t="s">
        <v>13330</v>
      </c>
      <c r="VID4" s="227"/>
      <c r="VIE4" s="227"/>
      <c r="VIF4" s="228"/>
      <c r="VIG4" s="226" t="s">
        <v>13330</v>
      </c>
      <c r="VIH4" s="227"/>
      <c r="VII4" s="227"/>
      <c r="VIJ4" s="228"/>
      <c r="VIK4" s="226" t="s">
        <v>13330</v>
      </c>
      <c r="VIL4" s="227"/>
      <c r="VIM4" s="227"/>
      <c r="VIN4" s="228"/>
      <c r="VIO4" s="226" t="s">
        <v>13330</v>
      </c>
      <c r="VIP4" s="227"/>
      <c r="VIQ4" s="227"/>
      <c r="VIR4" s="228"/>
      <c r="VIS4" s="226" t="s">
        <v>13330</v>
      </c>
      <c r="VIT4" s="227"/>
      <c r="VIU4" s="227"/>
      <c r="VIV4" s="228"/>
      <c r="VIW4" s="226" t="s">
        <v>13330</v>
      </c>
      <c r="VIX4" s="227"/>
      <c r="VIY4" s="227"/>
      <c r="VIZ4" s="228"/>
      <c r="VJA4" s="226" t="s">
        <v>13330</v>
      </c>
      <c r="VJB4" s="227"/>
      <c r="VJC4" s="227"/>
      <c r="VJD4" s="228"/>
      <c r="VJE4" s="226" t="s">
        <v>13330</v>
      </c>
      <c r="VJF4" s="227"/>
      <c r="VJG4" s="227"/>
      <c r="VJH4" s="228"/>
      <c r="VJI4" s="226" t="s">
        <v>13330</v>
      </c>
      <c r="VJJ4" s="227"/>
      <c r="VJK4" s="227"/>
      <c r="VJL4" s="228"/>
      <c r="VJM4" s="226" t="s">
        <v>13330</v>
      </c>
      <c r="VJN4" s="227"/>
      <c r="VJO4" s="227"/>
      <c r="VJP4" s="228"/>
      <c r="VJQ4" s="226" t="s">
        <v>13330</v>
      </c>
      <c r="VJR4" s="227"/>
      <c r="VJS4" s="227"/>
      <c r="VJT4" s="228"/>
      <c r="VJU4" s="226" t="s">
        <v>13330</v>
      </c>
      <c r="VJV4" s="227"/>
      <c r="VJW4" s="227"/>
      <c r="VJX4" s="228"/>
      <c r="VJY4" s="226" t="s">
        <v>13330</v>
      </c>
      <c r="VJZ4" s="227"/>
      <c r="VKA4" s="227"/>
      <c r="VKB4" s="228"/>
      <c r="VKC4" s="226" t="s">
        <v>13330</v>
      </c>
      <c r="VKD4" s="227"/>
      <c r="VKE4" s="227"/>
      <c r="VKF4" s="228"/>
      <c r="VKG4" s="226" t="s">
        <v>13330</v>
      </c>
      <c r="VKH4" s="227"/>
      <c r="VKI4" s="227"/>
      <c r="VKJ4" s="228"/>
      <c r="VKK4" s="226" t="s">
        <v>13330</v>
      </c>
      <c r="VKL4" s="227"/>
      <c r="VKM4" s="227"/>
      <c r="VKN4" s="228"/>
      <c r="VKO4" s="226" t="s">
        <v>13330</v>
      </c>
      <c r="VKP4" s="227"/>
      <c r="VKQ4" s="227"/>
      <c r="VKR4" s="228"/>
      <c r="VKS4" s="226" t="s">
        <v>13330</v>
      </c>
      <c r="VKT4" s="227"/>
      <c r="VKU4" s="227"/>
      <c r="VKV4" s="228"/>
      <c r="VKW4" s="226" t="s">
        <v>13330</v>
      </c>
      <c r="VKX4" s="227"/>
      <c r="VKY4" s="227"/>
      <c r="VKZ4" s="228"/>
      <c r="VLA4" s="226" t="s">
        <v>13330</v>
      </c>
      <c r="VLB4" s="227"/>
      <c r="VLC4" s="227"/>
      <c r="VLD4" s="228"/>
      <c r="VLE4" s="226" t="s">
        <v>13330</v>
      </c>
      <c r="VLF4" s="227"/>
      <c r="VLG4" s="227"/>
      <c r="VLH4" s="228"/>
      <c r="VLI4" s="226" t="s">
        <v>13330</v>
      </c>
      <c r="VLJ4" s="227"/>
      <c r="VLK4" s="227"/>
      <c r="VLL4" s="228"/>
      <c r="VLM4" s="226" t="s">
        <v>13330</v>
      </c>
      <c r="VLN4" s="227"/>
      <c r="VLO4" s="227"/>
      <c r="VLP4" s="228"/>
      <c r="VLQ4" s="226" t="s">
        <v>13330</v>
      </c>
      <c r="VLR4" s="227"/>
      <c r="VLS4" s="227"/>
      <c r="VLT4" s="228"/>
      <c r="VLU4" s="226" t="s">
        <v>13330</v>
      </c>
      <c r="VLV4" s="227"/>
      <c r="VLW4" s="227"/>
      <c r="VLX4" s="228"/>
      <c r="VLY4" s="226" t="s">
        <v>13330</v>
      </c>
      <c r="VLZ4" s="227"/>
      <c r="VMA4" s="227"/>
      <c r="VMB4" s="228"/>
      <c r="VMC4" s="226" t="s">
        <v>13330</v>
      </c>
      <c r="VMD4" s="227"/>
      <c r="VME4" s="227"/>
      <c r="VMF4" s="228"/>
      <c r="VMG4" s="226" t="s">
        <v>13330</v>
      </c>
      <c r="VMH4" s="227"/>
      <c r="VMI4" s="227"/>
      <c r="VMJ4" s="228"/>
      <c r="VMK4" s="226" t="s">
        <v>13330</v>
      </c>
      <c r="VML4" s="227"/>
      <c r="VMM4" s="227"/>
      <c r="VMN4" s="228"/>
      <c r="VMO4" s="226" t="s">
        <v>13330</v>
      </c>
      <c r="VMP4" s="227"/>
      <c r="VMQ4" s="227"/>
      <c r="VMR4" s="228"/>
      <c r="VMS4" s="226" t="s">
        <v>13330</v>
      </c>
      <c r="VMT4" s="227"/>
      <c r="VMU4" s="227"/>
      <c r="VMV4" s="228"/>
      <c r="VMW4" s="226" t="s">
        <v>13330</v>
      </c>
      <c r="VMX4" s="227"/>
      <c r="VMY4" s="227"/>
      <c r="VMZ4" s="228"/>
      <c r="VNA4" s="226" t="s">
        <v>13330</v>
      </c>
      <c r="VNB4" s="227"/>
      <c r="VNC4" s="227"/>
      <c r="VND4" s="228"/>
      <c r="VNE4" s="226" t="s">
        <v>13330</v>
      </c>
      <c r="VNF4" s="227"/>
      <c r="VNG4" s="227"/>
      <c r="VNH4" s="228"/>
      <c r="VNI4" s="226" t="s">
        <v>13330</v>
      </c>
      <c r="VNJ4" s="227"/>
      <c r="VNK4" s="227"/>
      <c r="VNL4" s="228"/>
      <c r="VNM4" s="226" t="s">
        <v>13330</v>
      </c>
      <c r="VNN4" s="227"/>
      <c r="VNO4" s="227"/>
      <c r="VNP4" s="228"/>
      <c r="VNQ4" s="226" t="s">
        <v>13330</v>
      </c>
      <c r="VNR4" s="227"/>
      <c r="VNS4" s="227"/>
      <c r="VNT4" s="228"/>
      <c r="VNU4" s="226" t="s">
        <v>13330</v>
      </c>
      <c r="VNV4" s="227"/>
      <c r="VNW4" s="227"/>
      <c r="VNX4" s="228"/>
      <c r="VNY4" s="226" t="s">
        <v>13330</v>
      </c>
      <c r="VNZ4" s="227"/>
      <c r="VOA4" s="227"/>
      <c r="VOB4" s="228"/>
      <c r="VOC4" s="226" t="s">
        <v>13330</v>
      </c>
      <c r="VOD4" s="227"/>
      <c r="VOE4" s="227"/>
      <c r="VOF4" s="228"/>
      <c r="VOG4" s="226" t="s">
        <v>13330</v>
      </c>
      <c r="VOH4" s="227"/>
      <c r="VOI4" s="227"/>
      <c r="VOJ4" s="228"/>
      <c r="VOK4" s="226" t="s">
        <v>13330</v>
      </c>
      <c r="VOL4" s="227"/>
      <c r="VOM4" s="227"/>
      <c r="VON4" s="228"/>
      <c r="VOO4" s="226" t="s">
        <v>13330</v>
      </c>
      <c r="VOP4" s="227"/>
      <c r="VOQ4" s="227"/>
      <c r="VOR4" s="228"/>
      <c r="VOS4" s="226" t="s">
        <v>13330</v>
      </c>
      <c r="VOT4" s="227"/>
      <c r="VOU4" s="227"/>
      <c r="VOV4" s="228"/>
      <c r="VOW4" s="226" t="s">
        <v>13330</v>
      </c>
      <c r="VOX4" s="227"/>
      <c r="VOY4" s="227"/>
      <c r="VOZ4" s="228"/>
      <c r="VPA4" s="226" t="s">
        <v>13330</v>
      </c>
      <c r="VPB4" s="227"/>
      <c r="VPC4" s="227"/>
      <c r="VPD4" s="228"/>
      <c r="VPE4" s="226" t="s">
        <v>13330</v>
      </c>
      <c r="VPF4" s="227"/>
      <c r="VPG4" s="227"/>
      <c r="VPH4" s="228"/>
      <c r="VPI4" s="226" t="s">
        <v>13330</v>
      </c>
      <c r="VPJ4" s="227"/>
      <c r="VPK4" s="227"/>
      <c r="VPL4" s="228"/>
      <c r="VPM4" s="226" t="s">
        <v>13330</v>
      </c>
      <c r="VPN4" s="227"/>
      <c r="VPO4" s="227"/>
      <c r="VPP4" s="228"/>
      <c r="VPQ4" s="226" t="s">
        <v>13330</v>
      </c>
      <c r="VPR4" s="227"/>
      <c r="VPS4" s="227"/>
      <c r="VPT4" s="228"/>
      <c r="VPU4" s="226" t="s">
        <v>13330</v>
      </c>
      <c r="VPV4" s="227"/>
      <c r="VPW4" s="227"/>
      <c r="VPX4" s="228"/>
      <c r="VPY4" s="226" t="s">
        <v>13330</v>
      </c>
      <c r="VPZ4" s="227"/>
      <c r="VQA4" s="227"/>
      <c r="VQB4" s="228"/>
      <c r="VQC4" s="226" t="s">
        <v>13330</v>
      </c>
      <c r="VQD4" s="227"/>
      <c r="VQE4" s="227"/>
      <c r="VQF4" s="228"/>
      <c r="VQG4" s="226" t="s">
        <v>13330</v>
      </c>
      <c r="VQH4" s="227"/>
      <c r="VQI4" s="227"/>
      <c r="VQJ4" s="228"/>
      <c r="VQK4" s="226" t="s">
        <v>13330</v>
      </c>
      <c r="VQL4" s="227"/>
      <c r="VQM4" s="227"/>
      <c r="VQN4" s="228"/>
      <c r="VQO4" s="226" t="s">
        <v>13330</v>
      </c>
      <c r="VQP4" s="227"/>
      <c r="VQQ4" s="227"/>
      <c r="VQR4" s="228"/>
      <c r="VQS4" s="226" t="s">
        <v>13330</v>
      </c>
      <c r="VQT4" s="227"/>
      <c r="VQU4" s="227"/>
      <c r="VQV4" s="228"/>
      <c r="VQW4" s="226" t="s">
        <v>13330</v>
      </c>
      <c r="VQX4" s="227"/>
      <c r="VQY4" s="227"/>
      <c r="VQZ4" s="228"/>
      <c r="VRA4" s="226" t="s">
        <v>13330</v>
      </c>
      <c r="VRB4" s="227"/>
      <c r="VRC4" s="227"/>
      <c r="VRD4" s="228"/>
      <c r="VRE4" s="226" t="s">
        <v>13330</v>
      </c>
      <c r="VRF4" s="227"/>
      <c r="VRG4" s="227"/>
      <c r="VRH4" s="228"/>
      <c r="VRI4" s="226" t="s">
        <v>13330</v>
      </c>
      <c r="VRJ4" s="227"/>
      <c r="VRK4" s="227"/>
      <c r="VRL4" s="228"/>
      <c r="VRM4" s="226" t="s">
        <v>13330</v>
      </c>
      <c r="VRN4" s="227"/>
      <c r="VRO4" s="227"/>
      <c r="VRP4" s="228"/>
      <c r="VRQ4" s="226" t="s">
        <v>13330</v>
      </c>
      <c r="VRR4" s="227"/>
      <c r="VRS4" s="227"/>
      <c r="VRT4" s="228"/>
      <c r="VRU4" s="226" t="s">
        <v>13330</v>
      </c>
      <c r="VRV4" s="227"/>
      <c r="VRW4" s="227"/>
      <c r="VRX4" s="228"/>
      <c r="VRY4" s="226" t="s">
        <v>13330</v>
      </c>
      <c r="VRZ4" s="227"/>
      <c r="VSA4" s="227"/>
      <c r="VSB4" s="228"/>
      <c r="VSC4" s="226" t="s">
        <v>13330</v>
      </c>
      <c r="VSD4" s="227"/>
      <c r="VSE4" s="227"/>
      <c r="VSF4" s="228"/>
      <c r="VSG4" s="226" t="s">
        <v>13330</v>
      </c>
      <c r="VSH4" s="227"/>
      <c r="VSI4" s="227"/>
      <c r="VSJ4" s="228"/>
      <c r="VSK4" s="226" t="s">
        <v>13330</v>
      </c>
      <c r="VSL4" s="227"/>
      <c r="VSM4" s="227"/>
      <c r="VSN4" s="228"/>
      <c r="VSO4" s="226" t="s">
        <v>13330</v>
      </c>
      <c r="VSP4" s="227"/>
      <c r="VSQ4" s="227"/>
      <c r="VSR4" s="228"/>
      <c r="VSS4" s="226" t="s">
        <v>13330</v>
      </c>
      <c r="VST4" s="227"/>
      <c r="VSU4" s="227"/>
      <c r="VSV4" s="228"/>
      <c r="VSW4" s="226" t="s">
        <v>13330</v>
      </c>
      <c r="VSX4" s="227"/>
      <c r="VSY4" s="227"/>
      <c r="VSZ4" s="228"/>
      <c r="VTA4" s="226" t="s">
        <v>13330</v>
      </c>
      <c r="VTB4" s="227"/>
      <c r="VTC4" s="227"/>
      <c r="VTD4" s="228"/>
      <c r="VTE4" s="226" t="s">
        <v>13330</v>
      </c>
      <c r="VTF4" s="227"/>
      <c r="VTG4" s="227"/>
      <c r="VTH4" s="228"/>
      <c r="VTI4" s="226" t="s">
        <v>13330</v>
      </c>
      <c r="VTJ4" s="227"/>
      <c r="VTK4" s="227"/>
      <c r="VTL4" s="228"/>
      <c r="VTM4" s="226" t="s">
        <v>13330</v>
      </c>
      <c r="VTN4" s="227"/>
      <c r="VTO4" s="227"/>
      <c r="VTP4" s="228"/>
      <c r="VTQ4" s="226" t="s">
        <v>13330</v>
      </c>
      <c r="VTR4" s="227"/>
      <c r="VTS4" s="227"/>
      <c r="VTT4" s="228"/>
      <c r="VTU4" s="226" t="s">
        <v>13330</v>
      </c>
      <c r="VTV4" s="227"/>
      <c r="VTW4" s="227"/>
      <c r="VTX4" s="228"/>
      <c r="VTY4" s="226" t="s">
        <v>13330</v>
      </c>
      <c r="VTZ4" s="227"/>
      <c r="VUA4" s="227"/>
      <c r="VUB4" s="228"/>
      <c r="VUC4" s="226" t="s">
        <v>13330</v>
      </c>
      <c r="VUD4" s="227"/>
      <c r="VUE4" s="227"/>
      <c r="VUF4" s="228"/>
      <c r="VUG4" s="226" t="s">
        <v>13330</v>
      </c>
      <c r="VUH4" s="227"/>
      <c r="VUI4" s="227"/>
      <c r="VUJ4" s="228"/>
      <c r="VUK4" s="226" t="s">
        <v>13330</v>
      </c>
      <c r="VUL4" s="227"/>
      <c r="VUM4" s="227"/>
      <c r="VUN4" s="228"/>
      <c r="VUO4" s="226" t="s">
        <v>13330</v>
      </c>
      <c r="VUP4" s="227"/>
      <c r="VUQ4" s="227"/>
      <c r="VUR4" s="228"/>
      <c r="VUS4" s="226" t="s">
        <v>13330</v>
      </c>
      <c r="VUT4" s="227"/>
      <c r="VUU4" s="227"/>
      <c r="VUV4" s="228"/>
      <c r="VUW4" s="226" t="s">
        <v>13330</v>
      </c>
      <c r="VUX4" s="227"/>
      <c r="VUY4" s="227"/>
      <c r="VUZ4" s="228"/>
      <c r="VVA4" s="226" t="s">
        <v>13330</v>
      </c>
      <c r="VVB4" s="227"/>
      <c r="VVC4" s="227"/>
      <c r="VVD4" s="228"/>
      <c r="VVE4" s="226" t="s">
        <v>13330</v>
      </c>
      <c r="VVF4" s="227"/>
      <c r="VVG4" s="227"/>
      <c r="VVH4" s="228"/>
      <c r="VVI4" s="226" t="s">
        <v>13330</v>
      </c>
      <c r="VVJ4" s="227"/>
      <c r="VVK4" s="227"/>
      <c r="VVL4" s="228"/>
      <c r="VVM4" s="226" t="s">
        <v>13330</v>
      </c>
      <c r="VVN4" s="227"/>
      <c r="VVO4" s="227"/>
      <c r="VVP4" s="228"/>
      <c r="VVQ4" s="226" t="s">
        <v>13330</v>
      </c>
      <c r="VVR4" s="227"/>
      <c r="VVS4" s="227"/>
      <c r="VVT4" s="228"/>
      <c r="VVU4" s="226" t="s">
        <v>13330</v>
      </c>
      <c r="VVV4" s="227"/>
      <c r="VVW4" s="227"/>
      <c r="VVX4" s="228"/>
      <c r="VVY4" s="226" t="s">
        <v>13330</v>
      </c>
      <c r="VVZ4" s="227"/>
      <c r="VWA4" s="227"/>
      <c r="VWB4" s="228"/>
      <c r="VWC4" s="226" t="s">
        <v>13330</v>
      </c>
      <c r="VWD4" s="227"/>
      <c r="VWE4" s="227"/>
      <c r="VWF4" s="228"/>
      <c r="VWG4" s="226" t="s">
        <v>13330</v>
      </c>
      <c r="VWH4" s="227"/>
      <c r="VWI4" s="227"/>
      <c r="VWJ4" s="228"/>
      <c r="VWK4" s="226" t="s">
        <v>13330</v>
      </c>
      <c r="VWL4" s="227"/>
      <c r="VWM4" s="227"/>
      <c r="VWN4" s="228"/>
      <c r="VWO4" s="226" t="s">
        <v>13330</v>
      </c>
      <c r="VWP4" s="227"/>
      <c r="VWQ4" s="227"/>
      <c r="VWR4" s="228"/>
      <c r="VWS4" s="226" t="s">
        <v>13330</v>
      </c>
      <c r="VWT4" s="227"/>
      <c r="VWU4" s="227"/>
      <c r="VWV4" s="228"/>
      <c r="VWW4" s="226" t="s">
        <v>13330</v>
      </c>
      <c r="VWX4" s="227"/>
      <c r="VWY4" s="227"/>
      <c r="VWZ4" s="228"/>
      <c r="VXA4" s="226" t="s">
        <v>13330</v>
      </c>
      <c r="VXB4" s="227"/>
      <c r="VXC4" s="227"/>
      <c r="VXD4" s="228"/>
      <c r="VXE4" s="226" t="s">
        <v>13330</v>
      </c>
      <c r="VXF4" s="227"/>
      <c r="VXG4" s="227"/>
      <c r="VXH4" s="228"/>
      <c r="VXI4" s="226" t="s">
        <v>13330</v>
      </c>
      <c r="VXJ4" s="227"/>
      <c r="VXK4" s="227"/>
      <c r="VXL4" s="228"/>
      <c r="VXM4" s="226" t="s">
        <v>13330</v>
      </c>
      <c r="VXN4" s="227"/>
      <c r="VXO4" s="227"/>
      <c r="VXP4" s="228"/>
      <c r="VXQ4" s="226" t="s">
        <v>13330</v>
      </c>
      <c r="VXR4" s="227"/>
      <c r="VXS4" s="227"/>
      <c r="VXT4" s="228"/>
      <c r="VXU4" s="226" t="s">
        <v>13330</v>
      </c>
      <c r="VXV4" s="227"/>
      <c r="VXW4" s="227"/>
      <c r="VXX4" s="228"/>
      <c r="VXY4" s="226" t="s">
        <v>13330</v>
      </c>
      <c r="VXZ4" s="227"/>
      <c r="VYA4" s="227"/>
      <c r="VYB4" s="228"/>
      <c r="VYC4" s="226" t="s">
        <v>13330</v>
      </c>
      <c r="VYD4" s="227"/>
      <c r="VYE4" s="227"/>
      <c r="VYF4" s="228"/>
      <c r="VYG4" s="226" t="s">
        <v>13330</v>
      </c>
      <c r="VYH4" s="227"/>
      <c r="VYI4" s="227"/>
      <c r="VYJ4" s="228"/>
      <c r="VYK4" s="226" t="s">
        <v>13330</v>
      </c>
      <c r="VYL4" s="227"/>
      <c r="VYM4" s="227"/>
      <c r="VYN4" s="228"/>
      <c r="VYO4" s="226" t="s">
        <v>13330</v>
      </c>
      <c r="VYP4" s="227"/>
      <c r="VYQ4" s="227"/>
      <c r="VYR4" s="228"/>
      <c r="VYS4" s="226" t="s">
        <v>13330</v>
      </c>
      <c r="VYT4" s="227"/>
      <c r="VYU4" s="227"/>
      <c r="VYV4" s="228"/>
      <c r="VYW4" s="226" t="s">
        <v>13330</v>
      </c>
      <c r="VYX4" s="227"/>
      <c r="VYY4" s="227"/>
      <c r="VYZ4" s="228"/>
      <c r="VZA4" s="226" t="s">
        <v>13330</v>
      </c>
      <c r="VZB4" s="227"/>
      <c r="VZC4" s="227"/>
      <c r="VZD4" s="228"/>
      <c r="VZE4" s="226" t="s">
        <v>13330</v>
      </c>
      <c r="VZF4" s="227"/>
      <c r="VZG4" s="227"/>
      <c r="VZH4" s="228"/>
      <c r="VZI4" s="226" t="s">
        <v>13330</v>
      </c>
      <c r="VZJ4" s="227"/>
      <c r="VZK4" s="227"/>
      <c r="VZL4" s="228"/>
      <c r="VZM4" s="226" t="s">
        <v>13330</v>
      </c>
      <c r="VZN4" s="227"/>
      <c r="VZO4" s="227"/>
      <c r="VZP4" s="228"/>
      <c r="VZQ4" s="226" t="s">
        <v>13330</v>
      </c>
      <c r="VZR4" s="227"/>
      <c r="VZS4" s="227"/>
      <c r="VZT4" s="228"/>
      <c r="VZU4" s="226" t="s">
        <v>13330</v>
      </c>
      <c r="VZV4" s="227"/>
      <c r="VZW4" s="227"/>
      <c r="VZX4" s="228"/>
      <c r="VZY4" s="226" t="s">
        <v>13330</v>
      </c>
      <c r="VZZ4" s="227"/>
      <c r="WAA4" s="227"/>
      <c r="WAB4" s="228"/>
      <c r="WAC4" s="226" t="s">
        <v>13330</v>
      </c>
      <c r="WAD4" s="227"/>
      <c r="WAE4" s="227"/>
      <c r="WAF4" s="228"/>
      <c r="WAG4" s="226" t="s">
        <v>13330</v>
      </c>
      <c r="WAH4" s="227"/>
      <c r="WAI4" s="227"/>
      <c r="WAJ4" s="228"/>
      <c r="WAK4" s="226" t="s">
        <v>13330</v>
      </c>
      <c r="WAL4" s="227"/>
      <c r="WAM4" s="227"/>
      <c r="WAN4" s="228"/>
      <c r="WAO4" s="226" t="s">
        <v>13330</v>
      </c>
      <c r="WAP4" s="227"/>
      <c r="WAQ4" s="227"/>
      <c r="WAR4" s="228"/>
      <c r="WAS4" s="226" t="s">
        <v>13330</v>
      </c>
      <c r="WAT4" s="227"/>
      <c r="WAU4" s="227"/>
      <c r="WAV4" s="228"/>
      <c r="WAW4" s="226" t="s">
        <v>13330</v>
      </c>
      <c r="WAX4" s="227"/>
      <c r="WAY4" s="227"/>
      <c r="WAZ4" s="228"/>
      <c r="WBA4" s="226" t="s">
        <v>13330</v>
      </c>
      <c r="WBB4" s="227"/>
      <c r="WBC4" s="227"/>
      <c r="WBD4" s="228"/>
      <c r="WBE4" s="226" t="s">
        <v>13330</v>
      </c>
      <c r="WBF4" s="227"/>
      <c r="WBG4" s="227"/>
      <c r="WBH4" s="228"/>
      <c r="WBI4" s="226" t="s">
        <v>13330</v>
      </c>
      <c r="WBJ4" s="227"/>
      <c r="WBK4" s="227"/>
      <c r="WBL4" s="228"/>
      <c r="WBM4" s="226" t="s">
        <v>13330</v>
      </c>
      <c r="WBN4" s="227"/>
      <c r="WBO4" s="227"/>
      <c r="WBP4" s="228"/>
      <c r="WBQ4" s="226" t="s">
        <v>13330</v>
      </c>
      <c r="WBR4" s="227"/>
      <c r="WBS4" s="227"/>
      <c r="WBT4" s="228"/>
      <c r="WBU4" s="226" t="s">
        <v>13330</v>
      </c>
      <c r="WBV4" s="227"/>
      <c r="WBW4" s="227"/>
      <c r="WBX4" s="228"/>
      <c r="WBY4" s="226" t="s">
        <v>13330</v>
      </c>
      <c r="WBZ4" s="227"/>
      <c r="WCA4" s="227"/>
      <c r="WCB4" s="228"/>
      <c r="WCC4" s="226" t="s">
        <v>13330</v>
      </c>
      <c r="WCD4" s="227"/>
      <c r="WCE4" s="227"/>
      <c r="WCF4" s="228"/>
      <c r="WCG4" s="226" t="s">
        <v>13330</v>
      </c>
      <c r="WCH4" s="227"/>
      <c r="WCI4" s="227"/>
      <c r="WCJ4" s="228"/>
      <c r="WCK4" s="226" t="s">
        <v>13330</v>
      </c>
      <c r="WCL4" s="227"/>
      <c r="WCM4" s="227"/>
      <c r="WCN4" s="228"/>
      <c r="WCO4" s="226" t="s">
        <v>13330</v>
      </c>
      <c r="WCP4" s="227"/>
      <c r="WCQ4" s="227"/>
      <c r="WCR4" s="228"/>
      <c r="WCS4" s="226" t="s">
        <v>13330</v>
      </c>
      <c r="WCT4" s="227"/>
      <c r="WCU4" s="227"/>
      <c r="WCV4" s="228"/>
      <c r="WCW4" s="226" t="s">
        <v>13330</v>
      </c>
      <c r="WCX4" s="227"/>
      <c r="WCY4" s="227"/>
      <c r="WCZ4" s="228"/>
      <c r="WDA4" s="226" t="s">
        <v>13330</v>
      </c>
      <c r="WDB4" s="227"/>
      <c r="WDC4" s="227"/>
      <c r="WDD4" s="228"/>
      <c r="WDE4" s="226" t="s">
        <v>13330</v>
      </c>
      <c r="WDF4" s="227"/>
      <c r="WDG4" s="227"/>
      <c r="WDH4" s="228"/>
      <c r="WDI4" s="226" t="s">
        <v>13330</v>
      </c>
      <c r="WDJ4" s="227"/>
      <c r="WDK4" s="227"/>
      <c r="WDL4" s="228"/>
      <c r="WDM4" s="226" t="s">
        <v>13330</v>
      </c>
      <c r="WDN4" s="227"/>
      <c r="WDO4" s="227"/>
      <c r="WDP4" s="228"/>
      <c r="WDQ4" s="226" t="s">
        <v>13330</v>
      </c>
      <c r="WDR4" s="227"/>
      <c r="WDS4" s="227"/>
      <c r="WDT4" s="228"/>
      <c r="WDU4" s="226" t="s">
        <v>13330</v>
      </c>
      <c r="WDV4" s="227"/>
      <c r="WDW4" s="227"/>
      <c r="WDX4" s="228"/>
      <c r="WDY4" s="226" t="s">
        <v>13330</v>
      </c>
      <c r="WDZ4" s="227"/>
      <c r="WEA4" s="227"/>
      <c r="WEB4" s="228"/>
      <c r="WEC4" s="226" t="s">
        <v>13330</v>
      </c>
      <c r="WED4" s="227"/>
      <c r="WEE4" s="227"/>
      <c r="WEF4" s="228"/>
      <c r="WEG4" s="226" t="s">
        <v>13330</v>
      </c>
      <c r="WEH4" s="227"/>
      <c r="WEI4" s="227"/>
      <c r="WEJ4" s="228"/>
      <c r="WEK4" s="226" t="s">
        <v>13330</v>
      </c>
      <c r="WEL4" s="227"/>
      <c r="WEM4" s="227"/>
      <c r="WEN4" s="228"/>
      <c r="WEO4" s="226" t="s">
        <v>13330</v>
      </c>
      <c r="WEP4" s="227"/>
      <c r="WEQ4" s="227"/>
      <c r="WER4" s="228"/>
      <c r="WES4" s="226" t="s">
        <v>13330</v>
      </c>
      <c r="WET4" s="227"/>
      <c r="WEU4" s="227"/>
      <c r="WEV4" s="228"/>
      <c r="WEW4" s="226" t="s">
        <v>13330</v>
      </c>
      <c r="WEX4" s="227"/>
      <c r="WEY4" s="227"/>
      <c r="WEZ4" s="228"/>
      <c r="WFA4" s="226" t="s">
        <v>13330</v>
      </c>
      <c r="WFB4" s="227"/>
      <c r="WFC4" s="227"/>
      <c r="WFD4" s="228"/>
      <c r="WFE4" s="226" t="s">
        <v>13330</v>
      </c>
      <c r="WFF4" s="227"/>
      <c r="WFG4" s="227"/>
      <c r="WFH4" s="228"/>
      <c r="WFI4" s="226" t="s">
        <v>13330</v>
      </c>
      <c r="WFJ4" s="227"/>
      <c r="WFK4" s="227"/>
      <c r="WFL4" s="228"/>
      <c r="WFM4" s="226" t="s">
        <v>13330</v>
      </c>
      <c r="WFN4" s="227"/>
      <c r="WFO4" s="227"/>
      <c r="WFP4" s="228"/>
      <c r="WFQ4" s="226" t="s">
        <v>13330</v>
      </c>
      <c r="WFR4" s="227"/>
      <c r="WFS4" s="227"/>
      <c r="WFT4" s="228"/>
      <c r="WFU4" s="226" t="s">
        <v>13330</v>
      </c>
      <c r="WFV4" s="227"/>
      <c r="WFW4" s="227"/>
      <c r="WFX4" s="228"/>
      <c r="WFY4" s="226" t="s">
        <v>13330</v>
      </c>
      <c r="WFZ4" s="227"/>
      <c r="WGA4" s="227"/>
      <c r="WGB4" s="228"/>
      <c r="WGC4" s="226" t="s">
        <v>13330</v>
      </c>
      <c r="WGD4" s="227"/>
      <c r="WGE4" s="227"/>
      <c r="WGF4" s="228"/>
      <c r="WGG4" s="226" t="s">
        <v>13330</v>
      </c>
      <c r="WGH4" s="227"/>
      <c r="WGI4" s="227"/>
      <c r="WGJ4" s="228"/>
      <c r="WGK4" s="226" t="s">
        <v>13330</v>
      </c>
      <c r="WGL4" s="227"/>
      <c r="WGM4" s="227"/>
      <c r="WGN4" s="228"/>
      <c r="WGO4" s="226" t="s">
        <v>13330</v>
      </c>
      <c r="WGP4" s="227"/>
      <c r="WGQ4" s="227"/>
      <c r="WGR4" s="228"/>
      <c r="WGS4" s="226" t="s">
        <v>13330</v>
      </c>
      <c r="WGT4" s="227"/>
      <c r="WGU4" s="227"/>
      <c r="WGV4" s="228"/>
      <c r="WGW4" s="226" t="s">
        <v>13330</v>
      </c>
      <c r="WGX4" s="227"/>
      <c r="WGY4" s="227"/>
      <c r="WGZ4" s="228"/>
      <c r="WHA4" s="226" t="s">
        <v>13330</v>
      </c>
      <c r="WHB4" s="227"/>
      <c r="WHC4" s="227"/>
      <c r="WHD4" s="228"/>
      <c r="WHE4" s="226" t="s">
        <v>13330</v>
      </c>
      <c r="WHF4" s="227"/>
      <c r="WHG4" s="227"/>
      <c r="WHH4" s="228"/>
      <c r="WHI4" s="226" t="s">
        <v>13330</v>
      </c>
      <c r="WHJ4" s="227"/>
      <c r="WHK4" s="227"/>
      <c r="WHL4" s="228"/>
      <c r="WHM4" s="226" t="s">
        <v>13330</v>
      </c>
      <c r="WHN4" s="227"/>
      <c r="WHO4" s="227"/>
      <c r="WHP4" s="228"/>
      <c r="WHQ4" s="226" t="s">
        <v>13330</v>
      </c>
      <c r="WHR4" s="227"/>
      <c r="WHS4" s="227"/>
      <c r="WHT4" s="228"/>
      <c r="WHU4" s="226" t="s">
        <v>13330</v>
      </c>
      <c r="WHV4" s="227"/>
      <c r="WHW4" s="227"/>
      <c r="WHX4" s="228"/>
      <c r="WHY4" s="226" t="s">
        <v>13330</v>
      </c>
      <c r="WHZ4" s="227"/>
      <c r="WIA4" s="227"/>
      <c r="WIB4" s="228"/>
      <c r="WIC4" s="226" t="s">
        <v>13330</v>
      </c>
      <c r="WID4" s="227"/>
      <c r="WIE4" s="227"/>
      <c r="WIF4" s="228"/>
      <c r="WIG4" s="226" t="s">
        <v>13330</v>
      </c>
      <c r="WIH4" s="227"/>
      <c r="WII4" s="227"/>
      <c r="WIJ4" s="228"/>
      <c r="WIK4" s="226" t="s">
        <v>13330</v>
      </c>
      <c r="WIL4" s="227"/>
      <c r="WIM4" s="227"/>
      <c r="WIN4" s="228"/>
      <c r="WIO4" s="226" t="s">
        <v>13330</v>
      </c>
      <c r="WIP4" s="227"/>
      <c r="WIQ4" s="227"/>
      <c r="WIR4" s="228"/>
      <c r="WIS4" s="226" t="s">
        <v>13330</v>
      </c>
      <c r="WIT4" s="227"/>
      <c r="WIU4" s="227"/>
      <c r="WIV4" s="228"/>
      <c r="WIW4" s="226" t="s">
        <v>13330</v>
      </c>
      <c r="WIX4" s="227"/>
      <c r="WIY4" s="227"/>
      <c r="WIZ4" s="228"/>
      <c r="WJA4" s="226" t="s">
        <v>13330</v>
      </c>
      <c r="WJB4" s="227"/>
      <c r="WJC4" s="227"/>
      <c r="WJD4" s="228"/>
      <c r="WJE4" s="226" t="s">
        <v>13330</v>
      </c>
      <c r="WJF4" s="227"/>
      <c r="WJG4" s="227"/>
      <c r="WJH4" s="228"/>
      <c r="WJI4" s="226" t="s">
        <v>13330</v>
      </c>
      <c r="WJJ4" s="227"/>
      <c r="WJK4" s="227"/>
      <c r="WJL4" s="228"/>
      <c r="WJM4" s="226" t="s">
        <v>13330</v>
      </c>
      <c r="WJN4" s="227"/>
      <c r="WJO4" s="227"/>
      <c r="WJP4" s="228"/>
      <c r="WJQ4" s="226" t="s">
        <v>13330</v>
      </c>
      <c r="WJR4" s="227"/>
      <c r="WJS4" s="227"/>
      <c r="WJT4" s="228"/>
      <c r="WJU4" s="226" t="s">
        <v>13330</v>
      </c>
      <c r="WJV4" s="227"/>
      <c r="WJW4" s="227"/>
      <c r="WJX4" s="228"/>
      <c r="WJY4" s="226" t="s">
        <v>13330</v>
      </c>
      <c r="WJZ4" s="227"/>
      <c r="WKA4" s="227"/>
      <c r="WKB4" s="228"/>
      <c r="WKC4" s="226" t="s">
        <v>13330</v>
      </c>
      <c r="WKD4" s="227"/>
      <c r="WKE4" s="227"/>
      <c r="WKF4" s="228"/>
      <c r="WKG4" s="226" t="s">
        <v>13330</v>
      </c>
      <c r="WKH4" s="227"/>
      <c r="WKI4" s="227"/>
      <c r="WKJ4" s="228"/>
      <c r="WKK4" s="226" t="s">
        <v>13330</v>
      </c>
      <c r="WKL4" s="227"/>
      <c r="WKM4" s="227"/>
      <c r="WKN4" s="228"/>
      <c r="WKO4" s="226" t="s">
        <v>13330</v>
      </c>
      <c r="WKP4" s="227"/>
      <c r="WKQ4" s="227"/>
      <c r="WKR4" s="228"/>
      <c r="WKS4" s="226" t="s">
        <v>13330</v>
      </c>
      <c r="WKT4" s="227"/>
      <c r="WKU4" s="227"/>
      <c r="WKV4" s="228"/>
      <c r="WKW4" s="226" t="s">
        <v>13330</v>
      </c>
      <c r="WKX4" s="227"/>
      <c r="WKY4" s="227"/>
      <c r="WKZ4" s="228"/>
      <c r="WLA4" s="226" t="s">
        <v>13330</v>
      </c>
      <c r="WLB4" s="227"/>
      <c r="WLC4" s="227"/>
      <c r="WLD4" s="228"/>
      <c r="WLE4" s="226" t="s">
        <v>13330</v>
      </c>
      <c r="WLF4" s="227"/>
      <c r="WLG4" s="227"/>
      <c r="WLH4" s="228"/>
      <c r="WLI4" s="226" t="s">
        <v>13330</v>
      </c>
      <c r="WLJ4" s="227"/>
      <c r="WLK4" s="227"/>
      <c r="WLL4" s="228"/>
      <c r="WLM4" s="226" t="s">
        <v>13330</v>
      </c>
      <c r="WLN4" s="227"/>
      <c r="WLO4" s="227"/>
      <c r="WLP4" s="228"/>
      <c r="WLQ4" s="226" t="s">
        <v>13330</v>
      </c>
      <c r="WLR4" s="227"/>
      <c r="WLS4" s="227"/>
      <c r="WLT4" s="228"/>
      <c r="WLU4" s="226" t="s">
        <v>13330</v>
      </c>
      <c r="WLV4" s="227"/>
      <c r="WLW4" s="227"/>
      <c r="WLX4" s="228"/>
      <c r="WLY4" s="226" t="s">
        <v>13330</v>
      </c>
      <c r="WLZ4" s="227"/>
      <c r="WMA4" s="227"/>
      <c r="WMB4" s="228"/>
      <c r="WMC4" s="226" t="s">
        <v>13330</v>
      </c>
      <c r="WMD4" s="227"/>
      <c r="WME4" s="227"/>
      <c r="WMF4" s="228"/>
      <c r="WMG4" s="226" t="s">
        <v>13330</v>
      </c>
      <c r="WMH4" s="227"/>
      <c r="WMI4" s="227"/>
      <c r="WMJ4" s="228"/>
      <c r="WMK4" s="226" t="s">
        <v>13330</v>
      </c>
      <c r="WML4" s="227"/>
      <c r="WMM4" s="227"/>
      <c r="WMN4" s="228"/>
      <c r="WMO4" s="226" t="s">
        <v>13330</v>
      </c>
      <c r="WMP4" s="227"/>
      <c r="WMQ4" s="227"/>
      <c r="WMR4" s="228"/>
      <c r="WMS4" s="226" t="s">
        <v>13330</v>
      </c>
      <c r="WMT4" s="227"/>
      <c r="WMU4" s="227"/>
      <c r="WMV4" s="228"/>
      <c r="WMW4" s="226" t="s">
        <v>13330</v>
      </c>
      <c r="WMX4" s="227"/>
      <c r="WMY4" s="227"/>
      <c r="WMZ4" s="228"/>
      <c r="WNA4" s="226" t="s">
        <v>13330</v>
      </c>
      <c r="WNB4" s="227"/>
      <c r="WNC4" s="227"/>
      <c r="WND4" s="228"/>
      <c r="WNE4" s="226" t="s">
        <v>13330</v>
      </c>
      <c r="WNF4" s="227"/>
      <c r="WNG4" s="227"/>
      <c r="WNH4" s="228"/>
      <c r="WNI4" s="226" t="s">
        <v>13330</v>
      </c>
      <c r="WNJ4" s="227"/>
      <c r="WNK4" s="227"/>
      <c r="WNL4" s="228"/>
      <c r="WNM4" s="226" t="s">
        <v>13330</v>
      </c>
      <c r="WNN4" s="227"/>
      <c r="WNO4" s="227"/>
      <c r="WNP4" s="228"/>
      <c r="WNQ4" s="226" t="s">
        <v>13330</v>
      </c>
      <c r="WNR4" s="227"/>
      <c r="WNS4" s="227"/>
      <c r="WNT4" s="228"/>
      <c r="WNU4" s="226" t="s">
        <v>13330</v>
      </c>
      <c r="WNV4" s="227"/>
      <c r="WNW4" s="227"/>
      <c r="WNX4" s="228"/>
      <c r="WNY4" s="226" t="s">
        <v>13330</v>
      </c>
      <c r="WNZ4" s="227"/>
      <c r="WOA4" s="227"/>
      <c r="WOB4" s="228"/>
      <c r="WOC4" s="226" t="s">
        <v>13330</v>
      </c>
      <c r="WOD4" s="227"/>
      <c r="WOE4" s="227"/>
      <c r="WOF4" s="228"/>
      <c r="WOG4" s="226" t="s">
        <v>13330</v>
      </c>
      <c r="WOH4" s="227"/>
      <c r="WOI4" s="227"/>
      <c r="WOJ4" s="228"/>
      <c r="WOK4" s="226" t="s">
        <v>13330</v>
      </c>
      <c r="WOL4" s="227"/>
      <c r="WOM4" s="227"/>
      <c r="WON4" s="228"/>
      <c r="WOO4" s="226" t="s">
        <v>13330</v>
      </c>
      <c r="WOP4" s="227"/>
      <c r="WOQ4" s="227"/>
      <c r="WOR4" s="228"/>
      <c r="WOS4" s="226" t="s">
        <v>13330</v>
      </c>
      <c r="WOT4" s="227"/>
      <c r="WOU4" s="227"/>
      <c r="WOV4" s="228"/>
      <c r="WOW4" s="226" t="s">
        <v>13330</v>
      </c>
      <c r="WOX4" s="227"/>
      <c r="WOY4" s="227"/>
      <c r="WOZ4" s="228"/>
      <c r="WPA4" s="226" t="s">
        <v>13330</v>
      </c>
      <c r="WPB4" s="227"/>
      <c r="WPC4" s="227"/>
      <c r="WPD4" s="228"/>
      <c r="WPE4" s="226" t="s">
        <v>13330</v>
      </c>
      <c r="WPF4" s="227"/>
      <c r="WPG4" s="227"/>
      <c r="WPH4" s="228"/>
      <c r="WPI4" s="226" t="s">
        <v>13330</v>
      </c>
      <c r="WPJ4" s="227"/>
      <c r="WPK4" s="227"/>
      <c r="WPL4" s="228"/>
      <c r="WPM4" s="226" t="s">
        <v>13330</v>
      </c>
      <c r="WPN4" s="227"/>
      <c r="WPO4" s="227"/>
      <c r="WPP4" s="228"/>
      <c r="WPQ4" s="226" t="s">
        <v>13330</v>
      </c>
      <c r="WPR4" s="227"/>
      <c r="WPS4" s="227"/>
      <c r="WPT4" s="228"/>
      <c r="WPU4" s="226" t="s">
        <v>13330</v>
      </c>
      <c r="WPV4" s="227"/>
      <c r="WPW4" s="227"/>
      <c r="WPX4" s="228"/>
      <c r="WPY4" s="226" t="s">
        <v>13330</v>
      </c>
      <c r="WPZ4" s="227"/>
      <c r="WQA4" s="227"/>
      <c r="WQB4" s="228"/>
      <c r="WQC4" s="226" t="s">
        <v>13330</v>
      </c>
      <c r="WQD4" s="227"/>
      <c r="WQE4" s="227"/>
      <c r="WQF4" s="228"/>
      <c r="WQG4" s="226" t="s">
        <v>13330</v>
      </c>
      <c r="WQH4" s="227"/>
      <c r="WQI4" s="227"/>
      <c r="WQJ4" s="228"/>
      <c r="WQK4" s="226" t="s">
        <v>13330</v>
      </c>
      <c r="WQL4" s="227"/>
      <c r="WQM4" s="227"/>
      <c r="WQN4" s="228"/>
      <c r="WQO4" s="226" t="s">
        <v>13330</v>
      </c>
      <c r="WQP4" s="227"/>
      <c r="WQQ4" s="227"/>
      <c r="WQR4" s="228"/>
      <c r="WQS4" s="226" t="s">
        <v>13330</v>
      </c>
      <c r="WQT4" s="227"/>
      <c r="WQU4" s="227"/>
      <c r="WQV4" s="228"/>
      <c r="WQW4" s="226" t="s">
        <v>13330</v>
      </c>
      <c r="WQX4" s="227"/>
      <c r="WQY4" s="227"/>
      <c r="WQZ4" s="228"/>
      <c r="WRA4" s="226" t="s">
        <v>13330</v>
      </c>
      <c r="WRB4" s="227"/>
      <c r="WRC4" s="227"/>
      <c r="WRD4" s="228"/>
      <c r="WRE4" s="226" t="s">
        <v>13330</v>
      </c>
      <c r="WRF4" s="227"/>
      <c r="WRG4" s="227"/>
      <c r="WRH4" s="228"/>
      <c r="WRI4" s="226" t="s">
        <v>13330</v>
      </c>
      <c r="WRJ4" s="227"/>
      <c r="WRK4" s="227"/>
      <c r="WRL4" s="228"/>
      <c r="WRM4" s="226" t="s">
        <v>13330</v>
      </c>
      <c r="WRN4" s="227"/>
      <c r="WRO4" s="227"/>
      <c r="WRP4" s="228"/>
      <c r="WRQ4" s="226" t="s">
        <v>13330</v>
      </c>
      <c r="WRR4" s="227"/>
      <c r="WRS4" s="227"/>
      <c r="WRT4" s="228"/>
      <c r="WRU4" s="226" t="s">
        <v>13330</v>
      </c>
      <c r="WRV4" s="227"/>
      <c r="WRW4" s="227"/>
      <c r="WRX4" s="228"/>
      <c r="WRY4" s="226" t="s">
        <v>13330</v>
      </c>
      <c r="WRZ4" s="227"/>
      <c r="WSA4" s="227"/>
      <c r="WSB4" s="228"/>
      <c r="WSC4" s="226" t="s">
        <v>13330</v>
      </c>
      <c r="WSD4" s="227"/>
      <c r="WSE4" s="227"/>
      <c r="WSF4" s="228"/>
      <c r="WSG4" s="226" t="s">
        <v>13330</v>
      </c>
      <c r="WSH4" s="227"/>
      <c r="WSI4" s="227"/>
      <c r="WSJ4" s="228"/>
      <c r="WSK4" s="226" t="s">
        <v>13330</v>
      </c>
      <c r="WSL4" s="227"/>
      <c r="WSM4" s="227"/>
      <c r="WSN4" s="228"/>
      <c r="WSO4" s="226" t="s">
        <v>13330</v>
      </c>
      <c r="WSP4" s="227"/>
      <c r="WSQ4" s="227"/>
      <c r="WSR4" s="228"/>
      <c r="WSS4" s="226" t="s">
        <v>13330</v>
      </c>
      <c r="WST4" s="227"/>
      <c r="WSU4" s="227"/>
      <c r="WSV4" s="228"/>
      <c r="WSW4" s="226" t="s">
        <v>13330</v>
      </c>
      <c r="WSX4" s="227"/>
      <c r="WSY4" s="227"/>
      <c r="WSZ4" s="228"/>
      <c r="WTA4" s="226" t="s">
        <v>13330</v>
      </c>
      <c r="WTB4" s="227"/>
      <c r="WTC4" s="227"/>
      <c r="WTD4" s="228"/>
      <c r="WTE4" s="226" t="s">
        <v>13330</v>
      </c>
      <c r="WTF4" s="227"/>
      <c r="WTG4" s="227"/>
      <c r="WTH4" s="228"/>
      <c r="WTI4" s="226" t="s">
        <v>13330</v>
      </c>
      <c r="WTJ4" s="227"/>
      <c r="WTK4" s="227"/>
      <c r="WTL4" s="228"/>
      <c r="WTM4" s="226" t="s">
        <v>13330</v>
      </c>
      <c r="WTN4" s="227"/>
      <c r="WTO4" s="227"/>
      <c r="WTP4" s="228"/>
      <c r="WTQ4" s="226" t="s">
        <v>13330</v>
      </c>
      <c r="WTR4" s="227"/>
      <c r="WTS4" s="227"/>
      <c r="WTT4" s="228"/>
      <c r="WTU4" s="226" t="s">
        <v>13330</v>
      </c>
      <c r="WTV4" s="227"/>
      <c r="WTW4" s="227"/>
      <c r="WTX4" s="228"/>
      <c r="WTY4" s="226" t="s">
        <v>13330</v>
      </c>
      <c r="WTZ4" s="227"/>
      <c r="WUA4" s="227"/>
      <c r="WUB4" s="228"/>
      <c r="WUC4" s="226" t="s">
        <v>13330</v>
      </c>
      <c r="WUD4" s="227"/>
      <c r="WUE4" s="227"/>
      <c r="WUF4" s="228"/>
      <c r="WUG4" s="226" t="s">
        <v>13330</v>
      </c>
      <c r="WUH4" s="227"/>
      <c r="WUI4" s="227"/>
      <c r="WUJ4" s="228"/>
      <c r="WUK4" s="226" t="s">
        <v>13330</v>
      </c>
      <c r="WUL4" s="227"/>
      <c r="WUM4" s="227"/>
      <c r="WUN4" s="228"/>
      <c r="WUO4" s="226" t="s">
        <v>13330</v>
      </c>
      <c r="WUP4" s="227"/>
      <c r="WUQ4" s="227"/>
      <c r="WUR4" s="228"/>
      <c r="WUS4" s="226" t="s">
        <v>13330</v>
      </c>
      <c r="WUT4" s="227"/>
      <c r="WUU4" s="227"/>
      <c r="WUV4" s="228"/>
      <c r="WUW4" s="226" t="s">
        <v>13330</v>
      </c>
      <c r="WUX4" s="227"/>
      <c r="WUY4" s="227"/>
      <c r="WUZ4" s="228"/>
      <c r="WVA4" s="226" t="s">
        <v>13330</v>
      </c>
      <c r="WVB4" s="227"/>
      <c r="WVC4" s="227"/>
      <c r="WVD4" s="228"/>
      <c r="WVE4" s="226" t="s">
        <v>13330</v>
      </c>
      <c r="WVF4" s="227"/>
      <c r="WVG4" s="227"/>
      <c r="WVH4" s="228"/>
      <c r="WVI4" s="226" t="s">
        <v>13330</v>
      </c>
      <c r="WVJ4" s="227"/>
      <c r="WVK4" s="227"/>
      <c r="WVL4" s="228"/>
      <c r="WVM4" s="226" t="s">
        <v>13330</v>
      </c>
      <c r="WVN4" s="227"/>
      <c r="WVO4" s="227"/>
      <c r="WVP4" s="228"/>
      <c r="WVQ4" s="226" t="s">
        <v>13330</v>
      </c>
      <c r="WVR4" s="227"/>
      <c r="WVS4" s="227"/>
      <c r="WVT4" s="228"/>
      <c r="WVU4" s="226" t="s">
        <v>13330</v>
      </c>
      <c r="WVV4" s="227"/>
      <c r="WVW4" s="227"/>
      <c r="WVX4" s="228"/>
      <c r="WVY4" s="226" t="s">
        <v>13330</v>
      </c>
      <c r="WVZ4" s="227"/>
      <c r="WWA4" s="227"/>
      <c r="WWB4" s="228"/>
      <c r="WWC4" s="226" t="s">
        <v>13330</v>
      </c>
      <c r="WWD4" s="227"/>
      <c r="WWE4" s="227"/>
      <c r="WWF4" s="228"/>
      <c r="WWG4" s="226" t="s">
        <v>13330</v>
      </c>
      <c r="WWH4" s="227"/>
      <c r="WWI4" s="227"/>
      <c r="WWJ4" s="228"/>
      <c r="WWK4" s="226" t="s">
        <v>13330</v>
      </c>
      <c r="WWL4" s="227"/>
      <c r="WWM4" s="227"/>
      <c r="WWN4" s="228"/>
      <c r="WWO4" s="226" t="s">
        <v>13330</v>
      </c>
      <c r="WWP4" s="227"/>
      <c r="WWQ4" s="227"/>
      <c r="WWR4" s="228"/>
      <c r="WWS4" s="226" t="s">
        <v>13330</v>
      </c>
      <c r="WWT4" s="227"/>
      <c r="WWU4" s="227"/>
      <c r="WWV4" s="228"/>
      <c r="WWW4" s="226" t="s">
        <v>13330</v>
      </c>
      <c r="WWX4" s="227"/>
      <c r="WWY4" s="227"/>
      <c r="WWZ4" s="228"/>
      <c r="WXA4" s="226" t="s">
        <v>13330</v>
      </c>
      <c r="WXB4" s="227"/>
      <c r="WXC4" s="227"/>
      <c r="WXD4" s="228"/>
      <c r="WXE4" s="226" t="s">
        <v>13330</v>
      </c>
      <c r="WXF4" s="227"/>
      <c r="WXG4" s="227"/>
      <c r="WXH4" s="228"/>
      <c r="WXI4" s="226" t="s">
        <v>13330</v>
      </c>
      <c r="WXJ4" s="227"/>
      <c r="WXK4" s="227"/>
      <c r="WXL4" s="228"/>
      <c r="WXM4" s="226" t="s">
        <v>13330</v>
      </c>
      <c r="WXN4" s="227"/>
      <c r="WXO4" s="227"/>
      <c r="WXP4" s="228"/>
      <c r="WXQ4" s="226" t="s">
        <v>13330</v>
      </c>
      <c r="WXR4" s="227"/>
      <c r="WXS4" s="227"/>
      <c r="WXT4" s="228"/>
      <c r="WXU4" s="226" t="s">
        <v>13330</v>
      </c>
      <c r="WXV4" s="227"/>
      <c r="WXW4" s="227"/>
      <c r="WXX4" s="228"/>
      <c r="WXY4" s="226" t="s">
        <v>13330</v>
      </c>
      <c r="WXZ4" s="227"/>
      <c r="WYA4" s="227"/>
      <c r="WYB4" s="228"/>
      <c r="WYC4" s="226" t="s">
        <v>13330</v>
      </c>
      <c r="WYD4" s="227"/>
      <c r="WYE4" s="227"/>
      <c r="WYF4" s="228"/>
      <c r="WYG4" s="226" t="s">
        <v>13330</v>
      </c>
      <c r="WYH4" s="227"/>
      <c r="WYI4" s="227"/>
      <c r="WYJ4" s="228"/>
      <c r="WYK4" s="226" t="s">
        <v>13330</v>
      </c>
      <c r="WYL4" s="227"/>
      <c r="WYM4" s="227"/>
      <c r="WYN4" s="228"/>
      <c r="WYO4" s="226" t="s">
        <v>13330</v>
      </c>
      <c r="WYP4" s="227"/>
      <c r="WYQ4" s="227"/>
      <c r="WYR4" s="228"/>
      <c r="WYS4" s="226" t="s">
        <v>13330</v>
      </c>
      <c r="WYT4" s="227"/>
      <c r="WYU4" s="227"/>
      <c r="WYV4" s="228"/>
      <c r="WYW4" s="226" t="s">
        <v>13330</v>
      </c>
      <c r="WYX4" s="227"/>
      <c r="WYY4" s="227"/>
      <c r="WYZ4" s="228"/>
      <c r="WZA4" s="226" t="s">
        <v>13330</v>
      </c>
      <c r="WZB4" s="227"/>
      <c r="WZC4" s="227"/>
      <c r="WZD4" s="228"/>
      <c r="WZE4" s="226" t="s">
        <v>13330</v>
      </c>
      <c r="WZF4" s="227"/>
      <c r="WZG4" s="227"/>
      <c r="WZH4" s="228"/>
      <c r="WZI4" s="226" t="s">
        <v>13330</v>
      </c>
      <c r="WZJ4" s="227"/>
      <c r="WZK4" s="227"/>
      <c r="WZL4" s="228"/>
      <c r="WZM4" s="226" t="s">
        <v>13330</v>
      </c>
      <c r="WZN4" s="227"/>
      <c r="WZO4" s="227"/>
      <c r="WZP4" s="228"/>
      <c r="WZQ4" s="226" t="s">
        <v>13330</v>
      </c>
      <c r="WZR4" s="227"/>
      <c r="WZS4" s="227"/>
      <c r="WZT4" s="228"/>
      <c r="WZU4" s="226" t="s">
        <v>13330</v>
      </c>
      <c r="WZV4" s="227"/>
      <c r="WZW4" s="227"/>
      <c r="WZX4" s="228"/>
      <c r="WZY4" s="226" t="s">
        <v>13330</v>
      </c>
      <c r="WZZ4" s="227"/>
      <c r="XAA4" s="227"/>
      <c r="XAB4" s="228"/>
      <c r="XAC4" s="226" t="s">
        <v>13330</v>
      </c>
      <c r="XAD4" s="227"/>
      <c r="XAE4" s="227"/>
      <c r="XAF4" s="228"/>
      <c r="XAG4" s="226" t="s">
        <v>13330</v>
      </c>
      <c r="XAH4" s="227"/>
      <c r="XAI4" s="227"/>
      <c r="XAJ4" s="228"/>
      <c r="XAK4" s="226" t="s">
        <v>13330</v>
      </c>
      <c r="XAL4" s="227"/>
      <c r="XAM4" s="227"/>
      <c r="XAN4" s="228"/>
      <c r="XAO4" s="226" t="s">
        <v>13330</v>
      </c>
      <c r="XAP4" s="227"/>
      <c r="XAQ4" s="227"/>
      <c r="XAR4" s="228"/>
      <c r="XAS4" s="226" t="s">
        <v>13330</v>
      </c>
      <c r="XAT4" s="227"/>
      <c r="XAU4" s="227"/>
      <c r="XAV4" s="228"/>
      <c r="XAW4" s="226" t="s">
        <v>13330</v>
      </c>
      <c r="XAX4" s="227"/>
      <c r="XAY4" s="227"/>
      <c r="XAZ4" s="228"/>
      <c r="XBA4" s="226" t="s">
        <v>13330</v>
      </c>
      <c r="XBB4" s="227"/>
      <c r="XBC4" s="227"/>
      <c r="XBD4" s="228"/>
      <c r="XBE4" s="226" t="s">
        <v>13330</v>
      </c>
      <c r="XBF4" s="227"/>
      <c r="XBG4" s="227"/>
      <c r="XBH4" s="228"/>
      <c r="XBI4" s="226" t="s">
        <v>13330</v>
      </c>
      <c r="XBJ4" s="227"/>
      <c r="XBK4" s="227"/>
      <c r="XBL4" s="228"/>
      <c r="XBM4" s="226" t="s">
        <v>13330</v>
      </c>
      <c r="XBN4" s="227"/>
      <c r="XBO4" s="227"/>
      <c r="XBP4" s="228"/>
      <c r="XBQ4" s="226" t="s">
        <v>13330</v>
      </c>
      <c r="XBR4" s="227"/>
      <c r="XBS4" s="227"/>
      <c r="XBT4" s="228"/>
      <c r="XBU4" s="226" t="s">
        <v>13330</v>
      </c>
      <c r="XBV4" s="227"/>
      <c r="XBW4" s="227"/>
      <c r="XBX4" s="228"/>
      <c r="XBY4" s="226" t="s">
        <v>13330</v>
      </c>
      <c r="XBZ4" s="227"/>
      <c r="XCA4" s="227"/>
      <c r="XCB4" s="228"/>
      <c r="XCC4" s="226" t="s">
        <v>13330</v>
      </c>
      <c r="XCD4" s="227"/>
      <c r="XCE4" s="227"/>
      <c r="XCF4" s="228"/>
      <c r="XCG4" s="226" t="s">
        <v>13330</v>
      </c>
      <c r="XCH4" s="227"/>
      <c r="XCI4" s="227"/>
      <c r="XCJ4" s="228"/>
      <c r="XCK4" s="226" t="s">
        <v>13330</v>
      </c>
      <c r="XCL4" s="227"/>
      <c r="XCM4" s="227"/>
      <c r="XCN4" s="228"/>
      <c r="XCO4" s="226" t="s">
        <v>13330</v>
      </c>
      <c r="XCP4" s="227"/>
      <c r="XCQ4" s="227"/>
      <c r="XCR4" s="228"/>
      <c r="XCS4" s="226" t="s">
        <v>13330</v>
      </c>
      <c r="XCT4" s="227"/>
      <c r="XCU4" s="227"/>
      <c r="XCV4" s="228"/>
      <c r="XCW4" s="226" t="s">
        <v>13330</v>
      </c>
      <c r="XCX4" s="227"/>
      <c r="XCY4" s="227"/>
      <c r="XCZ4" s="228"/>
      <c r="XDA4" s="226" t="s">
        <v>13330</v>
      </c>
      <c r="XDB4" s="227"/>
      <c r="XDC4" s="227"/>
      <c r="XDD4" s="228"/>
      <c r="XDE4" s="226" t="s">
        <v>13330</v>
      </c>
      <c r="XDF4" s="227"/>
      <c r="XDG4" s="227"/>
      <c r="XDH4" s="228"/>
      <c r="XDI4" s="226" t="s">
        <v>13330</v>
      </c>
      <c r="XDJ4" s="227"/>
      <c r="XDK4" s="227"/>
      <c r="XDL4" s="228"/>
      <c r="XDM4" s="226" t="s">
        <v>13330</v>
      </c>
      <c r="XDN4" s="227"/>
      <c r="XDO4" s="227"/>
      <c r="XDP4" s="228"/>
      <c r="XDQ4" s="226" t="s">
        <v>13330</v>
      </c>
      <c r="XDR4" s="227"/>
      <c r="XDS4" s="227"/>
      <c r="XDT4" s="228"/>
      <c r="XDU4" s="226" t="s">
        <v>13330</v>
      </c>
      <c r="XDV4" s="227"/>
      <c r="XDW4" s="227"/>
      <c r="XDX4" s="228"/>
      <c r="XDY4" s="226" t="s">
        <v>13330</v>
      </c>
      <c r="XDZ4" s="227"/>
      <c r="XEA4" s="227"/>
      <c r="XEB4" s="228"/>
      <c r="XEC4" s="226" t="s">
        <v>13330</v>
      </c>
      <c r="XED4" s="227"/>
      <c r="XEE4" s="227"/>
      <c r="XEF4" s="228"/>
      <c r="XEG4" s="226" t="s">
        <v>13330</v>
      </c>
      <c r="XEH4" s="227"/>
      <c r="XEI4" s="227"/>
      <c r="XEJ4" s="228"/>
      <c r="XEK4" s="226" t="s">
        <v>13330</v>
      </c>
      <c r="XEL4" s="227"/>
      <c r="XEM4" s="227"/>
      <c r="XEN4" s="228"/>
      <c r="XEO4" s="226" t="s">
        <v>13330</v>
      </c>
      <c r="XEP4" s="227"/>
      <c r="XEQ4" s="227"/>
      <c r="XER4" s="228"/>
      <c r="XES4" s="226" t="s">
        <v>13330</v>
      </c>
      <c r="XET4" s="227"/>
      <c r="XEU4" s="227"/>
      <c r="XEV4" s="228"/>
      <c r="XEW4" s="226" t="s">
        <v>13330</v>
      </c>
      <c r="XEX4" s="227"/>
      <c r="XEY4" s="227"/>
      <c r="XEZ4" s="228"/>
      <c r="XFA4" s="226" t="s">
        <v>13330</v>
      </c>
      <c r="XFB4" s="226"/>
      <c r="XFC4" s="226"/>
      <c r="XFD4" s="226"/>
    </row>
    <row r="5" spans="1:16384" s="7" customFormat="1" ht="15.75" thickBot="1" x14ac:dyDescent="0.3">
      <c r="A5" s="223" t="s">
        <v>44</v>
      </c>
      <c r="B5" s="224"/>
      <c r="C5" s="224"/>
      <c r="D5" s="225"/>
      <c r="E5" s="223" t="s">
        <v>44</v>
      </c>
      <c r="F5" s="224"/>
      <c r="G5" s="224"/>
      <c r="H5" s="225"/>
      <c r="I5" s="223" t="s">
        <v>44</v>
      </c>
      <c r="J5" s="224"/>
      <c r="K5" s="224"/>
      <c r="L5" s="225"/>
      <c r="M5" s="223" t="s">
        <v>44</v>
      </c>
      <c r="N5" s="224"/>
      <c r="O5" s="224"/>
      <c r="P5" s="225"/>
      <c r="Q5" s="223" t="s">
        <v>44</v>
      </c>
      <c r="R5" s="224"/>
      <c r="S5" s="224"/>
      <c r="T5" s="225"/>
      <c r="U5" s="223" t="s">
        <v>44</v>
      </c>
      <c r="V5" s="224"/>
      <c r="W5" s="224"/>
      <c r="X5" s="225"/>
      <c r="Y5" s="223" t="s">
        <v>44</v>
      </c>
      <c r="Z5" s="224"/>
      <c r="AA5" s="224"/>
      <c r="AB5" s="225"/>
      <c r="AC5" s="223" t="s">
        <v>44</v>
      </c>
      <c r="AD5" s="224"/>
      <c r="AE5" s="224"/>
      <c r="AF5" s="225"/>
      <c r="AG5" s="223" t="s">
        <v>44</v>
      </c>
      <c r="AH5" s="224"/>
      <c r="AI5" s="224"/>
      <c r="AJ5" s="225"/>
      <c r="AK5" s="223" t="s">
        <v>44</v>
      </c>
      <c r="AL5" s="224"/>
      <c r="AM5" s="224"/>
      <c r="AN5" s="225"/>
      <c r="AO5" s="223" t="s">
        <v>44</v>
      </c>
      <c r="AP5" s="224"/>
      <c r="AQ5" s="224"/>
      <c r="AR5" s="225"/>
      <c r="AS5" s="223" t="s">
        <v>44</v>
      </c>
      <c r="AT5" s="224"/>
      <c r="AU5" s="224"/>
      <c r="AV5" s="225"/>
      <c r="AW5" s="223" t="s">
        <v>44</v>
      </c>
      <c r="AX5" s="224"/>
      <c r="AY5" s="224"/>
      <c r="AZ5" s="225"/>
      <c r="BA5" s="223" t="s">
        <v>44</v>
      </c>
      <c r="BB5" s="224"/>
      <c r="BC5" s="224"/>
      <c r="BD5" s="225"/>
      <c r="BE5" s="223" t="s">
        <v>44</v>
      </c>
      <c r="BF5" s="224"/>
      <c r="BG5" s="224"/>
      <c r="BH5" s="225"/>
      <c r="BI5" s="223" t="s">
        <v>44</v>
      </c>
      <c r="BJ5" s="224"/>
      <c r="BK5" s="224"/>
      <c r="BL5" s="225"/>
      <c r="BM5" s="223" t="s">
        <v>44</v>
      </c>
      <c r="BN5" s="224"/>
      <c r="BO5" s="224"/>
      <c r="BP5" s="225"/>
      <c r="BQ5" s="223" t="s">
        <v>44</v>
      </c>
      <c r="BR5" s="224"/>
      <c r="BS5" s="224"/>
      <c r="BT5" s="225"/>
      <c r="BU5" s="223" t="s">
        <v>44</v>
      </c>
      <c r="BV5" s="224"/>
      <c r="BW5" s="224"/>
      <c r="BX5" s="225"/>
      <c r="BY5" s="223" t="s">
        <v>44</v>
      </c>
      <c r="BZ5" s="224"/>
      <c r="CA5" s="224"/>
      <c r="CB5" s="225"/>
      <c r="CC5" s="223" t="s">
        <v>44</v>
      </c>
      <c r="CD5" s="224"/>
      <c r="CE5" s="224"/>
      <c r="CF5" s="225"/>
      <c r="CG5" s="223" t="s">
        <v>44</v>
      </c>
      <c r="CH5" s="224"/>
      <c r="CI5" s="224"/>
      <c r="CJ5" s="225"/>
      <c r="CK5" s="223" t="s">
        <v>44</v>
      </c>
      <c r="CL5" s="224"/>
      <c r="CM5" s="224"/>
      <c r="CN5" s="225"/>
      <c r="CO5" s="223" t="s">
        <v>44</v>
      </c>
      <c r="CP5" s="224"/>
      <c r="CQ5" s="224"/>
      <c r="CR5" s="225"/>
      <c r="CS5" s="223" t="s">
        <v>44</v>
      </c>
      <c r="CT5" s="224"/>
      <c r="CU5" s="224"/>
      <c r="CV5" s="225"/>
      <c r="CW5" s="223" t="s">
        <v>44</v>
      </c>
      <c r="CX5" s="224"/>
      <c r="CY5" s="224"/>
      <c r="CZ5" s="225"/>
      <c r="DA5" s="223" t="s">
        <v>44</v>
      </c>
      <c r="DB5" s="224"/>
      <c r="DC5" s="224"/>
      <c r="DD5" s="225"/>
      <c r="DE5" s="223" t="s">
        <v>44</v>
      </c>
      <c r="DF5" s="224"/>
      <c r="DG5" s="224"/>
      <c r="DH5" s="225"/>
      <c r="DI5" s="223" t="s">
        <v>44</v>
      </c>
      <c r="DJ5" s="224"/>
      <c r="DK5" s="224"/>
      <c r="DL5" s="225"/>
      <c r="DM5" s="223" t="s">
        <v>44</v>
      </c>
      <c r="DN5" s="224"/>
      <c r="DO5" s="224"/>
      <c r="DP5" s="225"/>
      <c r="DQ5" s="223" t="s">
        <v>44</v>
      </c>
      <c r="DR5" s="224"/>
      <c r="DS5" s="224"/>
      <c r="DT5" s="225"/>
      <c r="DU5" s="223" t="s">
        <v>44</v>
      </c>
      <c r="DV5" s="224"/>
      <c r="DW5" s="224"/>
      <c r="DX5" s="225"/>
      <c r="DY5" s="223" t="s">
        <v>44</v>
      </c>
      <c r="DZ5" s="224"/>
      <c r="EA5" s="224"/>
      <c r="EB5" s="225"/>
      <c r="EC5" s="223" t="s">
        <v>44</v>
      </c>
      <c r="ED5" s="224"/>
      <c r="EE5" s="224"/>
      <c r="EF5" s="225"/>
      <c r="EG5" s="223" t="s">
        <v>44</v>
      </c>
      <c r="EH5" s="224"/>
      <c r="EI5" s="224"/>
      <c r="EJ5" s="225"/>
      <c r="EK5" s="223" t="s">
        <v>44</v>
      </c>
      <c r="EL5" s="224"/>
      <c r="EM5" s="224"/>
      <c r="EN5" s="225"/>
      <c r="EO5" s="223" t="s">
        <v>44</v>
      </c>
      <c r="EP5" s="224"/>
      <c r="EQ5" s="224"/>
      <c r="ER5" s="225"/>
      <c r="ES5" s="223" t="s">
        <v>44</v>
      </c>
      <c r="ET5" s="224"/>
      <c r="EU5" s="224"/>
      <c r="EV5" s="225"/>
      <c r="EW5" s="223" t="s">
        <v>44</v>
      </c>
      <c r="EX5" s="224"/>
      <c r="EY5" s="224"/>
      <c r="EZ5" s="225"/>
      <c r="FA5" s="223" t="s">
        <v>44</v>
      </c>
      <c r="FB5" s="224"/>
      <c r="FC5" s="224"/>
      <c r="FD5" s="225"/>
      <c r="FE5" s="223" t="s">
        <v>44</v>
      </c>
      <c r="FF5" s="224"/>
      <c r="FG5" s="224"/>
      <c r="FH5" s="225"/>
      <c r="FI5" s="223" t="s">
        <v>44</v>
      </c>
      <c r="FJ5" s="224"/>
      <c r="FK5" s="224"/>
      <c r="FL5" s="225"/>
      <c r="FM5" s="223" t="s">
        <v>44</v>
      </c>
      <c r="FN5" s="224"/>
      <c r="FO5" s="224"/>
      <c r="FP5" s="225"/>
      <c r="FQ5" s="223" t="s">
        <v>44</v>
      </c>
      <c r="FR5" s="224"/>
      <c r="FS5" s="224"/>
      <c r="FT5" s="225"/>
      <c r="FU5" s="223" t="s">
        <v>44</v>
      </c>
      <c r="FV5" s="224"/>
      <c r="FW5" s="224"/>
      <c r="FX5" s="225"/>
      <c r="FY5" s="223" t="s">
        <v>44</v>
      </c>
      <c r="FZ5" s="224"/>
      <c r="GA5" s="224"/>
      <c r="GB5" s="225"/>
      <c r="GC5" s="223" t="s">
        <v>44</v>
      </c>
      <c r="GD5" s="224"/>
      <c r="GE5" s="224"/>
      <c r="GF5" s="225"/>
      <c r="GG5" s="223" t="s">
        <v>44</v>
      </c>
      <c r="GH5" s="224"/>
      <c r="GI5" s="224"/>
      <c r="GJ5" s="225"/>
      <c r="GK5" s="223" t="s">
        <v>44</v>
      </c>
      <c r="GL5" s="224"/>
      <c r="GM5" s="224"/>
      <c r="GN5" s="225"/>
      <c r="GO5" s="223" t="s">
        <v>44</v>
      </c>
      <c r="GP5" s="224"/>
      <c r="GQ5" s="224"/>
      <c r="GR5" s="225"/>
      <c r="GS5" s="223" t="s">
        <v>44</v>
      </c>
      <c r="GT5" s="224"/>
      <c r="GU5" s="224"/>
      <c r="GV5" s="225"/>
      <c r="GW5" s="223" t="s">
        <v>44</v>
      </c>
      <c r="GX5" s="224"/>
      <c r="GY5" s="224"/>
      <c r="GZ5" s="225"/>
      <c r="HA5" s="223" t="s">
        <v>44</v>
      </c>
      <c r="HB5" s="224"/>
      <c r="HC5" s="224"/>
      <c r="HD5" s="225"/>
      <c r="HE5" s="223" t="s">
        <v>44</v>
      </c>
      <c r="HF5" s="224"/>
      <c r="HG5" s="224"/>
      <c r="HH5" s="225"/>
      <c r="HI5" s="223" t="s">
        <v>44</v>
      </c>
      <c r="HJ5" s="224"/>
      <c r="HK5" s="224"/>
      <c r="HL5" s="225"/>
      <c r="HM5" s="223" t="s">
        <v>44</v>
      </c>
      <c r="HN5" s="224"/>
      <c r="HO5" s="224"/>
      <c r="HP5" s="225"/>
      <c r="HQ5" s="223" t="s">
        <v>44</v>
      </c>
      <c r="HR5" s="224"/>
      <c r="HS5" s="224"/>
      <c r="HT5" s="225"/>
      <c r="HU5" s="223" t="s">
        <v>44</v>
      </c>
      <c r="HV5" s="224"/>
      <c r="HW5" s="224"/>
      <c r="HX5" s="225"/>
      <c r="HY5" s="223" t="s">
        <v>44</v>
      </c>
      <c r="HZ5" s="224"/>
      <c r="IA5" s="224"/>
      <c r="IB5" s="225"/>
      <c r="IC5" s="223" t="s">
        <v>44</v>
      </c>
      <c r="ID5" s="224"/>
      <c r="IE5" s="224"/>
      <c r="IF5" s="225"/>
      <c r="IG5" s="223" t="s">
        <v>44</v>
      </c>
      <c r="IH5" s="224"/>
      <c r="II5" s="224"/>
      <c r="IJ5" s="225"/>
      <c r="IK5" s="223" t="s">
        <v>44</v>
      </c>
      <c r="IL5" s="224"/>
      <c r="IM5" s="224"/>
      <c r="IN5" s="225"/>
      <c r="IO5" s="223" t="s">
        <v>44</v>
      </c>
      <c r="IP5" s="224"/>
      <c r="IQ5" s="224"/>
      <c r="IR5" s="225"/>
      <c r="IS5" s="223" t="s">
        <v>44</v>
      </c>
      <c r="IT5" s="224"/>
      <c r="IU5" s="224"/>
      <c r="IV5" s="225"/>
      <c r="IW5" s="223" t="s">
        <v>44</v>
      </c>
      <c r="IX5" s="224"/>
      <c r="IY5" s="224"/>
      <c r="IZ5" s="225"/>
      <c r="JA5" s="223" t="s">
        <v>44</v>
      </c>
      <c r="JB5" s="224"/>
      <c r="JC5" s="224"/>
      <c r="JD5" s="225"/>
      <c r="JE5" s="223" t="s">
        <v>44</v>
      </c>
      <c r="JF5" s="224"/>
      <c r="JG5" s="224"/>
      <c r="JH5" s="225"/>
      <c r="JI5" s="223" t="s">
        <v>44</v>
      </c>
      <c r="JJ5" s="224"/>
      <c r="JK5" s="224"/>
      <c r="JL5" s="225"/>
      <c r="JM5" s="223" t="s">
        <v>44</v>
      </c>
      <c r="JN5" s="224"/>
      <c r="JO5" s="224"/>
      <c r="JP5" s="225"/>
      <c r="JQ5" s="223" t="s">
        <v>44</v>
      </c>
      <c r="JR5" s="224"/>
      <c r="JS5" s="224"/>
      <c r="JT5" s="225"/>
      <c r="JU5" s="223" t="s">
        <v>44</v>
      </c>
      <c r="JV5" s="224"/>
      <c r="JW5" s="224"/>
      <c r="JX5" s="225"/>
      <c r="JY5" s="223" t="s">
        <v>44</v>
      </c>
      <c r="JZ5" s="224"/>
      <c r="KA5" s="224"/>
      <c r="KB5" s="225"/>
      <c r="KC5" s="223" t="s">
        <v>44</v>
      </c>
      <c r="KD5" s="224"/>
      <c r="KE5" s="224"/>
      <c r="KF5" s="225"/>
      <c r="KG5" s="223" t="s">
        <v>44</v>
      </c>
      <c r="KH5" s="224"/>
      <c r="KI5" s="224"/>
      <c r="KJ5" s="225"/>
      <c r="KK5" s="223" t="s">
        <v>44</v>
      </c>
      <c r="KL5" s="224"/>
      <c r="KM5" s="224"/>
      <c r="KN5" s="225"/>
      <c r="KO5" s="223" t="s">
        <v>44</v>
      </c>
      <c r="KP5" s="224"/>
      <c r="KQ5" s="224"/>
      <c r="KR5" s="225"/>
      <c r="KS5" s="223" t="s">
        <v>44</v>
      </c>
      <c r="KT5" s="224"/>
      <c r="KU5" s="224"/>
      <c r="KV5" s="225"/>
      <c r="KW5" s="223" t="s">
        <v>44</v>
      </c>
      <c r="KX5" s="224"/>
      <c r="KY5" s="224"/>
      <c r="KZ5" s="225"/>
      <c r="LA5" s="223" t="s">
        <v>44</v>
      </c>
      <c r="LB5" s="224"/>
      <c r="LC5" s="224"/>
      <c r="LD5" s="225"/>
      <c r="LE5" s="223" t="s">
        <v>44</v>
      </c>
      <c r="LF5" s="224"/>
      <c r="LG5" s="224"/>
      <c r="LH5" s="225"/>
      <c r="LI5" s="223" t="s">
        <v>44</v>
      </c>
      <c r="LJ5" s="224"/>
      <c r="LK5" s="224"/>
      <c r="LL5" s="225"/>
      <c r="LM5" s="223" t="s">
        <v>44</v>
      </c>
      <c r="LN5" s="224"/>
      <c r="LO5" s="224"/>
      <c r="LP5" s="225"/>
      <c r="LQ5" s="223" t="s">
        <v>44</v>
      </c>
      <c r="LR5" s="224"/>
      <c r="LS5" s="224"/>
      <c r="LT5" s="225"/>
      <c r="LU5" s="223" t="s">
        <v>44</v>
      </c>
      <c r="LV5" s="224"/>
      <c r="LW5" s="224"/>
      <c r="LX5" s="225"/>
      <c r="LY5" s="223" t="s">
        <v>44</v>
      </c>
      <c r="LZ5" s="224"/>
      <c r="MA5" s="224"/>
      <c r="MB5" s="225"/>
      <c r="MC5" s="223" t="s">
        <v>44</v>
      </c>
      <c r="MD5" s="224"/>
      <c r="ME5" s="224"/>
      <c r="MF5" s="225"/>
      <c r="MG5" s="223" t="s">
        <v>44</v>
      </c>
      <c r="MH5" s="224"/>
      <c r="MI5" s="224"/>
      <c r="MJ5" s="225"/>
      <c r="MK5" s="223" t="s">
        <v>44</v>
      </c>
      <c r="ML5" s="224"/>
      <c r="MM5" s="224"/>
      <c r="MN5" s="225"/>
      <c r="MO5" s="223" t="s">
        <v>44</v>
      </c>
      <c r="MP5" s="224"/>
      <c r="MQ5" s="224"/>
      <c r="MR5" s="225"/>
      <c r="MS5" s="223" t="s">
        <v>44</v>
      </c>
      <c r="MT5" s="224"/>
      <c r="MU5" s="224"/>
      <c r="MV5" s="225"/>
      <c r="MW5" s="223" t="s">
        <v>44</v>
      </c>
      <c r="MX5" s="224"/>
      <c r="MY5" s="224"/>
      <c r="MZ5" s="225"/>
      <c r="NA5" s="223" t="s">
        <v>44</v>
      </c>
      <c r="NB5" s="224"/>
      <c r="NC5" s="224"/>
      <c r="ND5" s="225"/>
      <c r="NE5" s="223" t="s">
        <v>44</v>
      </c>
      <c r="NF5" s="224"/>
      <c r="NG5" s="224"/>
      <c r="NH5" s="225"/>
      <c r="NI5" s="223" t="s">
        <v>44</v>
      </c>
      <c r="NJ5" s="224"/>
      <c r="NK5" s="224"/>
      <c r="NL5" s="225"/>
      <c r="NM5" s="223" t="s">
        <v>44</v>
      </c>
      <c r="NN5" s="224"/>
      <c r="NO5" s="224"/>
      <c r="NP5" s="225"/>
      <c r="NQ5" s="223" t="s">
        <v>44</v>
      </c>
      <c r="NR5" s="224"/>
      <c r="NS5" s="224"/>
      <c r="NT5" s="225"/>
      <c r="NU5" s="223" t="s">
        <v>44</v>
      </c>
      <c r="NV5" s="224"/>
      <c r="NW5" s="224"/>
      <c r="NX5" s="225"/>
      <c r="NY5" s="223" t="s">
        <v>44</v>
      </c>
      <c r="NZ5" s="224"/>
      <c r="OA5" s="224"/>
      <c r="OB5" s="225"/>
      <c r="OC5" s="223" t="s">
        <v>44</v>
      </c>
      <c r="OD5" s="224"/>
      <c r="OE5" s="224"/>
      <c r="OF5" s="225"/>
      <c r="OG5" s="223" t="s">
        <v>44</v>
      </c>
      <c r="OH5" s="224"/>
      <c r="OI5" s="224"/>
      <c r="OJ5" s="225"/>
      <c r="OK5" s="223" t="s">
        <v>44</v>
      </c>
      <c r="OL5" s="224"/>
      <c r="OM5" s="224"/>
      <c r="ON5" s="225"/>
      <c r="OO5" s="223" t="s">
        <v>44</v>
      </c>
      <c r="OP5" s="224"/>
      <c r="OQ5" s="224"/>
      <c r="OR5" s="225"/>
      <c r="OS5" s="223" t="s">
        <v>44</v>
      </c>
      <c r="OT5" s="224"/>
      <c r="OU5" s="224"/>
      <c r="OV5" s="225"/>
      <c r="OW5" s="223" t="s">
        <v>44</v>
      </c>
      <c r="OX5" s="224"/>
      <c r="OY5" s="224"/>
      <c r="OZ5" s="225"/>
      <c r="PA5" s="223" t="s">
        <v>44</v>
      </c>
      <c r="PB5" s="224"/>
      <c r="PC5" s="224"/>
      <c r="PD5" s="225"/>
      <c r="PE5" s="223" t="s">
        <v>44</v>
      </c>
      <c r="PF5" s="224"/>
      <c r="PG5" s="224"/>
      <c r="PH5" s="225"/>
      <c r="PI5" s="223" t="s">
        <v>44</v>
      </c>
      <c r="PJ5" s="224"/>
      <c r="PK5" s="224"/>
      <c r="PL5" s="225"/>
      <c r="PM5" s="223" t="s">
        <v>44</v>
      </c>
      <c r="PN5" s="224"/>
      <c r="PO5" s="224"/>
      <c r="PP5" s="225"/>
      <c r="PQ5" s="223" t="s">
        <v>44</v>
      </c>
      <c r="PR5" s="224"/>
      <c r="PS5" s="224"/>
      <c r="PT5" s="225"/>
      <c r="PU5" s="223" t="s">
        <v>44</v>
      </c>
      <c r="PV5" s="224"/>
      <c r="PW5" s="224"/>
      <c r="PX5" s="225"/>
      <c r="PY5" s="223" t="s">
        <v>44</v>
      </c>
      <c r="PZ5" s="224"/>
      <c r="QA5" s="224"/>
      <c r="QB5" s="225"/>
      <c r="QC5" s="223" t="s">
        <v>44</v>
      </c>
      <c r="QD5" s="224"/>
      <c r="QE5" s="224"/>
      <c r="QF5" s="225"/>
      <c r="QG5" s="223" t="s">
        <v>44</v>
      </c>
      <c r="QH5" s="224"/>
      <c r="QI5" s="224"/>
      <c r="QJ5" s="225"/>
      <c r="QK5" s="223" t="s">
        <v>44</v>
      </c>
      <c r="QL5" s="224"/>
      <c r="QM5" s="224"/>
      <c r="QN5" s="225"/>
      <c r="QO5" s="223" t="s">
        <v>44</v>
      </c>
      <c r="QP5" s="224"/>
      <c r="QQ5" s="224"/>
      <c r="QR5" s="225"/>
      <c r="QS5" s="223" t="s">
        <v>44</v>
      </c>
      <c r="QT5" s="224"/>
      <c r="QU5" s="224"/>
      <c r="QV5" s="225"/>
      <c r="QW5" s="223" t="s">
        <v>44</v>
      </c>
      <c r="QX5" s="224"/>
      <c r="QY5" s="224"/>
      <c r="QZ5" s="225"/>
      <c r="RA5" s="223" t="s">
        <v>44</v>
      </c>
      <c r="RB5" s="224"/>
      <c r="RC5" s="224"/>
      <c r="RD5" s="225"/>
      <c r="RE5" s="223" t="s">
        <v>44</v>
      </c>
      <c r="RF5" s="224"/>
      <c r="RG5" s="224"/>
      <c r="RH5" s="225"/>
      <c r="RI5" s="223" t="s">
        <v>44</v>
      </c>
      <c r="RJ5" s="224"/>
      <c r="RK5" s="224"/>
      <c r="RL5" s="225"/>
      <c r="RM5" s="223" t="s">
        <v>44</v>
      </c>
      <c r="RN5" s="224"/>
      <c r="RO5" s="224"/>
      <c r="RP5" s="225"/>
      <c r="RQ5" s="223" t="s">
        <v>44</v>
      </c>
      <c r="RR5" s="224"/>
      <c r="RS5" s="224"/>
      <c r="RT5" s="225"/>
      <c r="RU5" s="223" t="s">
        <v>44</v>
      </c>
      <c r="RV5" s="224"/>
      <c r="RW5" s="224"/>
      <c r="RX5" s="225"/>
      <c r="RY5" s="223" t="s">
        <v>44</v>
      </c>
      <c r="RZ5" s="224"/>
      <c r="SA5" s="224"/>
      <c r="SB5" s="225"/>
      <c r="SC5" s="223" t="s">
        <v>44</v>
      </c>
      <c r="SD5" s="224"/>
      <c r="SE5" s="224"/>
      <c r="SF5" s="225"/>
      <c r="SG5" s="223" t="s">
        <v>44</v>
      </c>
      <c r="SH5" s="224"/>
      <c r="SI5" s="224"/>
      <c r="SJ5" s="225"/>
      <c r="SK5" s="223" t="s">
        <v>44</v>
      </c>
      <c r="SL5" s="224"/>
      <c r="SM5" s="224"/>
      <c r="SN5" s="225"/>
      <c r="SO5" s="223" t="s">
        <v>44</v>
      </c>
      <c r="SP5" s="224"/>
      <c r="SQ5" s="224"/>
      <c r="SR5" s="225"/>
      <c r="SS5" s="223" t="s">
        <v>44</v>
      </c>
      <c r="ST5" s="224"/>
      <c r="SU5" s="224"/>
      <c r="SV5" s="225"/>
      <c r="SW5" s="223" t="s">
        <v>44</v>
      </c>
      <c r="SX5" s="224"/>
      <c r="SY5" s="224"/>
      <c r="SZ5" s="225"/>
      <c r="TA5" s="223" t="s">
        <v>44</v>
      </c>
      <c r="TB5" s="224"/>
      <c r="TC5" s="224"/>
      <c r="TD5" s="225"/>
      <c r="TE5" s="223" t="s">
        <v>44</v>
      </c>
      <c r="TF5" s="224"/>
      <c r="TG5" s="224"/>
      <c r="TH5" s="225"/>
      <c r="TI5" s="223" t="s">
        <v>44</v>
      </c>
      <c r="TJ5" s="224"/>
      <c r="TK5" s="224"/>
      <c r="TL5" s="225"/>
      <c r="TM5" s="223" t="s">
        <v>44</v>
      </c>
      <c r="TN5" s="224"/>
      <c r="TO5" s="224"/>
      <c r="TP5" s="225"/>
      <c r="TQ5" s="223" t="s">
        <v>44</v>
      </c>
      <c r="TR5" s="224"/>
      <c r="TS5" s="224"/>
      <c r="TT5" s="225"/>
      <c r="TU5" s="223" t="s">
        <v>44</v>
      </c>
      <c r="TV5" s="224"/>
      <c r="TW5" s="224"/>
      <c r="TX5" s="225"/>
      <c r="TY5" s="223" t="s">
        <v>44</v>
      </c>
      <c r="TZ5" s="224"/>
      <c r="UA5" s="224"/>
      <c r="UB5" s="225"/>
      <c r="UC5" s="223" t="s">
        <v>44</v>
      </c>
      <c r="UD5" s="224"/>
      <c r="UE5" s="224"/>
      <c r="UF5" s="225"/>
      <c r="UG5" s="223" t="s">
        <v>44</v>
      </c>
      <c r="UH5" s="224"/>
      <c r="UI5" s="224"/>
      <c r="UJ5" s="225"/>
      <c r="UK5" s="223" t="s">
        <v>44</v>
      </c>
      <c r="UL5" s="224"/>
      <c r="UM5" s="224"/>
      <c r="UN5" s="225"/>
      <c r="UO5" s="223" t="s">
        <v>44</v>
      </c>
      <c r="UP5" s="224"/>
      <c r="UQ5" s="224"/>
      <c r="UR5" s="225"/>
      <c r="US5" s="223" t="s">
        <v>44</v>
      </c>
      <c r="UT5" s="224"/>
      <c r="UU5" s="224"/>
      <c r="UV5" s="225"/>
      <c r="UW5" s="223" t="s">
        <v>44</v>
      </c>
      <c r="UX5" s="224"/>
      <c r="UY5" s="224"/>
      <c r="UZ5" s="225"/>
      <c r="VA5" s="223" t="s">
        <v>44</v>
      </c>
      <c r="VB5" s="224"/>
      <c r="VC5" s="224"/>
      <c r="VD5" s="225"/>
      <c r="VE5" s="223" t="s">
        <v>44</v>
      </c>
      <c r="VF5" s="224"/>
      <c r="VG5" s="224"/>
      <c r="VH5" s="225"/>
      <c r="VI5" s="223" t="s">
        <v>44</v>
      </c>
      <c r="VJ5" s="224"/>
      <c r="VK5" s="224"/>
      <c r="VL5" s="225"/>
      <c r="VM5" s="223" t="s">
        <v>44</v>
      </c>
      <c r="VN5" s="224"/>
      <c r="VO5" s="224"/>
      <c r="VP5" s="225"/>
      <c r="VQ5" s="223" t="s">
        <v>44</v>
      </c>
      <c r="VR5" s="224"/>
      <c r="VS5" s="224"/>
      <c r="VT5" s="225"/>
      <c r="VU5" s="223" t="s">
        <v>44</v>
      </c>
      <c r="VV5" s="224"/>
      <c r="VW5" s="224"/>
      <c r="VX5" s="225"/>
      <c r="VY5" s="223" t="s">
        <v>44</v>
      </c>
      <c r="VZ5" s="224"/>
      <c r="WA5" s="224"/>
      <c r="WB5" s="225"/>
      <c r="WC5" s="223" t="s">
        <v>44</v>
      </c>
      <c r="WD5" s="224"/>
      <c r="WE5" s="224"/>
      <c r="WF5" s="225"/>
      <c r="WG5" s="223" t="s">
        <v>44</v>
      </c>
      <c r="WH5" s="224"/>
      <c r="WI5" s="224"/>
      <c r="WJ5" s="225"/>
      <c r="WK5" s="223" t="s">
        <v>44</v>
      </c>
      <c r="WL5" s="224"/>
      <c r="WM5" s="224"/>
      <c r="WN5" s="225"/>
      <c r="WO5" s="223" t="s">
        <v>44</v>
      </c>
      <c r="WP5" s="224"/>
      <c r="WQ5" s="224"/>
      <c r="WR5" s="225"/>
      <c r="WS5" s="223" t="s">
        <v>44</v>
      </c>
      <c r="WT5" s="224"/>
      <c r="WU5" s="224"/>
      <c r="WV5" s="225"/>
      <c r="WW5" s="223" t="s">
        <v>44</v>
      </c>
      <c r="WX5" s="224"/>
      <c r="WY5" s="224"/>
      <c r="WZ5" s="225"/>
      <c r="XA5" s="223" t="s">
        <v>44</v>
      </c>
      <c r="XB5" s="224"/>
      <c r="XC5" s="224"/>
      <c r="XD5" s="225"/>
      <c r="XE5" s="223" t="s">
        <v>44</v>
      </c>
      <c r="XF5" s="224"/>
      <c r="XG5" s="224"/>
      <c r="XH5" s="225"/>
      <c r="XI5" s="223" t="s">
        <v>44</v>
      </c>
      <c r="XJ5" s="224"/>
      <c r="XK5" s="224"/>
      <c r="XL5" s="225"/>
      <c r="XM5" s="223" t="s">
        <v>44</v>
      </c>
      <c r="XN5" s="224"/>
      <c r="XO5" s="224"/>
      <c r="XP5" s="225"/>
      <c r="XQ5" s="223" t="s">
        <v>44</v>
      </c>
      <c r="XR5" s="224"/>
      <c r="XS5" s="224"/>
      <c r="XT5" s="225"/>
      <c r="XU5" s="223" t="s">
        <v>44</v>
      </c>
      <c r="XV5" s="224"/>
      <c r="XW5" s="224"/>
      <c r="XX5" s="225"/>
      <c r="XY5" s="223" t="s">
        <v>44</v>
      </c>
      <c r="XZ5" s="224"/>
      <c r="YA5" s="224"/>
      <c r="YB5" s="225"/>
      <c r="YC5" s="223" t="s">
        <v>44</v>
      </c>
      <c r="YD5" s="224"/>
      <c r="YE5" s="224"/>
      <c r="YF5" s="225"/>
      <c r="YG5" s="223" t="s">
        <v>44</v>
      </c>
      <c r="YH5" s="224"/>
      <c r="YI5" s="224"/>
      <c r="YJ5" s="225"/>
      <c r="YK5" s="223" t="s">
        <v>44</v>
      </c>
      <c r="YL5" s="224"/>
      <c r="YM5" s="224"/>
      <c r="YN5" s="225"/>
      <c r="YO5" s="223" t="s">
        <v>44</v>
      </c>
      <c r="YP5" s="224"/>
      <c r="YQ5" s="224"/>
      <c r="YR5" s="225"/>
      <c r="YS5" s="223" t="s">
        <v>44</v>
      </c>
      <c r="YT5" s="224"/>
      <c r="YU5" s="224"/>
      <c r="YV5" s="225"/>
      <c r="YW5" s="223" t="s">
        <v>44</v>
      </c>
      <c r="YX5" s="224"/>
      <c r="YY5" s="224"/>
      <c r="YZ5" s="225"/>
      <c r="ZA5" s="223" t="s">
        <v>44</v>
      </c>
      <c r="ZB5" s="224"/>
      <c r="ZC5" s="224"/>
      <c r="ZD5" s="225"/>
      <c r="ZE5" s="223" t="s">
        <v>44</v>
      </c>
      <c r="ZF5" s="224"/>
      <c r="ZG5" s="224"/>
      <c r="ZH5" s="225"/>
      <c r="ZI5" s="223" t="s">
        <v>44</v>
      </c>
      <c r="ZJ5" s="224"/>
      <c r="ZK5" s="224"/>
      <c r="ZL5" s="225"/>
      <c r="ZM5" s="223" t="s">
        <v>44</v>
      </c>
      <c r="ZN5" s="224"/>
      <c r="ZO5" s="224"/>
      <c r="ZP5" s="225"/>
      <c r="ZQ5" s="223" t="s">
        <v>44</v>
      </c>
      <c r="ZR5" s="224"/>
      <c r="ZS5" s="224"/>
      <c r="ZT5" s="225"/>
      <c r="ZU5" s="223" t="s">
        <v>44</v>
      </c>
      <c r="ZV5" s="224"/>
      <c r="ZW5" s="224"/>
      <c r="ZX5" s="225"/>
      <c r="ZY5" s="223" t="s">
        <v>44</v>
      </c>
      <c r="ZZ5" s="224"/>
      <c r="AAA5" s="224"/>
      <c r="AAB5" s="225"/>
      <c r="AAC5" s="223" t="s">
        <v>44</v>
      </c>
      <c r="AAD5" s="224"/>
      <c r="AAE5" s="224"/>
      <c r="AAF5" s="225"/>
      <c r="AAG5" s="223" t="s">
        <v>44</v>
      </c>
      <c r="AAH5" s="224"/>
      <c r="AAI5" s="224"/>
      <c r="AAJ5" s="225"/>
      <c r="AAK5" s="223" t="s">
        <v>44</v>
      </c>
      <c r="AAL5" s="224"/>
      <c r="AAM5" s="224"/>
      <c r="AAN5" s="225"/>
      <c r="AAO5" s="223" t="s">
        <v>44</v>
      </c>
      <c r="AAP5" s="224"/>
      <c r="AAQ5" s="224"/>
      <c r="AAR5" s="225"/>
      <c r="AAS5" s="223" t="s">
        <v>44</v>
      </c>
      <c r="AAT5" s="224"/>
      <c r="AAU5" s="224"/>
      <c r="AAV5" s="225"/>
      <c r="AAW5" s="223" t="s">
        <v>44</v>
      </c>
      <c r="AAX5" s="224"/>
      <c r="AAY5" s="224"/>
      <c r="AAZ5" s="225"/>
      <c r="ABA5" s="223" t="s">
        <v>44</v>
      </c>
      <c r="ABB5" s="224"/>
      <c r="ABC5" s="224"/>
      <c r="ABD5" s="225"/>
      <c r="ABE5" s="223" t="s">
        <v>44</v>
      </c>
      <c r="ABF5" s="224"/>
      <c r="ABG5" s="224"/>
      <c r="ABH5" s="225"/>
      <c r="ABI5" s="223" t="s">
        <v>44</v>
      </c>
      <c r="ABJ5" s="224"/>
      <c r="ABK5" s="224"/>
      <c r="ABL5" s="225"/>
      <c r="ABM5" s="223" t="s">
        <v>44</v>
      </c>
      <c r="ABN5" s="224"/>
      <c r="ABO5" s="224"/>
      <c r="ABP5" s="225"/>
      <c r="ABQ5" s="223" t="s">
        <v>44</v>
      </c>
      <c r="ABR5" s="224"/>
      <c r="ABS5" s="224"/>
      <c r="ABT5" s="225"/>
      <c r="ABU5" s="223" t="s">
        <v>44</v>
      </c>
      <c r="ABV5" s="224"/>
      <c r="ABW5" s="224"/>
      <c r="ABX5" s="225"/>
      <c r="ABY5" s="223" t="s">
        <v>44</v>
      </c>
      <c r="ABZ5" s="224"/>
      <c r="ACA5" s="224"/>
      <c r="ACB5" s="225"/>
      <c r="ACC5" s="223" t="s">
        <v>44</v>
      </c>
      <c r="ACD5" s="224"/>
      <c r="ACE5" s="224"/>
      <c r="ACF5" s="225"/>
      <c r="ACG5" s="223" t="s">
        <v>44</v>
      </c>
      <c r="ACH5" s="224"/>
      <c r="ACI5" s="224"/>
      <c r="ACJ5" s="225"/>
      <c r="ACK5" s="223" t="s">
        <v>44</v>
      </c>
      <c r="ACL5" s="224"/>
      <c r="ACM5" s="224"/>
      <c r="ACN5" s="225"/>
      <c r="ACO5" s="223" t="s">
        <v>44</v>
      </c>
      <c r="ACP5" s="224"/>
      <c r="ACQ5" s="224"/>
      <c r="ACR5" s="225"/>
      <c r="ACS5" s="223" t="s">
        <v>44</v>
      </c>
      <c r="ACT5" s="224"/>
      <c r="ACU5" s="224"/>
      <c r="ACV5" s="225"/>
      <c r="ACW5" s="223" t="s">
        <v>44</v>
      </c>
      <c r="ACX5" s="224"/>
      <c r="ACY5" s="224"/>
      <c r="ACZ5" s="225"/>
      <c r="ADA5" s="223" t="s">
        <v>44</v>
      </c>
      <c r="ADB5" s="224"/>
      <c r="ADC5" s="224"/>
      <c r="ADD5" s="225"/>
      <c r="ADE5" s="223" t="s">
        <v>44</v>
      </c>
      <c r="ADF5" s="224"/>
      <c r="ADG5" s="224"/>
      <c r="ADH5" s="225"/>
      <c r="ADI5" s="223" t="s">
        <v>44</v>
      </c>
      <c r="ADJ5" s="224"/>
      <c r="ADK5" s="224"/>
      <c r="ADL5" s="225"/>
      <c r="ADM5" s="223" t="s">
        <v>44</v>
      </c>
      <c r="ADN5" s="224"/>
      <c r="ADO5" s="224"/>
      <c r="ADP5" s="225"/>
      <c r="ADQ5" s="223" t="s">
        <v>44</v>
      </c>
      <c r="ADR5" s="224"/>
      <c r="ADS5" s="224"/>
      <c r="ADT5" s="225"/>
      <c r="ADU5" s="223" t="s">
        <v>44</v>
      </c>
      <c r="ADV5" s="224"/>
      <c r="ADW5" s="224"/>
      <c r="ADX5" s="225"/>
      <c r="ADY5" s="223" t="s">
        <v>44</v>
      </c>
      <c r="ADZ5" s="224"/>
      <c r="AEA5" s="224"/>
      <c r="AEB5" s="225"/>
      <c r="AEC5" s="223" t="s">
        <v>44</v>
      </c>
      <c r="AED5" s="224"/>
      <c r="AEE5" s="224"/>
      <c r="AEF5" s="225"/>
      <c r="AEG5" s="223" t="s">
        <v>44</v>
      </c>
      <c r="AEH5" s="224"/>
      <c r="AEI5" s="224"/>
      <c r="AEJ5" s="225"/>
      <c r="AEK5" s="223" t="s">
        <v>44</v>
      </c>
      <c r="AEL5" s="224"/>
      <c r="AEM5" s="224"/>
      <c r="AEN5" s="225"/>
      <c r="AEO5" s="223" t="s">
        <v>44</v>
      </c>
      <c r="AEP5" s="224"/>
      <c r="AEQ5" s="224"/>
      <c r="AER5" s="225"/>
      <c r="AES5" s="223" t="s">
        <v>44</v>
      </c>
      <c r="AET5" s="224"/>
      <c r="AEU5" s="224"/>
      <c r="AEV5" s="225"/>
      <c r="AEW5" s="223" t="s">
        <v>44</v>
      </c>
      <c r="AEX5" s="224"/>
      <c r="AEY5" s="224"/>
      <c r="AEZ5" s="225"/>
      <c r="AFA5" s="223" t="s">
        <v>44</v>
      </c>
      <c r="AFB5" s="224"/>
      <c r="AFC5" s="224"/>
      <c r="AFD5" s="225"/>
      <c r="AFE5" s="223" t="s">
        <v>44</v>
      </c>
      <c r="AFF5" s="224"/>
      <c r="AFG5" s="224"/>
      <c r="AFH5" s="225"/>
      <c r="AFI5" s="223" t="s">
        <v>44</v>
      </c>
      <c r="AFJ5" s="224"/>
      <c r="AFK5" s="224"/>
      <c r="AFL5" s="225"/>
      <c r="AFM5" s="223" t="s">
        <v>44</v>
      </c>
      <c r="AFN5" s="224"/>
      <c r="AFO5" s="224"/>
      <c r="AFP5" s="225"/>
      <c r="AFQ5" s="223" t="s">
        <v>44</v>
      </c>
      <c r="AFR5" s="224"/>
      <c r="AFS5" s="224"/>
      <c r="AFT5" s="225"/>
      <c r="AFU5" s="223" t="s">
        <v>44</v>
      </c>
      <c r="AFV5" s="224"/>
      <c r="AFW5" s="224"/>
      <c r="AFX5" s="225"/>
      <c r="AFY5" s="223" t="s">
        <v>44</v>
      </c>
      <c r="AFZ5" s="224"/>
      <c r="AGA5" s="224"/>
      <c r="AGB5" s="225"/>
      <c r="AGC5" s="223" t="s">
        <v>44</v>
      </c>
      <c r="AGD5" s="224"/>
      <c r="AGE5" s="224"/>
      <c r="AGF5" s="225"/>
      <c r="AGG5" s="223" t="s">
        <v>44</v>
      </c>
      <c r="AGH5" s="224"/>
      <c r="AGI5" s="224"/>
      <c r="AGJ5" s="225"/>
      <c r="AGK5" s="223" t="s">
        <v>44</v>
      </c>
      <c r="AGL5" s="224"/>
      <c r="AGM5" s="224"/>
      <c r="AGN5" s="225"/>
      <c r="AGO5" s="223" t="s">
        <v>44</v>
      </c>
      <c r="AGP5" s="224"/>
      <c r="AGQ5" s="224"/>
      <c r="AGR5" s="225"/>
      <c r="AGS5" s="223" t="s">
        <v>44</v>
      </c>
      <c r="AGT5" s="224"/>
      <c r="AGU5" s="224"/>
      <c r="AGV5" s="225"/>
      <c r="AGW5" s="223" t="s">
        <v>44</v>
      </c>
      <c r="AGX5" s="224"/>
      <c r="AGY5" s="224"/>
      <c r="AGZ5" s="225"/>
      <c r="AHA5" s="223" t="s">
        <v>44</v>
      </c>
      <c r="AHB5" s="224"/>
      <c r="AHC5" s="224"/>
      <c r="AHD5" s="225"/>
      <c r="AHE5" s="223" t="s">
        <v>44</v>
      </c>
      <c r="AHF5" s="224"/>
      <c r="AHG5" s="224"/>
      <c r="AHH5" s="225"/>
      <c r="AHI5" s="223" t="s">
        <v>44</v>
      </c>
      <c r="AHJ5" s="224"/>
      <c r="AHK5" s="224"/>
      <c r="AHL5" s="225"/>
      <c r="AHM5" s="223" t="s">
        <v>44</v>
      </c>
      <c r="AHN5" s="224"/>
      <c r="AHO5" s="224"/>
      <c r="AHP5" s="225"/>
      <c r="AHQ5" s="223" t="s">
        <v>44</v>
      </c>
      <c r="AHR5" s="224"/>
      <c r="AHS5" s="224"/>
      <c r="AHT5" s="225"/>
      <c r="AHU5" s="223" t="s">
        <v>44</v>
      </c>
      <c r="AHV5" s="224"/>
      <c r="AHW5" s="224"/>
      <c r="AHX5" s="225"/>
      <c r="AHY5" s="223" t="s">
        <v>44</v>
      </c>
      <c r="AHZ5" s="224"/>
      <c r="AIA5" s="224"/>
      <c r="AIB5" s="225"/>
      <c r="AIC5" s="223" t="s">
        <v>44</v>
      </c>
      <c r="AID5" s="224"/>
      <c r="AIE5" s="224"/>
      <c r="AIF5" s="225"/>
      <c r="AIG5" s="223" t="s">
        <v>44</v>
      </c>
      <c r="AIH5" s="224"/>
      <c r="AII5" s="224"/>
      <c r="AIJ5" s="225"/>
      <c r="AIK5" s="223" t="s">
        <v>44</v>
      </c>
      <c r="AIL5" s="224"/>
      <c r="AIM5" s="224"/>
      <c r="AIN5" s="225"/>
      <c r="AIO5" s="223" t="s">
        <v>44</v>
      </c>
      <c r="AIP5" s="224"/>
      <c r="AIQ5" s="224"/>
      <c r="AIR5" s="225"/>
      <c r="AIS5" s="223" t="s">
        <v>44</v>
      </c>
      <c r="AIT5" s="224"/>
      <c r="AIU5" s="224"/>
      <c r="AIV5" s="225"/>
      <c r="AIW5" s="223" t="s">
        <v>44</v>
      </c>
      <c r="AIX5" s="224"/>
      <c r="AIY5" s="224"/>
      <c r="AIZ5" s="225"/>
      <c r="AJA5" s="223" t="s">
        <v>44</v>
      </c>
      <c r="AJB5" s="224"/>
      <c r="AJC5" s="224"/>
      <c r="AJD5" s="225"/>
      <c r="AJE5" s="223" t="s">
        <v>44</v>
      </c>
      <c r="AJF5" s="224"/>
      <c r="AJG5" s="224"/>
      <c r="AJH5" s="225"/>
      <c r="AJI5" s="223" t="s">
        <v>44</v>
      </c>
      <c r="AJJ5" s="224"/>
      <c r="AJK5" s="224"/>
      <c r="AJL5" s="225"/>
      <c r="AJM5" s="223" t="s">
        <v>44</v>
      </c>
      <c r="AJN5" s="224"/>
      <c r="AJO5" s="224"/>
      <c r="AJP5" s="225"/>
      <c r="AJQ5" s="223" t="s">
        <v>44</v>
      </c>
      <c r="AJR5" s="224"/>
      <c r="AJS5" s="224"/>
      <c r="AJT5" s="225"/>
      <c r="AJU5" s="223" t="s">
        <v>44</v>
      </c>
      <c r="AJV5" s="224"/>
      <c r="AJW5" s="224"/>
      <c r="AJX5" s="225"/>
      <c r="AJY5" s="223" t="s">
        <v>44</v>
      </c>
      <c r="AJZ5" s="224"/>
      <c r="AKA5" s="224"/>
      <c r="AKB5" s="225"/>
      <c r="AKC5" s="223" t="s">
        <v>44</v>
      </c>
      <c r="AKD5" s="224"/>
      <c r="AKE5" s="224"/>
      <c r="AKF5" s="225"/>
      <c r="AKG5" s="223" t="s">
        <v>44</v>
      </c>
      <c r="AKH5" s="224"/>
      <c r="AKI5" s="224"/>
      <c r="AKJ5" s="225"/>
      <c r="AKK5" s="223" t="s">
        <v>44</v>
      </c>
      <c r="AKL5" s="224"/>
      <c r="AKM5" s="224"/>
      <c r="AKN5" s="225"/>
      <c r="AKO5" s="223" t="s">
        <v>44</v>
      </c>
      <c r="AKP5" s="224"/>
      <c r="AKQ5" s="224"/>
      <c r="AKR5" s="225"/>
      <c r="AKS5" s="223" t="s">
        <v>44</v>
      </c>
      <c r="AKT5" s="224"/>
      <c r="AKU5" s="224"/>
      <c r="AKV5" s="225"/>
      <c r="AKW5" s="223" t="s">
        <v>44</v>
      </c>
      <c r="AKX5" s="224"/>
      <c r="AKY5" s="224"/>
      <c r="AKZ5" s="225"/>
      <c r="ALA5" s="223" t="s">
        <v>44</v>
      </c>
      <c r="ALB5" s="224"/>
      <c r="ALC5" s="224"/>
      <c r="ALD5" s="225"/>
      <c r="ALE5" s="223" t="s">
        <v>44</v>
      </c>
      <c r="ALF5" s="224"/>
      <c r="ALG5" s="224"/>
      <c r="ALH5" s="225"/>
      <c r="ALI5" s="223" t="s">
        <v>44</v>
      </c>
      <c r="ALJ5" s="224"/>
      <c r="ALK5" s="224"/>
      <c r="ALL5" s="225"/>
      <c r="ALM5" s="223" t="s">
        <v>44</v>
      </c>
      <c r="ALN5" s="224"/>
      <c r="ALO5" s="224"/>
      <c r="ALP5" s="225"/>
      <c r="ALQ5" s="223" t="s">
        <v>44</v>
      </c>
      <c r="ALR5" s="224"/>
      <c r="ALS5" s="224"/>
      <c r="ALT5" s="225"/>
      <c r="ALU5" s="223" t="s">
        <v>44</v>
      </c>
      <c r="ALV5" s="224"/>
      <c r="ALW5" s="224"/>
      <c r="ALX5" s="225"/>
      <c r="ALY5" s="223" t="s">
        <v>44</v>
      </c>
      <c r="ALZ5" s="224"/>
      <c r="AMA5" s="224"/>
      <c r="AMB5" s="225"/>
      <c r="AMC5" s="223" t="s">
        <v>44</v>
      </c>
      <c r="AMD5" s="224"/>
      <c r="AME5" s="224"/>
      <c r="AMF5" s="225"/>
      <c r="AMG5" s="223" t="s">
        <v>44</v>
      </c>
      <c r="AMH5" s="224"/>
      <c r="AMI5" s="224"/>
      <c r="AMJ5" s="225"/>
      <c r="AMK5" s="223" t="s">
        <v>44</v>
      </c>
      <c r="AML5" s="224"/>
      <c r="AMM5" s="224"/>
      <c r="AMN5" s="225"/>
      <c r="AMO5" s="223" t="s">
        <v>44</v>
      </c>
      <c r="AMP5" s="224"/>
      <c r="AMQ5" s="224"/>
      <c r="AMR5" s="225"/>
      <c r="AMS5" s="223" t="s">
        <v>44</v>
      </c>
      <c r="AMT5" s="224"/>
      <c r="AMU5" s="224"/>
      <c r="AMV5" s="225"/>
      <c r="AMW5" s="223" t="s">
        <v>44</v>
      </c>
      <c r="AMX5" s="224"/>
      <c r="AMY5" s="224"/>
      <c r="AMZ5" s="225"/>
      <c r="ANA5" s="223" t="s">
        <v>44</v>
      </c>
      <c r="ANB5" s="224"/>
      <c r="ANC5" s="224"/>
      <c r="AND5" s="225"/>
      <c r="ANE5" s="223" t="s">
        <v>44</v>
      </c>
      <c r="ANF5" s="224"/>
      <c r="ANG5" s="224"/>
      <c r="ANH5" s="225"/>
      <c r="ANI5" s="223" t="s">
        <v>44</v>
      </c>
      <c r="ANJ5" s="224"/>
      <c r="ANK5" s="224"/>
      <c r="ANL5" s="225"/>
      <c r="ANM5" s="223" t="s">
        <v>44</v>
      </c>
      <c r="ANN5" s="224"/>
      <c r="ANO5" s="224"/>
      <c r="ANP5" s="225"/>
      <c r="ANQ5" s="223" t="s">
        <v>44</v>
      </c>
      <c r="ANR5" s="224"/>
      <c r="ANS5" s="224"/>
      <c r="ANT5" s="225"/>
      <c r="ANU5" s="223" t="s">
        <v>44</v>
      </c>
      <c r="ANV5" s="224"/>
      <c r="ANW5" s="224"/>
      <c r="ANX5" s="225"/>
      <c r="ANY5" s="223" t="s">
        <v>44</v>
      </c>
      <c r="ANZ5" s="224"/>
      <c r="AOA5" s="224"/>
      <c r="AOB5" s="225"/>
      <c r="AOC5" s="223" t="s">
        <v>44</v>
      </c>
      <c r="AOD5" s="224"/>
      <c r="AOE5" s="224"/>
      <c r="AOF5" s="225"/>
      <c r="AOG5" s="223" t="s">
        <v>44</v>
      </c>
      <c r="AOH5" s="224"/>
      <c r="AOI5" s="224"/>
      <c r="AOJ5" s="225"/>
      <c r="AOK5" s="223" t="s">
        <v>44</v>
      </c>
      <c r="AOL5" s="224"/>
      <c r="AOM5" s="224"/>
      <c r="AON5" s="225"/>
      <c r="AOO5" s="223" t="s">
        <v>44</v>
      </c>
      <c r="AOP5" s="224"/>
      <c r="AOQ5" s="224"/>
      <c r="AOR5" s="225"/>
      <c r="AOS5" s="223" t="s">
        <v>44</v>
      </c>
      <c r="AOT5" s="224"/>
      <c r="AOU5" s="224"/>
      <c r="AOV5" s="225"/>
      <c r="AOW5" s="223" t="s">
        <v>44</v>
      </c>
      <c r="AOX5" s="224"/>
      <c r="AOY5" s="224"/>
      <c r="AOZ5" s="225"/>
      <c r="APA5" s="223" t="s">
        <v>44</v>
      </c>
      <c r="APB5" s="224"/>
      <c r="APC5" s="224"/>
      <c r="APD5" s="225"/>
      <c r="APE5" s="223" t="s">
        <v>44</v>
      </c>
      <c r="APF5" s="224"/>
      <c r="APG5" s="224"/>
      <c r="APH5" s="225"/>
      <c r="API5" s="223" t="s">
        <v>44</v>
      </c>
      <c r="APJ5" s="224"/>
      <c r="APK5" s="224"/>
      <c r="APL5" s="225"/>
      <c r="APM5" s="223" t="s">
        <v>44</v>
      </c>
      <c r="APN5" s="224"/>
      <c r="APO5" s="224"/>
      <c r="APP5" s="225"/>
      <c r="APQ5" s="223" t="s">
        <v>44</v>
      </c>
      <c r="APR5" s="224"/>
      <c r="APS5" s="224"/>
      <c r="APT5" s="225"/>
      <c r="APU5" s="223" t="s">
        <v>44</v>
      </c>
      <c r="APV5" s="224"/>
      <c r="APW5" s="224"/>
      <c r="APX5" s="225"/>
      <c r="APY5" s="223" t="s">
        <v>44</v>
      </c>
      <c r="APZ5" s="224"/>
      <c r="AQA5" s="224"/>
      <c r="AQB5" s="225"/>
      <c r="AQC5" s="223" t="s">
        <v>44</v>
      </c>
      <c r="AQD5" s="224"/>
      <c r="AQE5" s="224"/>
      <c r="AQF5" s="225"/>
      <c r="AQG5" s="223" t="s">
        <v>44</v>
      </c>
      <c r="AQH5" s="224"/>
      <c r="AQI5" s="224"/>
      <c r="AQJ5" s="225"/>
      <c r="AQK5" s="223" t="s">
        <v>44</v>
      </c>
      <c r="AQL5" s="224"/>
      <c r="AQM5" s="224"/>
      <c r="AQN5" s="225"/>
      <c r="AQO5" s="223" t="s">
        <v>44</v>
      </c>
      <c r="AQP5" s="224"/>
      <c r="AQQ5" s="224"/>
      <c r="AQR5" s="225"/>
      <c r="AQS5" s="223" t="s">
        <v>44</v>
      </c>
      <c r="AQT5" s="224"/>
      <c r="AQU5" s="224"/>
      <c r="AQV5" s="225"/>
      <c r="AQW5" s="223" t="s">
        <v>44</v>
      </c>
      <c r="AQX5" s="224"/>
      <c r="AQY5" s="224"/>
      <c r="AQZ5" s="225"/>
      <c r="ARA5" s="223" t="s">
        <v>44</v>
      </c>
      <c r="ARB5" s="224"/>
      <c r="ARC5" s="224"/>
      <c r="ARD5" s="225"/>
      <c r="ARE5" s="223" t="s">
        <v>44</v>
      </c>
      <c r="ARF5" s="224"/>
      <c r="ARG5" s="224"/>
      <c r="ARH5" s="225"/>
      <c r="ARI5" s="223" t="s">
        <v>44</v>
      </c>
      <c r="ARJ5" s="224"/>
      <c r="ARK5" s="224"/>
      <c r="ARL5" s="225"/>
      <c r="ARM5" s="223" t="s">
        <v>44</v>
      </c>
      <c r="ARN5" s="224"/>
      <c r="ARO5" s="224"/>
      <c r="ARP5" s="225"/>
      <c r="ARQ5" s="223" t="s">
        <v>44</v>
      </c>
      <c r="ARR5" s="224"/>
      <c r="ARS5" s="224"/>
      <c r="ART5" s="225"/>
      <c r="ARU5" s="223" t="s">
        <v>44</v>
      </c>
      <c r="ARV5" s="224"/>
      <c r="ARW5" s="224"/>
      <c r="ARX5" s="225"/>
      <c r="ARY5" s="223" t="s">
        <v>44</v>
      </c>
      <c r="ARZ5" s="224"/>
      <c r="ASA5" s="224"/>
      <c r="ASB5" s="225"/>
      <c r="ASC5" s="223" t="s">
        <v>44</v>
      </c>
      <c r="ASD5" s="224"/>
      <c r="ASE5" s="224"/>
      <c r="ASF5" s="225"/>
      <c r="ASG5" s="223" t="s">
        <v>44</v>
      </c>
      <c r="ASH5" s="224"/>
      <c r="ASI5" s="224"/>
      <c r="ASJ5" s="225"/>
      <c r="ASK5" s="223" t="s">
        <v>44</v>
      </c>
      <c r="ASL5" s="224"/>
      <c r="ASM5" s="224"/>
      <c r="ASN5" s="225"/>
      <c r="ASO5" s="223" t="s">
        <v>44</v>
      </c>
      <c r="ASP5" s="224"/>
      <c r="ASQ5" s="224"/>
      <c r="ASR5" s="225"/>
      <c r="ASS5" s="223" t="s">
        <v>44</v>
      </c>
      <c r="AST5" s="224"/>
      <c r="ASU5" s="224"/>
      <c r="ASV5" s="225"/>
      <c r="ASW5" s="223" t="s">
        <v>44</v>
      </c>
      <c r="ASX5" s="224"/>
      <c r="ASY5" s="224"/>
      <c r="ASZ5" s="225"/>
      <c r="ATA5" s="223" t="s">
        <v>44</v>
      </c>
      <c r="ATB5" s="224"/>
      <c r="ATC5" s="224"/>
      <c r="ATD5" s="225"/>
      <c r="ATE5" s="223" t="s">
        <v>44</v>
      </c>
      <c r="ATF5" s="224"/>
      <c r="ATG5" s="224"/>
      <c r="ATH5" s="225"/>
      <c r="ATI5" s="223" t="s">
        <v>44</v>
      </c>
      <c r="ATJ5" s="224"/>
      <c r="ATK5" s="224"/>
      <c r="ATL5" s="225"/>
      <c r="ATM5" s="223" t="s">
        <v>44</v>
      </c>
      <c r="ATN5" s="224"/>
      <c r="ATO5" s="224"/>
      <c r="ATP5" s="225"/>
      <c r="ATQ5" s="223" t="s">
        <v>44</v>
      </c>
      <c r="ATR5" s="224"/>
      <c r="ATS5" s="224"/>
      <c r="ATT5" s="225"/>
      <c r="ATU5" s="223" t="s">
        <v>44</v>
      </c>
      <c r="ATV5" s="224"/>
      <c r="ATW5" s="224"/>
      <c r="ATX5" s="225"/>
      <c r="ATY5" s="223" t="s">
        <v>44</v>
      </c>
      <c r="ATZ5" s="224"/>
      <c r="AUA5" s="224"/>
      <c r="AUB5" s="225"/>
      <c r="AUC5" s="223" t="s">
        <v>44</v>
      </c>
      <c r="AUD5" s="224"/>
      <c r="AUE5" s="224"/>
      <c r="AUF5" s="225"/>
      <c r="AUG5" s="223" t="s">
        <v>44</v>
      </c>
      <c r="AUH5" s="224"/>
      <c r="AUI5" s="224"/>
      <c r="AUJ5" s="225"/>
      <c r="AUK5" s="223" t="s">
        <v>44</v>
      </c>
      <c r="AUL5" s="224"/>
      <c r="AUM5" s="224"/>
      <c r="AUN5" s="225"/>
      <c r="AUO5" s="223" t="s">
        <v>44</v>
      </c>
      <c r="AUP5" s="224"/>
      <c r="AUQ5" s="224"/>
      <c r="AUR5" s="225"/>
      <c r="AUS5" s="223" t="s">
        <v>44</v>
      </c>
      <c r="AUT5" s="224"/>
      <c r="AUU5" s="224"/>
      <c r="AUV5" s="225"/>
      <c r="AUW5" s="223" t="s">
        <v>44</v>
      </c>
      <c r="AUX5" s="224"/>
      <c r="AUY5" s="224"/>
      <c r="AUZ5" s="225"/>
      <c r="AVA5" s="223" t="s">
        <v>44</v>
      </c>
      <c r="AVB5" s="224"/>
      <c r="AVC5" s="224"/>
      <c r="AVD5" s="225"/>
      <c r="AVE5" s="223" t="s">
        <v>44</v>
      </c>
      <c r="AVF5" s="224"/>
      <c r="AVG5" s="224"/>
      <c r="AVH5" s="225"/>
      <c r="AVI5" s="223" t="s">
        <v>44</v>
      </c>
      <c r="AVJ5" s="224"/>
      <c r="AVK5" s="224"/>
      <c r="AVL5" s="225"/>
      <c r="AVM5" s="223" t="s">
        <v>44</v>
      </c>
      <c r="AVN5" s="224"/>
      <c r="AVO5" s="224"/>
      <c r="AVP5" s="225"/>
      <c r="AVQ5" s="223" t="s">
        <v>44</v>
      </c>
      <c r="AVR5" s="224"/>
      <c r="AVS5" s="224"/>
      <c r="AVT5" s="225"/>
      <c r="AVU5" s="223" t="s">
        <v>44</v>
      </c>
      <c r="AVV5" s="224"/>
      <c r="AVW5" s="224"/>
      <c r="AVX5" s="225"/>
      <c r="AVY5" s="223" t="s">
        <v>44</v>
      </c>
      <c r="AVZ5" s="224"/>
      <c r="AWA5" s="224"/>
      <c r="AWB5" s="225"/>
      <c r="AWC5" s="223" t="s">
        <v>44</v>
      </c>
      <c r="AWD5" s="224"/>
      <c r="AWE5" s="224"/>
      <c r="AWF5" s="225"/>
      <c r="AWG5" s="223" t="s">
        <v>44</v>
      </c>
      <c r="AWH5" s="224"/>
      <c r="AWI5" s="224"/>
      <c r="AWJ5" s="225"/>
      <c r="AWK5" s="223" t="s">
        <v>44</v>
      </c>
      <c r="AWL5" s="224"/>
      <c r="AWM5" s="224"/>
      <c r="AWN5" s="225"/>
      <c r="AWO5" s="223" t="s">
        <v>44</v>
      </c>
      <c r="AWP5" s="224"/>
      <c r="AWQ5" s="224"/>
      <c r="AWR5" s="225"/>
      <c r="AWS5" s="223" t="s">
        <v>44</v>
      </c>
      <c r="AWT5" s="224"/>
      <c r="AWU5" s="224"/>
      <c r="AWV5" s="225"/>
      <c r="AWW5" s="223" t="s">
        <v>44</v>
      </c>
      <c r="AWX5" s="224"/>
      <c r="AWY5" s="224"/>
      <c r="AWZ5" s="225"/>
      <c r="AXA5" s="223" t="s">
        <v>44</v>
      </c>
      <c r="AXB5" s="224"/>
      <c r="AXC5" s="224"/>
      <c r="AXD5" s="225"/>
      <c r="AXE5" s="223" t="s">
        <v>44</v>
      </c>
      <c r="AXF5" s="224"/>
      <c r="AXG5" s="224"/>
      <c r="AXH5" s="225"/>
      <c r="AXI5" s="223" t="s">
        <v>44</v>
      </c>
      <c r="AXJ5" s="224"/>
      <c r="AXK5" s="224"/>
      <c r="AXL5" s="225"/>
      <c r="AXM5" s="223" t="s">
        <v>44</v>
      </c>
      <c r="AXN5" s="224"/>
      <c r="AXO5" s="224"/>
      <c r="AXP5" s="225"/>
      <c r="AXQ5" s="223" t="s">
        <v>44</v>
      </c>
      <c r="AXR5" s="224"/>
      <c r="AXS5" s="224"/>
      <c r="AXT5" s="225"/>
      <c r="AXU5" s="223" t="s">
        <v>44</v>
      </c>
      <c r="AXV5" s="224"/>
      <c r="AXW5" s="224"/>
      <c r="AXX5" s="225"/>
      <c r="AXY5" s="223" t="s">
        <v>44</v>
      </c>
      <c r="AXZ5" s="224"/>
      <c r="AYA5" s="224"/>
      <c r="AYB5" s="225"/>
      <c r="AYC5" s="223" t="s">
        <v>44</v>
      </c>
      <c r="AYD5" s="224"/>
      <c r="AYE5" s="224"/>
      <c r="AYF5" s="225"/>
      <c r="AYG5" s="223" t="s">
        <v>44</v>
      </c>
      <c r="AYH5" s="224"/>
      <c r="AYI5" s="224"/>
      <c r="AYJ5" s="225"/>
      <c r="AYK5" s="223" t="s">
        <v>44</v>
      </c>
      <c r="AYL5" s="224"/>
      <c r="AYM5" s="224"/>
      <c r="AYN5" s="225"/>
      <c r="AYO5" s="223" t="s">
        <v>44</v>
      </c>
      <c r="AYP5" s="224"/>
      <c r="AYQ5" s="224"/>
      <c r="AYR5" s="225"/>
      <c r="AYS5" s="223" t="s">
        <v>44</v>
      </c>
      <c r="AYT5" s="224"/>
      <c r="AYU5" s="224"/>
      <c r="AYV5" s="225"/>
      <c r="AYW5" s="223" t="s">
        <v>44</v>
      </c>
      <c r="AYX5" s="224"/>
      <c r="AYY5" s="224"/>
      <c r="AYZ5" s="225"/>
      <c r="AZA5" s="223" t="s">
        <v>44</v>
      </c>
      <c r="AZB5" s="224"/>
      <c r="AZC5" s="224"/>
      <c r="AZD5" s="225"/>
      <c r="AZE5" s="223" t="s">
        <v>44</v>
      </c>
      <c r="AZF5" s="224"/>
      <c r="AZG5" s="224"/>
      <c r="AZH5" s="225"/>
      <c r="AZI5" s="223" t="s">
        <v>44</v>
      </c>
      <c r="AZJ5" s="224"/>
      <c r="AZK5" s="224"/>
      <c r="AZL5" s="225"/>
      <c r="AZM5" s="223" t="s">
        <v>44</v>
      </c>
      <c r="AZN5" s="224"/>
      <c r="AZO5" s="224"/>
      <c r="AZP5" s="225"/>
      <c r="AZQ5" s="223" t="s">
        <v>44</v>
      </c>
      <c r="AZR5" s="224"/>
      <c r="AZS5" s="224"/>
      <c r="AZT5" s="225"/>
      <c r="AZU5" s="223" t="s">
        <v>44</v>
      </c>
      <c r="AZV5" s="224"/>
      <c r="AZW5" s="224"/>
      <c r="AZX5" s="225"/>
      <c r="AZY5" s="223" t="s">
        <v>44</v>
      </c>
      <c r="AZZ5" s="224"/>
      <c r="BAA5" s="224"/>
      <c r="BAB5" s="225"/>
      <c r="BAC5" s="223" t="s">
        <v>44</v>
      </c>
      <c r="BAD5" s="224"/>
      <c r="BAE5" s="224"/>
      <c r="BAF5" s="225"/>
      <c r="BAG5" s="223" t="s">
        <v>44</v>
      </c>
      <c r="BAH5" s="224"/>
      <c r="BAI5" s="224"/>
      <c r="BAJ5" s="225"/>
      <c r="BAK5" s="223" t="s">
        <v>44</v>
      </c>
      <c r="BAL5" s="224"/>
      <c r="BAM5" s="224"/>
      <c r="BAN5" s="225"/>
      <c r="BAO5" s="223" t="s">
        <v>44</v>
      </c>
      <c r="BAP5" s="224"/>
      <c r="BAQ5" s="224"/>
      <c r="BAR5" s="225"/>
      <c r="BAS5" s="223" t="s">
        <v>44</v>
      </c>
      <c r="BAT5" s="224"/>
      <c r="BAU5" s="224"/>
      <c r="BAV5" s="225"/>
      <c r="BAW5" s="223" t="s">
        <v>44</v>
      </c>
      <c r="BAX5" s="224"/>
      <c r="BAY5" s="224"/>
      <c r="BAZ5" s="225"/>
      <c r="BBA5" s="223" t="s">
        <v>44</v>
      </c>
      <c r="BBB5" s="224"/>
      <c r="BBC5" s="224"/>
      <c r="BBD5" s="225"/>
      <c r="BBE5" s="223" t="s">
        <v>44</v>
      </c>
      <c r="BBF5" s="224"/>
      <c r="BBG5" s="224"/>
      <c r="BBH5" s="225"/>
      <c r="BBI5" s="223" t="s">
        <v>44</v>
      </c>
      <c r="BBJ5" s="224"/>
      <c r="BBK5" s="224"/>
      <c r="BBL5" s="225"/>
      <c r="BBM5" s="223" t="s">
        <v>44</v>
      </c>
      <c r="BBN5" s="224"/>
      <c r="BBO5" s="224"/>
      <c r="BBP5" s="225"/>
      <c r="BBQ5" s="223" t="s">
        <v>44</v>
      </c>
      <c r="BBR5" s="224"/>
      <c r="BBS5" s="224"/>
      <c r="BBT5" s="225"/>
      <c r="BBU5" s="223" t="s">
        <v>44</v>
      </c>
      <c r="BBV5" s="224"/>
      <c r="BBW5" s="224"/>
      <c r="BBX5" s="225"/>
      <c r="BBY5" s="223" t="s">
        <v>44</v>
      </c>
      <c r="BBZ5" s="224"/>
      <c r="BCA5" s="224"/>
      <c r="BCB5" s="225"/>
      <c r="BCC5" s="223" t="s">
        <v>44</v>
      </c>
      <c r="BCD5" s="224"/>
      <c r="BCE5" s="224"/>
      <c r="BCF5" s="225"/>
      <c r="BCG5" s="223" t="s">
        <v>44</v>
      </c>
      <c r="BCH5" s="224"/>
      <c r="BCI5" s="224"/>
      <c r="BCJ5" s="225"/>
      <c r="BCK5" s="223" t="s">
        <v>44</v>
      </c>
      <c r="BCL5" s="224"/>
      <c r="BCM5" s="224"/>
      <c r="BCN5" s="225"/>
      <c r="BCO5" s="223" t="s">
        <v>44</v>
      </c>
      <c r="BCP5" s="224"/>
      <c r="BCQ5" s="224"/>
      <c r="BCR5" s="225"/>
      <c r="BCS5" s="223" t="s">
        <v>44</v>
      </c>
      <c r="BCT5" s="224"/>
      <c r="BCU5" s="224"/>
      <c r="BCV5" s="225"/>
      <c r="BCW5" s="223" t="s">
        <v>44</v>
      </c>
      <c r="BCX5" s="224"/>
      <c r="BCY5" s="224"/>
      <c r="BCZ5" s="225"/>
      <c r="BDA5" s="223" t="s">
        <v>44</v>
      </c>
      <c r="BDB5" s="224"/>
      <c r="BDC5" s="224"/>
      <c r="BDD5" s="225"/>
      <c r="BDE5" s="223" t="s">
        <v>44</v>
      </c>
      <c r="BDF5" s="224"/>
      <c r="BDG5" s="224"/>
      <c r="BDH5" s="225"/>
      <c r="BDI5" s="223" t="s">
        <v>44</v>
      </c>
      <c r="BDJ5" s="224"/>
      <c r="BDK5" s="224"/>
      <c r="BDL5" s="225"/>
      <c r="BDM5" s="223" t="s">
        <v>44</v>
      </c>
      <c r="BDN5" s="224"/>
      <c r="BDO5" s="224"/>
      <c r="BDP5" s="225"/>
      <c r="BDQ5" s="223" t="s">
        <v>44</v>
      </c>
      <c r="BDR5" s="224"/>
      <c r="BDS5" s="224"/>
      <c r="BDT5" s="225"/>
      <c r="BDU5" s="223" t="s">
        <v>44</v>
      </c>
      <c r="BDV5" s="224"/>
      <c r="BDW5" s="224"/>
      <c r="BDX5" s="225"/>
      <c r="BDY5" s="223" t="s">
        <v>44</v>
      </c>
      <c r="BDZ5" s="224"/>
      <c r="BEA5" s="224"/>
      <c r="BEB5" s="225"/>
      <c r="BEC5" s="223" t="s">
        <v>44</v>
      </c>
      <c r="BED5" s="224"/>
      <c r="BEE5" s="224"/>
      <c r="BEF5" s="225"/>
      <c r="BEG5" s="223" t="s">
        <v>44</v>
      </c>
      <c r="BEH5" s="224"/>
      <c r="BEI5" s="224"/>
      <c r="BEJ5" s="225"/>
      <c r="BEK5" s="223" t="s">
        <v>44</v>
      </c>
      <c r="BEL5" s="224"/>
      <c r="BEM5" s="224"/>
      <c r="BEN5" s="225"/>
      <c r="BEO5" s="223" t="s">
        <v>44</v>
      </c>
      <c r="BEP5" s="224"/>
      <c r="BEQ5" s="224"/>
      <c r="BER5" s="225"/>
      <c r="BES5" s="223" t="s">
        <v>44</v>
      </c>
      <c r="BET5" s="224"/>
      <c r="BEU5" s="224"/>
      <c r="BEV5" s="225"/>
      <c r="BEW5" s="223" t="s">
        <v>44</v>
      </c>
      <c r="BEX5" s="224"/>
      <c r="BEY5" s="224"/>
      <c r="BEZ5" s="225"/>
      <c r="BFA5" s="223" t="s">
        <v>44</v>
      </c>
      <c r="BFB5" s="224"/>
      <c r="BFC5" s="224"/>
      <c r="BFD5" s="225"/>
      <c r="BFE5" s="223" t="s">
        <v>44</v>
      </c>
      <c r="BFF5" s="224"/>
      <c r="BFG5" s="224"/>
      <c r="BFH5" s="225"/>
      <c r="BFI5" s="223" t="s">
        <v>44</v>
      </c>
      <c r="BFJ5" s="224"/>
      <c r="BFK5" s="224"/>
      <c r="BFL5" s="225"/>
      <c r="BFM5" s="223" t="s">
        <v>44</v>
      </c>
      <c r="BFN5" s="224"/>
      <c r="BFO5" s="224"/>
      <c r="BFP5" s="225"/>
      <c r="BFQ5" s="223" t="s">
        <v>44</v>
      </c>
      <c r="BFR5" s="224"/>
      <c r="BFS5" s="224"/>
      <c r="BFT5" s="225"/>
      <c r="BFU5" s="223" t="s">
        <v>44</v>
      </c>
      <c r="BFV5" s="224"/>
      <c r="BFW5" s="224"/>
      <c r="BFX5" s="225"/>
      <c r="BFY5" s="223" t="s">
        <v>44</v>
      </c>
      <c r="BFZ5" s="224"/>
      <c r="BGA5" s="224"/>
      <c r="BGB5" s="225"/>
      <c r="BGC5" s="223" t="s">
        <v>44</v>
      </c>
      <c r="BGD5" s="224"/>
      <c r="BGE5" s="224"/>
      <c r="BGF5" s="225"/>
      <c r="BGG5" s="223" t="s">
        <v>44</v>
      </c>
      <c r="BGH5" s="224"/>
      <c r="BGI5" s="224"/>
      <c r="BGJ5" s="225"/>
      <c r="BGK5" s="223" t="s">
        <v>44</v>
      </c>
      <c r="BGL5" s="224"/>
      <c r="BGM5" s="224"/>
      <c r="BGN5" s="225"/>
      <c r="BGO5" s="223" t="s">
        <v>44</v>
      </c>
      <c r="BGP5" s="224"/>
      <c r="BGQ5" s="224"/>
      <c r="BGR5" s="225"/>
      <c r="BGS5" s="223" t="s">
        <v>44</v>
      </c>
      <c r="BGT5" s="224"/>
      <c r="BGU5" s="224"/>
      <c r="BGV5" s="225"/>
      <c r="BGW5" s="223" t="s">
        <v>44</v>
      </c>
      <c r="BGX5" s="224"/>
      <c r="BGY5" s="224"/>
      <c r="BGZ5" s="225"/>
      <c r="BHA5" s="223" t="s">
        <v>44</v>
      </c>
      <c r="BHB5" s="224"/>
      <c r="BHC5" s="224"/>
      <c r="BHD5" s="225"/>
      <c r="BHE5" s="223" t="s">
        <v>44</v>
      </c>
      <c r="BHF5" s="224"/>
      <c r="BHG5" s="224"/>
      <c r="BHH5" s="225"/>
      <c r="BHI5" s="223" t="s">
        <v>44</v>
      </c>
      <c r="BHJ5" s="224"/>
      <c r="BHK5" s="224"/>
      <c r="BHL5" s="225"/>
      <c r="BHM5" s="223" t="s">
        <v>44</v>
      </c>
      <c r="BHN5" s="224"/>
      <c r="BHO5" s="224"/>
      <c r="BHP5" s="225"/>
      <c r="BHQ5" s="223" t="s">
        <v>44</v>
      </c>
      <c r="BHR5" s="224"/>
      <c r="BHS5" s="224"/>
      <c r="BHT5" s="225"/>
      <c r="BHU5" s="223" t="s">
        <v>44</v>
      </c>
      <c r="BHV5" s="224"/>
      <c r="BHW5" s="224"/>
      <c r="BHX5" s="225"/>
      <c r="BHY5" s="223" t="s">
        <v>44</v>
      </c>
      <c r="BHZ5" s="224"/>
      <c r="BIA5" s="224"/>
      <c r="BIB5" s="225"/>
      <c r="BIC5" s="223" t="s">
        <v>44</v>
      </c>
      <c r="BID5" s="224"/>
      <c r="BIE5" s="224"/>
      <c r="BIF5" s="225"/>
      <c r="BIG5" s="223" t="s">
        <v>44</v>
      </c>
      <c r="BIH5" s="224"/>
      <c r="BII5" s="224"/>
      <c r="BIJ5" s="225"/>
      <c r="BIK5" s="223" t="s">
        <v>44</v>
      </c>
      <c r="BIL5" s="224"/>
      <c r="BIM5" s="224"/>
      <c r="BIN5" s="225"/>
      <c r="BIO5" s="223" t="s">
        <v>44</v>
      </c>
      <c r="BIP5" s="224"/>
      <c r="BIQ5" s="224"/>
      <c r="BIR5" s="225"/>
      <c r="BIS5" s="223" t="s">
        <v>44</v>
      </c>
      <c r="BIT5" s="224"/>
      <c r="BIU5" s="224"/>
      <c r="BIV5" s="225"/>
      <c r="BIW5" s="223" t="s">
        <v>44</v>
      </c>
      <c r="BIX5" s="224"/>
      <c r="BIY5" s="224"/>
      <c r="BIZ5" s="225"/>
      <c r="BJA5" s="223" t="s">
        <v>44</v>
      </c>
      <c r="BJB5" s="224"/>
      <c r="BJC5" s="224"/>
      <c r="BJD5" s="225"/>
      <c r="BJE5" s="223" t="s">
        <v>44</v>
      </c>
      <c r="BJF5" s="224"/>
      <c r="BJG5" s="224"/>
      <c r="BJH5" s="225"/>
      <c r="BJI5" s="223" t="s">
        <v>44</v>
      </c>
      <c r="BJJ5" s="224"/>
      <c r="BJK5" s="224"/>
      <c r="BJL5" s="225"/>
      <c r="BJM5" s="223" t="s">
        <v>44</v>
      </c>
      <c r="BJN5" s="224"/>
      <c r="BJO5" s="224"/>
      <c r="BJP5" s="225"/>
      <c r="BJQ5" s="223" t="s">
        <v>44</v>
      </c>
      <c r="BJR5" s="224"/>
      <c r="BJS5" s="224"/>
      <c r="BJT5" s="225"/>
      <c r="BJU5" s="223" t="s">
        <v>44</v>
      </c>
      <c r="BJV5" s="224"/>
      <c r="BJW5" s="224"/>
      <c r="BJX5" s="225"/>
      <c r="BJY5" s="223" t="s">
        <v>44</v>
      </c>
      <c r="BJZ5" s="224"/>
      <c r="BKA5" s="224"/>
      <c r="BKB5" s="225"/>
      <c r="BKC5" s="223" t="s">
        <v>44</v>
      </c>
      <c r="BKD5" s="224"/>
      <c r="BKE5" s="224"/>
      <c r="BKF5" s="225"/>
      <c r="BKG5" s="223" t="s">
        <v>44</v>
      </c>
      <c r="BKH5" s="224"/>
      <c r="BKI5" s="224"/>
      <c r="BKJ5" s="225"/>
      <c r="BKK5" s="223" t="s">
        <v>44</v>
      </c>
      <c r="BKL5" s="224"/>
      <c r="BKM5" s="224"/>
      <c r="BKN5" s="225"/>
      <c r="BKO5" s="223" t="s">
        <v>44</v>
      </c>
      <c r="BKP5" s="224"/>
      <c r="BKQ5" s="224"/>
      <c r="BKR5" s="225"/>
      <c r="BKS5" s="223" t="s">
        <v>44</v>
      </c>
      <c r="BKT5" s="224"/>
      <c r="BKU5" s="224"/>
      <c r="BKV5" s="225"/>
      <c r="BKW5" s="223" t="s">
        <v>44</v>
      </c>
      <c r="BKX5" s="224"/>
      <c r="BKY5" s="224"/>
      <c r="BKZ5" s="225"/>
      <c r="BLA5" s="223" t="s">
        <v>44</v>
      </c>
      <c r="BLB5" s="224"/>
      <c r="BLC5" s="224"/>
      <c r="BLD5" s="225"/>
      <c r="BLE5" s="223" t="s">
        <v>44</v>
      </c>
      <c r="BLF5" s="224"/>
      <c r="BLG5" s="224"/>
      <c r="BLH5" s="225"/>
      <c r="BLI5" s="223" t="s">
        <v>44</v>
      </c>
      <c r="BLJ5" s="224"/>
      <c r="BLK5" s="224"/>
      <c r="BLL5" s="225"/>
      <c r="BLM5" s="223" t="s">
        <v>44</v>
      </c>
      <c r="BLN5" s="224"/>
      <c r="BLO5" s="224"/>
      <c r="BLP5" s="225"/>
      <c r="BLQ5" s="223" t="s">
        <v>44</v>
      </c>
      <c r="BLR5" s="224"/>
      <c r="BLS5" s="224"/>
      <c r="BLT5" s="225"/>
      <c r="BLU5" s="223" t="s">
        <v>44</v>
      </c>
      <c r="BLV5" s="224"/>
      <c r="BLW5" s="224"/>
      <c r="BLX5" s="225"/>
      <c r="BLY5" s="223" t="s">
        <v>44</v>
      </c>
      <c r="BLZ5" s="224"/>
      <c r="BMA5" s="224"/>
      <c r="BMB5" s="225"/>
      <c r="BMC5" s="223" t="s">
        <v>44</v>
      </c>
      <c r="BMD5" s="224"/>
      <c r="BME5" s="224"/>
      <c r="BMF5" s="225"/>
      <c r="BMG5" s="223" t="s">
        <v>44</v>
      </c>
      <c r="BMH5" s="224"/>
      <c r="BMI5" s="224"/>
      <c r="BMJ5" s="225"/>
      <c r="BMK5" s="223" t="s">
        <v>44</v>
      </c>
      <c r="BML5" s="224"/>
      <c r="BMM5" s="224"/>
      <c r="BMN5" s="225"/>
      <c r="BMO5" s="223" t="s">
        <v>44</v>
      </c>
      <c r="BMP5" s="224"/>
      <c r="BMQ5" s="224"/>
      <c r="BMR5" s="225"/>
      <c r="BMS5" s="223" t="s">
        <v>44</v>
      </c>
      <c r="BMT5" s="224"/>
      <c r="BMU5" s="224"/>
      <c r="BMV5" s="225"/>
      <c r="BMW5" s="223" t="s">
        <v>44</v>
      </c>
      <c r="BMX5" s="224"/>
      <c r="BMY5" s="224"/>
      <c r="BMZ5" s="225"/>
      <c r="BNA5" s="223" t="s">
        <v>44</v>
      </c>
      <c r="BNB5" s="224"/>
      <c r="BNC5" s="224"/>
      <c r="BND5" s="225"/>
      <c r="BNE5" s="223" t="s">
        <v>44</v>
      </c>
      <c r="BNF5" s="224"/>
      <c r="BNG5" s="224"/>
      <c r="BNH5" s="225"/>
      <c r="BNI5" s="223" t="s">
        <v>44</v>
      </c>
      <c r="BNJ5" s="224"/>
      <c r="BNK5" s="224"/>
      <c r="BNL5" s="225"/>
      <c r="BNM5" s="223" t="s">
        <v>44</v>
      </c>
      <c r="BNN5" s="224"/>
      <c r="BNO5" s="224"/>
      <c r="BNP5" s="225"/>
      <c r="BNQ5" s="223" t="s">
        <v>44</v>
      </c>
      <c r="BNR5" s="224"/>
      <c r="BNS5" s="224"/>
      <c r="BNT5" s="225"/>
      <c r="BNU5" s="223" t="s">
        <v>44</v>
      </c>
      <c r="BNV5" s="224"/>
      <c r="BNW5" s="224"/>
      <c r="BNX5" s="225"/>
      <c r="BNY5" s="223" t="s">
        <v>44</v>
      </c>
      <c r="BNZ5" s="224"/>
      <c r="BOA5" s="224"/>
      <c r="BOB5" s="225"/>
      <c r="BOC5" s="223" t="s">
        <v>44</v>
      </c>
      <c r="BOD5" s="224"/>
      <c r="BOE5" s="224"/>
      <c r="BOF5" s="225"/>
      <c r="BOG5" s="223" t="s">
        <v>44</v>
      </c>
      <c r="BOH5" s="224"/>
      <c r="BOI5" s="224"/>
      <c r="BOJ5" s="225"/>
      <c r="BOK5" s="223" t="s">
        <v>44</v>
      </c>
      <c r="BOL5" s="224"/>
      <c r="BOM5" s="224"/>
      <c r="BON5" s="225"/>
      <c r="BOO5" s="223" t="s">
        <v>44</v>
      </c>
      <c r="BOP5" s="224"/>
      <c r="BOQ5" s="224"/>
      <c r="BOR5" s="225"/>
      <c r="BOS5" s="223" t="s">
        <v>44</v>
      </c>
      <c r="BOT5" s="224"/>
      <c r="BOU5" s="224"/>
      <c r="BOV5" s="225"/>
      <c r="BOW5" s="223" t="s">
        <v>44</v>
      </c>
      <c r="BOX5" s="224"/>
      <c r="BOY5" s="224"/>
      <c r="BOZ5" s="225"/>
      <c r="BPA5" s="223" t="s">
        <v>44</v>
      </c>
      <c r="BPB5" s="224"/>
      <c r="BPC5" s="224"/>
      <c r="BPD5" s="225"/>
      <c r="BPE5" s="223" t="s">
        <v>44</v>
      </c>
      <c r="BPF5" s="224"/>
      <c r="BPG5" s="224"/>
      <c r="BPH5" s="225"/>
      <c r="BPI5" s="223" t="s">
        <v>44</v>
      </c>
      <c r="BPJ5" s="224"/>
      <c r="BPK5" s="224"/>
      <c r="BPL5" s="225"/>
      <c r="BPM5" s="223" t="s">
        <v>44</v>
      </c>
      <c r="BPN5" s="224"/>
      <c r="BPO5" s="224"/>
      <c r="BPP5" s="225"/>
      <c r="BPQ5" s="223" t="s">
        <v>44</v>
      </c>
      <c r="BPR5" s="224"/>
      <c r="BPS5" s="224"/>
      <c r="BPT5" s="225"/>
      <c r="BPU5" s="223" t="s">
        <v>44</v>
      </c>
      <c r="BPV5" s="224"/>
      <c r="BPW5" s="224"/>
      <c r="BPX5" s="225"/>
      <c r="BPY5" s="223" t="s">
        <v>44</v>
      </c>
      <c r="BPZ5" s="224"/>
      <c r="BQA5" s="224"/>
      <c r="BQB5" s="225"/>
      <c r="BQC5" s="223" t="s">
        <v>44</v>
      </c>
      <c r="BQD5" s="224"/>
      <c r="BQE5" s="224"/>
      <c r="BQF5" s="225"/>
      <c r="BQG5" s="223" t="s">
        <v>44</v>
      </c>
      <c r="BQH5" s="224"/>
      <c r="BQI5" s="224"/>
      <c r="BQJ5" s="225"/>
      <c r="BQK5" s="223" t="s">
        <v>44</v>
      </c>
      <c r="BQL5" s="224"/>
      <c r="BQM5" s="224"/>
      <c r="BQN5" s="225"/>
      <c r="BQO5" s="223" t="s">
        <v>44</v>
      </c>
      <c r="BQP5" s="224"/>
      <c r="BQQ5" s="224"/>
      <c r="BQR5" s="225"/>
      <c r="BQS5" s="223" t="s">
        <v>44</v>
      </c>
      <c r="BQT5" s="224"/>
      <c r="BQU5" s="224"/>
      <c r="BQV5" s="225"/>
      <c r="BQW5" s="223" t="s">
        <v>44</v>
      </c>
      <c r="BQX5" s="224"/>
      <c r="BQY5" s="224"/>
      <c r="BQZ5" s="225"/>
      <c r="BRA5" s="223" t="s">
        <v>44</v>
      </c>
      <c r="BRB5" s="224"/>
      <c r="BRC5" s="224"/>
      <c r="BRD5" s="225"/>
      <c r="BRE5" s="223" t="s">
        <v>44</v>
      </c>
      <c r="BRF5" s="224"/>
      <c r="BRG5" s="224"/>
      <c r="BRH5" s="225"/>
      <c r="BRI5" s="223" t="s">
        <v>44</v>
      </c>
      <c r="BRJ5" s="224"/>
      <c r="BRK5" s="224"/>
      <c r="BRL5" s="225"/>
      <c r="BRM5" s="223" t="s">
        <v>44</v>
      </c>
      <c r="BRN5" s="224"/>
      <c r="BRO5" s="224"/>
      <c r="BRP5" s="225"/>
      <c r="BRQ5" s="223" t="s">
        <v>44</v>
      </c>
      <c r="BRR5" s="224"/>
      <c r="BRS5" s="224"/>
      <c r="BRT5" s="225"/>
      <c r="BRU5" s="223" t="s">
        <v>44</v>
      </c>
      <c r="BRV5" s="224"/>
      <c r="BRW5" s="224"/>
      <c r="BRX5" s="225"/>
      <c r="BRY5" s="223" t="s">
        <v>44</v>
      </c>
      <c r="BRZ5" s="224"/>
      <c r="BSA5" s="224"/>
      <c r="BSB5" s="225"/>
      <c r="BSC5" s="223" t="s">
        <v>44</v>
      </c>
      <c r="BSD5" s="224"/>
      <c r="BSE5" s="224"/>
      <c r="BSF5" s="225"/>
      <c r="BSG5" s="223" t="s">
        <v>44</v>
      </c>
      <c r="BSH5" s="224"/>
      <c r="BSI5" s="224"/>
      <c r="BSJ5" s="225"/>
      <c r="BSK5" s="223" t="s">
        <v>44</v>
      </c>
      <c r="BSL5" s="224"/>
      <c r="BSM5" s="224"/>
      <c r="BSN5" s="225"/>
      <c r="BSO5" s="223" t="s">
        <v>44</v>
      </c>
      <c r="BSP5" s="224"/>
      <c r="BSQ5" s="224"/>
      <c r="BSR5" s="225"/>
      <c r="BSS5" s="223" t="s">
        <v>44</v>
      </c>
      <c r="BST5" s="224"/>
      <c r="BSU5" s="224"/>
      <c r="BSV5" s="225"/>
      <c r="BSW5" s="223" t="s">
        <v>44</v>
      </c>
      <c r="BSX5" s="224"/>
      <c r="BSY5" s="224"/>
      <c r="BSZ5" s="225"/>
      <c r="BTA5" s="223" t="s">
        <v>44</v>
      </c>
      <c r="BTB5" s="224"/>
      <c r="BTC5" s="224"/>
      <c r="BTD5" s="225"/>
      <c r="BTE5" s="223" t="s">
        <v>44</v>
      </c>
      <c r="BTF5" s="224"/>
      <c r="BTG5" s="224"/>
      <c r="BTH5" s="225"/>
      <c r="BTI5" s="223" t="s">
        <v>44</v>
      </c>
      <c r="BTJ5" s="224"/>
      <c r="BTK5" s="224"/>
      <c r="BTL5" s="225"/>
      <c r="BTM5" s="223" t="s">
        <v>44</v>
      </c>
      <c r="BTN5" s="224"/>
      <c r="BTO5" s="224"/>
      <c r="BTP5" s="225"/>
      <c r="BTQ5" s="223" t="s">
        <v>44</v>
      </c>
      <c r="BTR5" s="224"/>
      <c r="BTS5" s="224"/>
      <c r="BTT5" s="225"/>
      <c r="BTU5" s="223" t="s">
        <v>44</v>
      </c>
      <c r="BTV5" s="224"/>
      <c r="BTW5" s="224"/>
      <c r="BTX5" s="225"/>
      <c r="BTY5" s="223" t="s">
        <v>44</v>
      </c>
      <c r="BTZ5" s="224"/>
      <c r="BUA5" s="224"/>
      <c r="BUB5" s="225"/>
      <c r="BUC5" s="223" t="s">
        <v>44</v>
      </c>
      <c r="BUD5" s="224"/>
      <c r="BUE5" s="224"/>
      <c r="BUF5" s="225"/>
      <c r="BUG5" s="223" t="s">
        <v>44</v>
      </c>
      <c r="BUH5" s="224"/>
      <c r="BUI5" s="224"/>
      <c r="BUJ5" s="225"/>
      <c r="BUK5" s="223" t="s">
        <v>44</v>
      </c>
      <c r="BUL5" s="224"/>
      <c r="BUM5" s="224"/>
      <c r="BUN5" s="225"/>
      <c r="BUO5" s="223" t="s">
        <v>44</v>
      </c>
      <c r="BUP5" s="224"/>
      <c r="BUQ5" s="224"/>
      <c r="BUR5" s="225"/>
      <c r="BUS5" s="223" t="s">
        <v>44</v>
      </c>
      <c r="BUT5" s="224"/>
      <c r="BUU5" s="224"/>
      <c r="BUV5" s="225"/>
      <c r="BUW5" s="223" t="s">
        <v>44</v>
      </c>
      <c r="BUX5" s="224"/>
      <c r="BUY5" s="224"/>
      <c r="BUZ5" s="225"/>
      <c r="BVA5" s="223" t="s">
        <v>44</v>
      </c>
      <c r="BVB5" s="224"/>
      <c r="BVC5" s="224"/>
      <c r="BVD5" s="225"/>
      <c r="BVE5" s="223" t="s">
        <v>44</v>
      </c>
      <c r="BVF5" s="224"/>
      <c r="BVG5" s="224"/>
      <c r="BVH5" s="225"/>
      <c r="BVI5" s="223" t="s">
        <v>44</v>
      </c>
      <c r="BVJ5" s="224"/>
      <c r="BVK5" s="224"/>
      <c r="BVL5" s="225"/>
      <c r="BVM5" s="223" t="s">
        <v>44</v>
      </c>
      <c r="BVN5" s="224"/>
      <c r="BVO5" s="224"/>
      <c r="BVP5" s="225"/>
      <c r="BVQ5" s="223" t="s">
        <v>44</v>
      </c>
      <c r="BVR5" s="224"/>
      <c r="BVS5" s="224"/>
      <c r="BVT5" s="225"/>
      <c r="BVU5" s="223" t="s">
        <v>44</v>
      </c>
      <c r="BVV5" s="224"/>
      <c r="BVW5" s="224"/>
      <c r="BVX5" s="225"/>
      <c r="BVY5" s="223" t="s">
        <v>44</v>
      </c>
      <c r="BVZ5" s="224"/>
      <c r="BWA5" s="224"/>
      <c r="BWB5" s="225"/>
      <c r="BWC5" s="223" t="s">
        <v>44</v>
      </c>
      <c r="BWD5" s="224"/>
      <c r="BWE5" s="224"/>
      <c r="BWF5" s="225"/>
      <c r="BWG5" s="223" t="s">
        <v>44</v>
      </c>
      <c r="BWH5" s="224"/>
      <c r="BWI5" s="224"/>
      <c r="BWJ5" s="225"/>
      <c r="BWK5" s="223" t="s">
        <v>44</v>
      </c>
      <c r="BWL5" s="224"/>
      <c r="BWM5" s="224"/>
      <c r="BWN5" s="225"/>
      <c r="BWO5" s="223" t="s">
        <v>44</v>
      </c>
      <c r="BWP5" s="224"/>
      <c r="BWQ5" s="224"/>
      <c r="BWR5" s="225"/>
      <c r="BWS5" s="223" t="s">
        <v>44</v>
      </c>
      <c r="BWT5" s="224"/>
      <c r="BWU5" s="224"/>
      <c r="BWV5" s="225"/>
      <c r="BWW5" s="223" t="s">
        <v>44</v>
      </c>
      <c r="BWX5" s="224"/>
      <c r="BWY5" s="224"/>
      <c r="BWZ5" s="225"/>
      <c r="BXA5" s="223" t="s">
        <v>44</v>
      </c>
      <c r="BXB5" s="224"/>
      <c r="BXC5" s="224"/>
      <c r="BXD5" s="225"/>
      <c r="BXE5" s="223" t="s">
        <v>44</v>
      </c>
      <c r="BXF5" s="224"/>
      <c r="BXG5" s="224"/>
      <c r="BXH5" s="225"/>
      <c r="BXI5" s="223" t="s">
        <v>44</v>
      </c>
      <c r="BXJ5" s="224"/>
      <c r="BXK5" s="224"/>
      <c r="BXL5" s="225"/>
      <c r="BXM5" s="223" t="s">
        <v>44</v>
      </c>
      <c r="BXN5" s="224"/>
      <c r="BXO5" s="224"/>
      <c r="BXP5" s="225"/>
      <c r="BXQ5" s="223" t="s">
        <v>44</v>
      </c>
      <c r="BXR5" s="224"/>
      <c r="BXS5" s="224"/>
      <c r="BXT5" s="225"/>
      <c r="BXU5" s="223" t="s">
        <v>44</v>
      </c>
      <c r="BXV5" s="224"/>
      <c r="BXW5" s="224"/>
      <c r="BXX5" s="225"/>
      <c r="BXY5" s="223" t="s">
        <v>44</v>
      </c>
      <c r="BXZ5" s="224"/>
      <c r="BYA5" s="224"/>
      <c r="BYB5" s="225"/>
      <c r="BYC5" s="223" t="s">
        <v>44</v>
      </c>
      <c r="BYD5" s="224"/>
      <c r="BYE5" s="224"/>
      <c r="BYF5" s="225"/>
      <c r="BYG5" s="223" t="s">
        <v>44</v>
      </c>
      <c r="BYH5" s="224"/>
      <c r="BYI5" s="224"/>
      <c r="BYJ5" s="225"/>
      <c r="BYK5" s="223" t="s">
        <v>44</v>
      </c>
      <c r="BYL5" s="224"/>
      <c r="BYM5" s="224"/>
      <c r="BYN5" s="225"/>
      <c r="BYO5" s="223" t="s">
        <v>44</v>
      </c>
      <c r="BYP5" s="224"/>
      <c r="BYQ5" s="224"/>
      <c r="BYR5" s="225"/>
      <c r="BYS5" s="223" t="s">
        <v>44</v>
      </c>
      <c r="BYT5" s="224"/>
      <c r="BYU5" s="224"/>
      <c r="BYV5" s="225"/>
      <c r="BYW5" s="223" t="s">
        <v>44</v>
      </c>
      <c r="BYX5" s="224"/>
      <c r="BYY5" s="224"/>
      <c r="BYZ5" s="225"/>
      <c r="BZA5" s="223" t="s">
        <v>44</v>
      </c>
      <c r="BZB5" s="224"/>
      <c r="BZC5" s="224"/>
      <c r="BZD5" s="225"/>
      <c r="BZE5" s="223" t="s">
        <v>44</v>
      </c>
      <c r="BZF5" s="224"/>
      <c r="BZG5" s="224"/>
      <c r="BZH5" s="225"/>
      <c r="BZI5" s="223" t="s">
        <v>44</v>
      </c>
      <c r="BZJ5" s="224"/>
      <c r="BZK5" s="224"/>
      <c r="BZL5" s="225"/>
      <c r="BZM5" s="223" t="s">
        <v>44</v>
      </c>
      <c r="BZN5" s="224"/>
      <c r="BZO5" s="224"/>
      <c r="BZP5" s="225"/>
      <c r="BZQ5" s="223" t="s">
        <v>44</v>
      </c>
      <c r="BZR5" s="224"/>
      <c r="BZS5" s="224"/>
      <c r="BZT5" s="225"/>
      <c r="BZU5" s="223" t="s">
        <v>44</v>
      </c>
      <c r="BZV5" s="224"/>
      <c r="BZW5" s="224"/>
      <c r="BZX5" s="225"/>
      <c r="BZY5" s="223" t="s">
        <v>44</v>
      </c>
      <c r="BZZ5" s="224"/>
      <c r="CAA5" s="224"/>
      <c r="CAB5" s="225"/>
      <c r="CAC5" s="223" t="s">
        <v>44</v>
      </c>
      <c r="CAD5" s="224"/>
      <c r="CAE5" s="224"/>
      <c r="CAF5" s="225"/>
      <c r="CAG5" s="223" t="s">
        <v>44</v>
      </c>
      <c r="CAH5" s="224"/>
      <c r="CAI5" s="224"/>
      <c r="CAJ5" s="225"/>
      <c r="CAK5" s="223" t="s">
        <v>44</v>
      </c>
      <c r="CAL5" s="224"/>
      <c r="CAM5" s="224"/>
      <c r="CAN5" s="225"/>
      <c r="CAO5" s="223" t="s">
        <v>44</v>
      </c>
      <c r="CAP5" s="224"/>
      <c r="CAQ5" s="224"/>
      <c r="CAR5" s="225"/>
      <c r="CAS5" s="223" t="s">
        <v>44</v>
      </c>
      <c r="CAT5" s="224"/>
      <c r="CAU5" s="224"/>
      <c r="CAV5" s="225"/>
      <c r="CAW5" s="223" t="s">
        <v>44</v>
      </c>
      <c r="CAX5" s="224"/>
      <c r="CAY5" s="224"/>
      <c r="CAZ5" s="225"/>
      <c r="CBA5" s="223" t="s">
        <v>44</v>
      </c>
      <c r="CBB5" s="224"/>
      <c r="CBC5" s="224"/>
      <c r="CBD5" s="225"/>
      <c r="CBE5" s="223" t="s">
        <v>44</v>
      </c>
      <c r="CBF5" s="224"/>
      <c r="CBG5" s="224"/>
      <c r="CBH5" s="225"/>
      <c r="CBI5" s="223" t="s">
        <v>44</v>
      </c>
      <c r="CBJ5" s="224"/>
      <c r="CBK5" s="224"/>
      <c r="CBL5" s="225"/>
      <c r="CBM5" s="223" t="s">
        <v>44</v>
      </c>
      <c r="CBN5" s="224"/>
      <c r="CBO5" s="224"/>
      <c r="CBP5" s="225"/>
      <c r="CBQ5" s="223" t="s">
        <v>44</v>
      </c>
      <c r="CBR5" s="224"/>
      <c r="CBS5" s="224"/>
      <c r="CBT5" s="225"/>
      <c r="CBU5" s="223" t="s">
        <v>44</v>
      </c>
      <c r="CBV5" s="224"/>
      <c r="CBW5" s="224"/>
      <c r="CBX5" s="225"/>
      <c r="CBY5" s="223" t="s">
        <v>44</v>
      </c>
      <c r="CBZ5" s="224"/>
      <c r="CCA5" s="224"/>
      <c r="CCB5" s="225"/>
      <c r="CCC5" s="223" t="s">
        <v>44</v>
      </c>
      <c r="CCD5" s="224"/>
      <c r="CCE5" s="224"/>
      <c r="CCF5" s="225"/>
      <c r="CCG5" s="223" t="s">
        <v>44</v>
      </c>
      <c r="CCH5" s="224"/>
      <c r="CCI5" s="224"/>
      <c r="CCJ5" s="225"/>
      <c r="CCK5" s="223" t="s">
        <v>44</v>
      </c>
      <c r="CCL5" s="224"/>
      <c r="CCM5" s="224"/>
      <c r="CCN5" s="225"/>
      <c r="CCO5" s="223" t="s">
        <v>44</v>
      </c>
      <c r="CCP5" s="224"/>
      <c r="CCQ5" s="224"/>
      <c r="CCR5" s="225"/>
      <c r="CCS5" s="223" t="s">
        <v>44</v>
      </c>
      <c r="CCT5" s="224"/>
      <c r="CCU5" s="224"/>
      <c r="CCV5" s="225"/>
      <c r="CCW5" s="223" t="s">
        <v>44</v>
      </c>
      <c r="CCX5" s="224"/>
      <c r="CCY5" s="224"/>
      <c r="CCZ5" s="225"/>
      <c r="CDA5" s="223" t="s">
        <v>44</v>
      </c>
      <c r="CDB5" s="224"/>
      <c r="CDC5" s="224"/>
      <c r="CDD5" s="225"/>
      <c r="CDE5" s="223" t="s">
        <v>44</v>
      </c>
      <c r="CDF5" s="224"/>
      <c r="CDG5" s="224"/>
      <c r="CDH5" s="225"/>
      <c r="CDI5" s="223" t="s">
        <v>44</v>
      </c>
      <c r="CDJ5" s="224"/>
      <c r="CDK5" s="224"/>
      <c r="CDL5" s="225"/>
      <c r="CDM5" s="223" t="s">
        <v>44</v>
      </c>
      <c r="CDN5" s="224"/>
      <c r="CDO5" s="224"/>
      <c r="CDP5" s="225"/>
      <c r="CDQ5" s="223" t="s">
        <v>44</v>
      </c>
      <c r="CDR5" s="224"/>
      <c r="CDS5" s="224"/>
      <c r="CDT5" s="225"/>
      <c r="CDU5" s="223" t="s">
        <v>44</v>
      </c>
      <c r="CDV5" s="224"/>
      <c r="CDW5" s="224"/>
      <c r="CDX5" s="225"/>
      <c r="CDY5" s="223" t="s">
        <v>44</v>
      </c>
      <c r="CDZ5" s="224"/>
      <c r="CEA5" s="224"/>
      <c r="CEB5" s="225"/>
      <c r="CEC5" s="223" t="s">
        <v>44</v>
      </c>
      <c r="CED5" s="224"/>
      <c r="CEE5" s="224"/>
      <c r="CEF5" s="225"/>
      <c r="CEG5" s="223" t="s">
        <v>44</v>
      </c>
      <c r="CEH5" s="224"/>
      <c r="CEI5" s="224"/>
      <c r="CEJ5" s="225"/>
      <c r="CEK5" s="223" t="s">
        <v>44</v>
      </c>
      <c r="CEL5" s="224"/>
      <c r="CEM5" s="224"/>
      <c r="CEN5" s="225"/>
      <c r="CEO5" s="223" t="s">
        <v>44</v>
      </c>
      <c r="CEP5" s="224"/>
      <c r="CEQ5" s="224"/>
      <c r="CER5" s="225"/>
      <c r="CES5" s="223" t="s">
        <v>44</v>
      </c>
      <c r="CET5" s="224"/>
      <c r="CEU5" s="224"/>
      <c r="CEV5" s="225"/>
      <c r="CEW5" s="223" t="s">
        <v>44</v>
      </c>
      <c r="CEX5" s="224"/>
      <c r="CEY5" s="224"/>
      <c r="CEZ5" s="225"/>
      <c r="CFA5" s="223" t="s">
        <v>44</v>
      </c>
      <c r="CFB5" s="224"/>
      <c r="CFC5" s="224"/>
      <c r="CFD5" s="225"/>
      <c r="CFE5" s="223" t="s">
        <v>44</v>
      </c>
      <c r="CFF5" s="224"/>
      <c r="CFG5" s="224"/>
      <c r="CFH5" s="225"/>
      <c r="CFI5" s="223" t="s">
        <v>44</v>
      </c>
      <c r="CFJ5" s="224"/>
      <c r="CFK5" s="224"/>
      <c r="CFL5" s="225"/>
      <c r="CFM5" s="223" t="s">
        <v>44</v>
      </c>
      <c r="CFN5" s="224"/>
      <c r="CFO5" s="224"/>
      <c r="CFP5" s="225"/>
      <c r="CFQ5" s="223" t="s">
        <v>44</v>
      </c>
      <c r="CFR5" s="224"/>
      <c r="CFS5" s="224"/>
      <c r="CFT5" s="225"/>
      <c r="CFU5" s="223" t="s">
        <v>44</v>
      </c>
      <c r="CFV5" s="224"/>
      <c r="CFW5" s="224"/>
      <c r="CFX5" s="225"/>
      <c r="CFY5" s="223" t="s">
        <v>44</v>
      </c>
      <c r="CFZ5" s="224"/>
      <c r="CGA5" s="224"/>
      <c r="CGB5" s="225"/>
      <c r="CGC5" s="223" t="s">
        <v>44</v>
      </c>
      <c r="CGD5" s="224"/>
      <c r="CGE5" s="224"/>
      <c r="CGF5" s="225"/>
      <c r="CGG5" s="223" t="s">
        <v>44</v>
      </c>
      <c r="CGH5" s="224"/>
      <c r="CGI5" s="224"/>
      <c r="CGJ5" s="225"/>
      <c r="CGK5" s="223" t="s">
        <v>44</v>
      </c>
      <c r="CGL5" s="224"/>
      <c r="CGM5" s="224"/>
      <c r="CGN5" s="225"/>
      <c r="CGO5" s="223" t="s">
        <v>44</v>
      </c>
      <c r="CGP5" s="224"/>
      <c r="CGQ5" s="224"/>
      <c r="CGR5" s="225"/>
      <c r="CGS5" s="223" t="s">
        <v>44</v>
      </c>
      <c r="CGT5" s="224"/>
      <c r="CGU5" s="224"/>
      <c r="CGV5" s="225"/>
      <c r="CGW5" s="223" t="s">
        <v>44</v>
      </c>
      <c r="CGX5" s="224"/>
      <c r="CGY5" s="224"/>
      <c r="CGZ5" s="225"/>
      <c r="CHA5" s="223" t="s">
        <v>44</v>
      </c>
      <c r="CHB5" s="224"/>
      <c r="CHC5" s="224"/>
      <c r="CHD5" s="225"/>
      <c r="CHE5" s="223" t="s">
        <v>44</v>
      </c>
      <c r="CHF5" s="224"/>
      <c r="CHG5" s="224"/>
      <c r="CHH5" s="225"/>
      <c r="CHI5" s="223" t="s">
        <v>44</v>
      </c>
      <c r="CHJ5" s="224"/>
      <c r="CHK5" s="224"/>
      <c r="CHL5" s="225"/>
      <c r="CHM5" s="223" t="s">
        <v>44</v>
      </c>
      <c r="CHN5" s="224"/>
      <c r="CHO5" s="224"/>
      <c r="CHP5" s="225"/>
      <c r="CHQ5" s="223" t="s">
        <v>44</v>
      </c>
      <c r="CHR5" s="224"/>
      <c r="CHS5" s="224"/>
      <c r="CHT5" s="225"/>
      <c r="CHU5" s="223" t="s">
        <v>44</v>
      </c>
      <c r="CHV5" s="224"/>
      <c r="CHW5" s="224"/>
      <c r="CHX5" s="225"/>
      <c r="CHY5" s="223" t="s">
        <v>44</v>
      </c>
      <c r="CHZ5" s="224"/>
      <c r="CIA5" s="224"/>
      <c r="CIB5" s="225"/>
      <c r="CIC5" s="223" t="s">
        <v>44</v>
      </c>
      <c r="CID5" s="224"/>
      <c r="CIE5" s="224"/>
      <c r="CIF5" s="225"/>
      <c r="CIG5" s="223" t="s">
        <v>44</v>
      </c>
      <c r="CIH5" s="224"/>
      <c r="CII5" s="224"/>
      <c r="CIJ5" s="225"/>
      <c r="CIK5" s="223" t="s">
        <v>44</v>
      </c>
      <c r="CIL5" s="224"/>
      <c r="CIM5" s="224"/>
      <c r="CIN5" s="225"/>
      <c r="CIO5" s="223" t="s">
        <v>44</v>
      </c>
      <c r="CIP5" s="224"/>
      <c r="CIQ5" s="224"/>
      <c r="CIR5" s="225"/>
      <c r="CIS5" s="223" t="s">
        <v>44</v>
      </c>
      <c r="CIT5" s="224"/>
      <c r="CIU5" s="224"/>
      <c r="CIV5" s="225"/>
      <c r="CIW5" s="223" t="s">
        <v>44</v>
      </c>
      <c r="CIX5" s="224"/>
      <c r="CIY5" s="224"/>
      <c r="CIZ5" s="225"/>
      <c r="CJA5" s="223" t="s">
        <v>44</v>
      </c>
      <c r="CJB5" s="224"/>
      <c r="CJC5" s="224"/>
      <c r="CJD5" s="225"/>
      <c r="CJE5" s="223" t="s">
        <v>44</v>
      </c>
      <c r="CJF5" s="224"/>
      <c r="CJG5" s="224"/>
      <c r="CJH5" s="225"/>
      <c r="CJI5" s="223" t="s">
        <v>44</v>
      </c>
      <c r="CJJ5" s="224"/>
      <c r="CJK5" s="224"/>
      <c r="CJL5" s="225"/>
      <c r="CJM5" s="223" t="s">
        <v>44</v>
      </c>
      <c r="CJN5" s="224"/>
      <c r="CJO5" s="224"/>
      <c r="CJP5" s="225"/>
      <c r="CJQ5" s="223" t="s">
        <v>44</v>
      </c>
      <c r="CJR5" s="224"/>
      <c r="CJS5" s="224"/>
      <c r="CJT5" s="225"/>
      <c r="CJU5" s="223" t="s">
        <v>44</v>
      </c>
      <c r="CJV5" s="224"/>
      <c r="CJW5" s="224"/>
      <c r="CJX5" s="225"/>
      <c r="CJY5" s="223" t="s">
        <v>44</v>
      </c>
      <c r="CJZ5" s="224"/>
      <c r="CKA5" s="224"/>
      <c r="CKB5" s="225"/>
      <c r="CKC5" s="223" t="s">
        <v>44</v>
      </c>
      <c r="CKD5" s="224"/>
      <c r="CKE5" s="224"/>
      <c r="CKF5" s="225"/>
      <c r="CKG5" s="223" t="s">
        <v>44</v>
      </c>
      <c r="CKH5" s="224"/>
      <c r="CKI5" s="224"/>
      <c r="CKJ5" s="225"/>
      <c r="CKK5" s="223" t="s">
        <v>44</v>
      </c>
      <c r="CKL5" s="224"/>
      <c r="CKM5" s="224"/>
      <c r="CKN5" s="225"/>
      <c r="CKO5" s="223" t="s">
        <v>44</v>
      </c>
      <c r="CKP5" s="224"/>
      <c r="CKQ5" s="224"/>
      <c r="CKR5" s="225"/>
      <c r="CKS5" s="223" t="s">
        <v>44</v>
      </c>
      <c r="CKT5" s="224"/>
      <c r="CKU5" s="224"/>
      <c r="CKV5" s="225"/>
      <c r="CKW5" s="223" t="s">
        <v>44</v>
      </c>
      <c r="CKX5" s="224"/>
      <c r="CKY5" s="224"/>
      <c r="CKZ5" s="225"/>
      <c r="CLA5" s="223" t="s">
        <v>44</v>
      </c>
      <c r="CLB5" s="224"/>
      <c r="CLC5" s="224"/>
      <c r="CLD5" s="225"/>
      <c r="CLE5" s="223" t="s">
        <v>44</v>
      </c>
      <c r="CLF5" s="224"/>
      <c r="CLG5" s="224"/>
      <c r="CLH5" s="225"/>
      <c r="CLI5" s="223" t="s">
        <v>44</v>
      </c>
      <c r="CLJ5" s="224"/>
      <c r="CLK5" s="224"/>
      <c r="CLL5" s="225"/>
      <c r="CLM5" s="223" t="s">
        <v>44</v>
      </c>
      <c r="CLN5" s="224"/>
      <c r="CLO5" s="224"/>
      <c r="CLP5" s="225"/>
      <c r="CLQ5" s="223" t="s">
        <v>44</v>
      </c>
      <c r="CLR5" s="224"/>
      <c r="CLS5" s="224"/>
      <c r="CLT5" s="225"/>
      <c r="CLU5" s="223" t="s">
        <v>44</v>
      </c>
      <c r="CLV5" s="224"/>
      <c r="CLW5" s="224"/>
      <c r="CLX5" s="225"/>
      <c r="CLY5" s="223" t="s">
        <v>44</v>
      </c>
      <c r="CLZ5" s="224"/>
      <c r="CMA5" s="224"/>
      <c r="CMB5" s="225"/>
      <c r="CMC5" s="223" t="s">
        <v>44</v>
      </c>
      <c r="CMD5" s="224"/>
      <c r="CME5" s="224"/>
      <c r="CMF5" s="225"/>
      <c r="CMG5" s="223" t="s">
        <v>44</v>
      </c>
      <c r="CMH5" s="224"/>
      <c r="CMI5" s="224"/>
      <c r="CMJ5" s="225"/>
      <c r="CMK5" s="223" t="s">
        <v>44</v>
      </c>
      <c r="CML5" s="224"/>
      <c r="CMM5" s="224"/>
      <c r="CMN5" s="225"/>
      <c r="CMO5" s="223" t="s">
        <v>44</v>
      </c>
      <c r="CMP5" s="224"/>
      <c r="CMQ5" s="224"/>
      <c r="CMR5" s="225"/>
      <c r="CMS5" s="223" t="s">
        <v>44</v>
      </c>
      <c r="CMT5" s="224"/>
      <c r="CMU5" s="224"/>
      <c r="CMV5" s="225"/>
      <c r="CMW5" s="223" t="s">
        <v>44</v>
      </c>
      <c r="CMX5" s="224"/>
      <c r="CMY5" s="224"/>
      <c r="CMZ5" s="225"/>
      <c r="CNA5" s="223" t="s">
        <v>44</v>
      </c>
      <c r="CNB5" s="224"/>
      <c r="CNC5" s="224"/>
      <c r="CND5" s="225"/>
      <c r="CNE5" s="223" t="s">
        <v>44</v>
      </c>
      <c r="CNF5" s="224"/>
      <c r="CNG5" s="224"/>
      <c r="CNH5" s="225"/>
      <c r="CNI5" s="223" t="s">
        <v>44</v>
      </c>
      <c r="CNJ5" s="224"/>
      <c r="CNK5" s="224"/>
      <c r="CNL5" s="225"/>
      <c r="CNM5" s="223" t="s">
        <v>44</v>
      </c>
      <c r="CNN5" s="224"/>
      <c r="CNO5" s="224"/>
      <c r="CNP5" s="225"/>
      <c r="CNQ5" s="223" t="s">
        <v>44</v>
      </c>
      <c r="CNR5" s="224"/>
      <c r="CNS5" s="224"/>
      <c r="CNT5" s="225"/>
      <c r="CNU5" s="223" t="s">
        <v>44</v>
      </c>
      <c r="CNV5" s="224"/>
      <c r="CNW5" s="224"/>
      <c r="CNX5" s="225"/>
      <c r="CNY5" s="223" t="s">
        <v>44</v>
      </c>
      <c r="CNZ5" s="224"/>
      <c r="COA5" s="224"/>
      <c r="COB5" s="225"/>
      <c r="COC5" s="223" t="s">
        <v>44</v>
      </c>
      <c r="COD5" s="224"/>
      <c r="COE5" s="224"/>
      <c r="COF5" s="225"/>
      <c r="COG5" s="223" t="s">
        <v>44</v>
      </c>
      <c r="COH5" s="224"/>
      <c r="COI5" s="224"/>
      <c r="COJ5" s="225"/>
      <c r="COK5" s="223" t="s">
        <v>44</v>
      </c>
      <c r="COL5" s="224"/>
      <c r="COM5" s="224"/>
      <c r="CON5" s="225"/>
      <c r="COO5" s="223" t="s">
        <v>44</v>
      </c>
      <c r="COP5" s="224"/>
      <c r="COQ5" s="224"/>
      <c r="COR5" s="225"/>
      <c r="COS5" s="223" t="s">
        <v>44</v>
      </c>
      <c r="COT5" s="224"/>
      <c r="COU5" s="224"/>
      <c r="COV5" s="225"/>
      <c r="COW5" s="223" t="s">
        <v>44</v>
      </c>
      <c r="COX5" s="224"/>
      <c r="COY5" s="224"/>
      <c r="COZ5" s="225"/>
      <c r="CPA5" s="223" t="s">
        <v>44</v>
      </c>
      <c r="CPB5" s="224"/>
      <c r="CPC5" s="224"/>
      <c r="CPD5" s="225"/>
      <c r="CPE5" s="223" t="s">
        <v>44</v>
      </c>
      <c r="CPF5" s="224"/>
      <c r="CPG5" s="224"/>
      <c r="CPH5" s="225"/>
      <c r="CPI5" s="223" t="s">
        <v>44</v>
      </c>
      <c r="CPJ5" s="224"/>
      <c r="CPK5" s="224"/>
      <c r="CPL5" s="225"/>
      <c r="CPM5" s="223" t="s">
        <v>44</v>
      </c>
      <c r="CPN5" s="224"/>
      <c r="CPO5" s="224"/>
      <c r="CPP5" s="225"/>
      <c r="CPQ5" s="223" t="s">
        <v>44</v>
      </c>
      <c r="CPR5" s="224"/>
      <c r="CPS5" s="224"/>
      <c r="CPT5" s="225"/>
      <c r="CPU5" s="223" t="s">
        <v>44</v>
      </c>
      <c r="CPV5" s="224"/>
      <c r="CPW5" s="224"/>
      <c r="CPX5" s="225"/>
      <c r="CPY5" s="223" t="s">
        <v>44</v>
      </c>
      <c r="CPZ5" s="224"/>
      <c r="CQA5" s="224"/>
      <c r="CQB5" s="225"/>
      <c r="CQC5" s="223" t="s">
        <v>44</v>
      </c>
      <c r="CQD5" s="224"/>
      <c r="CQE5" s="224"/>
      <c r="CQF5" s="225"/>
      <c r="CQG5" s="223" t="s">
        <v>44</v>
      </c>
      <c r="CQH5" s="224"/>
      <c r="CQI5" s="224"/>
      <c r="CQJ5" s="225"/>
      <c r="CQK5" s="223" t="s">
        <v>44</v>
      </c>
      <c r="CQL5" s="224"/>
      <c r="CQM5" s="224"/>
      <c r="CQN5" s="225"/>
      <c r="CQO5" s="223" t="s">
        <v>44</v>
      </c>
      <c r="CQP5" s="224"/>
      <c r="CQQ5" s="224"/>
      <c r="CQR5" s="225"/>
      <c r="CQS5" s="223" t="s">
        <v>44</v>
      </c>
      <c r="CQT5" s="224"/>
      <c r="CQU5" s="224"/>
      <c r="CQV5" s="225"/>
      <c r="CQW5" s="223" t="s">
        <v>44</v>
      </c>
      <c r="CQX5" s="224"/>
      <c r="CQY5" s="224"/>
      <c r="CQZ5" s="225"/>
      <c r="CRA5" s="223" t="s">
        <v>44</v>
      </c>
      <c r="CRB5" s="224"/>
      <c r="CRC5" s="224"/>
      <c r="CRD5" s="225"/>
      <c r="CRE5" s="223" t="s">
        <v>44</v>
      </c>
      <c r="CRF5" s="224"/>
      <c r="CRG5" s="224"/>
      <c r="CRH5" s="225"/>
      <c r="CRI5" s="223" t="s">
        <v>44</v>
      </c>
      <c r="CRJ5" s="224"/>
      <c r="CRK5" s="224"/>
      <c r="CRL5" s="225"/>
      <c r="CRM5" s="223" t="s">
        <v>44</v>
      </c>
      <c r="CRN5" s="224"/>
      <c r="CRO5" s="224"/>
      <c r="CRP5" s="225"/>
      <c r="CRQ5" s="223" t="s">
        <v>44</v>
      </c>
      <c r="CRR5" s="224"/>
      <c r="CRS5" s="224"/>
      <c r="CRT5" s="225"/>
      <c r="CRU5" s="223" t="s">
        <v>44</v>
      </c>
      <c r="CRV5" s="224"/>
      <c r="CRW5" s="224"/>
      <c r="CRX5" s="225"/>
      <c r="CRY5" s="223" t="s">
        <v>44</v>
      </c>
      <c r="CRZ5" s="224"/>
      <c r="CSA5" s="224"/>
      <c r="CSB5" s="225"/>
      <c r="CSC5" s="223" t="s">
        <v>44</v>
      </c>
      <c r="CSD5" s="224"/>
      <c r="CSE5" s="224"/>
      <c r="CSF5" s="225"/>
      <c r="CSG5" s="223" t="s">
        <v>44</v>
      </c>
      <c r="CSH5" s="224"/>
      <c r="CSI5" s="224"/>
      <c r="CSJ5" s="225"/>
      <c r="CSK5" s="223" t="s">
        <v>44</v>
      </c>
      <c r="CSL5" s="224"/>
      <c r="CSM5" s="224"/>
      <c r="CSN5" s="225"/>
      <c r="CSO5" s="223" t="s">
        <v>44</v>
      </c>
      <c r="CSP5" s="224"/>
      <c r="CSQ5" s="224"/>
      <c r="CSR5" s="225"/>
      <c r="CSS5" s="223" t="s">
        <v>44</v>
      </c>
      <c r="CST5" s="224"/>
      <c r="CSU5" s="224"/>
      <c r="CSV5" s="225"/>
      <c r="CSW5" s="223" t="s">
        <v>44</v>
      </c>
      <c r="CSX5" s="224"/>
      <c r="CSY5" s="224"/>
      <c r="CSZ5" s="225"/>
      <c r="CTA5" s="223" t="s">
        <v>44</v>
      </c>
      <c r="CTB5" s="224"/>
      <c r="CTC5" s="224"/>
      <c r="CTD5" s="225"/>
      <c r="CTE5" s="223" t="s">
        <v>44</v>
      </c>
      <c r="CTF5" s="224"/>
      <c r="CTG5" s="224"/>
      <c r="CTH5" s="225"/>
      <c r="CTI5" s="223" t="s">
        <v>44</v>
      </c>
      <c r="CTJ5" s="224"/>
      <c r="CTK5" s="224"/>
      <c r="CTL5" s="225"/>
      <c r="CTM5" s="223" t="s">
        <v>44</v>
      </c>
      <c r="CTN5" s="224"/>
      <c r="CTO5" s="224"/>
      <c r="CTP5" s="225"/>
      <c r="CTQ5" s="223" t="s">
        <v>44</v>
      </c>
      <c r="CTR5" s="224"/>
      <c r="CTS5" s="224"/>
      <c r="CTT5" s="225"/>
      <c r="CTU5" s="223" t="s">
        <v>44</v>
      </c>
      <c r="CTV5" s="224"/>
      <c r="CTW5" s="224"/>
      <c r="CTX5" s="225"/>
      <c r="CTY5" s="223" t="s">
        <v>44</v>
      </c>
      <c r="CTZ5" s="224"/>
      <c r="CUA5" s="224"/>
      <c r="CUB5" s="225"/>
      <c r="CUC5" s="223" t="s">
        <v>44</v>
      </c>
      <c r="CUD5" s="224"/>
      <c r="CUE5" s="224"/>
      <c r="CUF5" s="225"/>
      <c r="CUG5" s="223" t="s">
        <v>44</v>
      </c>
      <c r="CUH5" s="224"/>
      <c r="CUI5" s="224"/>
      <c r="CUJ5" s="225"/>
      <c r="CUK5" s="223" t="s">
        <v>44</v>
      </c>
      <c r="CUL5" s="224"/>
      <c r="CUM5" s="224"/>
      <c r="CUN5" s="225"/>
      <c r="CUO5" s="223" t="s">
        <v>44</v>
      </c>
      <c r="CUP5" s="224"/>
      <c r="CUQ5" s="224"/>
      <c r="CUR5" s="225"/>
      <c r="CUS5" s="223" t="s">
        <v>44</v>
      </c>
      <c r="CUT5" s="224"/>
      <c r="CUU5" s="224"/>
      <c r="CUV5" s="225"/>
      <c r="CUW5" s="223" t="s">
        <v>44</v>
      </c>
      <c r="CUX5" s="224"/>
      <c r="CUY5" s="224"/>
      <c r="CUZ5" s="225"/>
      <c r="CVA5" s="223" t="s">
        <v>44</v>
      </c>
      <c r="CVB5" s="224"/>
      <c r="CVC5" s="224"/>
      <c r="CVD5" s="225"/>
      <c r="CVE5" s="223" t="s">
        <v>44</v>
      </c>
      <c r="CVF5" s="224"/>
      <c r="CVG5" s="224"/>
      <c r="CVH5" s="225"/>
      <c r="CVI5" s="223" t="s">
        <v>44</v>
      </c>
      <c r="CVJ5" s="224"/>
      <c r="CVK5" s="224"/>
      <c r="CVL5" s="225"/>
      <c r="CVM5" s="223" t="s">
        <v>44</v>
      </c>
      <c r="CVN5" s="224"/>
      <c r="CVO5" s="224"/>
      <c r="CVP5" s="225"/>
      <c r="CVQ5" s="223" t="s">
        <v>44</v>
      </c>
      <c r="CVR5" s="224"/>
      <c r="CVS5" s="224"/>
      <c r="CVT5" s="225"/>
      <c r="CVU5" s="223" t="s">
        <v>44</v>
      </c>
      <c r="CVV5" s="224"/>
      <c r="CVW5" s="224"/>
      <c r="CVX5" s="225"/>
      <c r="CVY5" s="223" t="s">
        <v>44</v>
      </c>
      <c r="CVZ5" s="224"/>
      <c r="CWA5" s="224"/>
      <c r="CWB5" s="225"/>
      <c r="CWC5" s="223" t="s">
        <v>44</v>
      </c>
      <c r="CWD5" s="224"/>
      <c r="CWE5" s="224"/>
      <c r="CWF5" s="225"/>
      <c r="CWG5" s="223" t="s">
        <v>44</v>
      </c>
      <c r="CWH5" s="224"/>
      <c r="CWI5" s="224"/>
      <c r="CWJ5" s="225"/>
      <c r="CWK5" s="223" t="s">
        <v>44</v>
      </c>
      <c r="CWL5" s="224"/>
      <c r="CWM5" s="224"/>
      <c r="CWN5" s="225"/>
      <c r="CWO5" s="223" t="s">
        <v>44</v>
      </c>
      <c r="CWP5" s="224"/>
      <c r="CWQ5" s="224"/>
      <c r="CWR5" s="225"/>
      <c r="CWS5" s="223" t="s">
        <v>44</v>
      </c>
      <c r="CWT5" s="224"/>
      <c r="CWU5" s="224"/>
      <c r="CWV5" s="225"/>
      <c r="CWW5" s="223" t="s">
        <v>44</v>
      </c>
      <c r="CWX5" s="224"/>
      <c r="CWY5" s="224"/>
      <c r="CWZ5" s="225"/>
      <c r="CXA5" s="223" t="s">
        <v>44</v>
      </c>
      <c r="CXB5" s="224"/>
      <c r="CXC5" s="224"/>
      <c r="CXD5" s="225"/>
      <c r="CXE5" s="223" t="s">
        <v>44</v>
      </c>
      <c r="CXF5" s="224"/>
      <c r="CXG5" s="224"/>
      <c r="CXH5" s="225"/>
      <c r="CXI5" s="223" t="s">
        <v>44</v>
      </c>
      <c r="CXJ5" s="224"/>
      <c r="CXK5" s="224"/>
      <c r="CXL5" s="225"/>
      <c r="CXM5" s="223" t="s">
        <v>44</v>
      </c>
      <c r="CXN5" s="224"/>
      <c r="CXO5" s="224"/>
      <c r="CXP5" s="225"/>
      <c r="CXQ5" s="223" t="s">
        <v>44</v>
      </c>
      <c r="CXR5" s="224"/>
      <c r="CXS5" s="224"/>
      <c r="CXT5" s="225"/>
      <c r="CXU5" s="223" t="s">
        <v>44</v>
      </c>
      <c r="CXV5" s="224"/>
      <c r="CXW5" s="224"/>
      <c r="CXX5" s="225"/>
      <c r="CXY5" s="223" t="s">
        <v>44</v>
      </c>
      <c r="CXZ5" s="224"/>
      <c r="CYA5" s="224"/>
      <c r="CYB5" s="225"/>
      <c r="CYC5" s="223" t="s">
        <v>44</v>
      </c>
      <c r="CYD5" s="224"/>
      <c r="CYE5" s="224"/>
      <c r="CYF5" s="225"/>
      <c r="CYG5" s="223" t="s">
        <v>44</v>
      </c>
      <c r="CYH5" s="224"/>
      <c r="CYI5" s="224"/>
      <c r="CYJ5" s="225"/>
      <c r="CYK5" s="223" t="s">
        <v>44</v>
      </c>
      <c r="CYL5" s="224"/>
      <c r="CYM5" s="224"/>
      <c r="CYN5" s="225"/>
      <c r="CYO5" s="223" t="s">
        <v>44</v>
      </c>
      <c r="CYP5" s="224"/>
      <c r="CYQ5" s="224"/>
      <c r="CYR5" s="225"/>
      <c r="CYS5" s="223" t="s">
        <v>44</v>
      </c>
      <c r="CYT5" s="224"/>
      <c r="CYU5" s="224"/>
      <c r="CYV5" s="225"/>
      <c r="CYW5" s="223" t="s">
        <v>44</v>
      </c>
      <c r="CYX5" s="224"/>
      <c r="CYY5" s="224"/>
      <c r="CYZ5" s="225"/>
      <c r="CZA5" s="223" t="s">
        <v>44</v>
      </c>
      <c r="CZB5" s="224"/>
      <c r="CZC5" s="224"/>
      <c r="CZD5" s="225"/>
      <c r="CZE5" s="223" t="s">
        <v>44</v>
      </c>
      <c r="CZF5" s="224"/>
      <c r="CZG5" s="224"/>
      <c r="CZH5" s="225"/>
      <c r="CZI5" s="223" t="s">
        <v>44</v>
      </c>
      <c r="CZJ5" s="224"/>
      <c r="CZK5" s="224"/>
      <c r="CZL5" s="225"/>
      <c r="CZM5" s="223" t="s">
        <v>44</v>
      </c>
      <c r="CZN5" s="224"/>
      <c r="CZO5" s="224"/>
      <c r="CZP5" s="225"/>
      <c r="CZQ5" s="223" t="s">
        <v>44</v>
      </c>
      <c r="CZR5" s="224"/>
      <c r="CZS5" s="224"/>
      <c r="CZT5" s="225"/>
      <c r="CZU5" s="223" t="s">
        <v>44</v>
      </c>
      <c r="CZV5" s="224"/>
      <c r="CZW5" s="224"/>
      <c r="CZX5" s="225"/>
      <c r="CZY5" s="223" t="s">
        <v>44</v>
      </c>
      <c r="CZZ5" s="224"/>
      <c r="DAA5" s="224"/>
      <c r="DAB5" s="225"/>
      <c r="DAC5" s="223" t="s">
        <v>44</v>
      </c>
      <c r="DAD5" s="224"/>
      <c r="DAE5" s="224"/>
      <c r="DAF5" s="225"/>
      <c r="DAG5" s="223" t="s">
        <v>44</v>
      </c>
      <c r="DAH5" s="224"/>
      <c r="DAI5" s="224"/>
      <c r="DAJ5" s="225"/>
      <c r="DAK5" s="223" t="s">
        <v>44</v>
      </c>
      <c r="DAL5" s="224"/>
      <c r="DAM5" s="224"/>
      <c r="DAN5" s="225"/>
      <c r="DAO5" s="223" t="s">
        <v>44</v>
      </c>
      <c r="DAP5" s="224"/>
      <c r="DAQ5" s="224"/>
      <c r="DAR5" s="225"/>
      <c r="DAS5" s="223" t="s">
        <v>44</v>
      </c>
      <c r="DAT5" s="224"/>
      <c r="DAU5" s="224"/>
      <c r="DAV5" s="225"/>
      <c r="DAW5" s="223" t="s">
        <v>44</v>
      </c>
      <c r="DAX5" s="224"/>
      <c r="DAY5" s="224"/>
      <c r="DAZ5" s="225"/>
      <c r="DBA5" s="223" t="s">
        <v>44</v>
      </c>
      <c r="DBB5" s="224"/>
      <c r="DBC5" s="224"/>
      <c r="DBD5" s="225"/>
      <c r="DBE5" s="223" t="s">
        <v>44</v>
      </c>
      <c r="DBF5" s="224"/>
      <c r="DBG5" s="224"/>
      <c r="DBH5" s="225"/>
      <c r="DBI5" s="223" t="s">
        <v>44</v>
      </c>
      <c r="DBJ5" s="224"/>
      <c r="DBK5" s="224"/>
      <c r="DBL5" s="225"/>
      <c r="DBM5" s="223" t="s">
        <v>44</v>
      </c>
      <c r="DBN5" s="224"/>
      <c r="DBO5" s="224"/>
      <c r="DBP5" s="225"/>
      <c r="DBQ5" s="223" t="s">
        <v>44</v>
      </c>
      <c r="DBR5" s="224"/>
      <c r="DBS5" s="224"/>
      <c r="DBT5" s="225"/>
      <c r="DBU5" s="223" t="s">
        <v>44</v>
      </c>
      <c r="DBV5" s="224"/>
      <c r="DBW5" s="224"/>
      <c r="DBX5" s="225"/>
      <c r="DBY5" s="223" t="s">
        <v>44</v>
      </c>
      <c r="DBZ5" s="224"/>
      <c r="DCA5" s="224"/>
      <c r="DCB5" s="225"/>
      <c r="DCC5" s="223" t="s">
        <v>44</v>
      </c>
      <c r="DCD5" s="224"/>
      <c r="DCE5" s="224"/>
      <c r="DCF5" s="225"/>
      <c r="DCG5" s="223" t="s">
        <v>44</v>
      </c>
      <c r="DCH5" s="224"/>
      <c r="DCI5" s="224"/>
      <c r="DCJ5" s="225"/>
      <c r="DCK5" s="223" t="s">
        <v>44</v>
      </c>
      <c r="DCL5" s="224"/>
      <c r="DCM5" s="224"/>
      <c r="DCN5" s="225"/>
      <c r="DCO5" s="223" t="s">
        <v>44</v>
      </c>
      <c r="DCP5" s="224"/>
      <c r="DCQ5" s="224"/>
      <c r="DCR5" s="225"/>
      <c r="DCS5" s="223" t="s">
        <v>44</v>
      </c>
      <c r="DCT5" s="224"/>
      <c r="DCU5" s="224"/>
      <c r="DCV5" s="225"/>
      <c r="DCW5" s="223" t="s">
        <v>44</v>
      </c>
      <c r="DCX5" s="224"/>
      <c r="DCY5" s="224"/>
      <c r="DCZ5" s="225"/>
      <c r="DDA5" s="223" t="s">
        <v>44</v>
      </c>
      <c r="DDB5" s="224"/>
      <c r="DDC5" s="224"/>
      <c r="DDD5" s="225"/>
      <c r="DDE5" s="223" t="s">
        <v>44</v>
      </c>
      <c r="DDF5" s="224"/>
      <c r="DDG5" s="224"/>
      <c r="DDH5" s="225"/>
      <c r="DDI5" s="223" t="s">
        <v>44</v>
      </c>
      <c r="DDJ5" s="224"/>
      <c r="DDK5" s="224"/>
      <c r="DDL5" s="225"/>
      <c r="DDM5" s="223" t="s">
        <v>44</v>
      </c>
      <c r="DDN5" s="224"/>
      <c r="DDO5" s="224"/>
      <c r="DDP5" s="225"/>
      <c r="DDQ5" s="223" t="s">
        <v>44</v>
      </c>
      <c r="DDR5" s="224"/>
      <c r="DDS5" s="224"/>
      <c r="DDT5" s="225"/>
      <c r="DDU5" s="223" t="s">
        <v>44</v>
      </c>
      <c r="DDV5" s="224"/>
      <c r="DDW5" s="224"/>
      <c r="DDX5" s="225"/>
      <c r="DDY5" s="223" t="s">
        <v>44</v>
      </c>
      <c r="DDZ5" s="224"/>
      <c r="DEA5" s="224"/>
      <c r="DEB5" s="225"/>
      <c r="DEC5" s="223" t="s">
        <v>44</v>
      </c>
      <c r="DED5" s="224"/>
      <c r="DEE5" s="224"/>
      <c r="DEF5" s="225"/>
      <c r="DEG5" s="223" t="s">
        <v>44</v>
      </c>
      <c r="DEH5" s="224"/>
      <c r="DEI5" s="224"/>
      <c r="DEJ5" s="225"/>
      <c r="DEK5" s="223" t="s">
        <v>44</v>
      </c>
      <c r="DEL5" s="224"/>
      <c r="DEM5" s="224"/>
      <c r="DEN5" s="225"/>
      <c r="DEO5" s="223" t="s">
        <v>44</v>
      </c>
      <c r="DEP5" s="224"/>
      <c r="DEQ5" s="224"/>
      <c r="DER5" s="225"/>
      <c r="DES5" s="223" t="s">
        <v>44</v>
      </c>
      <c r="DET5" s="224"/>
      <c r="DEU5" s="224"/>
      <c r="DEV5" s="225"/>
      <c r="DEW5" s="223" t="s">
        <v>44</v>
      </c>
      <c r="DEX5" s="224"/>
      <c r="DEY5" s="224"/>
      <c r="DEZ5" s="225"/>
      <c r="DFA5" s="223" t="s">
        <v>44</v>
      </c>
      <c r="DFB5" s="224"/>
      <c r="DFC5" s="224"/>
      <c r="DFD5" s="225"/>
      <c r="DFE5" s="223" t="s">
        <v>44</v>
      </c>
      <c r="DFF5" s="224"/>
      <c r="DFG5" s="224"/>
      <c r="DFH5" s="225"/>
      <c r="DFI5" s="223" t="s">
        <v>44</v>
      </c>
      <c r="DFJ5" s="224"/>
      <c r="DFK5" s="224"/>
      <c r="DFL5" s="225"/>
      <c r="DFM5" s="223" t="s">
        <v>44</v>
      </c>
      <c r="DFN5" s="224"/>
      <c r="DFO5" s="224"/>
      <c r="DFP5" s="225"/>
      <c r="DFQ5" s="223" t="s">
        <v>44</v>
      </c>
      <c r="DFR5" s="224"/>
      <c r="DFS5" s="224"/>
      <c r="DFT5" s="225"/>
      <c r="DFU5" s="223" t="s">
        <v>44</v>
      </c>
      <c r="DFV5" s="224"/>
      <c r="DFW5" s="224"/>
      <c r="DFX5" s="225"/>
      <c r="DFY5" s="223" t="s">
        <v>44</v>
      </c>
      <c r="DFZ5" s="224"/>
      <c r="DGA5" s="224"/>
      <c r="DGB5" s="225"/>
      <c r="DGC5" s="223" t="s">
        <v>44</v>
      </c>
      <c r="DGD5" s="224"/>
      <c r="DGE5" s="224"/>
      <c r="DGF5" s="225"/>
      <c r="DGG5" s="223" t="s">
        <v>44</v>
      </c>
      <c r="DGH5" s="224"/>
      <c r="DGI5" s="224"/>
      <c r="DGJ5" s="225"/>
      <c r="DGK5" s="223" t="s">
        <v>44</v>
      </c>
      <c r="DGL5" s="224"/>
      <c r="DGM5" s="224"/>
      <c r="DGN5" s="225"/>
      <c r="DGO5" s="223" t="s">
        <v>44</v>
      </c>
      <c r="DGP5" s="224"/>
      <c r="DGQ5" s="224"/>
      <c r="DGR5" s="225"/>
      <c r="DGS5" s="223" t="s">
        <v>44</v>
      </c>
      <c r="DGT5" s="224"/>
      <c r="DGU5" s="224"/>
      <c r="DGV5" s="225"/>
      <c r="DGW5" s="223" t="s">
        <v>44</v>
      </c>
      <c r="DGX5" s="224"/>
      <c r="DGY5" s="224"/>
      <c r="DGZ5" s="225"/>
      <c r="DHA5" s="223" t="s">
        <v>44</v>
      </c>
      <c r="DHB5" s="224"/>
      <c r="DHC5" s="224"/>
      <c r="DHD5" s="225"/>
      <c r="DHE5" s="223" t="s">
        <v>44</v>
      </c>
      <c r="DHF5" s="224"/>
      <c r="DHG5" s="224"/>
      <c r="DHH5" s="225"/>
      <c r="DHI5" s="223" t="s">
        <v>44</v>
      </c>
      <c r="DHJ5" s="224"/>
      <c r="DHK5" s="224"/>
      <c r="DHL5" s="225"/>
      <c r="DHM5" s="223" t="s">
        <v>44</v>
      </c>
      <c r="DHN5" s="224"/>
      <c r="DHO5" s="224"/>
      <c r="DHP5" s="225"/>
      <c r="DHQ5" s="223" t="s">
        <v>44</v>
      </c>
      <c r="DHR5" s="224"/>
      <c r="DHS5" s="224"/>
      <c r="DHT5" s="225"/>
      <c r="DHU5" s="223" t="s">
        <v>44</v>
      </c>
      <c r="DHV5" s="224"/>
      <c r="DHW5" s="224"/>
      <c r="DHX5" s="225"/>
      <c r="DHY5" s="223" t="s">
        <v>44</v>
      </c>
      <c r="DHZ5" s="224"/>
      <c r="DIA5" s="224"/>
      <c r="DIB5" s="225"/>
      <c r="DIC5" s="223" t="s">
        <v>44</v>
      </c>
      <c r="DID5" s="224"/>
      <c r="DIE5" s="224"/>
      <c r="DIF5" s="225"/>
      <c r="DIG5" s="223" t="s">
        <v>44</v>
      </c>
      <c r="DIH5" s="224"/>
      <c r="DII5" s="224"/>
      <c r="DIJ5" s="225"/>
      <c r="DIK5" s="223" t="s">
        <v>44</v>
      </c>
      <c r="DIL5" s="224"/>
      <c r="DIM5" s="224"/>
      <c r="DIN5" s="225"/>
      <c r="DIO5" s="223" t="s">
        <v>44</v>
      </c>
      <c r="DIP5" s="224"/>
      <c r="DIQ5" s="224"/>
      <c r="DIR5" s="225"/>
      <c r="DIS5" s="223" t="s">
        <v>44</v>
      </c>
      <c r="DIT5" s="224"/>
      <c r="DIU5" s="224"/>
      <c r="DIV5" s="225"/>
      <c r="DIW5" s="223" t="s">
        <v>44</v>
      </c>
      <c r="DIX5" s="224"/>
      <c r="DIY5" s="224"/>
      <c r="DIZ5" s="225"/>
      <c r="DJA5" s="223" t="s">
        <v>44</v>
      </c>
      <c r="DJB5" s="224"/>
      <c r="DJC5" s="224"/>
      <c r="DJD5" s="225"/>
      <c r="DJE5" s="223" t="s">
        <v>44</v>
      </c>
      <c r="DJF5" s="224"/>
      <c r="DJG5" s="224"/>
      <c r="DJH5" s="225"/>
      <c r="DJI5" s="223" t="s">
        <v>44</v>
      </c>
      <c r="DJJ5" s="224"/>
      <c r="DJK5" s="224"/>
      <c r="DJL5" s="225"/>
      <c r="DJM5" s="223" t="s">
        <v>44</v>
      </c>
      <c r="DJN5" s="224"/>
      <c r="DJO5" s="224"/>
      <c r="DJP5" s="225"/>
      <c r="DJQ5" s="223" t="s">
        <v>44</v>
      </c>
      <c r="DJR5" s="224"/>
      <c r="DJS5" s="224"/>
      <c r="DJT5" s="225"/>
      <c r="DJU5" s="223" t="s">
        <v>44</v>
      </c>
      <c r="DJV5" s="224"/>
      <c r="DJW5" s="224"/>
      <c r="DJX5" s="225"/>
      <c r="DJY5" s="223" t="s">
        <v>44</v>
      </c>
      <c r="DJZ5" s="224"/>
      <c r="DKA5" s="224"/>
      <c r="DKB5" s="225"/>
      <c r="DKC5" s="223" t="s">
        <v>44</v>
      </c>
      <c r="DKD5" s="224"/>
      <c r="DKE5" s="224"/>
      <c r="DKF5" s="225"/>
      <c r="DKG5" s="223" t="s">
        <v>44</v>
      </c>
      <c r="DKH5" s="224"/>
      <c r="DKI5" s="224"/>
      <c r="DKJ5" s="225"/>
      <c r="DKK5" s="223" t="s">
        <v>44</v>
      </c>
      <c r="DKL5" s="224"/>
      <c r="DKM5" s="224"/>
      <c r="DKN5" s="225"/>
      <c r="DKO5" s="223" t="s">
        <v>44</v>
      </c>
      <c r="DKP5" s="224"/>
      <c r="DKQ5" s="224"/>
      <c r="DKR5" s="225"/>
      <c r="DKS5" s="223" t="s">
        <v>44</v>
      </c>
      <c r="DKT5" s="224"/>
      <c r="DKU5" s="224"/>
      <c r="DKV5" s="225"/>
      <c r="DKW5" s="223" t="s">
        <v>44</v>
      </c>
      <c r="DKX5" s="224"/>
      <c r="DKY5" s="224"/>
      <c r="DKZ5" s="225"/>
      <c r="DLA5" s="223" t="s">
        <v>44</v>
      </c>
      <c r="DLB5" s="224"/>
      <c r="DLC5" s="224"/>
      <c r="DLD5" s="225"/>
      <c r="DLE5" s="223" t="s">
        <v>44</v>
      </c>
      <c r="DLF5" s="224"/>
      <c r="DLG5" s="224"/>
      <c r="DLH5" s="225"/>
      <c r="DLI5" s="223" t="s">
        <v>44</v>
      </c>
      <c r="DLJ5" s="224"/>
      <c r="DLK5" s="224"/>
      <c r="DLL5" s="225"/>
      <c r="DLM5" s="223" t="s">
        <v>44</v>
      </c>
      <c r="DLN5" s="224"/>
      <c r="DLO5" s="224"/>
      <c r="DLP5" s="225"/>
      <c r="DLQ5" s="223" t="s">
        <v>44</v>
      </c>
      <c r="DLR5" s="224"/>
      <c r="DLS5" s="224"/>
      <c r="DLT5" s="225"/>
      <c r="DLU5" s="223" t="s">
        <v>44</v>
      </c>
      <c r="DLV5" s="224"/>
      <c r="DLW5" s="224"/>
      <c r="DLX5" s="225"/>
      <c r="DLY5" s="223" t="s">
        <v>44</v>
      </c>
      <c r="DLZ5" s="224"/>
      <c r="DMA5" s="224"/>
      <c r="DMB5" s="225"/>
      <c r="DMC5" s="223" t="s">
        <v>44</v>
      </c>
      <c r="DMD5" s="224"/>
      <c r="DME5" s="224"/>
      <c r="DMF5" s="225"/>
      <c r="DMG5" s="223" t="s">
        <v>44</v>
      </c>
      <c r="DMH5" s="224"/>
      <c r="DMI5" s="224"/>
      <c r="DMJ5" s="225"/>
      <c r="DMK5" s="223" t="s">
        <v>44</v>
      </c>
      <c r="DML5" s="224"/>
      <c r="DMM5" s="224"/>
      <c r="DMN5" s="225"/>
      <c r="DMO5" s="223" t="s">
        <v>44</v>
      </c>
      <c r="DMP5" s="224"/>
      <c r="DMQ5" s="224"/>
      <c r="DMR5" s="225"/>
      <c r="DMS5" s="223" t="s">
        <v>44</v>
      </c>
      <c r="DMT5" s="224"/>
      <c r="DMU5" s="224"/>
      <c r="DMV5" s="225"/>
      <c r="DMW5" s="223" t="s">
        <v>44</v>
      </c>
      <c r="DMX5" s="224"/>
      <c r="DMY5" s="224"/>
      <c r="DMZ5" s="225"/>
      <c r="DNA5" s="223" t="s">
        <v>44</v>
      </c>
      <c r="DNB5" s="224"/>
      <c r="DNC5" s="224"/>
      <c r="DND5" s="225"/>
      <c r="DNE5" s="223" t="s">
        <v>44</v>
      </c>
      <c r="DNF5" s="224"/>
      <c r="DNG5" s="224"/>
      <c r="DNH5" s="225"/>
      <c r="DNI5" s="223" t="s">
        <v>44</v>
      </c>
      <c r="DNJ5" s="224"/>
      <c r="DNK5" s="224"/>
      <c r="DNL5" s="225"/>
      <c r="DNM5" s="223" t="s">
        <v>44</v>
      </c>
      <c r="DNN5" s="224"/>
      <c r="DNO5" s="224"/>
      <c r="DNP5" s="225"/>
      <c r="DNQ5" s="223" t="s">
        <v>44</v>
      </c>
      <c r="DNR5" s="224"/>
      <c r="DNS5" s="224"/>
      <c r="DNT5" s="225"/>
      <c r="DNU5" s="223" t="s">
        <v>44</v>
      </c>
      <c r="DNV5" s="224"/>
      <c r="DNW5" s="224"/>
      <c r="DNX5" s="225"/>
      <c r="DNY5" s="223" t="s">
        <v>44</v>
      </c>
      <c r="DNZ5" s="224"/>
      <c r="DOA5" s="224"/>
      <c r="DOB5" s="225"/>
      <c r="DOC5" s="223" t="s">
        <v>44</v>
      </c>
      <c r="DOD5" s="224"/>
      <c r="DOE5" s="224"/>
      <c r="DOF5" s="225"/>
      <c r="DOG5" s="223" t="s">
        <v>44</v>
      </c>
      <c r="DOH5" s="224"/>
      <c r="DOI5" s="224"/>
      <c r="DOJ5" s="225"/>
      <c r="DOK5" s="223" t="s">
        <v>44</v>
      </c>
      <c r="DOL5" s="224"/>
      <c r="DOM5" s="224"/>
      <c r="DON5" s="225"/>
      <c r="DOO5" s="223" t="s">
        <v>44</v>
      </c>
      <c r="DOP5" s="224"/>
      <c r="DOQ5" s="224"/>
      <c r="DOR5" s="225"/>
      <c r="DOS5" s="223" t="s">
        <v>44</v>
      </c>
      <c r="DOT5" s="224"/>
      <c r="DOU5" s="224"/>
      <c r="DOV5" s="225"/>
      <c r="DOW5" s="223" t="s">
        <v>44</v>
      </c>
      <c r="DOX5" s="224"/>
      <c r="DOY5" s="224"/>
      <c r="DOZ5" s="225"/>
      <c r="DPA5" s="223" t="s">
        <v>44</v>
      </c>
      <c r="DPB5" s="224"/>
      <c r="DPC5" s="224"/>
      <c r="DPD5" s="225"/>
      <c r="DPE5" s="223" t="s">
        <v>44</v>
      </c>
      <c r="DPF5" s="224"/>
      <c r="DPG5" s="224"/>
      <c r="DPH5" s="225"/>
      <c r="DPI5" s="223" t="s">
        <v>44</v>
      </c>
      <c r="DPJ5" s="224"/>
      <c r="DPK5" s="224"/>
      <c r="DPL5" s="225"/>
      <c r="DPM5" s="223" t="s">
        <v>44</v>
      </c>
      <c r="DPN5" s="224"/>
      <c r="DPO5" s="224"/>
      <c r="DPP5" s="225"/>
      <c r="DPQ5" s="223" t="s">
        <v>44</v>
      </c>
      <c r="DPR5" s="224"/>
      <c r="DPS5" s="224"/>
      <c r="DPT5" s="225"/>
      <c r="DPU5" s="223" t="s">
        <v>44</v>
      </c>
      <c r="DPV5" s="224"/>
      <c r="DPW5" s="224"/>
      <c r="DPX5" s="225"/>
      <c r="DPY5" s="223" t="s">
        <v>44</v>
      </c>
      <c r="DPZ5" s="224"/>
      <c r="DQA5" s="224"/>
      <c r="DQB5" s="225"/>
      <c r="DQC5" s="223" t="s">
        <v>44</v>
      </c>
      <c r="DQD5" s="224"/>
      <c r="DQE5" s="224"/>
      <c r="DQF5" s="225"/>
      <c r="DQG5" s="223" t="s">
        <v>44</v>
      </c>
      <c r="DQH5" s="224"/>
      <c r="DQI5" s="224"/>
      <c r="DQJ5" s="225"/>
      <c r="DQK5" s="223" t="s">
        <v>44</v>
      </c>
      <c r="DQL5" s="224"/>
      <c r="DQM5" s="224"/>
      <c r="DQN5" s="225"/>
      <c r="DQO5" s="223" t="s">
        <v>44</v>
      </c>
      <c r="DQP5" s="224"/>
      <c r="DQQ5" s="224"/>
      <c r="DQR5" s="225"/>
      <c r="DQS5" s="223" t="s">
        <v>44</v>
      </c>
      <c r="DQT5" s="224"/>
      <c r="DQU5" s="224"/>
      <c r="DQV5" s="225"/>
      <c r="DQW5" s="223" t="s">
        <v>44</v>
      </c>
      <c r="DQX5" s="224"/>
      <c r="DQY5" s="224"/>
      <c r="DQZ5" s="225"/>
      <c r="DRA5" s="223" t="s">
        <v>44</v>
      </c>
      <c r="DRB5" s="224"/>
      <c r="DRC5" s="224"/>
      <c r="DRD5" s="225"/>
      <c r="DRE5" s="223" t="s">
        <v>44</v>
      </c>
      <c r="DRF5" s="224"/>
      <c r="DRG5" s="224"/>
      <c r="DRH5" s="225"/>
      <c r="DRI5" s="223" t="s">
        <v>44</v>
      </c>
      <c r="DRJ5" s="224"/>
      <c r="DRK5" s="224"/>
      <c r="DRL5" s="225"/>
      <c r="DRM5" s="223" t="s">
        <v>44</v>
      </c>
      <c r="DRN5" s="224"/>
      <c r="DRO5" s="224"/>
      <c r="DRP5" s="225"/>
      <c r="DRQ5" s="223" t="s">
        <v>44</v>
      </c>
      <c r="DRR5" s="224"/>
      <c r="DRS5" s="224"/>
      <c r="DRT5" s="225"/>
      <c r="DRU5" s="223" t="s">
        <v>44</v>
      </c>
      <c r="DRV5" s="224"/>
      <c r="DRW5" s="224"/>
      <c r="DRX5" s="225"/>
      <c r="DRY5" s="223" t="s">
        <v>44</v>
      </c>
      <c r="DRZ5" s="224"/>
      <c r="DSA5" s="224"/>
      <c r="DSB5" s="225"/>
      <c r="DSC5" s="223" t="s">
        <v>44</v>
      </c>
      <c r="DSD5" s="224"/>
      <c r="DSE5" s="224"/>
      <c r="DSF5" s="225"/>
      <c r="DSG5" s="223" t="s">
        <v>44</v>
      </c>
      <c r="DSH5" s="224"/>
      <c r="DSI5" s="224"/>
      <c r="DSJ5" s="225"/>
      <c r="DSK5" s="223" t="s">
        <v>44</v>
      </c>
      <c r="DSL5" s="224"/>
      <c r="DSM5" s="224"/>
      <c r="DSN5" s="225"/>
      <c r="DSO5" s="223" t="s">
        <v>44</v>
      </c>
      <c r="DSP5" s="224"/>
      <c r="DSQ5" s="224"/>
      <c r="DSR5" s="225"/>
      <c r="DSS5" s="223" t="s">
        <v>44</v>
      </c>
      <c r="DST5" s="224"/>
      <c r="DSU5" s="224"/>
      <c r="DSV5" s="225"/>
      <c r="DSW5" s="223" t="s">
        <v>44</v>
      </c>
      <c r="DSX5" s="224"/>
      <c r="DSY5" s="224"/>
      <c r="DSZ5" s="225"/>
      <c r="DTA5" s="223" t="s">
        <v>44</v>
      </c>
      <c r="DTB5" s="224"/>
      <c r="DTC5" s="224"/>
      <c r="DTD5" s="225"/>
      <c r="DTE5" s="223" t="s">
        <v>44</v>
      </c>
      <c r="DTF5" s="224"/>
      <c r="DTG5" s="224"/>
      <c r="DTH5" s="225"/>
      <c r="DTI5" s="223" t="s">
        <v>44</v>
      </c>
      <c r="DTJ5" s="224"/>
      <c r="DTK5" s="224"/>
      <c r="DTL5" s="225"/>
      <c r="DTM5" s="223" t="s">
        <v>44</v>
      </c>
      <c r="DTN5" s="224"/>
      <c r="DTO5" s="224"/>
      <c r="DTP5" s="225"/>
      <c r="DTQ5" s="223" t="s">
        <v>44</v>
      </c>
      <c r="DTR5" s="224"/>
      <c r="DTS5" s="224"/>
      <c r="DTT5" s="225"/>
      <c r="DTU5" s="223" t="s">
        <v>44</v>
      </c>
      <c r="DTV5" s="224"/>
      <c r="DTW5" s="224"/>
      <c r="DTX5" s="225"/>
      <c r="DTY5" s="223" t="s">
        <v>44</v>
      </c>
      <c r="DTZ5" s="224"/>
      <c r="DUA5" s="224"/>
      <c r="DUB5" s="225"/>
      <c r="DUC5" s="223" t="s">
        <v>44</v>
      </c>
      <c r="DUD5" s="224"/>
      <c r="DUE5" s="224"/>
      <c r="DUF5" s="225"/>
      <c r="DUG5" s="223" t="s">
        <v>44</v>
      </c>
      <c r="DUH5" s="224"/>
      <c r="DUI5" s="224"/>
      <c r="DUJ5" s="225"/>
      <c r="DUK5" s="223" t="s">
        <v>44</v>
      </c>
      <c r="DUL5" s="224"/>
      <c r="DUM5" s="224"/>
      <c r="DUN5" s="225"/>
      <c r="DUO5" s="223" t="s">
        <v>44</v>
      </c>
      <c r="DUP5" s="224"/>
      <c r="DUQ5" s="224"/>
      <c r="DUR5" s="225"/>
      <c r="DUS5" s="223" t="s">
        <v>44</v>
      </c>
      <c r="DUT5" s="224"/>
      <c r="DUU5" s="224"/>
      <c r="DUV5" s="225"/>
      <c r="DUW5" s="223" t="s">
        <v>44</v>
      </c>
      <c r="DUX5" s="224"/>
      <c r="DUY5" s="224"/>
      <c r="DUZ5" s="225"/>
      <c r="DVA5" s="223" t="s">
        <v>44</v>
      </c>
      <c r="DVB5" s="224"/>
      <c r="DVC5" s="224"/>
      <c r="DVD5" s="225"/>
      <c r="DVE5" s="223" t="s">
        <v>44</v>
      </c>
      <c r="DVF5" s="224"/>
      <c r="DVG5" s="224"/>
      <c r="DVH5" s="225"/>
      <c r="DVI5" s="223" t="s">
        <v>44</v>
      </c>
      <c r="DVJ5" s="224"/>
      <c r="DVK5" s="224"/>
      <c r="DVL5" s="225"/>
      <c r="DVM5" s="223" t="s">
        <v>44</v>
      </c>
      <c r="DVN5" s="224"/>
      <c r="DVO5" s="224"/>
      <c r="DVP5" s="225"/>
      <c r="DVQ5" s="223" t="s">
        <v>44</v>
      </c>
      <c r="DVR5" s="224"/>
      <c r="DVS5" s="224"/>
      <c r="DVT5" s="225"/>
      <c r="DVU5" s="223" t="s">
        <v>44</v>
      </c>
      <c r="DVV5" s="224"/>
      <c r="DVW5" s="224"/>
      <c r="DVX5" s="225"/>
      <c r="DVY5" s="223" t="s">
        <v>44</v>
      </c>
      <c r="DVZ5" s="224"/>
      <c r="DWA5" s="224"/>
      <c r="DWB5" s="225"/>
      <c r="DWC5" s="223" t="s">
        <v>44</v>
      </c>
      <c r="DWD5" s="224"/>
      <c r="DWE5" s="224"/>
      <c r="DWF5" s="225"/>
      <c r="DWG5" s="223" t="s">
        <v>44</v>
      </c>
      <c r="DWH5" s="224"/>
      <c r="DWI5" s="224"/>
      <c r="DWJ5" s="225"/>
      <c r="DWK5" s="223" t="s">
        <v>44</v>
      </c>
      <c r="DWL5" s="224"/>
      <c r="DWM5" s="224"/>
      <c r="DWN5" s="225"/>
      <c r="DWO5" s="223" t="s">
        <v>44</v>
      </c>
      <c r="DWP5" s="224"/>
      <c r="DWQ5" s="224"/>
      <c r="DWR5" s="225"/>
      <c r="DWS5" s="223" t="s">
        <v>44</v>
      </c>
      <c r="DWT5" s="224"/>
      <c r="DWU5" s="224"/>
      <c r="DWV5" s="225"/>
      <c r="DWW5" s="223" t="s">
        <v>44</v>
      </c>
      <c r="DWX5" s="224"/>
      <c r="DWY5" s="224"/>
      <c r="DWZ5" s="225"/>
      <c r="DXA5" s="223" t="s">
        <v>44</v>
      </c>
      <c r="DXB5" s="224"/>
      <c r="DXC5" s="224"/>
      <c r="DXD5" s="225"/>
      <c r="DXE5" s="223" t="s">
        <v>44</v>
      </c>
      <c r="DXF5" s="224"/>
      <c r="DXG5" s="224"/>
      <c r="DXH5" s="225"/>
      <c r="DXI5" s="223" t="s">
        <v>44</v>
      </c>
      <c r="DXJ5" s="224"/>
      <c r="DXK5" s="224"/>
      <c r="DXL5" s="225"/>
      <c r="DXM5" s="223" t="s">
        <v>44</v>
      </c>
      <c r="DXN5" s="224"/>
      <c r="DXO5" s="224"/>
      <c r="DXP5" s="225"/>
      <c r="DXQ5" s="223" t="s">
        <v>44</v>
      </c>
      <c r="DXR5" s="224"/>
      <c r="DXS5" s="224"/>
      <c r="DXT5" s="225"/>
      <c r="DXU5" s="223" t="s">
        <v>44</v>
      </c>
      <c r="DXV5" s="224"/>
      <c r="DXW5" s="224"/>
      <c r="DXX5" s="225"/>
      <c r="DXY5" s="223" t="s">
        <v>44</v>
      </c>
      <c r="DXZ5" s="224"/>
      <c r="DYA5" s="224"/>
      <c r="DYB5" s="225"/>
      <c r="DYC5" s="223" t="s">
        <v>44</v>
      </c>
      <c r="DYD5" s="224"/>
      <c r="DYE5" s="224"/>
      <c r="DYF5" s="225"/>
      <c r="DYG5" s="223" t="s">
        <v>44</v>
      </c>
      <c r="DYH5" s="224"/>
      <c r="DYI5" s="224"/>
      <c r="DYJ5" s="225"/>
      <c r="DYK5" s="223" t="s">
        <v>44</v>
      </c>
      <c r="DYL5" s="224"/>
      <c r="DYM5" s="224"/>
      <c r="DYN5" s="225"/>
      <c r="DYO5" s="223" t="s">
        <v>44</v>
      </c>
      <c r="DYP5" s="224"/>
      <c r="DYQ5" s="224"/>
      <c r="DYR5" s="225"/>
      <c r="DYS5" s="223" t="s">
        <v>44</v>
      </c>
      <c r="DYT5" s="224"/>
      <c r="DYU5" s="224"/>
      <c r="DYV5" s="225"/>
      <c r="DYW5" s="223" t="s">
        <v>44</v>
      </c>
      <c r="DYX5" s="224"/>
      <c r="DYY5" s="224"/>
      <c r="DYZ5" s="225"/>
      <c r="DZA5" s="223" t="s">
        <v>44</v>
      </c>
      <c r="DZB5" s="224"/>
      <c r="DZC5" s="224"/>
      <c r="DZD5" s="225"/>
      <c r="DZE5" s="223" t="s">
        <v>44</v>
      </c>
      <c r="DZF5" s="224"/>
      <c r="DZG5" s="224"/>
      <c r="DZH5" s="225"/>
      <c r="DZI5" s="223" t="s">
        <v>44</v>
      </c>
      <c r="DZJ5" s="224"/>
      <c r="DZK5" s="224"/>
      <c r="DZL5" s="225"/>
      <c r="DZM5" s="223" t="s">
        <v>44</v>
      </c>
      <c r="DZN5" s="224"/>
      <c r="DZO5" s="224"/>
      <c r="DZP5" s="225"/>
      <c r="DZQ5" s="223" t="s">
        <v>44</v>
      </c>
      <c r="DZR5" s="224"/>
      <c r="DZS5" s="224"/>
      <c r="DZT5" s="225"/>
      <c r="DZU5" s="223" t="s">
        <v>44</v>
      </c>
      <c r="DZV5" s="224"/>
      <c r="DZW5" s="224"/>
      <c r="DZX5" s="225"/>
      <c r="DZY5" s="223" t="s">
        <v>44</v>
      </c>
      <c r="DZZ5" s="224"/>
      <c r="EAA5" s="224"/>
      <c r="EAB5" s="225"/>
      <c r="EAC5" s="223" t="s">
        <v>44</v>
      </c>
      <c r="EAD5" s="224"/>
      <c r="EAE5" s="224"/>
      <c r="EAF5" s="225"/>
      <c r="EAG5" s="223" t="s">
        <v>44</v>
      </c>
      <c r="EAH5" s="224"/>
      <c r="EAI5" s="224"/>
      <c r="EAJ5" s="225"/>
      <c r="EAK5" s="223" t="s">
        <v>44</v>
      </c>
      <c r="EAL5" s="224"/>
      <c r="EAM5" s="224"/>
      <c r="EAN5" s="225"/>
      <c r="EAO5" s="223" t="s">
        <v>44</v>
      </c>
      <c r="EAP5" s="224"/>
      <c r="EAQ5" s="224"/>
      <c r="EAR5" s="225"/>
      <c r="EAS5" s="223" t="s">
        <v>44</v>
      </c>
      <c r="EAT5" s="224"/>
      <c r="EAU5" s="224"/>
      <c r="EAV5" s="225"/>
      <c r="EAW5" s="223" t="s">
        <v>44</v>
      </c>
      <c r="EAX5" s="224"/>
      <c r="EAY5" s="224"/>
      <c r="EAZ5" s="225"/>
      <c r="EBA5" s="223" t="s">
        <v>44</v>
      </c>
      <c r="EBB5" s="224"/>
      <c r="EBC5" s="224"/>
      <c r="EBD5" s="225"/>
      <c r="EBE5" s="223" t="s">
        <v>44</v>
      </c>
      <c r="EBF5" s="224"/>
      <c r="EBG5" s="224"/>
      <c r="EBH5" s="225"/>
      <c r="EBI5" s="223" t="s">
        <v>44</v>
      </c>
      <c r="EBJ5" s="224"/>
      <c r="EBK5" s="224"/>
      <c r="EBL5" s="225"/>
      <c r="EBM5" s="223" t="s">
        <v>44</v>
      </c>
      <c r="EBN5" s="224"/>
      <c r="EBO5" s="224"/>
      <c r="EBP5" s="225"/>
      <c r="EBQ5" s="223" t="s">
        <v>44</v>
      </c>
      <c r="EBR5" s="224"/>
      <c r="EBS5" s="224"/>
      <c r="EBT5" s="225"/>
      <c r="EBU5" s="223" t="s">
        <v>44</v>
      </c>
      <c r="EBV5" s="224"/>
      <c r="EBW5" s="224"/>
      <c r="EBX5" s="225"/>
      <c r="EBY5" s="223" t="s">
        <v>44</v>
      </c>
      <c r="EBZ5" s="224"/>
      <c r="ECA5" s="224"/>
      <c r="ECB5" s="225"/>
      <c r="ECC5" s="223" t="s">
        <v>44</v>
      </c>
      <c r="ECD5" s="224"/>
      <c r="ECE5" s="224"/>
      <c r="ECF5" s="225"/>
      <c r="ECG5" s="223" t="s">
        <v>44</v>
      </c>
      <c r="ECH5" s="224"/>
      <c r="ECI5" s="224"/>
      <c r="ECJ5" s="225"/>
      <c r="ECK5" s="223" t="s">
        <v>44</v>
      </c>
      <c r="ECL5" s="224"/>
      <c r="ECM5" s="224"/>
      <c r="ECN5" s="225"/>
      <c r="ECO5" s="223" t="s">
        <v>44</v>
      </c>
      <c r="ECP5" s="224"/>
      <c r="ECQ5" s="224"/>
      <c r="ECR5" s="225"/>
      <c r="ECS5" s="223" t="s">
        <v>44</v>
      </c>
      <c r="ECT5" s="224"/>
      <c r="ECU5" s="224"/>
      <c r="ECV5" s="225"/>
      <c r="ECW5" s="223" t="s">
        <v>44</v>
      </c>
      <c r="ECX5" s="224"/>
      <c r="ECY5" s="224"/>
      <c r="ECZ5" s="225"/>
      <c r="EDA5" s="223" t="s">
        <v>44</v>
      </c>
      <c r="EDB5" s="224"/>
      <c r="EDC5" s="224"/>
      <c r="EDD5" s="225"/>
      <c r="EDE5" s="223" t="s">
        <v>44</v>
      </c>
      <c r="EDF5" s="224"/>
      <c r="EDG5" s="224"/>
      <c r="EDH5" s="225"/>
      <c r="EDI5" s="223" t="s">
        <v>44</v>
      </c>
      <c r="EDJ5" s="224"/>
      <c r="EDK5" s="224"/>
      <c r="EDL5" s="225"/>
      <c r="EDM5" s="223" t="s">
        <v>44</v>
      </c>
      <c r="EDN5" s="224"/>
      <c r="EDO5" s="224"/>
      <c r="EDP5" s="225"/>
      <c r="EDQ5" s="223" t="s">
        <v>44</v>
      </c>
      <c r="EDR5" s="224"/>
      <c r="EDS5" s="224"/>
      <c r="EDT5" s="225"/>
      <c r="EDU5" s="223" t="s">
        <v>44</v>
      </c>
      <c r="EDV5" s="224"/>
      <c r="EDW5" s="224"/>
      <c r="EDX5" s="225"/>
      <c r="EDY5" s="223" t="s">
        <v>44</v>
      </c>
      <c r="EDZ5" s="224"/>
      <c r="EEA5" s="224"/>
      <c r="EEB5" s="225"/>
      <c r="EEC5" s="223" t="s">
        <v>44</v>
      </c>
      <c r="EED5" s="224"/>
      <c r="EEE5" s="224"/>
      <c r="EEF5" s="225"/>
      <c r="EEG5" s="223" t="s">
        <v>44</v>
      </c>
      <c r="EEH5" s="224"/>
      <c r="EEI5" s="224"/>
      <c r="EEJ5" s="225"/>
      <c r="EEK5" s="223" t="s">
        <v>44</v>
      </c>
      <c r="EEL5" s="224"/>
      <c r="EEM5" s="224"/>
      <c r="EEN5" s="225"/>
      <c r="EEO5" s="223" t="s">
        <v>44</v>
      </c>
      <c r="EEP5" s="224"/>
      <c r="EEQ5" s="224"/>
      <c r="EER5" s="225"/>
      <c r="EES5" s="223" t="s">
        <v>44</v>
      </c>
      <c r="EET5" s="224"/>
      <c r="EEU5" s="224"/>
      <c r="EEV5" s="225"/>
      <c r="EEW5" s="223" t="s">
        <v>44</v>
      </c>
      <c r="EEX5" s="224"/>
      <c r="EEY5" s="224"/>
      <c r="EEZ5" s="225"/>
      <c r="EFA5" s="223" t="s">
        <v>44</v>
      </c>
      <c r="EFB5" s="224"/>
      <c r="EFC5" s="224"/>
      <c r="EFD5" s="225"/>
      <c r="EFE5" s="223" t="s">
        <v>44</v>
      </c>
      <c r="EFF5" s="224"/>
      <c r="EFG5" s="224"/>
      <c r="EFH5" s="225"/>
      <c r="EFI5" s="223" t="s">
        <v>44</v>
      </c>
      <c r="EFJ5" s="224"/>
      <c r="EFK5" s="224"/>
      <c r="EFL5" s="225"/>
      <c r="EFM5" s="223" t="s">
        <v>44</v>
      </c>
      <c r="EFN5" s="224"/>
      <c r="EFO5" s="224"/>
      <c r="EFP5" s="225"/>
      <c r="EFQ5" s="223" t="s">
        <v>44</v>
      </c>
      <c r="EFR5" s="224"/>
      <c r="EFS5" s="224"/>
      <c r="EFT5" s="225"/>
      <c r="EFU5" s="223" t="s">
        <v>44</v>
      </c>
      <c r="EFV5" s="224"/>
      <c r="EFW5" s="224"/>
      <c r="EFX5" s="225"/>
      <c r="EFY5" s="223" t="s">
        <v>44</v>
      </c>
      <c r="EFZ5" s="224"/>
      <c r="EGA5" s="224"/>
      <c r="EGB5" s="225"/>
      <c r="EGC5" s="223" t="s">
        <v>44</v>
      </c>
      <c r="EGD5" s="224"/>
      <c r="EGE5" s="224"/>
      <c r="EGF5" s="225"/>
      <c r="EGG5" s="223" t="s">
        <v>44</v>
      </c>
      <c r="EGH5" s="224"/>
      <c r="EGI5" s="224"/>
      <c r="EGJ5" s="225"/>
      <c r="EGK5" s="223" t="s">
        <v>44</v>
      </c>
      <c r="EGL5" s="224"/>
      <c r="EGM5" s="224"/>
      <c r="EGN5" s="225"/>
      <c r="EGO5" s="223" t="s">
        <v>44</v>
      </c>
      <c r="EGP5" s="224"/>
      <c r="EGQ5" s="224"/>
      <c r="EGR5" s="225"/>
      <c r="EGS5" s="223" t="s">
        <v>44</v>
      </c>
      <c r="EGT5" s="224"/>
      <c r="EGU5" s="224"/>
      <c r="EGV5" s="225"/>
      <c r="EGW5" s="223" t="s">
        <v>44</v>
      </c>
      <c r="EGX5" s="224"/>
      <c r="EGY5" s="224"/>
      <c r="EGZ5" s="225"/>
      <c r="EHA5" s="223" t="s">
        <v>44</v>
      </c>
      <c r="EHB5" s="224"/>
      <c r="EHC5" s="224"/>
      <c r="EHD5" s="225"/>
      <c r="EHE5" s="223" t="s">
        <v>44</v>
      </c>
      <c r="EHF5" s="224"/>
      <c r="EHG5" s="224"/>
      <c r="EHH5" s="225"/>
      <c r="EHI5" s="223" t="s">
        <v>44</v>
      </c>
      <c r="EHJ5" s="224"/>
      <c r="EHK5" s="224"/>
      <c r="EHL5" s="225"/>
      <c r="EHM5" s="223" t="s">
        <v>44</v>
      </c>
      <c r="EHN5" s="224"/>
      <c r="EHO5" s="224"/>
      <c r="EHP5" s="225"/>
      <c r="EHQ5" s="223" t="s">
        <v>44</v>
      </c>
      <c r="EHR5" s="224"/>
      <c r="EHS5" s="224"/>
      <c r="EHT5" s="225"/>
      <c r="EHU5" s="223" t="s">
        <v>44</v>
      </c>
      <c r="EHV5" s="224"/>
      <c r="EHW5" s="224"/>
      <c r="EHX5" s="225"/>
      <c r="EHY5" s="223" t="s">
        <v>44</v>
      </c>
      <c r="EHZ5" s="224"/>
      <c r="EIA5" s="224"/>
      <c r="EIB5" s="225"/>
      <c r="EIC5" s="223" t="s">
        <v>44</v>
      </c>
      <c r="EID5" s="224"/>
      <c r="EIE5" s="224"/>
      <c r="EIF5" s="225"/>
      <c r="EIG5" s="223" t="s">
        <v>44</v>
      </c>
      <c r="EIH5" s="224"/>
      <c r="EII5" s="224"/>
      <c r="EIJ5" s="225"/>
      <c r="EIK5" s="223" t="s">
        <v>44</v>
      </c>
      <c r="EIL5" s="224"/>
      <c r="EIM5" s="224"/>
      <c r="EIN5" s="225"/>
      <c r="EIO5" s="223" t="s">
        <v>44</v>
      </c>
      <c r="EIP5" s="224"/>
      <c r="EIQ5" s="224"/>
      <c r="EIR5" s="225"/>
      <c r="EIS5" s="223" t="s">
        <v>44</v>
      </c>
      <c r="EIT5" s="224"/>
      <c r="EIU5" s="224"/>
      <c r="EIV5" s="225"/>
      <c r="EIW5" s="223" t="s">
        <v>44</v>
      </c>
      <c r="EIX5" s="224"/>
      <c r="EIY5" s="224"/>
      <c r="EIZ5" s="225"/>
      <c r="EJA5" s="223" t="s">
        <v>44</v>
      </c>
      <c r="EJB5" s="224"/>
      <c r="EJC5" s="224"/>
      <c r="EJD5" s="225"/>
      <c r="EJE5" s="223" t="s">
        <v>44</v>
      </c>
      <c r="EJF5" s="224"/>
      <c r="EJG5" s="224"/>
      <c r="EJH5" s="225"/>
      <c r="EJI5" s="223" t="s">
        <v>44</v>
      </c>
      <c r="EJJ5" s="224"/>
      <c r="EJK5" s="224"/>
      <c r="EJL5" s="225"/>
      <c r="EJM5" s="223" t="s">
        <v>44</v>
      </c>
      <c r="EJN5" s="224"/>
      <c r="EJO5" s="224"/>
      <c r="EJP5" s="225"/>
      <c r="EJQ5" s="223" t="s">
        <v>44</v>
      </c>
      <c r="EJR5" s="224"/>
      <c r="EJS5" s="224"/>
      <c r="EJT5" s="225"/>
      <c r="EJU5" s="223" t="s">
        <v>44</v>
      </c>
      <c r="EJV5" s="224"/>
      <c r="EJW5" s="224"/>
      <c r="EJX5" s="225"/>
      <c r="EJY5" s="223" t="s">
        <v>44</v>
      </c>
      <c r="EJZ5" s="224"/>
      <c r="EKA5" s="224"/>
      <c r="EKB5" s="225"/>
      <c r="EKC5" s="223" t="s">
        <v>44</v>
      </c>
      <c r="EKD5" s="224"/>
      <c r="EKE5" s="224"/>
      <c r="EKF5" s="225"/>
      <c r="EKG5" s="223" t="s">
        <v>44</v>
      </c>
      <c r="EKH5" s="224"/>
      <c r="EKI5" s="224"/>
      <c r="EKJ5" s="225"/>
      <c r="EKK5" s="223" t="s">
        <v>44</v>
      </c>
      <c r="EKL5" s="224"/>
      <c r="EKM5" s="224"/>
      <c r="EKN5" s="225"/>
      <c r="EKO5" s="223" t="s">
        <v>44</v>
      </c>
      <c r="EKP5" s="224"/>
      <c r="EKQ5" s="224"/>
      <c r="EKR5" s="225"/>
      <c r="EKS5" s="223" t="s">
        <v>44</v>
      </c>
      <c r="EKT5" s="224"/>
      <c r="EKU5" s="224"/>
      <c r="EKV5" s="225"/>
      <c r="EKW5" s="223" t="s">
        <v>44</v>
      </c>
      <c r="EKX5" s="224"/>
      <c r="EKY5" s="224"/>
      <c r="EKZ5" s="225"/>
      <c r="ELA5" s="223" t="s">
        <v>44</v>
      </c>
      <c r="ELB5" s="224"/>
      <c r="ELC5" s="224"/>
      <c r="ELD5" s="225"/>
      <c r="ELE5" s="223" t="s">
        <v>44</v>
      </c>
      <c r="ELF5" s="224"/>
      <c r="ELG5" s="224"/>
      <c r="ELH5" s="225"/>
      <c r="ELI5" s="223" t="s">
        <v>44</v>
      </c>
      <c r="ELJ5" s="224"/>
      <c r="ELK5" s="224"/>
      <c r="ELL5" s="225"/>
      <c r="ELM5" s="223" t="s">
        <v>44</v>
      </c>
      <c r="ELN5" s="224"/>
      <c r="ELO5" s="224"/>
      <c r="ELP5" s="225"/>
      <c r="ELQ5" s="223" t="s">
        <v>44</v>
      </c>
      <c r="ELR5" s="224"/>
      <c r="ELS5" s="224"/>
      <c r="ELT5" s="225"/>
      <c r="ELU5" s="223" t="s">
        <v>44</v>
      </c>
      <c r="ELV5" s="224"/>
      <c r="ELW5" s="224"/>
      <c r="ELX5" s="225"/>
      <c r="ELY5" s="223" t="s">
        <v>44</v>
      </c>
      <c r="ELZ5" s="224"/>
      <c r="EMA5" s="224"/>
      <c r="EMB5" s="225"/>
      <c r="EMC5" s="223" t="s">
        <v>44</v>
      </c>
      <c r="EMD5" s="224"/>
      <c r="EME5" s="224"/>
      <c r="EMF5" s="225"/>
      <c r="EMG5" s="223" t="s">
        <v>44</v>
      </c>
      <c r="EMH5" s="224"/>
      <c r="EMI5" s="224"/>
      <c r="EMJ5" s="225"/>
      <c r="EMK5" s="223" t="s">
        <v>44</v>
      </c>
      <c r="EML5" s="224"/>
      <c r="EMM5" s="224"/>
      <c r="EMN5" s="225"/>
      <c r="EMO5" s="223" t="s">
        <v>44</v>
      </c>
      <c r="EMP5" s="224"/>
      <c r="EMQ5" s="224"/>
      <c r="EMR5" s="225"/>
      <c r="EMS5" s="223" t="s">
        <v>44</v>
      </c>
      <c r="EMT5" s="224"/>
      <c r="EMU5" s="224"/>
      <c r="EMV5" s="225"/>
      <c r="EMW5" s="223" t="s">
        <v>44</v>
      </c>
      <c r="EMX5" s="224"/>
      <c r="EMY5" s="224"/>
      <c r="EMZ5" s="225"/>
      <c r="ENA5" s="223" t="s">
        <v>44</v>
      </c>
      <c r="ENB5" s="224"/>
      <c r="ENC5" s="224"/>
      <c r="END5" s="225"/>
      <c r="ENE5" s="223" t="s">
        <v>44</v>
      </c>
      <c r="ENF5" s="224"/>
      <c r="ENG5" s="224"/>
      <c r="ENH5" s="225"/>
      <c r="ENI5" s="223" t="s">
        <v>44</v>
      </c>
      <c r="ENJ5" s="224"/>
      <c r="ENK5" s="224"/>
      <c r="ENL5" s="225"/>
      <c r="ENM5" s="223" t="s">
        <v>44</v>
      </c>
      <c r="ENN5" s="224"/>
      <c r="ENO5" s="224"/>
      <c r="ENP5" s="225"/>
      <c r="ENQ5" s="223" t="s">
        <v>44</v>
      </c>
      <c r="ENR5" s="224"/>
      <c r="ENS5" s="224"/>
      <c r="ENT5" s="225"/>
      <c r="ENU5" s="223" t="s">
        <v>44</v>
      </c>
      <c r="ENV5" s="224"/>
      <c r="ENW5" s="224"/>
      <c r="ENX5" s="225"/>
      <c r="ENY5" s="223" t="s">
        <v>44</v>
      </c>
      <c r="ENZ5" s="224"/>
      <c r="EOA5" s="224"/>
      <c r="EOB5" s="225"/>
      <c r="EOC5" s="223" t="s">
        <v>44</v>
      </c>
      <c r="EOD5" s="224"/>
      <c r="EOE5" s="224"/>
      <c r="EOF5" s="225"/>
      <c r="EOG5" s="223" t="s">
        <v>44</v>
      </c>
      <c r="EOH5" s="224"/>
      <c r="EOI5" s="224"/>
      <c r="EOJ5" s="225"/>
      <c r="EOK5" s="223" t="s">
        <v>44</v>
      </c>
      <c r="EOL5" s="224"/>
      <c r="EOM5" s="224"/>
      <c r="EON5" s="225"/>
      <c r="EOO5" s="223" t="s">
        <v>44</v>
      </c>
      <c r="EOP5" s="224"/>
      <c r="EOQ5" s="224"/>
      <c r="EOR5" s="225"/>
      <c r="EOS5" s="223" t="s">
        <v>44</v>
      </c>
      <c r="EOT5" s="224"/>
      <c r="EOU5" s="224"/>
      <c r="EOV5" s="225"/>
      <c r="EOW5" s="223" t="s">
        <v>44</v>
      </c>
      <c r="EOX5" s="224"/>
      <c r="EOY5" s="224"/>
      <c r="EOZ5" s="225"/>
      <c r="EPA5" s="223" t="s">
        <v>44</v>
      </c>
      <c r="EPB5" s="224"/>
      <c r="EPC5" s="224"/>
      <c r="EPD5" s="225"/>
      <c r="EPE5" s="223" t="s">
        <v>44</v>
      </c>
      <c r="EPF5" s="224"/>
      <c r="EPG5" s="224"/>
      <c r="EPH5" s="225"/>
      <c r="EPI5" s="223" t="s">
        <v>44</v>
      </c>
      <c r="EPJ5" s="224"/>
      <c r="EPK5" s="224"/>
      <c r="EPL5" s="225"/>
      <c r="EPM5" s="223" t="s">
        <v>44</v>
      </c>
      <c r="EPN5" s="224"/>
      <c r="EPO5" s="224"/>
      <c r="EPP5" s="225"/>
      <c r="EPQ5" s="223" t="s">
        <v>44</v>
      </c>
      <c r="EPR5" s="224"/>
      <c r="EPS5" s="224"/>
      <c r="EPT5" s="225"/>
      <c r="EPU5" s="223" t="s">
        <v>44</v>
      </c>
      <c r="EPV5" s="224"/>
      <c r="EPW5" s="224"/>
      <c r="EPX5" s="225"/>
      <c r="EPY5" s="223" t="s">
        <v>44</v>
      </c>
      <c r="EPZ5" s="224"/>
      <c r="EQA5" s="224"/>
      <c r="EQB5" s="225"/>
      <c r="EQC5" s="223" t="s">
        <v>44</v>
      </c>
      <c r="EQD5" s="224"/>
      <c r="EQE5" s="224"/>
      <c r="EQF5" s="225"/>
      <c r="EQG5" s="223" t="s">
        <v>44</v>
      </c>
      <c r="EQH5" s="224"/>
      <c r="EQI5" s="224"/>
      <c r="EQJ5" s="225"/>
      <c r="EQK5" s="223" t="s">
        <v>44</v>
      </c>
      <c r="EQL5" s="224"/>
      <c r="EQM5" s="224"/>
      <c r="EQN5" s="225"/>
      <c r="EQO5" s="223" t="s">
        <v>44</v>
      </c>
      <c r="EQP5" s="224"/>
      <c r="EQQ5" s="224"/>
      <c r="EQR5" s="225"/>
      <c r="EQS5" s="223" t="s">
        <v>44</v>
      </c>
      <c r="EQT5" s="224"/>
      <c r="EQU5" s="224"/>
      <c r="EQV5" s="225"/>
      <c r="EQW5" s="223" t="s">
        <v>44</v>
      </c>
      <c r="EQX5" s="224"/>
      <c r="EQY5" s="224"/>
      <c r="EQZ5" s="225"/>
      <c r="ERA5" s="223" t="s">
        <v>44</v>
      </c>
      <c r="ERB5" s="224"/>
      <c r="ERC5" s="224"/>
      <c r="ERD5" s="225"/>
      <c r="ERE5" s="223" t="s">
        <v>44</v>
      </c>
      <c r="ERF5" s="224"/>
      <c r="ERG5" s="224"/>
      <c r="ERH5" s="225"/>
      <c r="ERI5" s="223" t="s">
        <v>44</v>
      </c>
      <c r="ERJ5" s="224"/>
      <c r="ERK5" s="224"/>
      <c r="ERL5" s="225"/>
      <c r="ERM5" s="223" t="s">
        <v>44</v>
      </c>
      <c r="ERN5" s="224"/>
      <c r="ERO5" s="224"/>
      <c r="ERP5" s="225"/>
      <c r="ERQ5" s="223" t="s">
        <v>44</v>
      </c>
      <c r="ERR5" s="224"/>
      <c r="ERS5" s="224"/>
      <c r="ERT5" s="225"/>
      <c r="ERU5" s="223" t="s">
        <v>44</v>
      </c>
      <c r="ERV5" s="224"/>
      <c r="ERW5" s="224"/>
      <c r="ERX5" s="225"/>
      <c r="ERY5" s="223" t="s">
        <v>44</v>
      </c>
      <c r="ERZ5" s="224"/>
      <c r="ESA5" s="224"/>
      <c r="ESB5" s="225"/>
      <c r="ESC5" s="223" t="s">
        <v>44</v>
      </c>
      <c r="ESD5" s="224"/>
      <c r="ESE5" s="224"/>
      <c r="ESF5" s="225"/>
      <c r="ESG5" s="223" t="s">
        <v>44</v>
      </c>
      <c r="ESH5" s="224"/>
      <c r="ESI5" s="224"/>
      <c r="ESJ5" s="225"/>
      <c r="ESK5" s="223" t="s">
        <v>44</v>
      </c>
      <c r="ESL5" s="224"/>
      <c r="ESM5" s="224"/>
      <c r="ESN5" s="225"/>
      <c r="ESO5" s="223" t="s">
        <v>44</v>
      </c>
      <c r="ESP5" s="224"/>
      <c r="ESQ5" s="224"/>
      <c r="ESR5" s="225"/>
      <c r="ESS5" s="223" t="s">
        <v>44</v>
      </c>
      <c r="EST5" s="224"/>
      <c r="ESU5" s="224"/>
      <c r="ESV5" s="225"/>
      <c r="ESW5" s="223" t="s">
        <v>44</v>
      </c>
      <c r="ESX5" s="224"/>
      <c r="ESY5" s="224"/>
      <c r="ESZ5" s="225"/>
      <c r="ETA5" s="223" t="s">
        <v>44</v>
      </c>
      <c r="ETB5" s="224"/>
      <c r="ETC5" s="224"/>
      <c r="ETD5" s="225"/>
      <c r="ETE5" s="223" t="s">
        <v>44</v>
      </c>
      <c r="ETF5" s="224"/>
      <c r="ETG5" s="224"/>
      <c r="ETH5" s="225"/>
      <c r="ETI5" s="223" t="s">
        <v>44</v>
      </c>
      <c r="ETJ5" s="224"/>
      <c r="ETK5" s="224"/>
      <c r="ETL5" s="225"/>
      <c r="ETM5" s="223" t="s">
        <v>44</v>
      </c>
      <c r="ETN5" s="224"/>
      <c r="ETO5" s="224"/>
      <c r="ETP5" s="225"/>
      <c r="ETQ5" s="223" t="s">
        <v>44</v>
      </c>
      <c r="ETR5" s="224"/>
      <c r="ETS5" s="224"/>
      <c r="ETT5" s="225"/>
      <c r="ETU5" s="223" t="s">
        <v>44</v>
      </c>
      <c r="ETV5" s="224"/>
      <c r="ETW5" s="224"/>
      <c r="ETX5" s="225"/>
      <c r="ETY5" s="223" t="s">
        <v>44</v>
      </c>
      <c r="ETZ5" s="224"/>
      <c r="EUA5" s="224"/>
      <c r="EUB5" s="225"/>
      <c r="EUC5" s="223" t="s">
        <v>44</v>
      </c>
      <c r="EUD5" s="224"/>
      <c r="EUE5" s="224"/>
      <c r="EUF5" s="225"/>
      <c r="EUG5" s="223" t="s">
        <v>44</v>
      </c>
      <c r="EUH5" s="224"/>
      <c r="EUI5" s="224"/>
      <c r="EUJ5" s="225"/>
      <c r="EUK5" s="223" t="s">
        <v>44</v>
      </c>
      <c r="EUL5" s="224"/>
      <c r="EUM5" s="224"/>
      <c r="EUN5" s="225"/>
      <c r="EUO5" s="223" t="s">
        <v>44</v>
      </c>
      <c r="EUP5" s="224"/>
      <c r="EUQ5" s="224"/>
      <c r="EUR5" s="225"/>
      <c r="EUS5" s="223" t="s">
        <v>44</v>
      </c>
      <c r="EUT5" s="224"/>
      <c r="EUU5" s="224"/>
      <c r="EUV5" s="225"/>
      <c r="EUW5" s="223" t="s">
        <v>44</v>
      </c>
      <c r="EUX5" s="224"/>
      <c r="EUY5" s="224"/>
      <c r="EUZ5" s="225"/>
      <c r="EVA5" s="223" t="s">
        <v>44</v>
      </c>
      <c r="EVB5" s="224"/>
      <c r="EVC5" s="224"/>
      <c r="EVD5" s="225"/>
      <c r="EVE5" s="223" t="s">
        <v>44</v>
      </c>
      <c r="EVF5" s="224"/>
      <c r="EVG5" s="224"/>
      <c r="EVH5" s="225"/>
      <c r="EVI5" s="223" t="s">
        <v>44</v>
      </c>
      <c r="EVJ5" s="224"/>
      <c r="EVK5" s="224"/>
      <c r="EVL5" s="225"/>
      <c r="EVM5" s="223" t="s">
        <v>44</v>
      </c>
      <c r="EVN5" s="224"/>
      <c r="EVO5" s="224"/>
      <c r="EVP5" s="225"/>
      <c r="EVQ5" s="223" t="s">
        <v>44</v>
      </c>
      <c r="EVR5" s="224"/>
      <c r="EVS5" s="224"/>
      <c r="EVT5" s="225"/>
      <c r="EVU5" s="223" t="s">
        <v>44</v>
      </c>
      <c r="EVV5" s="224"/>
      <c r="EVW5" s="224"/>
      <c r="EVX5" s="225"/>
      <c r="EVY5" s="223" t="s">
        <v>44</v>
      </c>
      <c r="EVZ5" s="224"/>
      <c r="EWA5" s="224"/>
      <c r="EWB5" s="225"/>
      <c r="EWC5" s="223" t="s">
        <v>44</v>
      </c>
      <c r="EWD5" s="224"/>
      <c r="EWE5" s="224"/>
      <c r="EWF5" s="225"/>
      <c r="EWG5" s="223" t="s">
        <v>44</v>
      </c>
      <c r="EWH5" s="224"/>
      <c r="EWI5" s="224"/>
      <c r="EWJ5" s="225"/>
      <c r="EWK5" s="223" t="s">
        <v>44</v>
      </c>
      <c r="EWL5" s="224"/>
      <c r="EWM5" s="224"/>
      <c r="EWN5" s="225"/>
      <c r="EWO5" s="223" t="s">
        <v>44</v>
      </c>
      <c r="EWP5" s="224"/>
      <c r="EWQ5" s="224"/>
      <c r="EWR5" s="225"/>
      <c r="EWS5" s="223" t="s">
        <v>44</v>
      </c>
      <c r="EWT5" s="224"/>
      <c r="EWU5" s="224"/>
      <c r="EWV5" s="225"/>
      <c r="EWW5" s="223" t="s">
        <v>44</v>
      </c>
      <c r="EWX5" s="224"/>
      <c r="EWY5" s="224"/>
      <c r="EWZ5" s="225"/>
      <c r="EXA5" s="223" t="s">
        <v>44</v>
      </c>
      <c r="EXB5" s="224"/>
      <c r="EXC5" s="224"/>
      <c r="EXD5" s="225"/>
      <c r="EXE5" s="223" t="s">
        <v>44</v>
      </c>
      <c r="EXF5" s="224"/>
      <c r="EXG5" s="224"/>
      <c r="EXH5" s="225"/>
      <c r="EXI5" s="223" t="s">
        <v>44</v>
      </c>
      <c r="EXJ5" s="224"/>
      <c r="EXK5" s="224"/>
      <c r="EXL5" s="225"/>
      <c r="EXM5" s="223" t="s">
        <v>44</v>
      </c>
      <c r="EXN5" s="224"/>
      <c r="EXO5" s="224"/>
      <c r="EXP5" s="225"/>
      <c r="EXQ5" s="223" t="s">
        <v>44</v>
      </c>
      <c r="EXR5" s="224"/>
      <c r="EXS5" s="224"/>
      <c r="EXT5" s="225"/>
      <c r="EXU5" s="223" t="s">
        <v>44</v>
      </c>
      <c r="EXV5" s="224"/>
      <c r="EXW5" s="224"/>
      <c r="EXX5" s="225"/>
      <c r="EXY5" s="223" t="s">
        <v>44</v>
      </c>
      <c r="EXZ5" s="224"/>
      <c r="EYA5" s="224"/>
      <c r="EYB5" s="225"/>
      <c r="EYC5" s="223" t="s">
        <v>44</v>
      </c>
      <c r="EYD5" s="224"/>
      <c r="EYE5" s="224"/>
      <c r="EYF5" s="225"/>
      <c r="EYG5" s="223" t="s">
        <v>44</v>
      </c>
      <c r="EYH5" s="224"/>
      <c r="EYI5" s="224"/>
      <c r="EYJ5" s="225"/>
      <c r="EYK5" s="223" t="s">
        <v>44</v>
      </c>
      <c r="EYL5" s="224"/>
      <c r="EYM5" s="224"/>
      <c r="EYN5" s="225"/>
      <c r="EYO5" s="223" t="s">
        <v>44</v>
      </c>
      <c r="EYP5" s="224"/>
      <c r="EYQ5" s="224"/>
      <c r="EYR5" s="225"/>
      <c r="EYS5" s="223" t="s">
        <v>44</v>
      </c>
      <c r="EYT5" s="224"/>
      <c r="EYU5" s="224"/>
      <c r="EYV5" s="225"/>
      <c r="EYW5" s="223" t="s">
        <v>44</v>
      </c>
      <c r="EYX5" s="224"/>
      <c r="EYY5" s="224"/>
      <c r="EYZ5" s="225"/>
      <c r="EZA5" s="223" t="s">
        <v>44</v>
      </c>
      <c r="EZB5" s="224"/>
      <c r="EZC5" s="224"/>
      <c r="EZD5" s="225"/>
      <c r="EZE5" s="223" t="s">
        <v>44</v>
      </c>
      <c r="EZF5" s="224"/>
      <c r="EZG5" s="224"/>
      <c r="EZH5" s="225"/>
      <c r="EZI5" s="223" t="s">
        <v>44</v>
      </c>
      <c r="EZJ5" s="224"/>
      <c r="EZK5" s="224"/>
      <c r="EZL5" s="225"/>
      <c r="EZM5" s="223" t="s">
        <v>44</v>
      </c>
      <c r="EZN5" s="224"/>
      <c r="EZO5" s="224"/>
      <c r="EZP5" s="225"/>
      <c r="EZQ5" s="223" t="s">
        <v>44</v>
      </c>
      <c r="EZR5" s="224"/>
      <c r="EZS5" s="224"/>
      <c r="EZT5" s="225"/>
      <c r="EZU5" s="223" t="s">
        <v>44</v>
      </c>
      <c r="EZV5" s="224"/>
      <c r="EZW5" s="224"/>
      <c r="EZX5" s="225"/>
      <c r="EZY5" s="223" t="s">
        <v>44</v>
      </c>
      <c r="EZZ5" s="224"/>
      <c r="FAA5" s="224"/>
      <c r="FAB5" s="225"/>
      <c r="FAC5" s="223" t="s">
        <v>44</v>
      </c>
      <c r="FAD5" s="224"/>
      <c r="FAE5" s="224"/>
      <c r="FAF5" s="225"/>
      <c r="FAG5" s="223" t="s">
        <v>44</v>
      </c>
      <c r="FAH5" s="224"/>
      <c r="FAI5" s="224"/>
      <c r="FAJ5" s="225"/>
      <c r="FAK5" s="223" t="s">
        <v>44</v>
      </c>
      <c r="FAL5" s="224"/>
      <c r="FAM5" s="224"/>
      <c r="FAN5" s="225"/>
      <c r="FAO5" s="223" t="s">
        <v>44</v>
      </c>
      <c r="FAP5" s="224"/>
      <c r="FAQ5" s="224"/>
      <c r="FAR5" s="225"/>
      <c r="FAS5" s="223" t="s">
        <v>44</v>
      </c>
      <c r="FAT5" s="224"/>
      <c r="FAU5" s="224"/>
      <c r="FAV5" s="225"/>
      <c r="FAW5" s="223" t="s">
        <v>44</v>
      </c>
      <c r="FAX5" s="224"/>
      <c r="FAY5" s="224"/>
      <c r="FAZ5" s="225"/>
      <c r="FBA5" s="223" t="s">
        <v>44</v>
      </c>
      <c r="FBB5" s="224"/>
      <c r="FBC5" s="224"/>
      <c r="FBD5" s="225"/>
      <c r="FBE5" s="223" t="s">
        <v>44</v>
      </c>
      <c r="FBF5" s="224"/>
      <c r="FBG5" s="224"/>
      <c r="FBH5" s="225"/>
      <c r="FBI5" s="223" t="s">
        <v>44</v>
      </c>
      <c r="FBJ5" s="224"/>
      <c r="FBK5" s="224"/>
      <c r="FBL5" s="225"/>
      <c r="FBM5" s="223" t="s">
        <v>44</v>
      </c>
      <c r="FBN5" s="224"/>
      <c r="FBO5" s="224"/>
      <c r="FBP5" s="225"/>
      <c r="FBQ5" s="223" t="s">
        <v>44</v>
      </c>
      <c r="FBR5" s="224"/>
      <c r="FBS5" s="224"/>
      <c r="FBT5" s="225"/>
      <c r="FBU5" s="223" t="s">
        <v>44</v>
      </c>
      <c r="FBV5" s="224"/>
      <c r="FBW5" s="224"/>
      <c r="FBX5" s="225"/>
      <c r="FBY5" s="223" t="s">
        <v>44</v>
      </c>
      <c r="FBZ5" s="224"/>
      <c r="FCA5" s="224"/>
      <c r="FCB5" s="225"/>
      <c r="FCC5" s="223" t="s">
        <v>44</v>
      </c>
      <c r="FCD5" s="224"/>
      <c r="FCE5" s="224"/>
      <c r="FCF5" s="225"/>
      <c r="FCG5" s="223" t="s">
        <v>44</v>
      </c>
      <c r="FCH5" s="224"/>
      <c r="FCI5" s="224"/>
      <c r="FCJ5" s="225"/>
      <c r="FCK5" s="223" t="s">
        <v>44</v>
      </c>
      <c r="FCL5" s="224"/>
      <c r="FCM5" s="224"/>
      <c r="FCN5" s="225"/>
      <c r="FCO5" s="223" t="s">
        <v>44</v>
      </c>
      <c r="FCP5" s="224"/>
      <c r="FCQ5" s="224"/>
      <c r="FCR5" s="225"/>
      <c r="FCS5" s="223" t="s">
        <v>44</v>
      </c>
      <c r="FCT5" s="224"/>
      <c r="FCU5" s="224"/>
      <c r="FCV5" s="225"/>
      <c r="FCW5" s="223" t="s">
        <v>44</v>
      </c>
      <c r="FCX5" s="224"/>
      <c r="FCY5" s="224"/>
      <c r="FCZ5" s="225"/>
      <c r="FDA5" s="223" t="s">
        <v>44</v>
      </c>
      <c r="FDB5" s="224"/>
      <c r="FDC5" s="224"/>
      <c r="FDD5" s="225"/>
      <c r="FDE5" s="223" t="s">
        <v>44</v>
      </c>
      <c r="FDF5" s="224"/>
      <c r="FDG5" s="224"/>
      <c r="FDH5" s="225"/>
      <c r="FDI5" s="223" t="s">
        <v>44</v>
      </c>
      <c r="FDJ5" s="224"/>
      <c r="FDK5" s="224"/>
      <c r="FDL5" s="225"/>
      <c r="FDM5" s="223" t="s">
        <v>44</v>
      </c>
      <c r="FDN5" s="224"/>
      <c r="FDO5" s="224"/>
      <c r="FDP5" s="225"/>
      <c r="FDQ5" s="223" t="s">
        <v>44</v>
      </c>
      <c r="FDR5" s="224"/>
      <c r="FDS5" s="224"/>
      <c r="FDT5" s="225"/>
      <c r="FDU5" s="223" t="s">
        <v>44</v>
      </c>
      <c r="FDV5" s="224"/>
      <c r="FDW5" s="224"/>
      <c r="FDX5" s="225"/>
      <c r="FDY5" s="223" t="s">
        <v>44</v>
      </c>
      <c r="FDZ5" s="224"/>
      <c r="FEA5" s="224"/>
      <c r="FEB5" s="225"/>
      <c r="FEC5" s="223" t="s">
        <v>44</v>
      </c>
      <c r="FED5" s="224"/>
      <c r="FEE5" s="224"/>
      <c r="FEF5" s="225"/>
      <c r="FEG5" s="223" t="s">
        <v>44</v>
      </c>
      <c r="FEH5" s="224"/>
      <c r="FEI5" s="224"/>
      <c r="FEJ5" s="225"/>
      <c r="FEK5" s="223" t="s">
        <v>44</v>
      </c>
      <c r="FEL5" s="224"/>
      <c r="FEM5" s="224"/>
      <c r="FEN5" s="225"/>
      <c r="FEO5" s="223" t="s">
        <v>44</v>
      </c>
      <c r="FEP5" s="224"/>
      <c r="FEQ5" s="224"/>
      <c r="FER5" s="225"/>
      <c r="FES5" s="223" t="s">
        <v>44</v>
      </c>
      <c r="FET5" s="224"/>
      <c r="FEU5" s="224"/>
      <c r="FEV5" s="225"/>
      <c r="FEW5" s="223" t="s">
        <v>44</v>
      </c>
      <c r="FEX5" s="224"/>
      <c r="FEY5" s="224"/>
      <c r="FEZ5" s="225"/>
      <c r="FFA5" s="223" t="s">
        <v>44</v>
      </c>
      <c r="FFB5" s="224"/>
      <c r="FFC5" s="224"/>
      <c r="FFD5" s="225"/>
      <c r="FFE5" s="223" t="s">
        <v>44</v>
      </c>
      <c r="FFF5" s="224"/>
      <c r="FFG5" s="224"/>
      <c r="FFH5" s="225"/>
      <c r="FFI5" s="223" t="s">
        <v>44</v>
      </c>
      <c r="FFJ5" s="224"/>
      <c r="FFK5" s="224"/>
      <c r="FFL5" s="225"/>
      <c r="FFM5" s="223" t="s">
        <v>44</v>
      </c>
      <c r="FFN5" s="224"/>
      <c r="FFO5" s="224"/>
      <c r="FFP5" s="225"/>
      <c r="FFQ5" s="223" t="s">
        <v>44</v>
      </c>
      <c r="FFR5" s="224"/>
      <c r="FFS5" s="224"/>
      <c r="FFT5" s="225"/>
      <c r="FFU5" s="223" t="s">
        <v>44</v>
      </c>
      <c r="FFV5" s="224"/>
      <c r="FFW5" s="224"/>
      <c r="FFX5" s="225"/>
      <c r="FFY5" s="223" t="s">
        <v>44</v>
      </c>
      <c r="FFZ5" s="224"/>
      <c r="FGA5" s="224"/>
      <c r="FGB5" s="225"/>
      <c r="FGC5" s="223" t="s">
        <v>44</v>
      </c>
      <c r="FGD5" s="224"/>
      <c r="FGE5" s="224"/>
      <c r="FGF5" s="225"/>
      <c r="FGG5" s="223" t="s">
        <v>44</v>
      </c>
      <c r="FGH5" s="224"/>
      <c r="FGI5" s="224"/>
      <c r="FGJ5" s="225"/>
      <c r="FGK5" s="223" t="s">
        <v>44</v>
      </c>
      <c r="FGL5" s="224"/>
      <c r="FGM5" s="224"/>
      <c r="FGN5" s="225"/>
      <c r="FGO5" s="223" t="s">
        <v>44</v>
      </c>
      <c r="FGP5" s="224"/>
      <c r="FGQ5" s="224"/>
      <c r="FGR5" s="225"/>
      <c r="FGS5" s="223" t="s">
        <v>44</v>
      </c>
      <c r="FGT5" s="224"/>
      <c r="FGU5" s="224"/>
      <c r="FGV5" s="225"/>
      <c r="FGW5" s="223" t="s">
        <v>44</v>
      </c>
      <c r="FGX5" s="224"/>
      <c r="FGY5" s="224"/>
      <c r="FGZ5" s="225"/>
      <c r="FHA5" s="223" t="s">
        <v>44</v>
      </c>
      <c r="FHB5" s="224"/>
      <c r="FHC5" s="224"/>
      <c r="FHD5" s="225"/>
      <c r="FHE5" s="223" t="s">
        <v>44</v>
      </c>
      <c r="FHF5" s="224"/>
      <c r="FHG5" s="224"/>
      <c r="FHH5" s="225"/>
      <c r="FHI5" s="223" t="s">
        <v>44</v>
      </c>
      <c r="FHJ5" s="224"/>
      <c r="FHK5" s="224"/>
      <c r="FHL5" s="225"/>
      <c r="FHM5" s="223" t="s">
        <v>44</v>
      </c>
      <c r="FHN5" s="224"/>
      <c r="FHO5" s="224"/>
      <c r="FHP5" s="225"/>
      <c r="FHQ5" s="223" t="s">
        <v>44</v>
      </c>
      <c r="FHR5" s="224"/>
      <c r="FHS5" s="224"/>
      <c r="FHT5" s="225"/>
      <c r="FHU5" s="223" t="s">
        <v>44</v>
      </c>
      <c r="FHV5" s="224"/>
      <c r="FHW5" s="224"/>
      <c r="FHX5" s="225"/>
      <c r="FHY5" s="223" t="s">
        <v>44</v>
      </c>
      <c r="FHZ5" s="224"/>
      <c r="FIA5" s="224"/>
      <c r="FIB5" s="225"/>
      <c r="FIC5" s="223" t="s">
        <v>44</v>
      </c>
      <c r="FID5" s="224"/>
      <c r="FIE5" s="224"/>
      <c r="FIF5" s="225"/>
      <c r="FIG5" s="223" t="s">
        <v>44</v>
      </c>
      <c r="FIH5" s="224"/>
      <c r="FII5" s="224"/>
      <c r="FIJ5" s="225"/>
      <c r="FIK5" s="223" t="s">
        <v>44</v>
      </c>
      <c r="FIL5" s="224"/>
      <c r="FIM5" s="224"/>
      <c r="FIN5" s="225"/>
      <c r="FIO5" s="223" t="s">
        <v>44</v>
      </c>
      <c r="FIP5" s="224"/>
      <c r="FIQ5" s="224"/>
      <c r="FIR5" s="225"/>
      <c r="FIS5" s="223" t="s">
        <v>44</v>
      </c>
      <c r="FIT5" s="224"/>
      <c r="FIU5" s="224"/>
      <c r="FIV5" s="225"/>
      <c r="FIW5" s="223" t="s">
        <v>44</v>
      </c>
      <c r="FIX5" s="224"/>
      <c r="FIY5" s="224"/>
      <c r="FIZ5" s="225"/>
      <c r="FJA5" s="223" t="s">
        <v>44</v>
      </c>
      <c r="FJB5" s="224"/>
      <c r="FJC5" s="224"/>
      <c r="FJD5" s="225"/>
      <c r="FJE5" s="223" t="s">
        <v>44</v>
      </c>
      <c r="FJF5" s="224"/>
      <c r="FJG5" s="224"/>
      <c r="FJH5" s="225"/>
      <c r="FJI5" s="223" t="s">
        <v>44</v>
      </c>
      <c r="FJJ5" s="224"/>
      <c r="FJK5" s="224"/>
      <c r="FJL5" s="225"/>
      <c r="FJM5" s="223" t="s">
        <v>44</v>
      </c>
      <c r="FJN5" s="224"/>
      <c r="FJO5" s="224"/>
      <c r="FJP5" s="225"/>
      <c r="FJQ5" s="223" t="s">
        <v>44</v>
      </c>
      <c r="FJR5" s="224"/>
      <c r="FJS5" s="224"/>
      <c r="FJT5" s="225"/>
      <c r="FJU5" s="223" t="s">
        <v>44</v>
      </c>
      <c r="FJV5" s="224"/>
      <c r="FJW5" s="224"/>
      <c r="FJX5" s="225"/>
      <c r="FJY5" s="223" t="s">
        <v>44</v>
      </c>
      <c r="FJZ5" s="224"/>
      <c r="FKA5" s="224"/>
      <c r="FKB5" s="225"/>
      <c r="FKC5" s="223" t="s">
        <v>44</v>
      </c>
      <c r="FKD5" s="224"/>
      <c r="FKE5" s="224"/>
      <c r="FKF5" s="225"/>
      <c r="FKG5" s="223" t="s">
        <v>44</v>
      </c>
      <c r="FKH5" s="224"/>
      <c r="FKI5" s="224"/>
      <c r="FKJ5" s="225"/>
      <c r="FKK5" s="223" t="s">
        <v>44</v>
      </c>
      <c r="FKL5" s="224"/>
      <c r="FKM5" s="224"/>
      <c r="FKN5" s="225"/>
      <c r="FKO5" s="223" t="s">
        <v>44</v>
      </c>
      <c r="FKP5" s="224"/>
      <c r="FKQ5" s="224"/>
      <c r="FKR5" s="225"/>
      <c r="FKS5" s="223" t="s">
        <v>44</v>
      </c>
      <c r="FKT5" s="224"/>
      <c r="FKU5" s="224"/>
      <c r="FKV5" s="225"/>
      <c r="FKW5" s="223" t="s">
        <v>44</v>
      </c>
      <c r="FKX5" s="224"/>
      <c r="FKY5" s="224"/>
      <c r="FKZ5" s="225"/>
      <c r="FLA5" s="223" t="s">
        <v>44</v>
      </c>
      <c r="FLB5" s="224"/>
      <c r="FLC5" s="224"/>
      <c r="FLD5" s="225"/>
      <c r="FLE5" s="223" t="s">
        <v>44</v>
      </c>
      <c r="FLF5" s="224"/>
      <c r="FLG5" s="224"/>
      <c r="FLH5" s="225"/>
      <c r="FLI5" s="223" t="s">
        <v>44</v>
      </c>
      <c r="FLJ5" s="224"/>
      <c r="FLK5" s="224"/>
      <c r="FLL5" s="225"/>
      <c r="FLM5" s="223" t="s">
        <v>44</v>
      </c>
      <c r="FLN5" s="224"/>
      <c r="FLO5" s="224"/>
      <c r="FLP5" s="225"/>
      <c r="FLQ5" s="223" t="s">
        <v>44</v>
      </c>
      <c r="FLR5" s="224"/>
      <c r="FLS5" s="224"/>
      <c r="FLT5" s="225"/>
      <c r="FLU5" s="223" t="s">
        <v>44</v>
      </c>
      <c r="FLV5" s="224"/>
      <c r="FLW5" s="224"/>
      <c r="FLX5" s="225"/>
      <c r="FLY5" s="223" t="s">
        <v>44</v>
      </c>
      <c r="FLZ5" s="224"/>
      <c r="FMA5" s="224"/>
      <c r="FMB5" s="225"/>
      <c r="FMC5" s="223" t="s">
        <v>44</v>
      </c>
      <c r="FMD5" s="224"/>
      <c r="FME5" s="224"/>
      <c r="FMF5" s="225"/>
      <c r="FMG5" s="223" t="s">
        <v>44</v>
      </c>
      <c r="FMH5" s="224"/>
      <c r="FMI5" s="224"/>
      <c r="FMJ5" s="225"/>
      <c r="FMK5" s="223" t="s">
        <v>44</v>
      </c>
      <c r="FML5" s="224"/>
      <c r="FMM5" s="224"/>
      <c r="FMN5" s="225"/>
      <c r="FMO5" s="223" t="s">
        <v>44</v>
      </c>
      <c r="FMP5" s="224"/>
      <c r="FMQ5" s="224"/>
      <c r="FMR5" s="225"/>
      <c r="FMS5" s="223" t="s">
        <v>44</v>
      </c>
      <c r="FMT5" s="224"/>
      <c r="FMU5" s="224"/>
      <c r="FMV5" s="225"/>
      <c r="FMW5" s="223" t="s">
        <v>44</v>
      </c>
      <c r="FMX5" s="224"/>
      <c r="FMY5" s="224"/>
      <c r="FMZ5" s="225"/>
      <c r="FNA5" s="223" t="s">
        <v>44</v>
      </c>
      <c r="FNB5" s="224"/>
      <c r="FNC5" s="224"/>
      <c r="FND5" s="225"/>
      <c r="FNE5" s="223" t="s">
        <v>44</v>
      </c>
      <c r="FNF5" s="224"/>
      <c r="FNG5" s="224"/>
      <c r="FNH5" s="225"/>
      <c r="FNI5" s="223" t="s">
        <v>44</v>
      </c>
      <c r="FNJ5" s="224"/>
      <c r="FNK5" s="224"/>
      <c r="FNL5" s="225"/>
      <c r="FNM5" s="223" t="s">
        <v>44</v>
      </c>
      <c r="FNN5" s="224"/>
      <c r="FNO5" s="224"/>
      <c r="FNP5" s="225"/>
      <c r="FNQ5" s="223" t="s">
        <v>44</v>
      </c>
      <c r="FNR5" s="224"/>
      <c r="FNS5" s="224"/>
      <c r="FNT5" s="225"/>
      <c r="FNU5" s="223" t="s">
        <v>44</v>
      </c>
      <c r="FNV5" s="224"/>
      <c r="FNW5" s="224"/>
      <c r="FNX5" s="225"/>
      <c r="FNY5" s="223" t="s">
        <v>44</v>
      </c>
      <c r="FNZ5" s="224"/>
      <c r="FOA5" s="224"/>
      <c r="FOB5" s="225"/>
      <c r="FOC5" s="223" t="s">
        <v>44</v>
      </c>
      <c r="FOD5" s="224"/>
      <c r="FOE5" s="224"/>
      <c r="FOF5" s="225"/>
      <c r="FOG5" s="223" t="s">
        <v>44</v>
      </c>
      <c r="FOH5" s="224"/>
      <c r="FOI5" s="224"/>
      <c r="FOJ5" s="225"/>
      <c r="FOK5" s="223" t="s">
        <v>44</v>
      </c>
      <c r="FOL5" s="224"/>
      <c r="FOM5" s="224"/>
      <c r="FON5" s="225"/>
      <c r="FOO5" s="223" t="s">
        <v>44</v>
      </c>
      <c r="FOP5" s="224"/>
      <c r="FOQ5" s="224"/>
      <c r="FOR5" s="225"/>
      <c r="FOS5" s="223" t="s">
        <v>44</v>
      </c>
      <c r="FOT5" s="224"/>
      <c r="FOU5" s="224"/>
      <c r="FOV5" s="225"/>
      <c r="FOW5" s="223" t="s">
        <v>44</v>
      </c>
      <c r="FOX5" s="224"/>
      <c r="FOY5" s="224"/>
      <c r="FOZ5" s="225"/>
      <c r="FPA5" s="223" t="s">
        <v>44</v>
      </c>
      <c r="FPB5" s="224"/>
      <c r="FPC5" s="224"/>
      <c r="FPD5" s="225"/>
      <c r="FPE5" s="223" t="s">
        <v>44</v>
      </c>
      <c r="FPF5" s="224"/>
      <c r="FPG5" s="224"/>
      <c r="FPH5" s="225"/>
      <c r="FPI5" s="223" t="s">
        <v>44</v>
      </c>
      <c r="FPJ5" s="224"/>
      <c r="FPK5" s="224"/>
      <c r="FPL5" s="225"/>
      <c r="FPM5" s="223" t="s">
        <v>44</v>
      </c>
      <c r="FPN5" s="224"/>
      <c r="FPO5" s="224"/>
      <c r="FPP5" s="225"/>
      <c r="FPQ5" s="223" t="s">
        <v>44</v>
      </c>
      <c r="FPR5" s="224"/>
      <c r="FPS5" s="224"/>
      <c r="FPT5" s="225"/>
      <c r="FPU5" s="223" t="s">
        <v>44</v>
      </c>
      <c r="FPV5" s="224"/>
      <c r="FPW5" s="224"/>
      <c r="FPX5" s="225"/>
      <c r="FPY5" s="223" t="s">
        <v>44</v>
      </c>
      <c r="FPZ5" s="224"/>
      <c r="FQA5" s="224"/>
      <c r="FQB5" s="225"/>
      <c r="FQC5" s="223" t="s">
        <v>44</v>
      </c>
      <c r="FQD5" s="224"/>
      <c r="FQE5" s="224"/>
      <c r="FQF5" s="225"/>
      <c r="FQG5" s="223" t="s">
        <v>44</v>
      </c>
      <c r="FQH5" s="224"/>
      <c r="FQI5" s="224"/>
      <c r="FQJ5" s="225"/>
      <c r="FQK5" s="223" t="s">
        <v>44</v>
      </c>
      <c r="FQL5" s="224"/>
      <c r="FQM5" s="224"/>
      <c r="FQN5" s="225"/>
      <c r="FQO5" s="223" t="s">
        <v>44</v>
      </c>
      <c r="FQP5" s="224"/>
      <c r="FQQ5" s="224"/>
      <c r="FQR5" s="225"/>
      <c r="FQS5" s="223" t="s">
        <v>44</v>
      </c>
      <c r="FQT5" s="224"/>
      <c r="FQU5" s="224"/>
      <c r="FQV5" s="225"/>
      <c r="FQW5" s="223" t="s">
        <v>44</v>
      </c>
      <c r="FQX5" s="224"/>
      <c r="FQY5" s="224"/>
      <c r="FQZ5" s="225"/>
      <c r="FRA5" s="223" t="s">
        <v>44</v>
      </c>
      <c r="FRB5" s="224"/>
      <c r="FRC5" s="224"/>
      <c r="FRD5" s="225"/>
      <c r="FRE5" s="223" t="s">
        <v>44</v>
      </c>
      <c r="FRF5" s="224"/>
      <c r="FRG5" s="224"/>
      <c r="FRH5" s="225"/>
      <c r="FRI5" s="223" t="s">
        <v>44</v>
      </c>
      <c r="FRJ5" s="224"/>
      <c r="FRK5" s="224"/>
      <c r="FRL5" s="225"/>
      <c r="FRM5" s="223" t="s">
        <v>44</v>
      </c>
      <c r="FRN5" s="224"/>
      <c r="FRO5" s="224"/>
      <c r="FRP5" s="225"/>
      <c r="FRQ5" s="223" t="s">
        <v>44</v>
      </c>
      <c r="FRR5" s="224"/>
      <c r="FRS5" s="224"/>
      <c r="FRT5" s="225"/>
      <c r="FRU5" s="223" t="s">
        <v>44</v>
      </c>
      <c r="FRV5" s="224"/>
      <c r="FRW5" s="224"/>
      <c r="FRX5" s="225"/>
      <c r="FRY5" s="223" t="s">
        <v>44</v>
      </c>
      <c r="FRZ5" s="224"/>
      <c r="FSA5" s="224"/>
      <c r="FSB5" s="225"/>
      <c r="FSC5" s="223" t="s">
        <v>44</v>
      </c>
      <c r="FSD5" s="224"/>
      <c r="FSE5" s="224"/>
      <c r="FSF5" s="225"/>
      <c r="FSG5" s="223" t="s">
        <v>44</v>
      </c>
      <c r="FSH5" s="224"/>
      <c r="FSI5" s="224"/>
      <c r="FSJ5" s="225"/>
      <c r="FSK5" s="223" t="s">
        <v>44</v>
      </c>
      <c r="FSL5" s="224"/>
      <c r="FSM5" s="224"/>
      <c r="FSN5" s="225"/>
      <c r="FSO5" s="223" t="s">
        <v>44</v>
      </c>
      <c r="FSP5" s="224"/>
      <c r="FSQ5" s="224"/>
      <c r="FSR5" s="225"/>
      <c r="FSS5" s="223" t="s">
        <v>44</v>
      </c>
      <c r="FST5" s="224"/>
      <c r="FSU5" s="224"/>
      <c r="FSV5" s="225"/>
      <c r="FSW5" s="223" t="s">
        <v>44</v>
      </c>
      <c r="FSX5" s="224"/>
      <c r="FSY5" s="224"/>
      <c r="FSZ5" s="225"/>
      <c r="FTA5" s="223" t="s">
        <v>44</v>
      </c>
      <c r="FTB5" s="224"/>
      <c r="FTC5" s="224"/>
      <c r="FTD5" s="225"/>
      <c r="FTE5" s="223" t="s">
        <v>44</v>
      </c>
      <c r="FTF5" s="224"/>
      <c r="FTG5" s="224"/>
      <c r="FTH5" s="225"/>
      <c r="FTI5" s="223" t="s">
        <v>44</v>
      </c>
      <c r="FTJ5" s="224"/>
      <c r="FTK5" s="224"/>
      <c r="FTL5" s="225"/>
      <c r="FTM5" s="223" t="s">
        <v>44</v>
      </c>
      <c r="FTN5" s="224"/>
      <c r="FTO5" s="224"/>
      <c r="FTP5" s="225"/>
      <c r="FTQ5" s="223" t="s">
        <v>44</v>
      </c>
      <c r="FTR5" s="224"/>
      <c r="FTS5" s="224"/>
      <c r="FTT5" s="225"/>
      <c r="FTU5" s="223" t="s">
        <v>44</v>
      </c>
      <c r="FTV5" s="224"/>
      <c r="FTW5" s="224"/>
      <c r="FTX5" s="225"/>
      <c r="FTY5" s="223" t="s">
        <v>44</v>
      </c>
      <c r="FTZ5" s="224"/>
      <c r="FUA5" s="224"/>
      <c r="FUB5" s="225"/>
      <c r="FUC5" s="223" t="s">
        <v>44</v>
      </c>
      <c r="FUD5" s="224"/>
      <c r="FUE5" s="224"/>
      <c r="FUF5" s="225"/>
      <c r="FUG5" s="223" t="s">
        <v>44</v>
      </c>
      <c r="FUH5" s="224"/>
      <c r="FUI5" s="224"/>
      <c r="FUJ5" s="225"/>
      <c r="FUK5" s="223" t="s">
        <v>44</v>
      </c>
      <c r="FUL5" s="224"/>
      <c r="FUM5" s="224"/>
      <c r="FUN5" s="225"/>
      <c r="FUO5" s="223" t="s">
        <v>44</v>
      </c>
      <c r="FUP5" s="224"/>
      <c r="FUQ5" s="224"/>
      <c r="FUR5" s="225"/>
      <c r="FUS5" s="223" t="s">
        <v>44</v>
      </c>
      <c r="FUT5" s="224"/>
      <c r="FUU5" s="224"/>
      <c r="FUV5" s="225"/>
      <c r="FUW5" s="223" t="s">
        <v>44</v>
      </c>
      <c r="FUX5" s="224"/>
      <c r="FUY5" s="224"/>
      <c r="FUZ5" s="225"/>
      <c r="FVA5" s="223" t="s">
        <v>44</v>
      </c>
      <c r="FVB5" s="224"/>
      <c r="FVC5" s="224"/>
      <c r="FVD5" s="225"/>
      <c r="FVE5" s="223" t="s">
        <v>44</v>
      </c>
      <c r="FVF5" s="224"/>
      <c r="FVG5" s="224"/>
      <c r="FVH5" s="225"/>
      <c r="FVI5" s="223" t="s">
        <v>44</v>
      </c>
      <c r="FVJ5" s="224"/>
      <c r="FVK5" s="224"/>
      <c r="FVL5" s="225"/>
      <c r="FVM5" s="223" t="s">
        <v>44</v>
      </c>
      <c r="FVN5" s="224"/>
      <c r="FVO5" s="224"/>
      <c r="FVP5" s="225"/>
      <c r="FVQ5" s="223" t="s">
        <v>44</v>
      </c>
      <c r="FVR5" s="224"/>
      <c r="FVS5" s="224"/>
      <c r="FVT5" s="225"/>
      <c r="FVU5" s="223" t="s">
        <v>44</v>
      </c>
      <c r="FVV5" s="224"/>
      <c r="FVW5" s="224"/>
      <c r="FVX5" s="225"/>
      <c r="FVY5" s="223" t="s">
        <v>44</v>
      </c>
      <c r="FVZ5" s="224"/>
      <c r="FWA5" s="224"/>
      <c r="FWB5" s="225"/>
      <c r="FWC5" s="223" t="s">
        <v>44</v>
      </c>
      <c r="FWD5" s="224"/>
      <c r="FWE5" s="224"/>
      <c r="FWF5" s="225"/>
      <c r="FWG5" s="223" t="s">
        <v>44</v>
      </c>
      <c r="FWH5" s="224"/>
      <c r="FWI5" s="224"/>
      <c r="FWJ5" s="225"/>
      <c r="FWK5" s="223" t="s">
        <v>44</v>
      </c>
      <c r="FWL5" s="224"/>
      <c r="FWM5" s="224"/>
      <c r="FWN5" s="225"/>
      <c r="FWO5" s="223" t="s">
        <v>44</v>
      </c>
      <c r="FWP5" s="224"/>
      <c r="FWQ5" s="224"/>
      <c r="FWR5" s="225"/>
      <c r="FWS5" s="223" t="s">
        <v>44</v>
      </c>
      <c r="FWT5" s="224"/>
      <c r="FWU5" s="224"/>
      <c r="FWV5" s="225"/>
      <c r="FWW5" s="223" t="s">
        <v>44</v>
      </c>
      <c r="FWX5" s="224"/>
      <c r="FWY5" s="224"/>
      <c r="FWZ5" s="225"/>
      <c r="FXA5" s="223" t="s">
        <v>44</v>
      </c>
      <c r="FXB5" s="224"/>
      <c r="FXC5" s="224"/>
      <c r="FXD5" s="225"/>
      <c r="FXE5" s="223" t="s">
        <v>44</v>
      </c>
      <c r="FXF5" s="224"/>
      <c r="FXG5" s="224"/>
      <c r="FXH5" s="225"/>
      <c r="FXI5" s="223" t="s">
        <v>44</v>
      </c>
      <c r="FXJ5" s="224"/>
      <c r="FXK5" s="224"/>
      <c r="FXL5" s="225"/>
      <c r="FXM5" s="223" t="s">
        <v>44</v>
      </c>
      <c r="FXN5" s="224"/>
      <c r="FXO5" s="224"/>
      <c r="FXP5" s="225"/>
      <c r="FXQ5" s="223" t="s">
        <v>44</v>
      </c>
      <c r="FXR5" s="224"/>
      <c r="FXS5" s="224"/>
      <c r="FXT5" s="225"/>
      <c r="FXU5" s="223" t="s">
        <v>44</v>
      </c>
      <c r="FXV5" s="224"/>
      <c r="FXW5" s="224"/>
      <c r="FXX5" s="225"/>
      <c r="FXY5" s="223" t="s">
        <v>44</v>
      </c>
      <c r="FXZ5" s="224"/>
      <c r="FYA5" s="224"/>
      <c r="FYB5" s="225"/>
      <c r="FYC5" s="223" t="s">
        <v>44</v>
      </c>
      <c r="FYD5" s="224"/>
      <c r="FYE5" s="224"/>
      <c r="FYF5" s="225"/>
      <c r="FYG5" s="223" t="s">
        <v>44</v>
      </c>
      <c r="FYH5" s="224"/>
      <c r="FYI5" s="224"/>
      <c r="FYJ5" s="225"/>
      <c r="FYK5" s="223" t="s">
        <v>44</v>
      </c>
      <c r="FYL5" s="224"/>
      <c r="FYM5" s="224"/>
      <c r="FYN5" s="225"/>
      <c r="FYO5" s="223" t="s">
        <v>44</v>
      </c>
      <c r="FYP5" s="224"/>
      <c r="FYQ5" s="224"/>
      <c r="FYR5" s="225"/>
      <c r="FYS5" s="223" t="s">
        <v>44</v>
      </c>
      <c r="FYT5" s="224"/>
      <c r="FYU5" s="224"/>
      <c r="FYV5" s="225"/>
      <c r="FYW5" s="223" t="s">
        <v>44</v>
      </c>
      <c r="FYX5" s="224"/>
      <c r="FYY5" s="224"/>
      <c r="FYZ5" s="225"/>
      <c r="FZA5" s="223" t="s">
        <v>44</v>
      </c>
      <c r="FZB5" s="224"/>
      <c r="FZC5" s="224"/>
      <c r="FZD5" s="225"/>
      <c r="FZE5" s="223" t="s">
        <v>44</v>
      </c>
      <c r="FZF5" s="224"/>
      <c r="FZG5" s="224"/>
      <c r="FZH5" s="225"/>
      <c r="FZI5" s="223" t="s">
        <v>44</v>
      </c>
      <c r="FZJ5" s="224"/>
      <c r="FZK5" s="224"/>
      <c r="FZL5" s="225"/>
      <c r="FZM5" s="223" t="s">
        <v>44</v>
      </c>
      <c r="FZN5" s="224"/>
      <c r="FZO5" s="224"/>
      <c r="FZP5" s="225"/>
      <c r="FZQ5" s="223" t="s">
        <v>44</v>
      </c>
      <c r="FZR5" s="224"/>
      <c r="FZS5" s="224"/>
      <c r="FZT5" s="225"/>
      <c r="FZU5" s="223" t="s">
        <v>44</v>
      </c>
      <c r="FZV5" s="224"/>
      <c r="FZW5" s="224"/>
      <c r="FZX5" s="225"/>
      <c r="FZY5" s="223" t="s">
        <v>44</v>
      </c>
      <c r="FZZ5" s="224"/>
      <c r="GAA5" s="224"/>
      <c r="GAB5" s="225"/>
      <c r="GAC5" s="223" t="s">
        <v>44</v>
      </c>
      <c r="GAD5" s="224"/>
      <c r="GAE5" s="224"/>
      <c r="GAF5" s="225"/>
      <c r="GAG5" s="223" t="s">
        <v>44</v>
      </c>
      <c r="GAH5" s="224"/>
      <c r="GAI5" s="224"/>
      <c r="GAJ5" s="225"/>
      <c r="GAK5" s="223" t="s">
        <v>44</v>
      </c>
      <c r="GAL5" s="224"/>
      <c r="GAM5" s="224"/>
      <c r="GAN5" s="225"/>
      <c r="GAO5" s="223" t="s">
        <v>44</v>
      </c>
      <c r="GAP5" s="224"/>
      <c r="GAQ5" s="224"/>
      <c r="GAR5" s="225"/>
      <c r="GAS5" s="223" t="s">
        <v>44</v>
      </c>
      <c r="GAT5" s="224"/>
      <c r="GAU5" s="224"/>
      <c r="GAV5" s="225"/>
      <c r="GAW5" s="223" t="s">
        <v>44</v>
      </c>
      <c r="GAX5" s="224"/>
      <c r="GAY5" s="224"/>
      <c r="GAZ5" s="225"/>
      <c r="GBA5" s="223" t="s">
        <v>44</v>
      </c>
      <c r="GBB5" s="224"/>
      <c r="GBC5" s="224"/>
      <c r="GBD5" s="225"/>
      <c r="GBE5" s="223" t="s">
        <v>44</v>
      </c>
      <c r="GBF5" s="224"/>
      <c r="GBG5" s="224"/>
      <c r="GBH5" s="225"/>
      <c r="GBI5" s="223" t="s">
        <v>44</v>
      </c>
      <c r="GBJ5" s="224"/>
      <c r="GBK5" s="224"/>
      <c r="GBL5" s="225"/>
      <c r="GBM5" s="223" t="s">
        <v>44</v>
      </c>
      <c r="GBN5" s="224"/>
      <c r="GBO5" s="224"/>
      <c r="GBP5" s="225"/>
      <c r="GBQ5" s="223" t="s">
        <v>44</v>
      </c>
      <c r="GBR5" s="224"/>
      <c r="GBS5" s="224"/>
      <c r="GBT5" s="225"/>
      <c r="GBU5" s="223" t="s">
        <v>44</v>
      </c>
      <c r="GBV5" s="224"/>
      <c r="GBW5" s="224"/>
      <c r="GBX5" s="225"/>
      <c r="GBY5" s="223" t="s">
        <v>44</v>
      </c>
      <c r="GBZ5" s="224"/>
      <c r="GCA5" s="224"/>
      <c r="GCB5" s="225"/>
      <c r="GCC5" s="223" t="s">
        <v>44</v>
      </c>
      <c r="GCD5" s="224"/>
      <c r="GCE5" s="224"/>
      <c r="GCF5" s="225"/>
      <c r="GCG5" s="223" t="s">
        <v>44</v>
      </c>
      <c r="GCH5" s="224"/>
      <c r="GCI5" s="224"/>
      <c r="GCJ5" s="225"/>
      <c r="GCK5" s="223" t="s">
        <v>44</v>
      </c>
      <c r="GCL5" s="224"/>
      <c r="GCM5" s="224"/>
      <c r="GCN5" s="225"/>
      <c r="GCO5" s="223" t="s">
        <v>44</v>
      </c>
      <c r="GCP5" s="224"/>
      <c r="GCQ5" s="224"/>
      <c r="GCR5" s="225"/>
      <c r="GCS5" s="223" t="s">
        <v>44</v>
      </c>
      <c r="GCT5" s="224"/>
      <c r="GCU5" s="224"/>
      <c r="GCV5" s="225"/>
      <c r="GCW5" s="223" t="s">
        <v>44</v>
      </c>
      <c r="GCX5" s="224"/>
      <c r="GCY5" s="224"/>
      <c r="GCZ5" s="225"/>
      <c r="GDA5" s="223" t="s">
        <v>44</v>
      </c>
      <c r="GDB5" s="224"/>
      <c r="GDC5" s="224"/>
      <c r="GDD5" s="225"/>
      <c r="GDE5" s="223" t="s">
        <v>44</v>
      </c>
      <c r="GDF5" s="224"/>
      <c r="GDG5" s="224"/>
      <c r="GDH5" s="225"/>
      <c r="GDI5" s="223" t="s">
        <v>44</v>
      </c>
      <c r="GDJ5" s="224"/>
      <c r="GDK5" s="224"/>
      <c r="GDL5" s="225"/>
      <c r="GDM5" s="223" t="s">
        <v>44</v>
      </c>
      <c r="GDN5" s="224"/>
      <c r="GDO5" s="224"/>
      <c r="GDP5" s="225"/>
      <c r="GDQ5" s="223" t="s">
        <v>44</v>
      </c>
      <c r="GDR5" s="224"/>
      <c r="GDS5" s="224"/>
      <c r="GDT5" s="225"/>
      <c r="GDU5" s="223" t="s">
        <v>44</v>
      </c>
      <c r="GDV5" s="224"/>
      <c r="GDW5" s="224"/>
      <c r="GDX5" s="225"/>
      <c r="GDY5" s="223" t="s">
        <v>44</v>
      </c>
      <c r="GDZ5" s="224"/>
      <c r="GEA5" s="224"/>
      <c r="GEB5" s="225"/>
      <c r="GEC5" s="223" t="s">
        <v>44</v>
      </c>
      <c r="GED5" s="224"/>
      <c r="GEE5" s="224"/>
      <c r="GEF5" s="225"/>
      <c r="GEG5" s="223" t="s">
        <v>44</v>
      </c>
      <c r="GEH5" s="224"/>
      <c r="GEI5" s="224"/>
      <c r="GEJ5" s="225"/>
      <c r="GEK5" s="223" t="s">
        <v>44</v>
      </c>
      <c r="GEL5" s="224"/>
      <c r="GEM5" s="224"/>
      <c r="GEN5" s="225"/>
      <c r="GEO5" s="223" t="s">
        <v>44</v>
      </c>
      <c r="GEP5" s="224"/>
      <c r="GEQ5" s="224"/>
      <c r="GER5" s="225"/>
      <c r="GES5" s="223" t="s">
        <v>44</v>
      </c>
      <c r="GET5" s="224"/>
      <c r="GEU5" s="224"/>
      <c r="GEV5" s="225"/>
      <c r="GEW5" s="223" t="s">
        <v>44</v>
      </c>
      <c r="GEX5" s="224"/>
      <c r="GEY5" s="224"/>
      <c r="GEZ5" s="225"/>
      <c r="GFA5" s="223" t="s">
        <v>44</v>
      </c>
      <c r="GFB5" s="224"/>
      <c r="GFC5" s="224"/>
      <c r="GFD5" s="225"/>
      <c r="GFE5" s="223" t="s">
        <v>44</v>
      </c>
      <c r="GFF5" s="224"/>
      <c r="GFG5" s="224"/>
      <c r="GFH5" s="225"/>
      <c r="GFI5" s="223" t="s">
        <v>44</v>
      </c>
      <c r="GFJ5" s="224"/>
      <c r="GFK5" s="224"/>
      <c r="GFL5" s="225"/>
      <c r="GFM5" s="223" t="s">
        <v>44</v>
      </c>
      <c r="GFN5" s="224"/>
      <c r="GFO5" s="224"/>
      <c r="GFP5" s="225"/>
      <c r="GFQ5" s="223" t="s">
        <v>44</v>
      </c>
      <c r="GFR5" s="224"/>
      <c r="GFS5" s="224"/>
      <c r="GFT5" s="225"/>
      <c r="GFU5" s="223" t="s">
        <v>44</v>
      </c>
      <c r="GFV5" s="224"/>
      <c r="GFW5" s="224"/>
      <c r="GFX5" s="225"/>
      <c r="GFY5" s="223" t="s">
        <v>44</v>
      </c>
      <c r="GFZ5" s="224"/>
      <c r="GGA5" s="224"/>
      <c r="GGB5" s="225"/>
      <c r="GGC5" s="223" t="s">
        <v>44</v>
      </c>
      <c r="GGD5" s="224"/>
      <c r="GGE5" s="224"/>
      <c r="GGF5" s="225"/>
      <c r="GGG5" s="223" t="s">
        <v>44</v>
      </c>
      <c r="GGH5" s="224"/>
      <c r="GGI5" s="224"/>
      <c r="GGJ5" s="225"/>
      <c r="GGK5" s="223" t="s">
        <v>44</v>
      </c>
      <c r="GGL5" s="224"/>
      <c r="GGM5" s="224"/>
      <c r="GGN5" s="225"/>
      <c r="GGO5" s="223" t="s">
        <v>44</v>
      </c>
      <c r="GGP5" s="224"/>
      <c r="GGQ5" s="224"/>
      <c r="GGR5" s="225"/>
      <c r="GGS5" s="223" t="s">
        <v>44</v>
      </c>
      <c r="GGT5" s="224"/>
      <c r="GGU5" s="224"/>
      <c r="GGV5" s="225"/>
      <c r="GGW5" s="223" t="s">
        <v>44</v>
      </c>
      <c r="GGX5" s="224"/>
      <c r="GGY5" s="224"/>
      <c r="GGZ5" s="225"/>
      <c r="GHA5" s="223" t="s">
        <v>44</v>
      </c>
      <c r="GHB5" s="224"/>
      <c r="GHC5" s="224"/>
      <c r="GHD5" s="225"/>
      <c r="GHE5" s="223" t="s">
        <v>44</v>
      </c>
      <c r="GHF5" s="224"/>
      <c r="GHG5" s="224"/>
      <c r="GHH5" s="225"/>
      <c r="GHI5" s="223" t="s">
        <v>44</v>
      </c>
      <c r="GHJ5" s="224"/>
      <c r="GHK5" s="224"/>
      <c r="GHL5" s="225"/>
      <c r="GHM5" s="223" t="s">
        <v>44</v>
      </c>
      <c r="GHN5" s="224"/>
      <c r="GHO5" s="224"/>
      <c r="GHP5" s="225"/>
      <c r="GHQ5" s="223" t="s">
        <v>44</v>
      </c>
      <c r="GHR5" s="224"/>
      <c r="GHS5" s="224"/>
      <c r="GHT5" s="225"/>
      <c r="GHU5" s="223" t="s">
        <v>44</v>
      </c>
      <c r="GHV5" s="224"/>
      <c r="GHW5" s="224"/>
      <c r="GHX5" s="225"/>
      <c r="GHY5" s="223" t="s">
        <v>44</v>
      </c>
      <c r="GHZ5" s="224"/>
      <c r="GIA5" s="224"/>
      <c r="GIB5" s="225"/>
      <c r="GIC5" s="223" t="s">
        <v>44</v>
      </c>
      <c r="GID5" s="224"/>
      <c r="GIE5" s="224"/>
      <c r="GIF5" s="225"/>
      <c r="GIG5" s="223" t="s">
        <v>44</v>
      </c>
      <c r="GIH5" s="224"/>
      <c r="GII5" s="224"/>
      <c r="GIJ5" s="225"/>
      <c r="GIK5" s="223" t="s">
        <v>44</v>
      </c>
      <c r="GIL5" s="224"/>
      <c r="GIM5" s="224"/>
      <c r="GIN5" s="225"/>
      <c r="GIO5" s="223" t="s">
        <v>44</v>
      </c>
      <c r="GIP5" s="224"/>
      <c r="GIQ5" s="224"/>
      <c r="GIR5" s="225"/>
      <c r="GIS5" s="223" t="s">
        <v>44</v>
      </c>
      <c r="GIT5" s="224"/>
      <c r="GIU5" s="224"/>
      <c r="GIV5" s="225"/>
      <c r="GIW5" s="223" t="s">
        <v>44</v>
      </c>
      <c r="GIX5" s="224"/>
      <c r="GIY5" s="224"/>
      <c r="GIZ5" s="225"/>
      <c r="GJA5" s="223" t="s">
        <v>44</v>
      </c>
      <c r="GJB5" s="224"/>
      <c r="GJC5" s="224"/>
      <c r="GJD5" s="225"/>
      <c r="GJE5" s="223" t="s">
        <v>44</v>
      </c>
      <c r="GJF5" s="224"/>
      <c r="GJG5" s="224"/>
      <c r="GJH5" s="225"/>
      <c r="GJI5" s="223" t="s">
        <v>44</v>
      </c>
      <c r="GJJ5" s="224"/>
      <c r="GJK5" s="224"/>
      <c r="GJL5" s="225"/>
      <c r="GJM5" s="223" t="s">
        <v>44</v>
      </c>
      <c r="GJN5" s="224"/>
      <c r="GJO5" s="224"/>
      <c r="GJP5" s="225"/>
      <c r="GJQ5" s="223" t="s">
        <v>44</v>
      </c>
      <c r="GJR5" s="224"/>
      <c r="GJS5" s="224"/>
      <c r="GJT5" s="225"/>
      <c r="GJU5" s="223" t="s">
        <v>44</v>
      </c>
      <c r="GJV5" s="224"/>
      <c r="GJW5" s="224"/>
      <c r="GJX5" s="225"/>
      <c r="GJY5" s="223" t="s">
        <v>44</v>
      </c>
      <c r="GJZ5" s="224"/>
      <c r="GKA5" s="224"/>
      <c r="GKB5" s="225"/>
      <c r="GKC5" s="223" t="s">
        <v>44</v>
      </c>
      <c r="GKD5" s="224"/>
      <c r="GKE5" s="224"/>
      <c r="GKF5" s="225"/>
      <c r="GKG5" s="223" t="s">
        <v>44</v>
      </c>
      <c r="GKH5" s="224"/>
      <c r="GKI5" s="224"/>
      <c r="GKJ5" s="225"/>
      <c r="GKK5" s="223" t="s">
        <v>44</v>
      </c>
      <c r="GKL5" s="224"/>
      <c r="GKM5" s="224"/>
      <c r="GKN5" s="225"/>
      <c r="GKO5" s="223" t="s">
        <v>44</v>
      </c>
      <c r="GKP5" s="224"/>
      <c r="GKQ5" s="224"/>
      <c r="GKR5" s="225"/>
      <c r="GKS5" s="223" t="s">
        <v>44</v>
      </c>
      <c r="GKT5" s="224"/>
      <c r="GKU5" s="224"/>
      <c r="GKV5" s="225"/>
      <c r="GKW5" s="223" t="s">
        <v>44</v>
      </c>
      <c r="GKX5" s="224"/>
      <c r="GKY5" s="224"/>
      <c r="GKZ5" s="225"/>
      <c r="GLA5" s="223" t="s">
        <v>44</v>
      </c>
      <c r="GLB5" s="224"/>
      <c r="GLC5" s="224"/>
      <c r="GLD5" s="225"/>
      <c r="GLE5" s="223" t="s">
        <v>44</v>
      </c>
      <c r="GLF5" s="224"/>
      <c r="GLG5" s="224"/>
      <c r="GLH5" s="225"/>
      <c r="GLI5" s="223" t="s">
        <v>44</v>
      </c>
      <c r="GLJ5" s="224"/>
      <c r="GLK5" s="224"/>
      <c r="GLL5" s="225"/>
      <c r="GLM5" s="223" t="s">
        <v>44</v>
      </c>
      <c r="GLN5" s="224"/>
      <c r="GLO5" s="224"/>
      <c r="GLP5" s="225"/>
      <c r="GLQ5" s="223" t="s">
        <v>44</v>
      </c>
      <c r="GLR5" s="224"/>
      <c r="GLS5" s="224"/>
      <c r="GLT5" s="225"/>
      <c r="GLU5" s="223" t="s">
        <v>44</v>
      </c>
      <c r="GLV5" s="224"/>
      <c r="GLW5" s="224"/>
      <c r="GLX5" s="225"/>
      <c r="GLY5" s="223" t="s">
        <v>44</v>
      </c>
      <c r="GLZ5" s="224"/>
      <c r="GMA5" s="224"/>
      <c r="GMB5" s="225"/>
      <c r="GMC5" s="223" t="s">
        <v>44</v>
      </c>
      <c r="GMD5" s="224"/>
      <c r="GME5" s="224"/>
      <c r="GMF5" s="225"/>
      <c r="GMG5" s="223" t="s">
        <v>44</v>
      </c>
      <c r="GMH5" s="224"/>
      <c r="GMI5" s="224"/>
      <c r="GMJ5" s="225"/>
      <c r="GMK5" s="223" t="s">
        <v>44</v>
      </c>
      <c r="GML5" s="224"/>
      <c r="GMM5" s="224"/>
      <c r="GMN5" s="225"/>
      <c r="GMO5" s="223" t="s">
        <v>44</v>
      </c>
      <c r="GMP5" s="224"/>
      <c r="GMQ5" s="224"/>
      <c r="GMR5" s="225"/>
      <c r="GMS5" s="223" t="s">
        <v>44</v>
      </c>
      <c r="GMT5" s="224"/>
      <c r="GMU5" s="224"/>
      <c r="GMV5" s="225"/>
      <c r="GMW5" s="223" t="s">
        <v>44</v>
      </c>
      <c r="GMX5" s="224"/>
      <c r="GMY5" s="224"/>
      <c r="GMZ5" s="225"/>
      <c r="GNA5" s="223" t="s">
        <v>44</v>
      </c>
      <c r="GNB5" s="224"/>
      <c r="GNC5" s="224"/>
      <c r="GND5" s="225"/>
      <c r="GNE5" s="223" t="s">
        <v>44</v>
      </c>
      <c r="GNF5" s="224"/>
      <c r="GNG5" s="224"/>
      <c r="GNH5" s="225"/>
      <c r="GNI5" s="223" t="s">
        <v>44</v>
      </c>
      <c r="GNJ5" s="224"/>
      <c r="GNK5" s="224"/>
      <c r="GNL5" s="225"/>
      <c r="GNM5" s="223" t="s">
        <v>44</v>
      </c>
      <c r="GNN5" s="224"/>
      <c r="GNO5" s="224"/>
      <c r="GNP5" s="225"/>
      <c r="GNQ5" s="223" t="s">
        <v>44</v>
      </c>
      <c r="GNR5" s="224"/>
      <c r="GNS5" s="224"/>
      <c r="GNT5" s="225"/>
      <c r="GNU5" s="223" t="s">
        <v>44</v>
      </c>
      <c r="GNV5" s="224"/>
      <c r="GNW5" s="224"/>
      <c r="GNX5" s="225"/>
      <c r="GNY5" s="223" t="s">
        <v>44</v>
      </c>
      <c r="GNZ5" s="224"/>
      <c r="GOA5" s="224"/>
      <c r="GOB5" s="225"/>
      <c r="GOC5" s="223" t="s">
        <v>44</v>
      </c>
      <c r="GOD5" s="224"/>
      <c r="GOE5" s="224"/>
      <c r="GOF5" s="225"/>
      <c r="GOG5" s="223" t="s">
        <v>44</v>
      </c>
      <c r="GOH5" s="224"/>
      <c r="GOI5" s="224"/>
      <c r="GOJ5" s="225"/>
      <c r="GOK5" s="223" t="s">
        <v>44</v>
      </c>
      <c r="GOL5" s="224"/>
      <c r="GOM5" s="224"/>
      <c r="GON5" s="225"/>
      <c r="GOO5" s="223" t="s">
        <v>44</v>
      </c>
      <c r="GOP5" s="224"/>
      <c r="GOQ5" s="224"/>
      <c r="GOR5" s="225"/>
      <c r="GOS5" s="223" t="s">
        <v>44</v>
      </c>
      <c r="GOT5" s="224"/>
      <c r="GOU5" s="224"/>
      <c r="GOV5" s="225"/>
      <c r="GOW5" s="223" t="s">
        <v>44</v>
      </c>
      <c r="GOX5" s="224"/>
      <c r="GOY5" s="224"/>
      <c r="GOZ5" s="225"/>
      <c r="GPA5" s="223" t="s">
        <v>44</v>
      </c>
      <c r="GPB5" s="224"/>
      <c r="GPC5" s="224"/>
      <c r="GPD5" s="225"/>
      <c r="GPE5" s="223" t="s">
        <v>44</v>
      </c>
      <c r="GPF5" s="224"/>
      <c r="GPG5" s="224"/>
      <c r="GPH5" s="225"/>
      <c r="GPI5" s="223" t="s">
        <v>44</v>
      </c>
      <c r="GPJ5" s="224"/>
      <c r="GPK5" s="224"/>
      <c r="GPL5" s="225"/>
      <c r="GPM5" s="223" t="s">
        <v>44</v>
      </c>
      <c r="GPN5" s="224"/>
      <c r="GPO5" s="224"/>
      <c r="GPP5" s="225"/>
      <c r="GPQ5" s="223" t="s">
        <v>44</v>
      </c>
      <c r="GPR5" s="224"/>
      <c r="GPS5" s="224"/>
      <c r="GPT5" s="225"/>
      <c r="GPU5" s="223" t="s">
        <v>44</v>
      </c>
      <c r="GPV5" s="224"/>
      <c r="GPW5" s="224"/>
      <c r="GPX5" s="225"/>
      <c r="GPY5" s="223" t="s">
        <v>44</v>
      </c>
      <c r="GPZ5" s="224"/>
      <c r="GQA5" s="224"/>
      <c r="GQB5" s="225"/>
      <c r="GQC5" s="223" t="s">
        <v>44</v>
      </c>
      <c r="GQD5" s="224"/>
      <c r="GQE5" s="224"/>
      <c r="GQF5" s="225"/>
      <c r="GQG5" s="223" t="s">
        <v>44</v>
      </c>
      <c r="GQH5" s="224"/>
      <c r="GQI5" s="224"/>
      <c r="GQJ5" s="225"/>
      <c r="GQK5" s="223" t="s">
        <v>44</v>
      </c>
      <c r="GQL5" s="224"/>
      <c r="GQM5" s="224"/>
      <c r="GQN5" s="225"/>
      <c r="GQO5" s="223" t="s">
        <v>44</v>
      </c>
      <c r="GQP5" s="224"/>
      <c r="GQQ5" s="224"/>
      <c r="GQR5" s="225"/>
      <c r="GQS5" s="223" t="s">
        <v>44</v>
      </c>
      <c r="GQT5" s="224"/>
      <c r="GQU5" s="224"/>
      <c r="GQV5" s="225"/>
      <c r="GQW5" s="223" t="s">
        <v>44</v>
      </c>
      <c r="GQX5" s="224"/>
      <c r="GQY5" s="224"/>
      <c r="GQZ5" s="225"/>
      <c r="GRA5" s="223" t="s">
        <v>44</v>
      </c>
      <c r="GRB5" s="224"/>
      <c r="GRC5" s="224"/>
      <c r="GRD5" s="225"/>
      <c r="GRE5" s="223" t="s">
        <v>44</v>
      </c>
      <c r="GRF5" s="224"/>
      <c r="GRG5" s="224"/>
      <c r="GRH5" s="225"/>
      <c r="GRI5" s="223" t="s">
        <v>44</v>
      </c>
      <c r="GRJ5" s="224"/>
      <c r="GRK5" s="224"/>
      <c r="GRL5" s="225"/>
      <c r="GRM5" s="223" t="s">
        <v>44</v>
      </c>
      <c r="GRN5" s="224"/>
      <c r="GRO5" s="224"/>
      <c r="GRP5" s="225"/>
      <c r="GRQ5" s="223" t="s">
        <v>44</v>
      </c>
      <c r="GRR5" s="224"/>
      <c r="GRS5" s="224"/>
      <c r="GRT5" s="225"/>
      <c r="GRU5" s="223" t="s">
        <v>44</v>
      </c>
      <c r="GRV5" s="224"/>
      <c r="GRW5" s="224"/>
      <c r="GRX5" s="225"/>
      <c r="GRY5" s="223" t="s">
        <v>44</v>
      </c>
      <c r="GRZ5" s="224"/>
      <c r="GSA5" s="224"/>
      <c r="GSB5" s="225"/>
      <c r="GSC5" s="223" t="s">
        <v>44</v>
      </c>
      <c r="GSD5" s="224"/>
      <c r="GSE5" s="224"/>
      <c r="GSF5" s="225"/>
      <c r="GSG5" s="223" t="s">
        <v>44</v>
      </c>
      <c r="GSH5" s="224"/>
      <c r="GSI5" s="224"/>
      <c r="GSJ5" s="225"/>
      <c r="GSK5" s="223" t="s">
        <v>44</v>
      </c>
      <c r="GSL5" s="224"/>
      <c r="GSM5" s="224"/>
      <c r="GSN5" s="225"/>
      <c r="GSO5" s="223" t="s">
        <v>44</v>
      </c>
      <c r="GSP5" s="224"/>
      <c r="GSQ5" s="224"/>
      <c r="GSR5" s="225"/>
      <c r="GSS5" s="223" t="s">
        <v>44</v>
      </c>
      <c r="GST5" s="224"/>
      <c r="GSU5" s="224"/>
      <c r="GSV5" s="225"/>
      <c r="GSW5" s="223" t="s">
        <v>44</v>
      </c>
      <c r="GSX5" s="224"/>
      <c r="GSY5" s="224"/>
      <c r="GSZ5" s="225"/>
      <c r="GTA5" s="223" t="s">
        <v>44</v>
      </c>
      <c r="GTB5" s="224"/>
      <c r="GTC5" s="224"/>
      <c r="GTD5" s="225"/>
      <c r="GTE5" s="223" t="s">
        <v>44</v>
      </c>
      <c r="GTF5" s="224"/>
      <c r="GTG5" s="224"/>
      <c r="GTH5" s="225"/>
      <c r="GTI5" s="223" t="s">
        <v>44</v>
      </c>
      <c r="GTJ5" s="224"/>
      <c r="GTK5" s="224"/>
      <c r="GTL5" s="225"/>
      <c r="GTM5" s="223" t="s">
        <v>44</v>
      </c>
      <c r="GTN5" s="224"/>
      <c r="GTO5" s="224"/>
      <c r="GTP5" s="225"/>
      <c r="GTQ5" s="223" t="s">
        <v>44</v>
      </c>
      <c r="GTR5" s="224"/>
      <c r="GTS5" s="224"/>
      <c r="GTT5" s="225"/>
      <c r="GTU5" s="223" t="s">
        <v>44</v>
      </c>
      <c r="GTV5" s="224"/>
      <c r="GTW5" s="224"/>
      <c r="GTX5" s="225"/>
      <c r="GTY5" s="223" t="s">
        <v>44</v>
      </c>
      <c r="GTZ5" s="224"/>
      <c r="GUA5" s="224"/>
      <c r="GUB5" s="225"/>
      <c r="GUC5" s="223" t="s">
        <v>44</v>
      </c>
      <c r="GUD5" s="224"/>
      <c r="GUE5" s="224"/>
      <c r="GUF5" s="225"/>
      <c r="GUG5" s="223" t="s">
        <v>44</v>
      </c>
      <c r="GUH5" s="224"/>
      <c r="GUI5" s="224"/>
      <c r="GUJ5" s="225"/>
      <c r="GUK5" s="223" t="s">
        <v>44</v>
      </c>
      <c r="GUL5" s="224"/>
      <c r="GUM5" s="224"/>
      <c r="GUN5" s="225"/>
      <c r="GUO5" s="223" t="s">
        <v>44</v>
      </c>
      <c r="GUP5" s="224"/>
      <c r="GUQ5" s="224"/>
      <c r="GUR5" s="225"/>
      <c r="GUS5" s="223" t="s">
        <v>44</v>
      </c>
      <c r="GUT5" s="224"/>
      <c r="GUU5" s="224"/>
      <c r="GUV5" s="225"/>
      <c r="GUW5" s="223" t="s">
        <v>44</v>
      </c>
      <c r="GUX5" s="224"/>
      <c r="GUY5" s="224"/>
      <c r="GUZ5" s="225"/>
      <c r="GVA5" s="223" t="s">
        <v>44</v>
      </c>
      <c r="GVB5" s="224"/>
      <c r="GVC5" s="224"/>
      <c r="GVD5" s="225"/>
      <c r="GVE5" s="223" t="s">
        <v>44</v>
      </c>
      <c r="GVF5" s="224"/>
      <c r="GVG5" s="224"/>
      <c r="GVH5" s="225"/>
      <c r="GVI5" s="223" t="s">
        <v>44</v>
      </c>
      <c r="GVJ5" s="224"/>
      <c r="GVK5" s="224"/>
      <c r="GVL5" s="225"/>
      <c r="GVM5" s="223" t="s">
        <v>44</v>
      </c>
      <c r="GVN5" s="224"/>
      <c r="GVO5" s="224"/>
      <c r="GVP5" s="225"/>
      <c r="GVQ5" s="223" t="s">
        <v>44</v>
      </c>
      <c r="GVR5" s="224"/>
      <c r="GVS5" s="224"/>
      <c r="GVT5" s="225"/>
      <c r="GVU5" s="223" t="s">
        <v>44</v>
      </c>
      <c r="GVV5" s="224"/>
      <c r="GVW5" s="224"/>
      <c r="GVX5" s="225"/>
      <c r="GVY5" s="223" t="s">
        <v>44</v>
      </c>
      <c r="GVZ5" s="224"/>
      <c r="GWA5" s="224"/>
      <c r="GWB5" s="225"/>
      <c r="GWC5" s="223" t="s">
        <v>44</v>
      </c>
      <c r="GWD5" s="224"/>
      <c r="GWE5" s="224"/>
      <c r="GWF5" s="225"/>
      <c r="GWG5" s="223" t="s">
        <v>44</v>
      </c>
      <c r="GWH5" s="224"/>
      <c r="GWI5" s="224"/>
      <c r="GWJ5" s="225"/>
      <c r="GWK5" s="223" t="s">
        <v>44</v>
      </c>
      <c r="GWL5" s="224"/>
      <c r="GWM5" s="224"/>
      <c r="GWN5" s="225"/>
      <c r="GWO5" s="223" t="s">
        <v>44</v>
      </c>
      <c r="GWP5" s="224"/>
      <c r="GWQ5" s="224"/>
      <c r="GWR5" s="225"/>
      <c r="GWS5" s="223" t="s">
        <v>44</v>
      </c>
      <c r="GWT5" s="224"/>
      <c r="GWU5" s="224"/>
      <c r="GWV5" s="225"/>
      <c r="GWW5" s="223" t="s">
        <v>44</v>
      </c>
      <c r="GWX5" s="224"/>
      <c r="GWY5" s="224"/>
      <c r="GWZ5" s="225"/>
      <c r="GXA5" s="223" t="s">
        <v>44</v>
      </c>
      <c r="GXB5" s="224"/>
      <c r="GXC5" s="224"/>
      <c r="GXD5" s="225"/>
      <c r="GXE5" s="223" t="s">
        <v>44</v>
      </c>
      <c r="GXF5" s="224"/>
      <c r="GXG5" s="224"/>
      <c r="GXH5" s="225"/>
      <c r="GXI5" s="223" t="s">
        <v>44</v>
      </c>
      <c r="GXJ5" s="224"/>
      <c r="GXK5" s="224"/>
      <c r="GXL5" s="225"/>
      <c r="GXM5" s="223" t="s">
        <v>44</v>
      </c>
      <c r="GXN5" s="224"/>
      <c r="GXO5" s="224"/>
      <c r="GXP5" s="225"/>
      <c r="GXQ5" s="223" t="s">
        <v>44</v>
      </c>
      <c r="GXR5" s="224"/>
      <c r="GXS5" s="224"/>
      <c r="GXT5" s="225"/>
      <c r="GXU5" s="223" t="s">
        <v>44</v>
      </c>
      <c r="GXV5" s="224"/>
      <c r="GXW5" s="224"/>
      <c r="GXX5" s="225"/>
      <c r="GXY5" s="223" t="s">
        <v>44</v>
      </c>
      <c r="GXZ5" s="224"/>
      <c r="GYA5" s="224"/>
      <c r="GYB5" s="225"/>
      <c r="GYC5" s="223" t="s">
        <v>44</v>
      </c>
      <c r="GYD5" s="224"/>
      <c r="GYE5" s="224"/>
      <c r="GYF5" s="225"/>
      <c r="GYG5" s="223" t="s">
        <v>44</v>
      </c>
      <c r="GYH5" s="224"/>
      <c r="GYI5" s="224"/>
      <c r="GYJ5" s="225"/>
      <c r="GYK5" s="223" t="s">
        <v>44</v>
      </c>
      <c r="GYL5" s="224"/>
      <c r="GYM5" s="224"/>
      <c r="GYN5" s="225"/>
      <c r="GYO5" s="223" t="s">
        <v>44</v>
      </c>
      <c r="GYP5" s="224"/>
      <c r="GYQ5" s="224"/>
      <c r="GYR5" s="225"/>
      <c r="GYS5" s="223" t="s">
        <v>44</v>
      </c>
      <c r="GYT5" s="224"/>
      <c r="GYU5" s="224"/>
      <c r="GYV5" s="225"/>
      <c r="GYW5" s="223" t="s">
        <v>44</v>
      </c>
      <c r="GYX5" s="224"/>
      <c r="GYY5" s="224"/>
      <c r="GYZ5" s="225"/>
      <c r="GZA5" s="223" t="s">
        <v>44</v>
      </c>
      <c r="GZB5" s="224"/>
      <c r="GZC5" s="224"/>
      <c r="GZD5" s="225"/>
      <c r="GZE5" s="223" t="s">
        <v>44</v>
      </c>
      <c r="GZF5" s="224"/>
      <c r="GZG5" s="224"/>
      <c r="GZH5" s="225"/>
      <c r="GZI5" s="223" t="s">
        <v>44</v>
      </c>
      <c r="GZJ5" s="224"/>
      <c r="GZK5" s="224"/>
      <c r="GZL5" s="225"/>
      <c r="GZM5" s="223" t="s">
        <v>44</v>
      </c>
      <c r="GZN5" s="224"/>
      <c r="GZO5" s="224"/>
      <c r="GZP5" s="225"/>
      <c r="GZQ5" s="223" t="s">
        <v>44</v>
      </c>
      <c r="GZR5" s="224"/>
      <c r="GZS5" s="224"/>
      <c r="GZT5" s="225"/>
      <c r="GZU5" s="223" t="s">
        <v>44</v>
      </c>
      <c r="GZV5" s="224"/>
      <c r="GZW5" s="224"/>
      <c r="GZX5" s="225"/>
      <c r="GZY5" s="223" t="s">
        <v>44</v>
      </c>
      <c r="GZZ5" s="224"/>
      <c r="HAA5" s="224"/>
      <c r="HAB5" s="225"/>
      <c r="HAC5" s="223" t="s">
        <v>44</v>
      </c>
      <c r="HAD5" s="224"/>
      <c r="HAE5" s="224"/>
      <c r="HAF5" s="225"/>
      <c r="HAG5" s="223" t="s">
        <v>44</v>
      </c>
      <c r="HAH5" s="224"/>
      <c r="HAI5" s="224"/>
      <c r="HAJ5" s="225"/>
      <c r="HAK5" s="223" t="s">
        <v>44</v>
      </c>
      <c r="HAL5" s="224"/>
      <c r="HAM5" s="224"/>
      <c r="HAN5" s="225"/>
      <c r="HAO5" s="223" t="s">
        <v>44</v>
      </c>
      <c r="HAP5" s="224"/>
      <c r="HAQ5" s="224"/>
      <c r="HAR5" s="225"/>
      <c r="HAS5" s="223" t="s">
        <v>44</v>
      </c>
      <c r="HAT5" s="224"/>
      <c r="HAU5" s="224"/>
      <c r="HAV5" s="225"/>
      <c r="HAW5" s="223" t="s">
        <v>44</v>
      </c>
      <c r="HAX5" s="224"/>
      <c r="HAY5" s="224"/>
      <c r="HAZ5" s="225"/>
      <c r="HBA5" s="223" t="s">
        <v>44</v>
      </c>
      <c r="HBB5" s="224"/>
      <c r="HBC5" s="224"/>
      <c r="HBD5" s="225"/>
      <c r="HBE5" s="223" t="s">
        <v>44</v>
      </c>
      <c r="HBF5" s="224"/>
      <c r="HBG5" s="224"/>
      <c r="HBH5" s="225"/>
      <c r="HBI5" s="223" t="s">
        <v>44</v>
      </c>
      <c r="HBJ5" s="224"/>
      <c r="HBK5" s="224"/>
      <c r="HBL5" s="225"/>
      <c r="HBM5" s="223" t="s">
        <v>44</v>
      </c>
      <c r="HBN5" s="224"/>
      <c r="HBO5" s="224"/>
      <c r="HBP5" s="225"/>
      <c r="HBQ5" s="223" t="s">
        <v>44</v>
      </c>
      <c r="HBR5" s="224"/>
      <c r="HBS5" s="224"/>
      <c r="HBT5" s="225"/>
      <c r="HBU5" s="223" t="s">
        <v>44</v>
      </c>
      <c r="HBV5" s="224"/>
      <c r="HBW5" s="224"/>
      <c r="HBX5" s="225"/>
      <c r="HBY5" s="223" t="s">
        <v>44</v>
      </c>
      <c r="HBZ5" s="224"/>
      <c r="HCA5" s="224"/>
      <c r="HCB5" s="225"/>
      <c r="HCC5" s="223" t="s">
        <v>44</v>
      </c>
      <c r="HCD5" s="224"/>
      <c r="HCE5" s="224"/>
      <c r="HCF5" s="225"/>
      <c r="HCG5" s="223" t="s">
        <v>44</v>
      </c>
      <c r="HCH5" s="224"/>
      <c r="HCI5" s="224"/>
      <c r="HCJ5" s="225"/>
      <c r="HCK5" s="223" t="s">
        <v>44</v>
      </c>
      <c r="HCL5" s="224"/>
      <c r="HCM5" s="224"/>
      <c r="HCN5" s="225"/>
      <c r="HCO5" s="223" t="s">
        <v>44</v>
      </c>
      <c r="HCP5" s="224"/>
      <c r="HCQ5" s="224"/>
      <c r="HCR5" s="225"/>
      <c r="HCS5" s="223" t="s">
        <v>44</v>
      </c>
      <c r="HCT5" s="224"/>
      <c r="HCU5" s="224"/>
      <c r="HCV5" s="225"/>
      <c r="HCW5" s="223" t="s">
        <v>44</v>
      </c>
      <c r="HCX5" s="224"/>
      <c r="HCY5" s="224"/>
      <c r="HCZ5" s="225"/>
      <c r="HDA5" s="223" t="s">
        <v>44</v>
      </c>
      <c r="HDB5" s="224"/>
      <c r="HDC5" s="224"/>
      <c r="HDD5" s="225"/>
      <c r="HDE5" s="223" t="s">
        <v>44</v>
      </c>
      <c r="HDF5" s="224"/>
      <c r="HDG5" s="224"/>
      <c r="HDH5" s="225"/>
      <c r="HDI5" s="223" t="s">
        <v>44</v>
      </c>
      <c r="HDJ5" s="224"/>
      <c r="HDK5" s="224"/>
      <c r="HDL5" s="225"/>
      <c r="HDM5" s="223" t="s">
        <v>44</v>
      </c>
      <c r="HDN5" s="224"/>
      <c r="HDO5" s="224"/>
      <c r="HDP5" s="225"/>
      <c r="HDQ5" s="223" t="s">
        <v>44</v>
      </c>
      <c r="HDR5" s="224"/>
      <c r="HDS5" s="224"/>
      <c r="HDT5" s="225"/>
      <c r="HDU5" s="223" t="s">
        <v>44</v>
      </c>
      <c r="HDV5" s="224"/>
      <c r="HDW5" s="224"/>
      <c r="HDX5" s="225"/>
      <c r="HDY5" s="223" t="s">
        <v>44</v>
      </c>
      <c r="HDZ5" s="224"/>
      <c r="HEA5" s="224"/>
      <c r="HEB5" s="225"/>
      <c r="HEC5" s="223" t="s">
        <v>44</v>
      </c>
      <c r="HED5" s="224"/>
      <c r="HEE5" s="224"/>
      <c r="HEF5" s="225"/>
      <c r="HEG5" s="223" t="s">
        <v>44</v>
      </c>
      <c r="HEH5" s="224"/>
      <c r="HEI5" s="224"/>
      <c r="HEJ5" s="225"/>
      <c r="HEK5" s="223" t="s">
        <v>44</v>
      </c>
      <c r="HEL5" s="224"/>
      <c r="HEM5" s="224"/>
      <c r="HEN5" s="225"/>
      <c r="HEO5" s="223" t="s">
        <v>44</v>
      </c>
      <c r="HEP5" s="224"/>
      <c r="HEQ5" s="224"/>
      <c r="HER5" s="225"/>
      <c r="HES5" s="223" t="s">
        <v>44</v>
      </c>
      <c r="HET5" s="224"/>
      <c r="HEU5" s="224"/>
      <c r="HEV5" s="225"/>
      <c r="HEW5" s="223" t="s">
        <v>44</v>
      </c>
      <c r="HEX5" s="224"/>
      <c r="HEY5" s="224"/>
      <c r="HEZ5" s="225"/>
      <c r="HFA5" s="223" t="s">
        <v>44</v>
      </c>
      <c r="HFB5" s="224"/>
      <c r="HFC5" s="224"/>
      <c r="HFD5" s="225"/>
      <c r="HFE5" s="223" t="s">
        <v>44</v>
      </c>
      <c r="HFF5" s="224"/>
      <c r="HFG5" s="224"/>
      <c r="HFH5" s="225"/>
      <c r="HFI5" s="223" t="s">
        <v>44</v>
      </c>
      <c r="HFJ5" s="224"/>
      <c r="HFK5" s="224"/>
      <c r="HFL5" s="225"/>
      <c r="HFM5" s="223" t="s">
        <v>44</v>
      </c>
      <c r="HFN5" s="224"/>
      <c r="HFO5" s="224"/>
      <c r="HFP5" s="225"/>
      <c r="HFQ5" s="223" t="s">
        <v>44</v>
      </c>
      <c r="HFR5" s="224"/>
      <c r="HFS5" s="224"/>
      <c r="HFT5" s="225"/>
      <c r="HFU5" s="223" t="s">
        <v>44</v>
      </c>
      <c r="HFV5" s="224"/>
      <c r="HFW5" s="224"/>
      <c r="HFX5" s="225"/>
      <c r="HFY5" s="223" t="s">
        <v>44</v>
      </c>
      <c r="HFZ5" s="224"/>
      <c r="HGA5" s="224"/>
      <c r="HGB5" s="225"/>
      <c r="HGC5" s="223" t="s">
        <v>44</v>
      </c>
      <c r="HGD5" s="224"/>
      <c r="HGE5" s="224"/>
      <c r="HGF5" s="225"/>
      <c r="HGG5" s="223" t="s">
        <v>44</v>
      </c>
      <c r="HGH5" s="224"/>
      <c r="HGI5" s="224"/>
      <c r="HGJ5" s="225"/>
      <c r="HGK5" s="223" t="s">
        <v>44</v>
      </c>
      <c r="HGL5" s="224"/>
      <c r="HGM5" s="224"/>
      <c r="HGN5" s="225"/>
      <c r="HGO5" s="223" t="s">
        <v>44</v>
      </c>
      <c r="HGP5" s="224"/>
      <c r="HGQ5" s="224"/>
      <c r="HGR5" s="225"/>
      <c r="HGS5" s="223" t="s">
        <v>44</v>
      </c>
      <c r="HGT5" s="224"/>
      <c r="HGU5" s="224"/>
      <c r="HGV5" s="225"/>
      <c r="HGW5" s="223" t="s">
        <v>44</v>
      </c>
      <c r="HGX5" s="224"/>
      <c r="HGY5" s="224"/>
      <c r="HGZ5" s="225"/>
      <c r="HHA5" s="223" t="s">
        <v>44</v>
      </c>
      <c r="HHB5" s="224"/>
      <c r="HHC5" s="224"/>
      <c r="HHD5" s="225"/>
      <c r="HHE5" s="223" t="s">
        <v>44</v>
      </c>
      <c r="HHF5" s="224"/>
      <c r="HHG5" s="224"/>
      <c r="HHH5" s="225"/>
      <c r="HHI5" s="223" t="s">
        <v>44</v>
      </c>
      <c r="HHJ5" s="224"/>
      <c r="HHK5" s="224"/>
      <c r="HHL5" s="225"/>
      <c r="HHM5" s="223" t="s">
        <v>44</v>
      </c>
      <c r="HHN5" s="224"/>
      <c r="HHO5" s="224"/>
      <c r="HHP5" s="225"/>
      <c r="HHQ5" s="223" t="s">
        <v>44</v>
      </c>
      <c r="HHR5" s="224"/>
      <c r="HHS5" s="224"/>
      <c r="HHT5" s="225"/>
      <c r="HHU5" s="223" t="s">
        <v>44</v>
      </c>
      <c r="HHV5" s="224"/>
      <c r="HHW5" s="224"/>
      <c r="HHX5" s="225"/>
      <c r="HHY5" s="223" t="s">
        <v>44</v>
      </c>
      <c r="HHZ5" s="224"/>
      <c r="HIA5" s="224"/>
      <c r="HIB5" s="225"/>
      <c r="HIC5" s="223" t="s">
        <v>44</v>
      </c>
      <c r="HID5" s="224"/>
      <c r="HIE5" s="224"/>
      <c r="HIF5" s="225"/>
      <c r="HIG5" s="223" t="s">
        <v>44</v>
      </c>
      <c r="HIH5" s="224"/>
      <c r="HII5" s="224"/>
      <c r="HIJ5" s="225"/>
      <c r="HIK5" s="223" t="s">
        <v>44</v>
      </c>
      <c r="HIL5" s="224"/>
      <c r="HIM5" s="224"/>
      <c r="HIN5" s="225"/>
      <c r="HIO5" s="223" t="s">
        <v>44</v>
      </c>
      <c r="HIP5" s="224"/>
      <c r="HIQ5" s="224"/>
      <c r="HIR5" s="225"/>
      <c r="HIS5" s="223" t="s">
        <v>44</v>
      </c>
      <c r="HIT5" s="224"/>
      <c r="HIU5" s="224"/>
      <c r="HIV5" s="225"/>
      <c r="HIW5" s="223" t="s">
        <v>44</v>
      </c>
      <c r="HIX5" s="224"/>
      <c r="HIY5" s="224"/>
      <c r="HIZ5" s="225"/>
      <c r="HJA5" s="223" t="s">
        <v>44</v>
      </c>
      <c r="HJB5" s="224"/>
      <c r="HJC5" s="224"/>
      <c r="HJD5" s="225"/>
      <c r="HJE5" s="223" t="s">
        <v>44</v>
      </c>
      <c r="HJF5" s="224"/>
      <c r="HJG5" s="224"/>
      <c r="HJH5" s="225"/>
      <c r="HJI5" s="223" t="s">
        <v>44</v>
      </c>
      <c r="HJJ5" s="224"/>
      <c r="HJK5" s="224"/>
      <c r="HJL5" s="225"/>
      <c r="HJM5" s="223" t="s">
        <v>44</v>
      </c>
      <c r="HJN5" s="224"/>
      <c r="HJO5" s="224"/>
      <c r="HJP5" s="225"/>
      <c r="HJQ5" s="223" t="s">
        <v>44</v>
      </c>
      <c r="HJR5" s="224"/>
      <c r="HJS5" s="224"/>
      <c r="HJT5" s="225"/>
      <c r="HJU5" s="223" t="s">
        <v>44</v>
      </c>
      <c r="HJV5" s="224"/>
      <c r="HJW5" s="224"/>
      <c r="HJX5" s="225"/>
      <c r="HJY5" s="223" t="s">
        <v>44</v>
      </c>
      <c r="HJZ5" s="224"/>
      <c r="HKA5" s="224"/>
      <c r="HKB5" s="225"/>
      <c r="HKC5" s="223" t="s">
        <v>44</v>
      </c>
      <c r="HKD5" s="224"/>
      <c r="HKE5" s="224"/>
      <c r="HKF5" s="225"/>
      <c r="HKG5" s="223" t="s">
        <v>44</v>
      </c>
      <c r="HKH5" s="224"/>
      <c r="HKI5" s="224"/>
      <c r="HKJ5" s="225"/>
      <c r="HKK5" s="223" t="s">
        <v>44</v>
      </c>
      <c r="HKL5" s="224"/>
      <c r="HKM5" s="224"/>
      <c r="HKN5" s="225"/>
      <c r="HKO5" s="223" t="s">
        <v>44</v>
      </c>
      <c r="HKP5" s="224"/>
      <c r="HKQ5" s="224"/>
      <c r="HKR5" s="225"/>
      <c r="HKS5" s="223" t="s">
        <v>44</v>
      </c>
      <c r="HKT5" s="224"/>
      <c r="HKU5" s="224"/>
      <c r="HKV5" s="225"/>
      <c r="HKW5" s="223" t="s">
        <v>44</v>
      </c>
      <c r="HKX5" s="224"/>
      <c r="HKY5" s="224"/>
      <c r="HKZ5" s="225"/>
      <c r="HLA5" s="223" t="s">
        <v>44</v>
      </c>
      <c r="HLB5" s="224"/>
      <c r="HLC5" s="224"/>
      <c r="HLD5" s="225"/>
      <c r="HLE5" s="223" t="s">
        <v>44</v>
      </c>
      <c r="HLF5" s="224"/>
      <c r="HLG5" s="224"/>
      <c r="HLH5" s="225"/>
      <c r="HLI5" s="223" t="s">
        <v>44</v>
      </c>
      <c r="HLJ5" s="224"/>
      <c r="HLK5" s="224"/>
      <c r="HLL5" s="225"/>
      <c r="HLM5" s="223" t="s">
        <v>44</v>
      </c>
      <c r="HLN5" s="224"/>
      <c r="HLO5" s="224"/>
      <c r="HLP5" s="225"/>
      <c r="HLQ5" s="223" t="s">
        <v>44</v>
      </c>
      <c r="HLR5" s="224"/>
      <c r="HLS5" s="224"/>
      <c r="HLT5" s="225"/>
      <c r="HLU5" s="223" t="s">
        <v>44</v>
      </c>
      <c r="HLV5" s="224"/>
      <c r="HLW5" s="224"/>
      <c r="HLX5" s="225"/>
      <c r="HLY5" s="223" t="s">
        <v>44</v>
      </c>
      <c r="HLZ5" s="224"/>
      <c r="HMA5" s="224"/>
      <c r="HMB5" s="225"/>
      <c r="HMC5" s="223" t="s">
        <v>44</v>
      </c>
      <c r="HMD5" s="224"/>
      <c r="HME5" s="224"/>
      <c r="HMF5" s="225"/>
      <c r="HMG5" s="223" t="s">
        <v>44</v>
      </c>
      <c r="HMH5" s="224"/>
      <c r="HMI5" s="224"/>
      <c r="HMJ5" s="225"/>
      <c r="HMK5" s="223" t="s">
        <v>44</v>
      </c>
      <c r="HML5" s="224"/>
      <c r="HMM5" s="224"/>
      <c r="HMN5" s="225"/>
      <c r="HMO5" s="223" t="s">
        <v>44</v>
      </c>
      <c r="HMP5" s="224"/>
      <c r="HMQ5" s="224"/>
      <c r="HMR5" s="225"/>
      <c r="HMS5" s="223" t="s">
        <v>44</v>
      </c>
      <c r="HMT5" s="224"/>
      <c r="HMU5" s="224"/>
      <c r="HMV5" s="225"/>
      <c r="HMW5" s="223" t="s">
        <v>44</v>
      </c>
      <c r="HMX5" s="224"/>
      <c r="HMY5" s="224"/>
      <c r="HMZ5" s="225"/>
      <c r="HNA5" s="223" t="s">
        <v>44</v>
      </c>
      <c r="HNB5" s="224"/>
      <c r="HNC5" s="224"/>
      <c r="HND5" s="225"/>
      <c r="HNE5" s="223" t="s">
        <v>44</v>
      </c>
      <c r="HNF5" s="224"/>
      <c r="HNG5" s="224"/>
      <c r="HNH5" s="225"/>
      <c r="HNI5" s="223" t="s">
        <v>44</v>
      </c>
      <c r="HNJ5" s="224"/>
      <c r="HNK5" s="224"/>
      <c r="HNL5" s="225"/>
      <c r="HNM5" s="223" t="s">
        <v>44</v>
      </c>
      <c r="HNN5" s="224"/>
      <c r="HNO5" s="224"/>
      <c r="HNP5" s="225"/>
      <c r="HNQ5" s="223" t="s">
        <v>44</v>
      </c>
      <c r="HNR5" s="224"/>
      <c r="HNS5" s="224"/>
      <c r="HNT5" s="225"/>
      <c r="HNU5" s="223" t="s">
        <v>44</v>
      </c>
      <c r="HNV5" s="224"/>
      <c r="HNW5" s="224"/>
      <c r="HNX5" s="225"/>
      <c r="HNY5" s="223" t="s">
        <v>44</v>
      </c>
      <c r="HNZ5" s="224"/>
      <c r="HOA5" s="224"/>
      <c r="HOB5" s="225"/>
      <c r="HOC5" s="223" t="s">
        <v>44</v>
      </c>
      <c r="HOD5" s="224"/>
      <c r="HOE5" s="224"/>
      <c r="HOF5" s="225"/>
      <c r="HOG5" s="223" t="s">
        <v>44</v>
      </c>
      <c r="HOH5" s="224"/>
      <c r="HOI5" s="224"/>
      <c r="HOJ5" s="225"/>
      <c r="HOK5" s="223" t="s">
        <v>44</v>
      </c>
      <c r="HOL5" s="224"/>
      <c r="HOM5" s="224"/>
      <c r="HON5" s="225"/>
      <c r="HOO5" s="223" t="s">
        <v>44</v>
      </c>
      <c r="HOP5" s="224"/>
      <c r="HOQ5" s="224"/>
      <c r="HOR5" s="225"/>
      <c r="HOS5" s="223" t="s">
        <v>44</v>
      </c>
      <c r="HOT5" s="224"/>
      <c r="HOU5" s="224"/>
      <c r="HOV5" s="225"/>
      <c r="HOW5" s="223" t="s">
        <v>44</v>
      </c>
      <c r="HOX5" s="224"/>
      <c r="HOY5" s="224"/>
      <c r="HOZ5" s="225"/>
      <c r="HPA5" s="223" t="s">
        <v>44</v>
      </c>
      <c r="HPB5" s="224"/>
      <c r="HPC5" s="224"/>
      <c r="HPD5" s="225"/>
      <c r="HPE5" s="223" t="s">
        <v>44</v>
      </c>
      <c r="HPF5" s="224"/>
      <c r="HPG5" s="224"/>
      <c r="HPH5" s="225"/>
      <c r="HPI5" s="223" t="s">
        <v>44</v>
      </c>
      <c r="HPJ5" s="224"/>
      <c r="HPK5" s="224"/>
      <c r="HPL5" s="225"/>
      <c r="HPM5" s="223" t="s">
        <v>44</v>
      </c>
      <c r="HPN5" s="224"/>
      <c r="HPO5" s="224"/>
      <c r="HPP5" s="225"/>
      <c r="HPQ5" s="223" t="s">
        <v>44</v>
      </c>
      <c r="HPR5" s="224"/>
      <c r="HPS5" s="224"/>
      <c r="HPT5" s="225"/>
      <c r="HPU5" s="223" t="s">
        <v>44</v>
      </c>
      <c r="HPV5" s="224"/>
      <c r="HPW5" s="224"/>
      <c r="HPX5" s="225"/>
      <c r="HPY5" s="223" t="s">
        <v>44</v>
      </c>
      <c r="HPZ5" s="224"/>
      <c r="HQA5" s="224"/>
      <c r="HQB5" s="225"/>
      <c r="HQC5" s="223" t="s">
        <v>44</v>
      </c>
      <c r="HQD5" s="224"/>
      <c r="HQE5" s="224"/>
      <c r="HQF5" s="225"/>
      <c r="HQG5" s="223" t="s">
        <v>44</v>
      </c>
      <c r="HQH5" s="224"/>
      <c r="HQI5" s="224"/>
      <c r="HQJ5" s="225"/>
      <c r="HQK5" s="223" t="s">
        <v>44</v>
      </c>
      <c r="HQL5" s="224"/>
      <c r="HQM5" s="224"/>
      <c r="HQN5" s="225"/>
      <c r="HQO5" s="223" t="s">
        <v>44</v>
      </c>
      <c r="HQP5" s="224"/>
      <c r="HQQ5" s="224"/>
      <c r="HQR5" s="225"/>
      <c r="HQS5" s="223" t="s">
        <v>44</v>
      </c>
      <c r="HQT5" s="224"/>
      <c r="HQU5" s="224"/>
      <c r="HQV5" s="225"/>
      <c r="HQW5" s="223" t="s">
        <v>44</v>
      </c>
      <c r="HQX5" s="224"/>
      <c r="HQY5" s="224"/>
      <c r="HQZ5" s="225"/>
      <c r="HRA5" s="223" t="s">
        <v>44</v>
      </c>
      <c r="HRB5" s="224"/>
      <c r="HRC5" s="224"/>
      <c r="HRD5" s="225"/>
      <c r="HRE5" s="223" t="s">
        <v>44</v>
      </c>
      <c r="HRF5" s="224"/>
      <c r="HRG5" s="224"/>
      <c r="HRH5" s="225"/>
      <c r="HRI5" s="223" t="s">
        <v>44</v>
      </c>
      <c r="HRJ5" s="224"/>
      <c r="HRK5" s="224"/>
      <c r="HRL5" s="225"/>
      <c r="HRM5" s="223" t="s">
        <v>44</v>
      </c>
      <c r="HRN5" s="224"/>
      <c r="HRO5" s="224"/>
      <c r="HRP5" s="225"/>
      <c r="HRQ5" s="223" t="s">
        <v>44</v>
      </c>
      <c r="HRR5" s="224"/>
      <c r="HRS5" s="224"/>
      <c r="HRT5" s="225"/>
      <c r="HRU5" s="223" t="s">
        <v>44</v>
      </c>
      <c r="HRV5" s="224"/>
      <c r="HRW5" s="224"/>
      <c r="HRX5" s="225"/>
      <c r="HRY5" s="223" t="s">
        <v>44</v>
      </c>
      <c r="HRZ5" s="224"/>
      <c r="HSA5" s="224"/>
      <c r="HSB5" s="225"/>
      <c r="HSC5" s="223" t="s">
        <v>44</v>
      </c>
      <c r="HSD5" s="224"/>
      <c r="HSE5" s="224"/>
      <c r="HSF5" s="225"/>
      <c r="HSG5" s="223" t="s">
        <v>44</v>
      </c>
      <c r="HSH5" s="224"/>
      <c r="HSI5" s="224"/>
      <c r="HSJ5" s="225"/>
      <c r="HSK5" s="223" t="s">
        <v>44</v>
      </c>
      <c r="HSL5" s="224"/>
      <c r="HSM5" s="224"/>
      <c r="HSN5" s="225"/>
      <c r="HSO5" s="223" t="s">
        <v>44</v>
      </c>
      <c r="HSP5" s="224"/>
      <c r="HSQ5" s="224"/>
      <c r="HSR5" s="225"/>
      <c r="HSS5" s="223" t="s">
        <v>44</v>
      </c>
      <c r="HST5" s="224"/>
      <c r="HSU5" s="224"/>
      <c r="HSV5" s="225"/>
      <c r="HSW5" s="223" t="s">
        <v>44</v>
      </c>
      <c r="HSX5" s="224"/>
      <c r="HSY5" s="224"/>
      <c r="HSZ5" s="225"/>
      <c r="HTA5" s="223" t="s">
        <v>44</v>
      </c>
      <c r="HTB5" s="224"/>
      <c r="HTC5" s="224"/>
      <c r="HTD5" s="225"/>
      <c r="HTE5" s="223" t="s">
        <v>44</v>
      </c>
      <c r="HTF5" s="224"/>
      <c r="HTG5" s="224"/>
      <c r="HTH5" s="225"/>
      <c r="HTI5" s="223" t="s">
        <v>44</v>
      </c>
      <c r="HTJ5" s="224"/>
      <c r="HTK5" s="224"/>
      <c r="HTL5" s="225"/>
      <c r="HTM5" s="223" t="s">
        <v>44</v>
      </c>
      <c r="HTN5" s="224"/>
      <c r="HTO5" s="224"/>
      <c r="HTP5" s="225"/>
      <c r="HTQ5" s="223" t="s">
        <v>44</v>
      </c>
      <c r="HTR5" s="224"/>
      <c r="HTS5" s="224"/>
      <c r="HTT5" s="225"/>
      <c r="HTU5" s="223" t="s">
        <v>44</v>
      </c>
      <c r="HTV5" s="224"/>
      <c r="HTW5" s="224"/>
      <c r="HTX5" s="225"/>
      <c r="HTY5" s="223" t="s">
        <v>44</v>
      </c>
      <c r="HTZ5" s="224"/>
      <c r="HUA5" s="224"/>
      <c r="HUB5" s="225"/>
      <c r="HUC5" s="223" t="s">
        <v>44</v>
      </c>
      <c r="HUD5" s="224"/>
      <c r="HUE5" s="224"/>
      <c r="HUF5" s="225"/>
      <c r="HUG5" s="223" t="s">
        <v>44</v>
      </c>
      <c r="HUH5" s="224"/>
      <c r="HUI5" s="224"/>
      <c r="HUJ5" s="225"/>
      <c r="HUK5" s="223" t="s">
        <v>44</v>
      </c>
      <c r="HUL5" s="224"/>
      <c r="HUM5" s="224"/>
      <c r="HUN5" s="225"/>
      <c r="HUO5" s="223" t="s">
        <v>44</v>
      </c>
      <c r="HUP5" s="224"/>
      <c r="HUQ5" s="224"/>
      <c r="HUR5" s="225"/>
      <c r="HUS5" s="223" t="s">
        <v>44</v>
      </c>
      <c r="HUT5" s="224"/>
      <c r="HUU5" s="224"/>
      <c r="HUV5" s="225"/>
      <c r="HUW5" s="223" t="s">
        <v>44</v>
      </c>
      <c r="HUX5" s="224"/>
      <c r="HUY5" s="224"/>
      <c r="HUZ5" s="225"/>
      <c r="HVA5" s="223" t="s">
        <v>44</v>
      </c>
      <c r="HVB5" s="224"/>
      <c r="HVC5" s="224"/>
      <c r="HVD5" s="225"/>
      <c r="HVE5" s="223" t="s">
        <v>44</v>
      </c>
      <c r="HVF5" s="224"/>
      <c r="HVG5" s="224"/>
      <c r="HVH5" s="225"/>
      <c r="HVI5" s="223" t="s">
        <v>44</v>
      </c>
      <c r="HVJ5" s="224"/>
      <c r="HVK5" s="224"/>
      <c r="HVL5" s="225"/>
      <c r="HVM5" s="223" t="s">
        <v>44</v>
      </c>
      <c r="HVN5" s="224"/>
      <c r="HVO5" s="224"/>
      <c r="HVP5" s="225"/>
      <c r="HVQ5" s="223" t="s">
        <v>44</v>
      </c>
      <c r="HVR5" s="224"/>
      <c r="HVS5" s="224"/>
      <c r="HVT5" s="225"/>
      <c r="HVU5" s="223" t="s">
        <v>44</v>
      </c>
      <c r="HVV5" s="224"/>
      <c r="HVW5" s="224"/>
      <c r="HVX5" s="225"/>
      <c r="HVY5" s="223" t="s">
        <v>44</v>
      </c>
      <c r="HVZ5" s="224"/>
      <c r="HWA5" s="224"/>
      <c r="HWB5" s="225"/>
      <c r="HWC5" s="223" t="s">
        <v>44</v>
      </c>
      <c r="HWD5" s="224"/>
      <c r="HWE5" s="224"/>
      <c r="HWF5" s="225"/>
      <c r="HWG5" s="223" t="s">
        <v>44</v>
      </c>
      <c r="HWH5" s="224"/>
      <c r="HWI5" s="224"/>
      <c r="HWJ5" s="225"/>
      <c r="HWK5" s="223" t="s">
        <v>44</v>
      </c>
      <c r="HWL5" s="224"/>
      <c r="HWM5" s="224"/>
      <c r="HWN5" s="225"/>
      <c r="HWO5" s="223" t="s">
        <v>44</v>
      </c>
      <c r="HWP5" s="224"/>
      <c r="HWQ5" s="224"/>
      <c r="HWR5" s="225"/>
      <c r="HWS5" s="223" t="s">
        <v>44</v>
      </c>
      <c r="HWT5" s="224"/>
      <c r="HWU5" s="224"/>
      <c r="HWV5" s="225"/>
      <c r="HWW5" s="223" t="s">
        <v>44</v>
      </c>
      <c r="HWX5" s="224"/>
      <c r="HWY5" s="224"/>
      <c r="HWZ5" s="225"/>
      <c r="HXA5" s="223" t="s">
        <v>44</v>
      </c>
      <c r="HXB5" s="224"/>
      <c r="HXC5" s="224"/>
      <c r="HXD5" s="225"/>
      <c r="HXE5" s="223" t="s">
        <v>44</v>
      </c>
      <c r="HXF5" s="224"/>
      <c r="HXG5" s="224"/>
      <c r="HXH5" s="225"/>
      <c r="HXI5" s="223" t="s">
        <v>44</v>
      </c>
      <c r="HXJ5" s="224"/>
      <c r="HXK5" s="224"/>
      <c r="HXL5" s="225"/>
      <c r="HXM5" s="223" t="s">
        <v>44</v>
      </c>
      <c r="HXN5" s="224"/>
      <c r="HXO5" s="224"/>
      <c r="HXP5" s="225"/>
      <c r="HXQ5" s="223" t="s">
        <v>44</v>
      </c>
      <c r="HXR5" s="224"/>
      <c r="HXS5" s="224"/>
      <c r="HXT5" s="225"/>
      <c r="HXU5" s="223" t="s">
        <v>44</v>
      </c>
      <c r="HXV5" s="224"/>
      <c r="HXW5" s="224"/>
      <c r="HXX5" s="225"/>
      <c r="HXY5" s="223" t="s">
        <v>44</v>
      </c>
      <c r="HXZ5" s="224"/>
      <c r="HYA5" s="224"/>
      <c r="HYB5" s="225"/>
      <c r="HYC5" s="223" t="s">
        <v>44</v>
      </c>
      <c r="HYD5" s="224"/>
      <c r="HYE5" s="224"/>
      <c r="HYF5" s="225"/>
      <c r="HYG5" s="223" t="s">
        <v>44</v>
      </c>
      <c r="HYH5" s="224"/>
      <c r="HYI5" s="224"/>
      <c r="HYJ5" s="225"/>
      <c r="HYK5" s="223" t="s">
        <v>44</v>
      </c>
      <c r="HYL5" s="224"/>
      <c r="HYM5" s="224"/>
      <c r="HYN5" s="225"/>
      <c r="HYO5" s="223" t="s">
        <v>44</v>
      </c>
      <c r="HYP5" s="224"/>
      <c r="HYQ5" s="224"/>
      <c r="HYR5" s="225"/>
      <c r="HYS5" s="223" t="s">
        <v>44</v>
      </c>
      <c r="HYT5" s="224"/>
      <c r="HYU5" s="224"/>
      <c r="HYV5" s="225"/>
      <c r="HYW5" s="223" t="s">
        <v>44</v>
      </c>
      <c r="HYX5" s="224"/>
      <c r="HYY5" s="224"/>
      <c r="HYZ5" s="225"/>
      <c r="HZA5" s="223" t="s">
        <v>44</v>
      </c>
      <c r="HZB5" s="224"/>
      <c r="HZC5" s="224"/>
      <c r="HZD5" s="225"/>
      <c r="HZE5" s="223" t="s">
        <v>44</v>
      </c>
      <c r="HZF5" s="224"/>
      <c r="HZG5" s="224"/>
      <c r="HZH5" s="225"/>
      <c r="HZI5" s="223" t="s">
        <v>44</v>
      </c>
      <c r="HZJ5" s="224"/>
      <c r="HZK5" s="224"/>
      <c r="HZL5" s="225"/>
      <c r="HZM5" s="223" t="s">
        <v>44</v>
      </c>
      <c r="HZN5" s="224"/>
      <c r="HZO5" s="224"/>
      <c r="HZP5" s="225"/>
      <c r="HZQ5" s="223" t="s">
        <v>44</v>
      </c>
      <c r="HZR5" s="224"/>
      <c r="HZS5" s="224"/>
      <c r="HZT5" s="225"/>
      <c r="HZU5" s="223" t="s">
        <v>44</v>
      </c>
      <c r="HZV5" s="224"/>
      <c r="HZW5" s="224"/>
      <c r="HZX5" s="225"/>
      <c r="HZY5" s="223" t="s">
        <v>44</v>
      </c>
      <c r="HZZ5" s="224"/>
      <c r="IAA5" s="224"/>
      <c r="IAB5" s="225"/>
      <c r="IAC5" s="223" t="s">
        <v>44</v>
      </c>
      <c r="IAD5" s="224"/>
      <c r="IAE5" s="224"/>
      <c r="IAF5" s="225"/>
      <c r="IAG5" s="223" t="s">
        <v>44</v>
      </c>
      <c r="IAH5" s="224"/>
      <c r="IAI5" s="224"/>
      <c r="IAJ5" s="225"/>
      <c r="IAK5" s="223" t="s">
        <v>44</v>
      </c>
      <c r="IAL5" s="224"/>
      <c r="IAM5" s="224"/>
      <c r="IAN5" s="225"/>
      <c r="IAO5" s="223" t="s">
        <v>44</v>
      </c>
      <c r="IAP5" s="224"/>
      <c r="IAQ5" s="224"/>
      <c r="IAR5" s="225"/>
      <c r="IAS5" s="223" t="s">
        <v>44</v>
      </c>
      <c r="IAT5" s="224"/>
      <c r="IAU5" s="224"/>
      <c r="IAV5" s="225"/>
      <c r="IAW5" s="223" t="s">
        <v>44</v>
      </c>
      <c r="IAX5" s="224"/>
      <c r="IAY5" s="224"/>
      <c r="IAZ5" s="225"/>
      <c r="IBA5" s="223" t="s">
        <v>44</v>
      </c>
      <c r="IBB5" s="224"/>
      <c r="IBC5" s="224"/>
      <c r="IBD5" s="225"/>
      <c r="IBE5" s="223" t="s">
        <v>44</v>
      </c>
      <c r="IBF5" s="224"/>
      <c r="IBG5" s="224"/>
      <c r="IBH5" s="225"/>
      <c r="IBI5" s="223" t="s">
        <v>44</v>
      </c>
      <c r="IBJ5" s="224"/>
      <c r="IBK5" s="224"/>
      <c r="IBL5" s="225"/>
      <c r="IBM5" s="223" t="s">
        <v>44</v>
      </c>
      <c r="IBN5" s="224"/>
      <c r="IBO5" s="224"/>
      <c r="IBP5" s="225"/>
      <c r="IBQ5" s="223" t="s">
        <v>44</v>
      </c>
      <c r="IBR5" s="224"/>
      <c r="IBS5" s="224"/>
      <c r="IBT5" s="225"/>
      <c r="IBU5" s="223" t="s">
        <v>44</v>
      </c>
      <c r="IBV5" s="224"/>
      <c r="IBW5" s="224"/>
      <c r="IBX5" s="225"/>
      <c r="IBY5" s="223" t="s">
        <v>44</v>
      </c>
      <c r="IBZ5" s="224"/>
      <c r="ICA5" s="224"/>
      <c r="ICB5" s="225"/>
      <c r="ICC5" s="223" t="s">
        <v>44</v>
      </c>
      <c r="ICD5" s="224"/>
      <c r="ICE5" s="224"/>
      <c r="ICF5" s="225"/>
      <c r="ICG5" s="223" t="s">
        <v>44</v>
      </c>
      <c r="ICH5" s="224"/>
      <c r="ICI5" s="224"/>
      <c r="ICJ5" s="225"/>
      <c r="ICK5" s="223" t="s">
        <v>44</v>
      </c>
      <c r="ICL5" s="224"/>
      <c r="ICM5" s="224"/>
      <c r="ICN5" s="225"/>
      <c r="ICO5" s="223" t="s">
        <v>44</v>
      </c>
      <c r="ICP5" s="224"/>
      <c r="ICQ5" s="224"/>
      <c r="ICR5" s="225"/>
      <c r="ICS5" s="223" t="s">
        <v>44</v>
      </c>
      <c r="ICT5" s="224"/>
      <c r="ICU5" s="224"/>
      <c r="ICV5" s="225"/>
      <c r="ICW5" s="223" t="s">
        <v>44</v>
      </c>
      <c r="ICX5" s="224"/>
      <c r="ICY5" s="224"/>
      <c r="ICZ5" s="225"/>
      <c r="IDA5" s="223" t="s">
        <v>44</v>
      </c>
      <c r="IDB5" s="224"/>
      <c r="IDC5" s="224"/>
      <c r="IDD5" s="225"/>
      <c r="IDE5" s="223" t="s">
        <v>44</v>
      </c>
      <c r="IDF5" s="224"/>
      <c r="IDG5" s="224"/>
      <c r="IDH5" s="225"/>
      <c r="IDI5" s="223" t="s">
        <v>44</v>
      </c>
      <c r="IDJ5" s="224"/>
      <c r="IDK5" s="224"/>
      <c r="IDL5" s="225"/>
      <c r="IDM5" s="223" t="s">
        <v>44</v>
      </c>
      <c r="IDN5" s="224"/>
      <c r="IDO5" s="224"/>
      <c r="IDP5" s="225"/>
      <c r="IDQ5" s="223" t="s">
        <v>44</v>
      </c>
      <c r="IDR5" s="224"/>
      <c r="IDS5" s="224"/>
      <c r="IDT5" s="225"/>
      <c r="IDU5" s="223" t="s">
        <v>44</v>
      </c>
      <c r="IDV5" s="224"/>
      <c r="IDW5" s="224"/>
      <c r="IDX5" s="225"/>
      <c r="IDY5" s="223" t="s">
        <v>44</v>
      </c>
      <c r="IDZ5" s="224"/>
      <c r="IEA5" s="224"/>
      <c r="IEB5" s="225"/>
      <c r="IEC5" s="223" t="s">
        <v>44</v>
      </c>
      <c r="IED5" s="224"/>
      <c r="IEE5" s="224"/>
      <c r="IEF5" s="225"/>
      <c r="IEG5" s="223" t="s">
        <v>44</v>
      </c>
      <c r="IEH5" s="224"/>
      <c r="IEI5" s="224"/>
      <c r="IEJ5" s="225"/>
      <c r="IEK5" s="223" t="s">
        <v>44</v>
      </c>
      <c r="IEL5" s="224"/>
      <c r="IEM5" s="224"/>
      <c r="IEN5" s="225"/>
      <c r="IEO5" s="223" t="s">
        <v>44</v>
      </c>
      <c r="IEP5" s="224"/>
      <c r="IEQ5" s="224"/>
      <c r="IER5" s="225"/>
      <c r="IES5" s="223" t="s">
        <v>44</v>
      </c>
      <c r="IET5" s="224"/>
      <c r="IEU5" s="224"/>
      <c r="IEV5" s="225"/>
      <c r="IEW5" s="223" t="s">
        <v>44</v>
      </c>
      <c r="IEX5" s="224"/>
      <c r="IEY5" s="224"/>
      <c r="IEZ5" s="225"/>
      <c r="IFA5" s="223" t="s">
        <v>44</v>
      </c>
      <c r="IFB5" s="224"/>
      <c r="IFC5" s="224"/>
      <c r="IFD5" s="225"/>
      <c r="IFE5" s="223" t="s">
        <v>44</v>
      </c>
      <c r="IFF5" s="224"/>
      <c r="IFG5" s="224"/>
      <c r="IFH5" s="225"/>
      <c r="IFI5" s="223" t="s">
        <v>44</v>
      </c>
      <c r="IFJ5" s="224"/>
      <c r="IFK5" s="224"/>
      <c r="IFL5" s="225"/>
      <c r="IFM5" s="223" t="s">
        <v>44</v>
      </c>
      <c r="IFN5" s="224"/>
      <c r="IFO5" s="224"/>
      <c r="IFP5" s="225"/>
      <c r="IFQ5" s="223" t="s">
        <v>44</v>
      </c>
      <c r="IFR5" s="224"/>
      <c r="IFS5" s="224"/>
      <c r="IFT5" s="225"/>
      <c r="IFU5" s="223" t="s">
        <v>44</v>
      </c>
      <c r="IFV5" s="224"/>
      <c r="IFW5" s="224"/>
      <c r="IFX5" s="225"/>
      <c r="IFY5" s="223" t="s">
        <v>44</v>
      </c>
      <c r="IFZ5" s="224"/>
      <c r="IGA5" s="224"/>
      <c r="IGB5" s="225"/>
      <c r="IGC5" s="223" t="s">
        <v>44</v>
      </c>
      <c r="IGD5" s="224"/>
      <c r="IGE5" s="224"/>
      <c r="IGF5" s="225"/>
      <c r="IGG5" s="223" t="s">
        <v>44</v>
      </c>
      <c r="IGH5" s="224"/>
      <c r="IGI5" s="224"/>
      <c r="IGJ5" s="225"/>
      <c r="IGK5" s="223" t="s">
        <v>44</v>
      </c>
      <c r="IGL5" s="224"/>
      <c r="IGM5" s="224"/>
      <c r="IGN5" s="225"/>
      <c r="IGO5" s="223" t="s">
        <v>44</v>
      </c>
      <c r="IGP5" s="224"/>
      <c r="IGQ5" s="224"/>
      <c r="IGR5" s="225"/>
      <c r="IGS5" s="223" t="s">
        <v>44</v>
      </c>
      <c r="IGT5" s="224"/>
      <c r="IGU5" s="224"/>
      <c r="IGV5" s="225"/>
      <c r="IGW5" s="223" t="s">
        <v>44</v>
      </c>
      <c r="IGX5" s="224"/>
      <c r="IGY5" s="224"/>
      <c r="IGZ5" s="225"/>
      <c r="IHA5" s="223" t="s">
        <v>44</v>
      </c>
      <c r="IHB5" s="224"/>
      <c r="IHC5" s="224"/>
      <c r="IHD5" s="225"/>
      <c r="IHE5" s="223" t="s">
        <v>44</v>
      </c>
      <c r="IHF5" s="224"/>
      <c r="IHG5" s="224"/>
      <c r="IHH5" s="225"/>
      <c r="IHI5" s="223" t="s">
        <v>44</v>
      </c>
      <c r="IHJ5" s="224"/>
      <c r="IHK5" s="224"/>
      <c r="IHL5" s="225"/>
      <c r="IHM5" s="223" t="s">
        <v>44</v>
      </c>
      <c r="IHN5" s="224"/>
      <c r="IHO5" s="224"/>
      <c r="IHP5" s="225"/>
      <c r="IHQ5" s="223" t="s">
        <v>44</v>
      </c>
      <c r="IHR5" s="224"/>
      <c r="IHS5" s="224"/>
      <c r="IHT5" s="225"/>
      <c r="IHU5" s="223" t="s">
        <v>44</v>
      </c>
      <c r="IHV5" s="224"/>
      <c r="IHW5" s="224"/>
      <c r="IHX5" s="225"/>
      <c r="IHY5" s="223" t="s">
        <v>44</v>
      </c>
      <c r="IHZ5" s="224"/>
      <c r="IIA5" s="224"/>
      <c r="IIB5" s="225"/>
      <c r="IIC5" s="223" t="s">
        <v>44</v>
      </c>
      <c r="IID5" s="224"/>
      <c r="IIE5" s="224"/>
      <c r="IIF5" s="225"/>
      <c r="IIG5" s="223" t="s">
        <v>44</v>
      </c>
      <c r="IIH5" s="224"/>
      <c r="III5" s="224"/>
      <c r="IIJ5" s="225"/>
      <c r="IIK5" s="223" t="s">
        <v>44</v>
      </c>
      <c r="IIL5" s="224"/>
      <c r="IIM5" s="224"/>
      <c r="IIN5" s="225"/>
      <c r="IIO5" s="223" t="s">
        <v>44</v>
      </c>
      <c r="IIP5" s="224"/>
      <c r="IIQ5" s="224"/>
      <c r="IIR5" s="225"/>
      <c r="IIS5" s="223" t="s">
        <v>44</v>
      </c>
      <c r="IIT5" s="224"/>
      <c r="IIU5" s="224"/>
      <c r="IIV5" s="225"/>
      <c r="IIW5" s="223" t="s">
        <v>44</v>
      </c>
      <c r="IIX5" s="224"/>
      <c r="IIY5" s="224"/>
      <c r="IIZ5" s="225"/>
      <c r="IJA5" s="223" t="s">
        <v>44</v>
      </c>
      <c r="IJB5" s="224"/>
      <c r="IJC5" s="224"/>
      <c r="IJD5" s="225"/>
      <c r="IJE5" s="223" t="s">
        <v>44</v>
      </c>
      <c r="IJF5" s="224"/>
      <c r="IJG5" s="224"/>
      <c r="IJH5" s="225"/>
      <c r="IJI5" s="223" t="s">
        <v>44</v>
      </c>
      <c r="IJJ5" s="224"/>
      <c r="IJK5" s="224"/>
      <c r="IJL5" s="225"/>
      <c r="IJM5" s="223" t="s">
        <v>44</v>
      </c>
      <c r="IJN5" s="224"/>
      <c r="IJO5" s="224"/>
      <c r="IJP5" s="225"/>
      <c r="IJQ5" s="223" t="s">
        <v>44</v>
      </c>
      <c r="IJR5" s="224"/>
      <c r="IJS5" s="224"/>
      <c r="IJT5" s="225"/>
      <c r="IJU5" s="223" t="s">
        <v>44</v>
      </c>
      <c r="IJV5" s="224"/>
      <c r="IJW5" s="224"/>
      <c r="IJX5" s="225"/>
      <c r="IJY5" s="223" t="s">
        <v>44</v>
      </c>
      <c r="IJZ5" s="224"/>
      <c r="IKA5" s="224"/>
      <c r="IKB5" s="225"/>
      <c r="IKC5" s="223" t="s">
        <v>44</v>
      </c>
      <c r="IKD5" s="224"/>
      <c r="IKE5" s="224"/>
      <c r="IKF5" s="225"/>
      <c r="IKG5" s="223" t="s">
        <v>44</v>
      </c>
      <c r="IKH5" s="224"/>
      <c r="IKI5" s="224"/>
      <c r="IKJ5" s="225"/>
      <c r="IKK5" s="223" t="s">
        <v>44</v>
      </c>
      <c r="IKL5" s="224"/>
      <c r="IKM5" s="224"/>
      <c r="IKN5" s="225"/>
      <c r="IKO5" s="223" t="s">
        <v>44</v>
      </c>
      <c r="IKP5" s="224"/>
      <c r="IKQ5" s="224"/>
      <c r="IKR5" s="225"/>
      <c r="IKS5" s="223" t="s">
        <v>44</v>
      </c>
      <c r="IKT5" s="224"/>
      <c r="IKU5" s="224"/>
      <c r="IKV5" s="225"/>
      <c r="IKW5" s="223" t="s">
        <v>44</v>
      </c>
      <c r="IKX5" s="224"/>
      <c r="IKY5" s="224"/>
      <c r="IKZ5" s="225"/>
      <c r="ILA5" s="223" t="s">
        <v>44</v>
      </c>
      <c r="ILB5" s="224"/>
      <c r="ILC5" s="224"/>
      <c r="ILD5" s="225"/>
      <c r="ILE5" s="223" t="s">
        <v>44</v>
      </c>
      <c r="ILF5" s="224"/>
      <c r="ILG5" s="224"/>
      <c r="ILH5" s="225"/>
      <c r="ILI5" s="223" t="s">
        <v>44</v>
      </c>
      <c r="ILJ5" s="224"/>
      <c r="ILK5" s="224"/>
      <c r="ILL5" s="225"/>
      <c r="ILM5" s="223" t="s">
        <v>44</v>
      </c>
      <c r="ILN5" s="224"/>
      <c r="ILO5" s="224"/>
      <c r="ILP5" s="225"/>
      <c r="ILQ5" s="223" t="s">
        <v>44</v>
      </c>
      <c r="ILR5" s="224"/>
      <c r="ILS5" s="224"/>
      <c r="ILT5" s="225"/>
      <c r="ILU5" s="223" t="s">
        <v>44</v>
      </c>
      <c r="ILV5" s="224"/>
      <c r="ILW5" s="224"/>
      <c r="ILX5" s="225"/>
      <c r="ILY5" s="223" t="s">
        <v>44</v>
      </c>
      <c r="ILZ5" s="224"/>
      <c r="IMA5" s="224"/>
      <c r="IMB5" s="225"/>
      <c r="IMC5" s="223" t="s">
        <v>44</v>
      </c>
      <c r="IMD5" s="224"/>
      <c r="IME5" s="224"/>
      <c r="IMF5" s="225"/>
      <c r="IMG5" s="223" t="s">
        <v>44</v>
      </c>
      <c r="IMH5" s="224"/>
      <c r="IMI5" s="224"/>
      <c r="IMJ5" s="225"/>
      <c r="IMK5" s="223" t="s">
        <v>44</v>
      </c>
      <c r="IML5" s="224"/>
      <c r="IMM5" s="224"/>
      <c r="IMN5" s="225"/>
      <c r="IMO5" s="223" t="s">
        <v>44</v>
      </c>
      <c r="IMP5" s="224"/>
      <c r="IMQ5" s="224"/>
      <c r="IMR5" s="225"/>
      <c r="IMS5" s="223" t="s">
        <v>44</v>
      </c>
      <c r="IMT5" s="224"/>
      <c r="IMU5" s="224"/>
      <c r="IMV5" s="225"/>
      <c r="IMW5" s="223" t="s">
        <v>44</v>
      </c>
      <c r="IMX5" s="224"/>
      <c r="IMY5" s="224"/>
      <c r="IMZ5" s="225"/>
      <c r="INA5" s="223" t="s">
        <v>44</v>
      </c>
      <c r="INB5" s="224"/>
      <c r="INC5" s="224"/>
      <c r="IND5" s="225"/>
      <c r="INE5" s="223" t="s">
        <v>44</v>
      </c>
      <c r="INF5" s="224"/>
      <c r="ING5" s="224"/>
      <c r="INH5" s="225"/>
      <c r="INI5" s="223" t="s">
        <v>44</v>
      </c>
      <c r="INJ5" s="224"/>
      <c r="INK5" s="224"/>
      <c r="INL5" s="225"/>
      <c r="INM5" s="223" t="s">
        <v>44</v>
      </c>
      <c r="INN5" s="224"/>
      <c r="INO5" s="224"/>
      <c r="INP5" s="225"/>
      <c r="INQ5" s="223" t="s">
        <v>44</v>
      </c>
      <c r="INR5" s="224"/>
      <c r="INS5" s="224"/>
      <c r="INT5" s="225"/>
      <c r="INU5" s="223" t="s">
        <v>44</v>
      </c>
      <c r="INV5" s="224"/>
      <c r="INW5" s="224"/>
      <c r="INX5" s="225"/>
      <c r="INY5" s="223" t="s">
        <v>44</v>
      </c>
      <c r="INZ5" s="224"/>
      <c r="IOA5" s="224"/>
      <c r="IOB5" s="225"/>
      <c r="IOC5" s="223" t="s">
        <v>44</v>
      </c>
      <c r="IOD5" s="224"/>
      <c r="IOE5" s="224"/>
      <c r="IOF5" s="225"/>
      <c r="IOG5" s="223" t="s">
        <v>44</v>
      </c>
      <c r="IOH5" s="224"/>
      <c r="IOI5" s="224"/>
      <c r="IOJ5" s="225"/>
      <c r="IOK5" s="223" t="s">
        <v>44</v>
      </c>
      <c r="IOL5" s="224"/>
      <c r="IOM5" s="224"/>
      <c r="ION5" s="225"/>
      <c r="IOO5" s="223" t="s">
        <v>44</v>
      </c>
      <c r="IOP5" s="224"/>
      <c r="IOQ5" s="224"/>
      <c r="IOR5" s="225"/>
      <c r="IOS5" s="223" t="s">
        <v>44</v>
      </c>
      <c r="IOT5" s="224"/>
      <c r="IOU5" s="224"/>
      <c r="IOV5" s="225"/>
      <c r="IOW5" s="223" t="s">
        <v>44</v>
      </c>
      <c r="IOX5" s="224"/>
      <c r="IOY5" s="224"/>
      <c r="IOZ5" s="225"/>
      <c r="IPA5" s="223" t="s">
        <v>44</v>
      </c>
      <c r="IPB5" s="224"/>
      <c r="IPC5" s="224"/>
      <c r="IPD5" s="225"/>
      <c r="IPE5" s="223" t="s">
        <v>44</v>
      </c>
      <c r="IPF5" s="224"/>
      <c r="IPG5" s="224"/>
      <c r="IPH5" s="225"/>
      <c r="IPI5" s="223" t="s">
        <v>44</v>
      </c>
      <c r="IPJ5" s="224"/>
      <c r="IPK5" s="224"/>
      <c r="IPL5" s="225"/>
      <c r="IPM5" s="223" t="s">
        <v>44</v>
      </c>
      <c r="IPN5" s="224"/>
      <c r="IPO5" s="224"/>
      <c r="IPP5" s="225"/>
      <c r="IPQ5" s="223" t="s">
        <v>44</v>
      </c>
      <c r="IPR5" s="224"/>
      <c r="IPS5" s="224"/>
      <c r="IPT5" s="225"/>
      <c r="IPU5" s="223" t="s">
        <v>44</v>
      </c>
      <c r="IPV5" s="224"/>
      <c r="IPW5" s="224"/>
      <c r="IPX5" s="225"/>
      <c r="IPY5" s="223" t="s">
        <v>44</v>
      </c>
      <c r="IPZ5" s="224"/>
      <c r="IQA5" s="224"/>
      <c r="IQB5" s="225"/>
      <c r="IQC5" s="223" t="s">
        <v>44</v>
      </c>
      <c r="IQD5" s="224"/>
      <c r="IQE5" s="224"/>
      <c r="IQF5" s="225"/>
      <c r="IQG5" s="223" t="s">
        <v>44</v>
      </c>
      <c r="IQH5" s="224"/>
      <c r="IQI5" s="224"/>
      <c r="IQJ5" s="225"/>
      <c r="IQK5" s="223" t="s">
        <v>44</v>
      </c>
      <c r="IQL5" s="224"/>
      <c r="IQM5" s="224"/>
      <c r="IQN5" s="225"/>
      <c r="IQO5" s="223" t="s">
        <v>44</v>
      </c>
      <c r="IQP5" s="224"/>
      <c r="IQQ5" s="224"/>
      <c r="IQR5" s="225"/>
      <c r="IQS5" s="223" t="s">
        <v>44</v>
      </c>
      <c r="IQT5" s="224"/>
      <c r="IQU5" s="224"/>
      <c r="IQV5" s="225"/>
      <c r="IQW5" s="223" t="s">
        <v>44</v>
      </c>
      <c r="IQX5" s="224"/>
      <c r="IQY5" s="224"/>
      <c r="IQZ5" s="225"/>
      <c r="IRA5" s="223" t="s">
        <v>44</v>
      </c>
      <c r="IRB5" s="224"/>
      <c r="IRC5" s="224"/>
      <c r="IRD5" s="225"/>
      <c r="IRE5" s="223" t="s">
        <v>44</v>
      </c>
      <c r="IRF5" s="224"/>
      <c r="IRG5" s="224"/>
      <c r="IRH5" s="225"/>
      <c r="IRI5" s="223" t="s">
        <v>44</v>
      </c>
      <c r="IRJ5" s="224"/>
      <c r="IRK5" s="224"/>
      <c r="IRL5" s="225"/>
      <c r="IRM5" s="223" t="s">
        <v>44</v>
      </c>
      <c r="IRN5" s="224"/>
      <c r="IRO5" s="224"/>
      <c r="IRP5" s="225"/>
      <c r="IRQ5" s="223" t="s">
        <v>44</v>
      </c>
      <c r="IRR5" s="224"/>
      <c r="IRS5" s="224"/>
      <c r="IRT5" s="225"/>
      <c r="IRU5" s="223" t="s">
        <v>44</v>
      </c>
      <c r="IRV5" s="224"/>
      <c r="IRW5" s="224"/>
      <c r="IRX5" s="225"/>
      <c r="IRY5" s="223" t="s">
        <v>44</v>
      </c>
      <c r="IRZ5" s="224"/>
      <c r="ISA5" s="224"/>
      <c r="ISB5" s="225"/>
      <c r="ISC5" s="223" t="s">
        <v>44</v>
      </c>
      <c r="ISD5" s="224"/>
      <c r="ISE5" s="224"/>
      <c r="ISF5" s="225"/>
      <c r="ISG5" s="223" t="s">
        <v>44</v>
      </c>
      <c r="ISH5" s="224"/>
      <c r="ISI5" s="224"/>
      <c r="ISJ5" s="225"/>
      <c r="ISK5" s="223" t="s">
        <v>44</v>
      </c>
      <c r="ISL5" s="224"/>
      <c r="ISM5" s="224"/>
      <c r="ISN5" s="225"/>
      <c r="ISO5" s="223" t="s">
        <v>44</v>
      </c>
      <c r="ISP5" s="224"/>
      <c r="ISQ5" s="224"/>
      <c r="ISR5" s="225"/>
      <c r="ISS5" s="223" t="s">
        <v>44</v>
      </c>
      <c r="IST5" s="224"/>
      <c r="ISU5" s="224"/>
      <c r="ISV5" s="225"/>
      <c r="ISW5" s="223" t="s">
        <v>44</v>
      </c>
      <c r="ISX5" s="224"/>
      <c r="ISY5" s="224"/>
      <c r="ISZ5" s="225"/>
      <c r="ITA5" s="223" t="s">
        <v>44</v>
      </c>
      <c r="ITB5" s="224"/>
      <c r="ITC5" s="224"/>
      <c r="ITD5" s="225"/>
      <c r="ITE5" s="223" t="s">
        <v>44</v>
      </c>
      <c r="ITF5" s="224"/>
      <c r="ITG5" s="224"/>
      <c r="ITH5" s="225"/>
      <c r="ITI5" s="223" t="s">
        <v>44</v>
      </c>
      <c r="ITJ5" s="224"/>
      <c r="ITK5" s="224"/>
      <c r="ITL5" s="225"/>
      <c r="ITM5" s="223" t="s">
        <v>44</v>
      </c>
      <c r="ITN5" s="224"/>
      <c r="ITO5" s="224"/>
      <c r="ITP5" s="225"/>
      <c r="ITQ5" s="223" t="s">
        <v>44</v>
      </c>
      <c r="ITR5" s="224"/>
      <c r="ITS5" s="224"/>
      <c r="ITT5" s="225"/>
      <c r="ITU5" s="223" t="s">
        <v>44</v>
      </c>
      <c r="ITV5" s="224"/>
      <c r="ITW5" s="224"/>
      <c r="ITX5" s="225"/>
      <c r="ITY5" s="223" t="s">
        <v>44</v>
      </c>
      <c r="ITZ5" s="224"/>
      <c r="IUA5" s="224"/>
      <c r="IUB5" s="225"/>
      <c r="IUC5" s="223" t="s">
        <v>44</v>
      </c>
      <c r="IUD5" s="224"/>
      <c r="IUE5" s="224"/>
      <c r="IUF5" s="225"/>
      <c r="IUG5" s="223" t="s">
        <v>44</v>
      </c>
      <c r="IUH5" s="224"/>
      <c r="IUI5" s="224"/>
      <c r="IUJ5" s="225"/>
      <c r="IUK5" s="223" t="s">
        <v>44</v>
      </c>
      <c r="IUL5" s="224"/>
      <c r="IUM5" s="224"/>
      <c r="IUN5" s="225"/>
      <c r="IUO5" s="223" t="s">
        <v>44</v>
      </c>
      <c r="IUP5" s="224"/>
      <c r="IUQ5" s="224"/>
      <c r="IUR5" s="225"/>
      <c r="IUS5" s="223" t="s">
        <v>44</v>
      </c>
      <c r="IUT5" s="224"/>
      <c r="IUU5" s="224"/>
      <c r="IUV5" s="225"/>
      <c r="IUW5" s="223" t="s">
        <v>44</v>
      </c>
      <c r="IUX5" s="224"/>
      <c r="IUY5" s="224"/>
      <c r="IUZ5" s="225"/>
      <c r="IVA5" s="223" t="s">
        <v>44</v>
      </c>
      <c r="IVB5" s="224"/>
      <c r="IVC5" s="224"/>
      <c r="IVD5" s="225"/>
      <c r="IVE5" s="223" t="s">
        <v>44</v>
      </c>
      <c r="IVF5" s="224"/>
      <c r="IVG5" s="224"/>
      <c r="IVH5" s="225"/>
      <c r="IVI5" s="223" t="s">
        <v>44</v>
      </c>
      <c r="IVJ5" s="224"/>
      <c r="IVK5" s="224"/>
      <c r="IVL5" s="225"/>
      <c r="IVM5" s="223" t="s">
        <v>44</v>
      </c>
      <c r="IVN5" s="224"/>
      <c r="IVO5" s="224"/>
      <c r="IVP5" s="225"/>
      <c r="IVQ5" s="223" t="s">
        <v>44</v>
      </c>
      <c r="IVR5" s="224"/>
      <c r="IVS5" s="224"/>
      <c r="IVT5" s="225"/>
      <c r="IVU5" s="223" t="s">
        <v>44</v>
      </c>
      <c r="IVV5" s="224"/>
      <c r="IVW5" s="224"/>
      <c r="IVX5" s="225"/>
      <c r="IVY5" s="223" t="s">
        <v>44</v>
      </c>
      <c r="IVZ5" s="224"/>
      <c r="IWA5" s="224"/>
      <c r="IWB5" s="225"/>
      <c r="IWC5" s="223" t="s">
        <v>44</v>
      </c>
      <c r="IWD5" s="224"/>
      <c r="IWE5" s="224"/>
      <c r="IWF5" s="225"/>
      <c r="IWG5" s="223" t="s">
        <v>44</v>
      </c>
      <c r="IWH5" s="224"/>
      <c r="IWI5" s="224"/>
      <c r="IWJ5" s="225"/>
      <c r="IWK5" s="223" t="s">
        <v>44</v>
      </c>
      <c r="IWL5" s="224"/>
      <c r="IWM5" s="224"/>
      <c r="IWN5" s="225"/>
      <c r="IWO5" s="223" t="s">
        <v>44</v>
      </c>
      <c r="IWP5" s="224"/>
      <c r="IWQ5" s="224"/>
      <c r="IWR5" s="225"/>
      <c r="IWS5" s="223" t="s">
        <v>44</v>
      </c>
      <c r="IWT5" s="224"/>
      <c r="IWU5" s="224"/>
      <c r="IWV5" s="225"/>
      <c r="IWW5" s="223" t="s">
        <v>44</v>
      </c>
      <c r="IWX5" s="224"/>
      <c r="IWY5" s="224"/>
      <c r="IWZ5" s="225"/>
      <c r="IXA5" s="223" t="s">
        <v>44</v>
      </c>
      <c r="IXB5" s="224"/>
      <c r="IXC5" s="224"/>
      <c r="IXD5" s="225"/>
      <c r="IXE5" s="223" t="s">
        <v>44</v>
      </c>
      <c r="IXF5" s="224"/>
      <c r="IXG5" s="224"/>
      <c r="IXH5" s="225"/>
      <c r="IXI5" s="223" t="s">
        <v>44</v>
      </c>
      <c r="IXJ5" s="224"/>
      <c r="IXK5" s="224"/>
      <c r="IXL5" s="225"/>
      <c r="IXM5" s="223" t="s">
        <v>44</v>
      </c>
      <c r="IXN5" s="224"/>
      <c r="IXO5" s="224"/>
      <c r="IXP5" s="225"/>
      <c r="IXQ5" s="223" t="s">
        <v>44</v>
      </c>
      <c r="IXR5" s="224"/>
      <c r="IXS5" s="224"/>
      <c r="IXT5" s="225"/>
      <c r="IXU5" s="223" t="s">
        <v>44</v>
      </c>
      <c r="IXV5" s="224"/>
      <c r="IXW5" s="224"/>
      <c r="IXX5" s="225"/>
      <c r="IXY5" s="223" t="s">
        <v>44</v>
      </c>
      <c r="IXZ5" s="224"/>
      <c r="IYA5" s="224"/>
      <c r="IYB5" s="225"/>
      <c r="IYC5" s="223" t="s">
        <v>44</v>
      </c>
      <c r="IYD5" s="224"/>
      <c r="IYE5" s="224"/>
      <c r="IYF5" s="225"/>
      <c r="IYG5" s="223" t="s">
        <v>44</v>
      </c>
      <c r="IYH5" s="224"/>
      <c r="IYI5" s="224"/>
      <c r="IYJ5" s="225"/>
      <c r="IYK5" s="223" t="s">
        <v>44</v>
      </c>
      <c r="IYL5" s="224"/>
      <c r="IYM5" s="224"/>
      <c r="IYN5" s="225"/>
      <c r="IYO5" s="223" t="s">
        <v>44</v>
      </c>
      <c r="IYP5" s="224"/>
      <c r="IYQ5" s="224"/>
      <c r="IYR5" s="225"/>
      <c r="IYS5" s="223" t="s">
        <v>44</v>
      </c>
      <c r="IYT5" s="224"/>
      <c r="IYU5" s="224"/>
      <c r="IYV5" s="225"/>
      <c r="IYW5" s="223" t="s">
        <v>44</v>
      </c>
      <c r="IYX5" s="224"/>
      <c r="IYY5" s="224"/>
      <c r="IYZ5" s="225"/>
      <c r="IZA5" s="223" t="s">
        <v>44</v>
      </c>
      <c r="IZB5" s="224"/>
      <c r="IZC5" s="224"/>
      <c r="IZD5" s="225"/>
      <c r="IZE5" s="223" t="s">
        <v>44</v>
      </c>
      <c r="IZF5" s="224"/>
      <c r="IZG5" s="224"/>
      <c r="IZH5" s="225"/>
      <c r="IZI5" s="223" t="s">
        <v>44</v>
      </c>
      <c r="IZJ5" s="224"/>
      <c r="IZK5" s="224"/>
      <c r="IZL5" s="225"/>
      <c r="IZM5" s="223" t="s">
        <v>44</v>
      </c>
      <c r="IZN5" s="224"/>
      <c r="IZO5" s="224"/>
      <c r="IZP5" s="225"/>
      <c r="IZQ5" s="223" t="s">
        <v>44</v>
      </c>
      <c r="IZR5" s="224"/>
      <c r="IZS5" s="224"/>
      <c r="IZT5" s="225"/>
      <c r="IZU5" s="223" t="s">
        <v>44</v>
      </c>
      <c r="IZV5" s="224"/>
      <c r="IZW5" s="224"/>
      <c r="IZX5" s="225"/>
      <c r="IZY5" s="223" t="s">
        <v>44</v>
      </c>
      <c r="IZZ5" s="224"/>
      <c r="JAA5" s="224"/>
      <c r="JAB5" s="225"/>
      <c r="JAC5" s="223" t="s">
        <v>44</v>
      </c>
      <c r="JAD5" s="224"/>
      <c r="JAE5" s="224"/>
      <c r="JAF5" s="225"/>
      <c r="JAG5" s="223" t="s">
        <v>44</v>
      </c>
      <c r="JAH5" s="224"/>
      <c r="JAI5" s="224"/>
      <c r="JAJ5" s="225"/>
      <c r="JAK5" s="223" t="s">
        <v>44</v>
      </c>
      <c r="JAL5" s="224"/>
      <c r="JAM5" s="224"/>
      <c r="JAN5" s="225"/>
      <c r="JAO5" s="223" t="s">
        <v>44</v>
      </c>
      <c r="JAP5" s="224"/>
      <c r="JAQ5" s="224"/>
      <c r="JAR5" s="225"/>
      <c r="JAS5" s="223" t="s">
        <v>44</v>
      </c>
      <c r="JAT5" s="224"/>
      <c r="JAU5" s="224"/>
      <c r="JAV5" s="225"/>
      <c r="JAW5" s="223" t="s">
        <v>44</v>
      </c>
      <c r="JAX5" s="224"/>
      <c r="JAY5" s="224"/>
      <c r="JAZ5" s="225"/>
      <c r="JBA5" s="223" t="s">
        <v>44</v>
      </c>
      <c r="JBB5" s="224"/>
      <c r="JBC5" s="224"/>
      <c r="JBD5" s="225"/>
      <c r="JBE5" s="223" t="s">
        <v>44</v>
      </c>
      <c r="JBF5" s="224"/>
      <c r="JBG5" s="224"/>
      <c r="JBH5" s="225"/>
      <c r="JBI5" s="223" t="s">
        <v>44</v>
      </c>
      <c r="JBJ5" s="224"/>
      <c r="JBK5" s="224"/>
      <c r="JBL5" s="225"/>
      <c r="JBM5" s="223" t="s">
        <v>44</v>
      </c>
      <c r="JBN5" s="224"/>
      <c r="JBO5" s="224"/>
      <c r="JBP5" s="225"/>
      <c r="JBQ5" s="223" t="s">
        <v>44</v>
      </c>
      <c r="JBR5" s="224"/>
      <c r="JBS5" s="224"/>
      <c r="JBT5" s="225"/>
      <c r="JBU5" s="223" t="s">
        <v>44</v>
      </c>
      <c r="JBV5" s="224"/>
      <c r="JBW5" s="224"/>
      <c r="JBX5" s="225"/>
      <c r="JBY5" s="223" t="s">
        <v>44</v>
      </c>
      <c r="JBZ5" s="224"/>
      <c r="JCA5" s="224"/>
      <c r="JCB5" s="225"/>
      <c r="JCC5" s="223" t="s">
        <v>44</v>
      </c>
      <c r="JCD5" s="224"/>
      <c r="JCE5" s="224"/>
      <c r="JCF5" s="225"/>
      <c r="JCG5" s="223" t="s">
        <v>44</v>
      </c>
      <c r="JCH5" s="224"/>
      <c r="JCI5" s="224"/>
      <c r="JCJ5" s="225"/>
      <c r="JCK5" s="223" t="s">
        <v>44</v>
      </c>
      <c r="JCL5" s="224"/>
      <c r="JCM5" s="224"/>
      <c r="JCN5" s="225"/>
      <c r="JCO5" s="223" t="s">
        <v>44</v>
      </c>
      <c r="JCP5" s="224"/>
      <c r="JCQ5" s="224"/>
      <c r="JCR5" s="225"/>
      <c r="JCS5" s="223" t="s">
        <v>44</v>
      </c>
      <c r="JCT5" s="224"/>
      <c r="JCU5" s="224"/>
      <c r="JCV5" s="225"/>
      <c r="JCW5" s="223" t="s">
        <v>44</v>
      </c>
      <c r="JCX5" s="224"/>
      <c r="JCY5" s="224"/>
      <c r="JCZ5" s="225"/>
      <c r="JDA5" s="223" t="s">
        <v>44</v>
      </c>
      <c r="JDB5" s="224"/>
      <c r="JDC5" s="224"/>
      <c r="JDD5" s="225"/>
      <c r="JDE5" s="223" t="s">
        <v>44</v>
      </c>
      <c r="JDF5" s="224"/>
      <c r="JDG5" s="224"/>
      <c r="JDH5" s="225"/>
      <c r="JDI5" s="223" t="s">
        <v>44</v>
      </c>
      <c r="JDJ5" s="224"/>
      <c r="JDK5" s="224"/>
      <c r="JDL5" s="225"/>
      <c r="JDM5" s="223" t="s">
        <v>44</v>
      </c>
      <c r="JDN5" s="224"/>
      <c r="JDO5" s="224"/>
      <c r="JDP5" s="225"/>
      <c r="JDQ5" s="223" t="s">
        <v>44</v>
      </c>
      <c r="JDR5" s="224"/>
      <c r="JDS5" s="224"/>
      <c r="JDT5" s="225"/>
      <c r="JDU5" s="223" t="s">
        <v>44</v>
      </c>
      <c r="JDV5" s="224"/>
      <c r="JDW5" s="224"/>
      <c r="JDX5" s="225"/>
      <c r="JDY5" s="223" t="s">
        <v>44</v>
      </c>
      <c r="JDZ5" s="224"/>
      <c r="JEA5" s="224"/>
      <c r="JEB5" s="225"/>
      <c r="JEC5" s="223" t="s">
        <v>44</v>
      </c>
      <c r="JED5" s="224"/>
      <c r="JEE5" s="224"/>
      <c r="JEF5" s="225"/>
      <c r="JEG5" s="223" t="s">
        <v>44</v>
      </c>
      <c r="JEH5" s="224"/>
      <c r="JEI5" s="224"/>
      <c r="JEJ5" s="225"/>
      <c r="JEK5" s="223" t="s">
        <v>44</v>
      </c>
      <c r="JEL5" s="224"/>
      <c r="JEM5" s="224"/>
      <c r="JEN5" s="225"/>
      <c r="JEO5" s="223" t="s">
        <v>44</v>
      </c>
      <c r="JEP5" s="224"/>
      <c r="JEQ5" s="224"/>
      <c r="JER5" s="225"/>
      <c r="JES5" s="223" t="s">
        <v>44</v>
      </c>
      <c r="JET5" s="224"/>
      <c r="JEU5" s="224"/>
      <c r="JEV5" s="225"/>
      <c r="JEW5" s="223" t="s">
        <v>44</v>
      </c>
      <c r="JEX5" s="224"/>
      <c r="JEY5" s="224"/>
      <c r="JEZ5" s="225"/>
      <c r="JFA5" s="223" t="s">
        <v>44</v>
      </c>
      <c r="JFB5" s="224"/>
      <c r="JFC5" s="224"/>
      <c r="JFD5" s="225"/>
      <c r="JFE5" s="223" t="s">
        <v>44</v>
      </c>
      <c r="JFF5" s="224"/>
      <c r="JFG5" s="224"/>
      <c r="JFH5" s="225"/>
      <c r="JFI5" s="223" t="s">
        <v>44</v>
      </c>
      <c r="JFJ5" s="224"/>
      <c r="JFK5" s="224"/>
      <c r="JFL5" s="225"/>
      <c r="JFM5" s="223" t="s">
        <v>44</v>
      </c>
      <c r="JFN5" s="224"/>
      <c r="JFO5" s="224"/>
      <c r="JFP5" s="225"/>
      <c r="JFQ5" s="223" t="s">
        <v>44</v>
      </c>
      <c r="JFR5" s="224"/>
      <c r="JFS5" s="224"/>
      <c r="JFT5" s="225"/>
      <c r="JFU5" s="223" t="s">
        <v>44</v>
      </c>
      <c r="JFV5" s="224"/>
      <c r="JFW5" s="224"/>
      <c r="JFX5" s="225"/>
      <c r="JFY5" s="223" t="s">
        <v>44</v>
      </c>
      <c r="JFZ5" s="224"/>
      <c r="JGA5" s="224"/>
      <c r="JGB5" s="225"/>
      <c r="JGC5" s="223" t="s">
        <v>44</v>
      </c>
      <c r="JGD5" s="224"/>
      <c r="JGE5" s="224"/>
      <c r="JGF5" s="225"/>
      <c r="JGG5" s="223" t="s">
        <v>44</v>
      </c>
      <c r="JGH5" s="224"/>
      <c r="JGI5" s="224"/>
      <c r="JGJ5" s="225"/>
      <c r="JGK5" s="223" t="s">
        <v>44</v>
      </c>
      <c r="JGL5" s="224"/>
      <c r="JGM5" s="224"/>
      <c r="JGN5" s="225"/>
      <c r="JGO5" s="223" t="s">
        <v>44</v>
      </c>
      <c r="JGP5" s="224"/>
      <c r="JGQ5" s="224"/>
      <c r="JGR5" s="225"/>
      <c r="JGS5" s="223" t="s">
        <v>44</v>
      </c>
      <c r="JGT5" s="224"/>
      <c r="JGU5" s="224"/>
      <c r="JGV5" s="225"/>
      <c r="JGW5" s="223" t="s">
        <v>44</v>
      </c>
      <c r="JGX5" s="224"/>
      <c r="JGY5" s="224"/>
      <c r="JGZ5" s="225"/>
      <c r="JHA5" s="223" t="s">
        <v>44</v>
      </c>
      <c r="JHB5" s="224"/>
      <c r="JHC5" s="224"/>
      <c r="JHD5" s="225"/>
      <c r="JHE5" s="223" t="s">
        <v>44</v>
      </c>
      <c r="JHF5" s="224"/>
      <c r="JHG5" s="224"/>
      <c r="JHH5" s="225"/>
      <c r="JHI5" s="223" t="s">
        <v>44</v>
      </c>
      <c r="JHJ5" s="224"/>
      <c r="JHK5" s="224"/>
      <c r="JHL5" s="225"/>
      <c r="JHM5" s="223" t="s">
        <v>44</v>
      </c>
      <c r="JHN5" s="224"/>
      <c r="JHO5" s="224"/>
      <c r="JHP5" s="225"/>
      <c r="JHQ5" s="223" t="s">
        <v>44</v>
      </c>
      <c r="JHR5" s="224"/>
      <c r="JHS5" s="224"/>
      <c r="JHT5" s="225"/>
      <c r="JHU5" s="223" t="s">
        <v>44</v>
      </c>
      <c r="JHV5" s="224"/>
      <c r="JHW5" s="224"/>
      <c r="JHX5" s="225"/>
      <c r="JHY5" s="223" t="s">
        <v>44</v>
      </c>
      <c r="JHZ5" s="224"/>
      <c r="JIA5" s="224"/>
      <c r="JIB5" s="225"/>
      <c r="JIC5" s="223" t="s">
        <v>44</v>
      </c>
      <c r="JID5" s="224"/>
      <c r="JIE5" s="224"/>
      <c r="JIF5" s="225"/>
      <c r="JIG5" s="223" t="s">
        <v>44</v>
      </c>
      <c r="JIH5" s="224"/>
      <c r="JII5" s="224"/>
      <c r="JIJ5" s="225"/>
      <c r="JIK5" s="223" t="s">
        <v>44</v>
      </c>
      <c r="JIL5" s="224"/>
      <c r="JIM5" s="224"/>
      <c r="JIN5" s="225"/>
      <c r="JIO5" s="223" t="s">
        <v>44</v>
      </c>
      <c r="JIP5" s="224"/>
      <c r="JIQ5" s="224"/>
      <c r="JIR5" s="225"/>
      <c r="JIS5" s="223" t="s">
        <v>44</v>
      </c>
      <c r="JIT5" s="224"/>
      <c r="JIU5" s="224"/>
      <c r="JIV5" s="225"/>
      <c r="JIW5" s="223" t="s">
        <v>44</v>
      </c>
      <c r="JIX5" s="224"/>
      <c r="JIY5" s="224"/>
      <c r="JIZ5" s="225"/>
      <c r="JJA5" s="223" t="s">
        <v>44</v>
      </c>
      <c r="JJB5" s="224"/>
      <c r="JJC5" s="224"/>
      <c r="JJD5" s="225"/>
      <c r="JJE5" s="223" t="s">
        <v>44</v>
      </c>
      <c r="JJF5" s="224"/>
      <c r="JJG5" s="224"/>
      <c r="JJH5" s="225"/>
      <c r="JJI5" s="223" t="s">
        <v>44</v>
      </c>
      <c r="JJJ5" s="224"/>
      <c r="JJK5" s="224"/>
      <c r="JJL5" s="225"/>
      <c r="JJM5" s="223" t="s">
        <v>44</v>
      </c>
      <c r="JJN5" s="224"/>
      <c r="JJO5" s="224"/>
      <c r="JJP5" s="225"/>
      <c r="JJQ5" s="223" t="s">
        <v>44</v>
      </c>
      <c r="JJR5" s="224"/>
      <c r="JJS5" s="224"/>
      <c r="JJT5" s="225"/>
      <c r="JJU5" s="223" t="s">
        <v>44</v>
      </c>
      <c r="JJV5" s="224"/>
      <c r="JJW5" s="224"/>
      <c r="JJX5" s="225"/>
      <c r="JJY5" s="223" t="s">
        <v>44</v>
      </c>
      <c r="JJZ5" s="224"/>
      <c r="JKA5" s="224"/>
      <c r="JKB5" s="225"/>
      <c r="JKC5" s="223" t="s">
        <v>44</v>
      </c>
      <c r="JKD5" s="224"/>
      <c r="JKE5" s="224"/>
      <c r="JKF5" s="225"/>
      <c r="JKG5" s="223" t="s">
        <v>44</v>
      </c>
      <c r="JKH5" s="224"/>
      <c r="JKI5" s="224"/>
      <c r="JKJ5" s="225"/>
      <c r="JKK5" s="223" t="s">
        <v>44</v>
      </c>
      <c r="JKL5" s="224"/>
      <c r="JKM5" s="224"/>
      <c r="JKN5" s="225"/>
      <c r="JKO5" s="223" t="s">
        <v>44</v>
      </c>
      <c r="JKP5" s="224"/>
      <c r="JKQ5" s="224"/>
      <c r="JKR5" s="225"/>
      <c r="JKS5" s="223" t="s">
        <v>44</v>
      </c>
      <c r="JKT5" s="224"/>
      <c r="JKU5" s="224"/>
      <c r="JKV5" s="225"/>
      <c r="JKW5" s="223" t="s">
        <v>44</v>
      </c>
      <c r="JKX5" s="224"/>
      <c r="JKY5" s="224"/>
      <c r="JKZ5" s="225"/>
      <c r="JLA5" s="223" t="s">
        <v>44</v>
      </c>
      <c r="JLB5" s="224"/>
      <c r="JLC5" s="224"/>
      <c r="JLD5" s="225"/>
      <c r="JLE5" s="223" t="s">
        <v>44</v>
      </c>
      <c r="JLF5" s="224"/>
      <c r="JLG5" s="224"/>
      <c r="JLH5" s="225"/>
      <c r="JLI5" s="223" t="s">
        <v>44</v>
      </c>
      <c r="JLJ5" s="224"/>
      <c r="JLK5" s="224"/>
      <c r="JLL5" s="225"/>
      <c r="JLM5" s="223" t="s">
        <v>44</v>
      </c>
      <c r="JLN5" s="224"/>
      <c r="JLO5" s="224"/>
      <c r="JLP5" s="225"/>
      <c r="JLQ5" s="223" t="s">
        <v>44</v>
      </c>
      <c r="JLR5" s="224"/>
      <c r="JLS5" s="224"/>
      <c r="JLT5" s="225"/>
      <c r="JLU5" s="223" t="s">
        <v>44</v>
      </c>
      <c r="JLV5" s="224"/>
      <c r="JLW5" s="224"/>
      <c r="JLX5" s="225"/>
      <c r="JLY5" s="223" t="s">
        <v>44</v>
      </c>
      <c r="JLZ5" s="224"/>
      <c r="JMA5" s="224"/>
      <c r="JMB5" s="225"/>
      <c r="JMC5" s="223" t="s">
        <v>44</v>
      </c>
      <c r="JMD5" s="224"/>
      <c r="JME5" s="224"/>
      <c r="JMF5" s="225"/>
      <c r="JMG5" s="223" t="s">
        <v>44</v>
      </c>
      <c r="JMH5" s="224"/>
      <c r="JMI5" s="224"/>
      <c r="JMJ5" s="225"/>
      <c r="JMK5" s="223" t="s">
        <v>44</v>
      </c>
      <c r="JML5" s="224"/>
      <c r="JMM5" s="224"/>
      <c r="JMN5" s="225"/>
      <c r="JMO5" s="223" t="s">
        <v>44</v>
      </c>
      <c r="JMP5" s="224"/>
      <c r="JMQ5" s="224"/>
      <c r="JMR5" s="225"/>
      <c r="JMS5" s="223" t="s">
        <v>44</v>
      </c>
      <c r="JMT5" s="224"/>
      <c r="JMU5" s="224"/>
      <c r="JMV5" s="225"/>
      <c r="JMW5" s="223" t="s">
        <v>44</v>
      </c>
      <c r="JMX5" s="224"/>
      <c r="JMY5" s="224"/>
      <c r="JMZ5" s="225"/>
      <c r="JNA5" s="223" t="s">
        <v>44</v>
      </c>
      <c r="JNB5" s="224"/>
      <c r="JNC5" s="224"/>
      <c r="JND5" s="225"/>
      <c r="JNE5" s="223" t="s">
        <v>44</v>
      </c>
      <c r="JNF5" s="224"/>
      <c r="JNG5" s="224"/>
      <c r="JNH5" s="225"/>
      <c r="JNI5" s="223" t="s">
        <v>44</v>
      </c>
      <c r="JNJ5" s="224"/>
      <c r="JNK5" s="224"/>
      <c r="JNL5" s="225"/>
      <c r="JNM5" s="223" t="s">
        <v>44</v>
      </c>
      <c r="JNN5" s="224"/>
      <c r="JNO5" s="224"/>
      <c r="JNP5" s="225"/>
      <c r="JNQ5" s="223" t="s">
        <v>44</v>
      </c>
      <c r="JNR5" s="224"/>
      <c r="JNS5" s="224"/>
      <c r="JNT5" s="225"/>
      <c r="JNU5" s="223" t="s">
        <v>44</v>
      </c>
      <c r="JNV5" s="224"/>
      <c r="JNW5" s="224"/>
      <c r="JNX5" s="225"/>
      <c r="JNY5" s="223" t="s">
        <v>44</v>
      </c>
      <c r="JNZ5" s="224"/>
      <c r="JOA5" s="224"/>
      <c r="JOB5" s="225"/>
      <c r="JOC5" s="223" t="s">
        <v>44</v>
      </c>
      <c r="JOD5" s="224"/>
      <c r="JOE5" s="224"/>
      <c r="JOF5" s="225"/>
      <c r="JOG5" s="223" t="s">
        <v>44</v>
      </c>
      <c r="JOH5" s="224"/>
      <c r="JOI5" s="224"/>
      <c r="JOJ5" s="225"/>
      <c r="JOK5" s="223" t="s">
        <v>44</v>
      </c>
      <c r="JOL5" s="224"/>
      <c r="JOM5" s="224"/>
      <c r="JON5" s="225"/>
      <c r="JOO5" s="223" t="s">
        <v>44</v>
      </c>
      <c r="JOP5" s="224"/>
      <c r="JOQ5" s="224"/>
      <c r="JOR5" s="225"/>
      <c r="JOS5" s="223" t="s">
        <v>44</v>
      </c>
      <c r="JOT5" s="224"/>
      <c r="JOU5" s="224"/>
      <c r="JOV5" s="225"/>
      <c r="JOW5" s="223" t="s">
        <v>44</v>
      </c>
      <c r="JOX5" s="224"/>
      <c r="JOY5" s="224"/>
      <c r="JOZ5" s="225"/>
      <c r="JPA5" s="223" t="s">
        <v>44</v>
      </c>
      <c r="JPB5" s="224"/>
      <c r="JPC5" s="224"/>
      <c r="JPD5" s="225"/>
      <c r="JPE5" s="223" t="s">
        <v>44</v>
      </c>
      <c r="JPF5" s="224"/>
      <c r="JPG5" s="224"/>
      <c r="JPH5" s="225"/>
      <c r="JPI5" s="223" t="s">
        <v>44</v>
      </c>
      <c r="JPJ5" s="224"/>
      <c r="JPK5" s="224"/>
      <c r="JPL5" s="225"/>
      <c r="JPM5" s="223" t="s">
        <v>44</v>
      </c>
      <c r="JPN5" s="224"/>
      <c r="JPO5" s="224"/>
      <c r="JPP5" s="225"/>
      <c r="JPQ5" s="223" t="s">
        <v>44</v>
      </c>
      <c r="JPR5" s="224"/>
      <c r="JPS5" s="224"/>
      <c r="JPT5" s="225"/>
      <c r="JPU5" s="223" t="s">
        <v>44</v>
      </c>
      <c r="JPV5" s="224"/>
      <c r="JPW5" s="224"/>
      <c r="JPX5" s="225"/>
      <c r="JPY5" s="223" t="s">
        <v>44</v>
      </c>
      <c r="JPZ5" s="224"/>
      <c r="JQA5" s="224"/>
      <c r="JQB5" s="225"/>
      <c r="JQC5" s="223" t="s">
        <v>44</v>
      </c>
      <c r="JQD5" s="224"/>
      <c r="JQE5" s="224"/>
      <c r="JQF5" s="225"/>
      <c r="JQG5" s="223" t="s">
        <v>44</v>
      </c>
      <c r="JQH5" s="224"/>
      <c r="JQI5" s="224"/>
      <c r="JQJ5" s="225"/>
      <c r="JQK5" s="223" t="s">
        <v>44</v>
      </c>
      <c r="JQL5" s="224"/>
      <c r="JQM5" s="224"/>
      <c r="JQN5" s="225"/>
      <c r="JQO5" s="223" t="s">
        <v>44</v>
      </c>
      <c r="JQP5" s="224"/>
      <c r="JQQ5" s="224"/>
      <c r="JQR5" s="225"/>
      <c r="JQS5" s="223" t="s">
        <v>44</v>
      </c>
      <c r="JQT5" s="224"/>
      <c r="JQU5" s="224"/>
      <c r="JQV5" s="225"/>
      <c r="JQW5" s="223" t="s">
        <v>44</v>
      </c>
      <c r="JQX5" s="224"/>
      <c r="JQY5" s="224"/>
      <c r="JQZ5" s="225"/>
      <c r="JRA5" s="223" t="s">
        <v>44</v>
      </c>
      <c r="JRB5" s="224"/>
      <c r="JRC5" s="224"/>
      <c r="JRD5" s="225"/>
      <c r="JRE5" s="223" t="s">
        <v>44</v>
      </c>
      <c r="JRF5" s="224"/>
      <c r="JRG5" s="224"/>
      <c r="JRH5" s="225"/>
      <c r="JRI5" s="223" t="s">
        <v>44</v>
      </c>
      <c r="JRJ5" s="224"/>
      <c r="JRK5" s="224"/>
      <c r="JRL5" s="225"/>
      <c r="JRM5" s="223" t="s">
        <v>44</v>
      </c>
      <c r="JRN5" s="224"/>
      <c r="JRO5" s="224"/>
      <c r="JRP5" s="225"/>
      <c r="JRQ5" s="223" t="s">
        <v>44</v>
      </c>
      <c r="JRR5" s="224"/>
      <c r="JRS5" s="224"/>
      <c r="JRT5" s="225"/>
      <c r="JRU5" s="223" t="s">
        <v>44</v>
      </c>
      <c r="JRV5" s="224"/>
      <c r="JRW5" s="224"/>
      <c r="JRX5" s="225"/>
      <c r="JRY5" s="223" t="s">
        <v>44</v>
      </c>
      <c r="JRZ5" s="224"/>
      <c r="JSA5" s="224"/>
      <c r="JSB5" s="225"/>
      <c r="JSC5" s="223" t="s">
        <v>44</v>
      </c>
      <c r="JSD5" s="224"/>
      <c r="JSE5" s="224"/>
      <c r="JSF5" s="225"/>
      <c r="JSG5" s="223" t="s">
        <v>44</v>
      </c>
      <c r="JSH5" s="224"/>
      <c r="JSI5" s="224"/>
      <c r="JSJ5" s="225"/>
      <c r="JSK5" s="223" t="s">
        <v>44</v>
      </c>
      <c r="JSL5" s="224"/>
      <c r="JSM5" s="224"/>
      <c r="JSN5" s="225"/>
      <c r="JSO5" s="223" t="s">
        <v>44</v>
      </c>
      <c r="JSP5" s="224"/>
      <c r="JSQ5" s="224"/>
      <c r="JSR5" s="225"/>
      <c r="JSS5" s="223" t="s">
        <v>44</v>
      </c>
      <c r="JST5" s="224"/>
      <c r="JSU5" s="224"/>
      <c r="JSV5" s="225"/>
      <c r="JSW5" s="223" t="s">
        <v>44</v>
      </c>
      <c r="JSX5" s="224"/>
      <c r="JSY5" s="224"/>
      <c r="JSZ5" s="225"/>
      <c r="JTA5" s="223" t="s">
        <v>44</v>
      </c>
      <c r="JTB5" s="224"/>
      <c r="JTC5" s="224"/>
      <c r="JTD5" s="225"/>
      <c r="JTE5" s="223" t="s">
        <v>44</v>
      </c>
      <c r="JTF5" s="224"/>
      <c r="JTG5" s="224"/>
      <c r="JTH5" s="225"/>
      <c r="JTI5" s="223" t="s">
        <v>44</v>
      </c>
      <c r="JTJ5" s="224"/>
      <c r="JTK5" s="224"/>
      <c r="JTL5" s="225"/>
      <c r="JTM5" s="223" t="s">
        <v>44</v>
      </c>
      <c r="JTN5" s="224"/>
      <c r="JTO5" s="224"/>
      <c r="JTP5" s="225"/>
      <c r="JTQ5" s="223" t="s">
        <v>44</v>
      </c>
      <c r="JTR5" s="224"/>
      <c r="JTS5" s="224"/>
      <c r="JTT5" s="225"/>
      <c r="JTU5" s="223" t="s">
        <v>44</v>
      </c>
      <c r="JTV5" s="224"/>
      <c r="JTW5" s="224"/>
      <c r="JTX5" s="225"/>
      <c r="JTY5" s="223" t="s">
        <v>44</v>
      </c>
      <c r="JTZ5" s="224"/>
      <c r="JUA5" s="224"/>
      <c r="JUB5" s="225"/>
      <c r="JUC5" s="223" t="s">
        <v>44</v>
      </c>
      <c r="JUD5" s="224"/>
      <c r="JUE5" s="224"/>
      <c r="JUF5" s="225"/>
      <c r="JUG5" s="223" t="s">
        <v>44</v>
      </c>
      <c r="JUH5" s="224"/>
      <c r="JUI5" s="224"/>
      <c r="JUJ5" s="225"/>
      <c r="JUK5" s="223" t="s">
        <v>44</v>
      </c>
      <c r="JUL5" s="224"/>
      <c r="JUM5" s="224"/>
      <c r="JUN5" s="225"/>
      <c r="JUO5" s="223" t="s">
        <v>44</v>
      </c>
      <c r="JUP5" s="224"/>
      <c r="JUQ5" s="224"/>
      <c r="JUR5" s="225"/>
      <c r="JUS5" s="223" t="s">
        <v>44</v>
      </c>
      <c r="JUT5" s="224"/>
      <c r="JUU5" s="224"/>
      <c r="JUV5" s="225"/>
      <c r="JUW5" s="223" t="s">
        <v>44</v>
      </c>
      <c r="JUX5" s="224"/>
      <c r="JUY5" s="224"/>
      <c r="JUZ5" s="225"/>
      <c r="JVA5" s="223" t="s">
        <v>44</v>
      </c>
      <c r="JVB5" s="224"/>
      <c r="JVC5" s="224"/>
      <c r="JVD5" s="225"/>
      <c r="JVE5" s="223" t="s">
        <v>44</v>
      </c>
      <c r="JVF5" s="224"/>
      <c r="JVG5" s="224"/>
      <c r="JVH5" s="225"/>
      <c r="JVI5" s="223" t="s">
        <v>44</v>
      </c>
      <c r="JVJ5" s="224"/>
      <c r="JVK5" s="224"/>
      <c r="JVL5" s="225"/>
      <c r="JVM5" s="223" t="s">
        <v>44</v>
      </c>
      <c r="JVN5" s="224"/>
      <c r="JVO5" s="224"/>
      <c r="JVP5" s="225"/>
      <c r="JVQ5" s="223" t="s">
        <v>44</v>
      </c>
      <c r="JVR5" s="224"/>
      <c r="JVS5" s="224"/>
      <c r="JVT5" s="225"/>
      <c r="JVU5" s="223" t="s">
        <v>44</v>
      </c>
      <c r="JVV5" s="224"/>
      <c r="JVW5" s="224"/>
      <c r="JVX5" s="225"/>
      <c r="JVY5" s="223" t="s">
        <v>44</v>
      </c>
      <c r="JVZ5" s="224"/>
      <c r="JWA5" s="224"/>
      <c r="JWB5" s="225"/>
      <c r="JWC5" s="223" t="s">
        <v>44</v>
      </c>
      <c r="JWD5" s="224"/>
      <c r="JWE5" s="224"/>
      <c r="JWF5" s="225"/>
      <c r="JWG5" s="223" t="s">
        <v>44</v>
      </c>
      <c r="JWH5" s="224"/>
      <c r="JWI5" s="224"/>
      <c r="JWJ5" s="225"/>
      <c r="JWK5" s="223" t="s">
        <v>44</v>
      </c>
      <c r="JWL5" s="224"/>
      <c r="JWM5" s="224"/>
      <c r="JWN5" s="225"/>
      <c r="JWO5" s="223" t="s">
        <v>44</v>
      </c>
      <c r="JWP5" s="224"/>
      <c r="JWQ5" s="224"/>
      <c r="JWR5" s="225"/>
      <c r="JWS5" s="223" t="s">
        <v>44</v>
      </c>
      <c r="JWT5" s="224"/>
      <c r="JWU5" s="224"/>
      <c r="JWV5" s="225"/>
      <c r="JWW5" s="223" t="s">
        <v>44</v>
      </c>
      <c r="JWX5" s="224"/>
      <c r="JWY5" s="224"/>
      <c r="JWZ5" s="225"/>
      <c r="JXA5" s="223" t="s">
        <v>44</v>
      </c>
      <c r="JXB5" s="224"/>
      <c r="JXC5" s="224"/>
      <c r="JXD5" s="225"/>
      <c r="JXE5" s="223" t="s">
        <v>44</v>
      </c>
      <c r="JXF5" s="224"/>
      <c r="JXG5" s="224"/>
      <c r="JXH5" s="225"/>
      <c r="JXI5" s="223" t="s">
        <v>44</v>
      </c>
      <c r="JXJ5" s="224"/>
      <c r="JXK5" s="224"/>
      <c r="JXL5" s="225"/>
      <c r="JXM5" s="223" t="s">
        <v>44</v>
      </c>
      <c r="JXN5" s="224"/>
      <c r="JXO5" s="224"/>
      <c r="JXP5" s="225"/>
      <c r="JXQ5" s="223" t="s">
        <v>44</v>
      </c>
      <c r="JXR5" s="224"/>
      <c r="JXS5" s="224"/>
      <c r="JXT5" s="225"/>
      <c r="JXU5" s="223" t="s">
        <v>44</v>
      </c>
      <c r="JXV5" s="224"/>
      <c r="JXW5" s="224"/>
      <c r="JXX5" s="225"/>
      <c r="JXY5" s="223" t="s">
        <v>44</v>
      </c>
      <c r="JXZ5" s="224"/>
      <c r="JYA5" s="224"/>
      <c r="JYB5" s="225"/>
      <c r="JYC5" s="223" t="s">
        <v>44</v>
      </c>
      <c r="JYD5" s="224"/>
      <c r="JYE5" s="224"/>
      <c r="JYF5" s="225"/>
      <c r="JYG5" s="223" t="s">
        <v>44</v>
      </c>
      <c r="JYH5" s="224"/>
      <c r="JYI5" s="224"/>
      <c r="JYJ5" s="225"/>
      <c r="JYK5" s="223" t="s">
        <v>44</v>
      </c>
      <c r="JYL5" s="224"/>
      <c r="JYM5" s="224"/>
      <c r="JYN5" s="225"/>
      <c r="JYO5" s="223" t="s">
        <v>44</v>
      </c>
      <c r="JYP5" s="224"/>
      <c r="JYQ5" s="224"/>
      <c r="JYR5" s="225"/>
      <c r="JYS5" s="223" t="s">
        <v>44</v>
      </c>
      <c r="JYT5" s="224"/>
      <c r="JYU5" s="224"/>
      <c r="JYV5" s="225"/>
      <c r="JYW5" s="223" t="s">
        <v>44</v>
      </c>
      <c r="JYX5" s="224"/>
      <c r="JYY5" s="224"/>
      <c r="JYZ5" s="225"/>
      <c r="JZA5" s="223" t="s">
        <v>44</v>
      </c>
      <c r="JZB5" s="224"/>
      <c r="JZC5" s="224"/>
      <c r="JZD5" s="225"/>
      <c r="JZE5" s="223" t="s">
        <v>44</v>
      </c>
      <c r="JZF5" s="224"/>
      <c r="JZG5" s="224"/>
      <c r="JZH5" s="225"/>
      <c r="JZI5" s="223" t="s">
        <v>44</v>
      </c>
      <c r="JZJ5" s="224"/>
      <c r="JZK5" s="224"/>
      <c r="JZL5" s="225"/>
      <c r="JZM5" s="223" t="s">
        <v>44</v>
      </c>
      <c r="JZN5" s="224"/>
      <c r="JZO5" s="224"/>
      <c r="JZP5" s="225"/>
      <c r="JZQ5" s="223" t="s">
        <v>44</v>
      </c>
      <c r="JZR5" s="224"/>
      <c r="JZS5" s="224"/>
      <c r="JZT5" s="225"/>
      <c r="JZU5" s="223" t="s">
        <v>44</v>
      </c>
      <c r="JZV5" s="224"/>
      <c r="JZW5" s="224"/>
      <c r="JZX5" s="225"/>
      <c r="JZY5" s="223" t="s">
        <v>44</v>
      </c>
      <c r="JZZ5" s="224"/>
      <c r="KAA5" s="224"/>
      <c r="KAB5" s="225"/>
      <c r="KAC5" s="223" t="s">
        <v>44</v>
      </c>
      <c r="KAD5" s="224"/>
      <c r="KAE5" s="224"/>
      <c r="KAF5" s="225"/>
      <c r="KAG5" s="223" t="s">
        <v>44</v>
      </c>
      <c r="KAH5" s="224"/>
      <c r="KAI5" s="224"/>
      <c r="KAJ5" s="225"/>
      <c r="KAK5" s="223" t="s">
        <v>44</v>
      </c>
      <c r="KAL5" s="224"/>
      <c r="KAM5" s="224"/>
      <c r="KAN5" s="225"/>
      <c r="KAO5" s="223" t="s">
        <v>44</v>
      </c>
      <c r="KAP5" s="224"/>
      <c r="KAQ5" s="224"/>
      <c r="KAR5" s="225"/>
      <c r="KAS5" s="223" t="s">
        <v>44</v>
      </c>
      <c r="KAT5" s="224"/>
      <c r="KAU5" s="224"/>
      <c r="KAV5" s="225"/>
      <c r="KAW5" s="223" t="s">
        <v>44</v>
      </c>
      <c r="KAX5" s="224"/>
      <c r="KAY5" s="224"/>
      <c r="KAZ5" s="225"/>
      <c r="KBA5" s="223" t="s">
        <v>44</v>
      </c>
      <c r="KBB5" s="224"/>
      <c r="KBC5" s="224"/>
      <c r="KBD5" s="225"/>
      <c r="KBE5" s="223" t="s">
        <v>44</v>
      </c>
      <c r="KBF5" s="224"/>
      <c r="KBG5" s="224"/>
      <c r="KBH5" s="225"/>
      <c r="KBI5" s="223" t="s">
        <v>44</v>
      </c>
      <c r="KBJ5" s="224"/>
      <c r="KBK5" s="224"/>
      <c r="KBL5" s="225"/>
      <c r="KBM5" s="223" t="s">
        <v>44</v>
      </c>
      <c r="KBN5" s="224"/>
      <c r="KBO5" s="224"/>
      <c r="KBP5" s="225"/>
      <c r="KBQ5" s="223" t="s">
        <v>44</v>
      </c>
      <c r="KBR5" s="224"/>
      <c r="KBS5" s="224"/>
      <c r="KBT5" s="225"/>
      <c r="KBU5" s="223" t="s">
        <v>44</v>
      </c>
      <c r="KBV5" s="224"/>
      <c r="KBW5" s="224"/>
      <c r="KBX5" s="225"/>
      <c r="KBY5" s="223" t="s">
        <v>44</v>
      </c>
      <c r="KBZ5" s="224"/>
      <c r="KCA5" s="224"/>
      <c r="KCB5" s="225"/>
      <c r="KCC5" s="223" t="s">
        <v>44</v>
      </c>
      <c r="KCD5" s="224"/>
      <c r="KCE5" s="224"/>
      <c r="KCF5" s="225"/>
      <c r="KCG5" s="223" t="s">
        <v>44</v>
      </c>
      <c r="KCH5" s="224"/>
      <c r="KCI5" s="224"/>
      <c r="KCJ5" s="225"/>
      <c r="KCK5" s="223" t="s">
        <v>44</v>
      </c>
      <c r="KCL5" s="224"/>
      <c r="KCM5" s="224"/>
      <c r="KCN5" s="225"/>
      <c r="KCO5" s="223" t="s">
        <v>44</v>
      </c>
      <c r="KCP5" s="224"/>
      <c r="KCQ5" s="224"/>
      <c r="KCR5" s="225"/>
      <c r="KCS5" s="223" t="s">
        <v>44</v>
      </c>
      <c r="KCT5" s="224"/>
      <c r="KCU5" s="224"/>
      <c r="KCV5" s="225"/>
      <c r="KCW5" s="223" t="s">
        <v>44</v>
      </c>
      <c r="KCX5" s="224"/>
      <c r="KCY5" s="224"/>
      <c r="KCZ5" s="225"/>
      <c r="KDA5" s="223" t="s">
        <v>44</v>
      </c>
      <c r="KDB5" s="224"/>
      <c r="KDC5" s="224"/>
      <c r="KDD5" s="225"/>
      <c r="KDE5" s="223" t="s">
        <v>44</v>
      </c>
      <c r="KDF5" s="224"/>
      <c r="KDG5" s="224"/>
      <c r="KDH5" s="225"/>
      <c r="KDI5" s="223" t="s">
        <v>44</v>
      </c>
      <c r="KDJ5" s="224"/>
      <c r="KDK5" s="224"/>
      <c r="KDL5" s="225"/>
      <c r="KDM5" s="223" t="s">
        <v>44</v>
      </c>
      <c r="KDN5" s="224"/>
      <c r="KDO5" s="224"/>
      <c r="KDP5" s="225"/>
      <c r="KDQ5" s="223" t="s">
        <v>44</v>
      </c>
      <c r="KDR5" s="224"/>
      <c r="KDS5" s="224"/>
      <c r="KDT5" s="225"/>
      <c r="KDU5" s="223" t="s">
        <v>44</v>
      </c>
      <c r="KDV5" s="224"/>
      <c r="KDW5" s="224"/>
      <c r="KDX5" s="225"/>
      <c r="KDY5" s="223" t="s">
        <v>44</v>
      </c>
      <c r="KDZ5" s="224"/>
      <c r="KEA5" s="224"/>
      <c r="KEB5" s="225"/>
      <c r="KEC5" s="223" t="s">
        <v>44</v>
      </c>
      <c r="KED5" s="224"/>
      <c r="KEE5" s="224"/>
      <c r="KEF5" s="225"/>
      <c r="KEG5" s="223" t="s">
        <v>44</v>
      </c>
      <c r="KEH5" s="224"/>
      <c r="KEI5" s="224"/>
      <c r="KEJ5" s="225"/>
      <c r="KEK5" s="223" t="s">
        <v>44</v>
      </c>
      <c r="KEL5" s="224"/>
      <c r="KEM5" s="224"/>
      <c r="KEN5" s="225"/>
      <c r="KEO5" s="223" t="s">
        <v>44</v>
      </c>
      <c r="KEP5" s="224"/>
      <c r="KEQ5" s="224"/>
      <c r="KER5" s="225"/>
      <c r="KES5" s="223" t="s">
        <v>44</v>
      </c>
      <c r="KET5" s="224"/>
      <c r="KEU5" s="224"/>
      <c r="KEV5" s="225"/>
      <c r="KEW5" s="223" t="s">
        <v>44</v>
      </c>
      <c r="KEX5" s="224"/>
      <c r="KEY5" s="224"/>
      <c r="KEZ5" s="225"/>
      <c r="KFA5" s="223" t="s">
        <v>44</v>
      </c>
      <c r="KFB5" s="224"/>
      <c r="KFC5" s="224"/>
      <c r="KFD5" s="225"/>
      <c r="KFE5" s="223" t="s">
        <v>44</v>
      </c>
      <c r="KFF5" s="224"/>
      <c r="KFG5" s="224"/>
      <c r="KFH5" s="225"/>
      <c r="KFI5" s="223" t="s">
        <v>44</v>
      </c>
      <c r="KFJ5" s="224"/>
      <c r="KFK5" s="224"/>
      <c r="KFL5" s="225"/>
      <c r="KFM5" s="223" t="s">
        <v>44</v>
      </c>
      <c r="KFN5" s="224"/>
      <c r="KFO5" s="224"/>
      <c r="KFP5" s="225"/>
      <c r="KFQ5" s="223" t="s">
        <v>44</v>
      </c>
      <c r="KFR5" s="224"/>
      <c r="KFS5" s="224"/>
      <c r="KFT5" s="225"/>
      <c r="KFU5" s="223" t="s">
        <v>44</v>
      </c>
      <c r="KFV5" s="224"/>
      <c r="KFW5" s="224"/>
      <c r="KFX5" s="225"/>
      <c r="KFY5" s="223" t="s">
        <v>44</v>
      </c>
      <c r="KFZ5" s="224"/>
      <c r="KGA5" s="224"/>
      <c r="KGB5" s="225"/>
      <c r="KGC5" s="223" t="s">
        <v>44</v>
      </c>
      <c r="KGD5" s="224"/>
      <c r="KGE5" s="224"/>
      <c r="KGF5" s="225"/>
      <c r="KGG5" s="223" t="s">
        <v>44</v>
      </c>
      <c r="KGH5" s="224"/>
      <c r="KGI5" s="224"/>
      <c r="KGJ5" s="225"/>
      <c r="KGK5" s="223" t="s">
        <v>44</v>
      </c>
      <c r="KGL5" s="224"/>
      <c r="KGM5" s="224"/>
      <c r="KGN5" s="225"/>
      <c r="KGO5" s="223" t="s">
        <v>44</v>
      </c>
      <c r="KGP5" s="224"/>
      <c r="KGQ5" s="224"/>
      <c r="KGR5" s="225"/>
      <c r="KGS5" s="223" t="s">
        <v>44</v>
      </c>
      <c r="KGT5" s="224"/>
      <c r="KGU5" s="224"/>
      <c r="KGV5" s="225"/>
      <c r="KGW5" s="223" t="s">
        <v>44</v>
      </c>
      <c r="KGX5" s="224"/>
      <c r="KGY5" s="224"/>
      <c r="KGZ5" s="225"/>
      <c r="KHA5" s="223" t="s">
        <v>44</v>
      </c>
      <c r="KHB5" s="224"/>
      <c r="KHC5" s="224"/>
      <c r="KHD5" s="225"/>
      <c r="KHE5" s="223" t="s">
        <v>44</v>
      </c>
      <c r="KHF5" s="224"/>
      <c r="KHG5" s="224"/>
      <c r="KHH5" s="225"/>
      <c r="KHI5" s="223" t="s">
        <v>44</v>
      </c>
      <c r="KHJ5" s="224"/>
      <c r="KHK5" s="224"/>
      <c r="KHL5" s="225"/>
      <c r="KHM5" s="223" t="s">
        <v>44</v>
      </c>
      <c r="KHN5" s="224"/>
      <c r="KHO5" s="224"/>
      <c r="KHP5" s="225"/>
      <c r="KHQ5" s="223" t="s">
        <v>44</v>
      </c>
      <c r="KHR5" s="224"/>
      <c r="KHS5" s="224"/>
      <c r="KHT5" s="225"/>
      <c r="KHU5" s="223" t="s">
        <v>44</v>
      </c>
      <c r="KHV5" s="224"/>
      <c r="KHW5" s="224"/>
      <c r="KHX5" s="225"/>
      <c r="KHY5" s="223" t="s">
        <v>44</v>
      </c>
      <c r="KHZ5" s="224"/>
      <c r="KIA5" s="224"/>
      <c r="KIB5" s="225"/>
      <c r="KIC5" s="223" t="s">
        <v>44</v>
      </c>
      <c r="KID5" s="224"/>
      <c r="KIE5" s="224"/>
      <c r="KIF5" s="225"/>
      <c r="KIG5" s="223" t="s">
        <v>44</v>
      </c>
      <c r="KIH5" s="224"/>
      <c r="KII5" s="224"/>
      <c r="KIJ5" s="225"/>
      <c r="KIK5" s="223" t="s">
        <v>44</v>
      </c>
      <c r="KIL5" s="224"/>
      <c r="KIM5" s="224"/>
      <c r="KIN5" s="225"/>
      <c r="KIO5" s="223" t="s">
        <v>44</v>
      </c>
      <c r="KIP5" s="224"/>
      <c r="KIQ5" s="224"/>
      <c r="KIR5" s="225"/>
      <c r="KIS5" s="223" t="s">
        <v>44</v>
      </c>
      <c r="KIT5" s="224"/>
      <c r="KIU5" s="224"/>
      <c r="KIV5" s="225"/>
      <c r="KIW5" s="223" t="s">
        <v>44</v>
      </c>
      <c r="KIX5" s="224"/>
      <c r="KIY5" s="224"/>
      <c r="KIZ5" s="225"/>
      <c r="KJA5" s="223" t="s">
        <v>44</v>
      </c>
      <c r="KJB5" s="224"/>
      <c r="KJC5" s="224"/>
      <c r="KJD5" s="225"/>
      <c r="KJE5" s="223" t="s">
        <v>44</v>
      </c>
      <c r="KJF5" s="224"/>
      <c r="KJG5" s="224"/>
      <c r="KJH5" s="225"/>
      <c r="KJI5" s="223" t="s">
        <v>44</v>
      </c>
      <c r="KJJ5" s="224"/>
      <c r="KJK5" s="224"/>
      <c r="KJL5" s="225"/>
      <c r="KJM5" s="223" t="s">
        <v>44</v>
      </c>
      <c r="KJN5" s="224"/>
      <c r="KJO5" s="224"/>
      <c r="KJP5" s="225"/>
      <c r="KJQ5" s="223" t="s">
        <v>44</v>
      </c>
      <c r="KJR5" s="224"/>
      <c r="KJS5" s="224"/>
      <c r="KJT5" s="225"/>
      <c r="KJU5" s="223" t="s">
        <v>44</v>
      </c>
      <c r="KJV5" s="224"/>
      <c r="KJW5" s="224"/>
      <c r="KJX5" s="225"/>
      <c r="KJY5" s="223" t="s">
        <v>44</v>
      </c>
      <c r="KJZ5" s="224"/>
      <c r="KKA5" s="224"/>
      <c r="KKB5" s="225"/>
      <c r="KKC5" s="223" t="s">
        <v>44</v>
      </c>
      <c r="KKD5" s="224"/>
      <c r="KKE5" s="224"/>
      <c r="KKF5" s="225"/>
      <c r="KKG5" s="223" t="s">
        <v>44</v>
      </c>
      <c r="KKH5" s="224"/>
      <c r="KKI5" s="224"/>
      <c r="KKJ5" s="225"/>
      <c r="KKK5" s="223" t="s">
        <v>44</v>
      </c>
      <c r="KKL5" s="224"/>
      <c r="KKM5" s="224"/>
      <c r="KKN5" s="225"/>
      <c r="KKO5" s="223" t="s">
        <v>44</v>
      </c>
      <c r="KKP5" s="224"/>
      <c r="KKQ5" s="224"/>
      <c r="KKR5" s="225"/>
      <c r="KKS5" s="223" t="s">
        <v>44</v>
      </c>
      <c r="KKT5" s="224"/>
      <c r="KKU5" s="224"/>
      <c r="KKV5" s="225"/>
      <c r="KKW5" s="223" t="s">
        <v>44</v>
      </c>
      <c r="KKX5" s="224"/>
      <c r="KKY5" s="224"/>
      <c r="KKZ5" s="225"/>
      <c r="KLA5" s="223" t="s">
        <v>44</v>
      </c>
      <c r="KLB5" s="224"/>
      <c r="KLC5" s="224"/>
      <c r="KLD5" s="225"/>
      <c r="KLE5" s="223" t="s">
        <v>44</v>
      </c>
      <c r="KLF5" s="224"/>
      <c r="KLG5" s="224"/>
      <c r="KLH5" s="225"/>
      <c r="KLI5" s="223" t="s">
        <v>44</v>
      </c>
      <c r="KLJ5" s="224"/>
      <c r="KLK5" s="224"/>
      <c r="KLL5" s="225"/>
      <c r="KLM5" s="223" t="s">
        <v>44</v>
      </c>
      <c r="KLN5" s="224"/>
      <c r="KLO5" s="224"/>
      <c r="KLP5" s="225"/>
      <c r="KLQ5" s="223" t="s">
        <v>44</v>
      </c>
      <c r="KLR5" s="224"/>
      <c r="KLS5" s="224"/>
      <c r="KLT5" s="225"/>
      <c r="KLU5" s="223" t="s">
        <v>44</v>
      </c>
      <c r="KLV5" s="224"/>
      <c r="KLW5" s="224"/>
      <c r="KLX5" s="225"/>
      <c r="KLY5" s="223" t="s">
        <v>44</v>
      </c>
      <c r="KLZ5" s="224"/>
      <c r="KMA5" s="224"/>
      <c r="KMB5" s="225"/>
      <c r="KMC5" s="223" t="s">
        <v>44</v>
      </c>
      <c r="KMD5" s="224"/>
      <c r="KME5" s="224"/>
      <c r="KMF5" s="225"/>
      <c r="KMG5" s="223" t="s">
        <v>44</v>
      </c>
      <c r="KMH5" s="224"/>
      <c r="KMI5" s="224"/>
      <c r="KMJ5" s="225"/>
      <c r="KMK5" s="223" t="s">
        <v>44</v>
      </c>
      <c r="KML5" s="224"/>
      <c r="KMM5" s="224"/>
      <c r="KMN5" s="225"/>
      <c r="KMO5" s="223" t="s">
        <v>44</v>
      </c>
      <c r="KMP5" s="224"/>
      <c r="KMQ5" s="224"/>
      <c r="KMR5" s="225"/>
      <c r="KMS5" s="223" t="s">
        <v>44</v>
      </c>
      <c r="KMT5" s="224"/>
      <c r="KMU5" s="224"/>
      <c r="KMV5" s="225"/>
      <c r="KMW5" s="223" t="s">
        <v>44</v>
      </c>
      <c r="KMX5" s="224"/>
      <c r="KMY5" s="224"/>
      <c r="KMZ5" s="225"/>
      <c r="KNA5" s="223" t="s">
        <v>44</v>
      </c>
      <c r="KNB5" s="224"/>
      <c r="KNC5" s="224"/>
      <c r="KND5" s="225"/>
      <c r="KNE5" s="223" t="s">
        <v>44</v>
      </c>
      <c r="KNF5" s="224"/>
      <c r="KNG5" s="224"/>
      <c r="KNH5" s="225"/>
      <c r="KNI5" s="223" t="s">
        <v>44</v>
      </c>
      <c r="KNJ5" s="224"/>
      <c r="KNK5" s="224"/>
      <c r="KNL5" s="225"/>
      <c r="KNM5" s="223" t="s">
        <v>44</v>
      </c>
      <c r="KNN5" s="224"/>
      <c r="KNO5" s="224"/>
      <c r="KNP5" s="225"/>
      <c r="KNQ5" s="223" t="s">
        <v>44</v>
      </c>
      <c r="KNR5" s="224"/>
      <c r="KNS5" s="224"/>
      <c r="KNT5" s="225"/>
      <c r="KNU5" s="223" t="s">
        <v>44</v>
      </c>
      <c r="KNV5" s="224"/>
      <c r="KNW5" s="224"/>
      <c r="KNX5" s="225"/>
      <c r="KNY5" s="223" t="s">
        <v>44</v>
      </c>
      <c r="KNZ5" s="224"/>
      <c r="KOA5" s="224"/>
      <c r="KOB5" s="225"/>
      <c r="KOC5" s="223" t="s">
        <v>44</v>
      </c>
      <c r="KOD5" s="224"/>
      <c r="KOE5" s="224"/>
      <c r="KOF5" s="225"/>
      <c r="KOG5" s="223" t="s">
        <v>44</v>
      </c>
      <c r="KOH5" s="224"/>
      <c r="KOI5" s="224"/>
      <c r="KOJ5" s="225"/>
      <c r="KOK5" s="223" t="s">
        <v>44</v>
      </c>
      <c r="KOL5" s="224"/>
      <c r="KOM5" s="224"/>
      <c r="KON5" s="225"/>
      <c r="KOO5" s="223" t="s">
        <v>44</v>
      </c>
      <c r="KOP5" s="224"/>
      <c r="KOQ5" s="224"/>
      <c r="KOR5" s="225"/>
      <c r="KOS5" s="223" t="s">
        <v>44</v>
      </c>
      <c r="KOT5" s="224"/>
      <c r="KOU5" s="224"/>
      <c r="KOV5" s="225"/>
      <c r="KOW5" s="223" t="s">
        <v>44</v>
      </c>
      <c r="KOX5" s="224"/>
      <c r="KOY5" s="224"/>
      <c r="KOZ5" s="225"/>
      <c r="KPA5" s="223" t="s">
        <v>44</v>
      </c>
      <c r="KPB5" s="224"/>
      <c r="KPC5" s="224"/>
      <c r="KPD5" s="225"/>
      <c r="KPE5" s="223" t="s">
        <v>44</v>
      </c>
      <c r="KPF5" s="224"/>
      <c r="KPG5" s="224"/>
      <c r="KPH5" s="225"/>
      <c r="KPI5" s="223" t="s">
        <v>44</v>
      </c>
      <c r="KPJ5" s="224"/>
      <c r="KPK5" s="224"/>
      <c r="KPL5" s="225"/>
      <c r="KPM5" s="223" t="s">
        <v>44</v>
      </c>
      <c r="KPN5" s="224"/>
      <c r="KPO5" s="224"/>
      <c r="KPP5" s="225"/>
      <c r="KPQ5" s="223" t="s">
        <v>44</v>
      </c>
      <c r="KPR5" s="224"/>
      <c r="KPS5" s="224"/>
      <c r="KPT5" s="225"/>
      <c r="KPU5" s="223" t="s">
        <v>44</v>
      </c>
      <c r="KPV5" s="224"/>
      <c r="KPW5" s="224"/>
      <c r="KPX5" s="225"/>
      <c r="KPY5" s="223" t="s">
        <v>44</v>
      </c>
      <c r="KPZ5" s="224"/>
      <c r="KQA5" s="224"/>
      <c r="KQB5" s="225"/>
      <c r="KQC5" s="223" t="s">
        <v>44</v>
      </c>
      <c r="KQD5" s="224"/>
      <c r="KQE5" s="224"/>
      <c r="KQF5" s="225"/>
      <c r="KQG5" s="223" t="s">
        <v>44</v>
      </c>
      <c r="KQH5" s="224"/>
      <c r="KQI5" s="224"/>
      <c r="KQJ5" s="225"/>
      <c r="KQK5" s="223" t="s">
        <v>44</v>
      </c>
      <c r="KQL5" s="224"/>
      <c r="KQM5" s="224"/>
      <c r="KQN5" s="225"/>
      <c r="KQO5" s="223" t="s">
        <v>44</v>
      </c>
      <c r="KQP5" s="224"/>
      <c r="KQQ5" s="224"/>
      <c r="KQR5" s="225"/>
      <c r="KQS5" s="223" t="s">
        <v>44</v>
      </c>
      <c r="KQT5" s="224"/>
      <c r="KQU5" s="224"/>
      <c r="KQV5" s="225"/>
      <c r="KQW5" s="223" t="s">
        <v>44</v>
      </c>
      <c r="KQX5" s="224"/>
      <c r="KQY5" s="224"/>
      <c r="KQZ5" s="225"/>
      <c r="KRA5" s="223" t="s">
        <v>44</v>
      </c>
      <c r="KRB5" s="224"/>
      <c r="KRC5" s="224"/>
      <c r="KRD5" s="225"/>
      <c r="KRE5" s="223" t="s">
        <v>44</v>
      </c>
      <c r="KRF5" s="224"/>
      <c r="KRG5" s="224"/>
      <c r="KRH5" s="225"/>
      <c r="KRI5" s="223" t="s">
        <v>44</v>
      </c>
      <c r="KRJ5" s="224"/>
      <c r="KRK5" s="224"/>
      <c r="KRL5" s="225"/>
      <c r="KRM5" s="223" t="s">
        <v>44</v>
      </c>
      <c r="KRN5" s="224"/>
      <c r="KRO5" s="224"/>
      <c r="KRP5" s="225"/>
      <c r="KRQ5" s="223" t="s">
        <v>44</v>
      </c>
      <c r="KRR5" s="224"/>
      <c r="KRS5" s="224"/>
      <c r="KRT5" s="225"/>
      <c r="KRU5" s="223" t="s">
        <v>44</v>
      </c>
      <c r="KRV5" s="224"/>
      <c r="KRW5" s="224"/>
      <c r="KRX5" s="225"/>
      <c r="KRY5" s="223" t="s">
        <v>44</v>
      </c>
      <c r="KRZ5" s="224"/>
      <c r="KSA5" s="224"/>
      <c r="KSB5" s="225"/>
      <c r="KSC5" s="223" t="s">
        <v>44</v>
      </c>
      <c r="KSD5" s="224"/>
      <c r="KSE5" s="224"/>
      <c r="KSF5" s="225"/>
      <c r="KSG5" s="223" t="s">
        <v>44</v>
      </c>
      <c r="KSH5" s="224"/>
      <c r="KSI5" s="224"/>
      <c r="KSJ5" s="225"/>
      <c r="KSK5" s="223" t="s">
        <v>44</v>
      </c>
      <c r="KSL5" s="224"/>
      <c r="KSM5" s="224"/>
      <c r="KSN5" s="225"/>
      <c r="KSO5" s="223" t="s">
        <v>44</v>
      </c>
      <c r="KSP5" s="224"/>
      <c r="KSQ5" s="224"/>
      <c r="KSR5" s="225"/>
      <c r="KSS5" s="223" t="s">
        <v>44</v>
      </c>
      <c r="KST5" s="224"/>
      <c r="KSU5" s="224"/>
      <c r="KSV5" s="225"/>
      <c r="KSW5" s="223" t="s">
        <v>44</v>
      </c>
      <c r="KSX5" s="224"/>
      <c r="KSY5" s="224"/>
      <c r="KSZ5" s="225"/>
      <c r="KTA5" s="223" t="s">
        <v>44</v>
      </c>
      <c r="KTB5" s="224"/>
      <c r="KTC5" s="224"/>
      <c r="KTD5" s="225"/>
      <c r="KTE5" s="223" t="s">
        <v>44</v>
      </c>
      <c r="KTF5" s="224"/>
      <c r="KTG5" s="224"/>
      <c r="KTH5" s="225"/>
      <c r="KTI5" s="223" t="s">
        <v>44</v>
      </c>
      <c r="KTJ5" s="224"/>
      <c r="KTK5" s="224"/>
      <c r="KTL5" s="225"/>
      <c r="KTM5" s="223" t="s">
        <v>44</v>
      </c>
      <c r="KTN5" s="224"/>
      <c r="KTO5" s="224"/>
      <c r="KTP5" s="225"/>
      <c r="KTQ5" s="223" t="s">
        <v>44</v>
      </c>
      <c r="KTR5" s="224"/>
      <c r="KTS5" s="224"/>
      <c r="KTT5" s="225"/>
      <c r="KTU5" s="223" t="s">
        <v>44</v>
      </c>
      <c r="KTV5" s="224"/>
      <c r="KTW5" s="224"/>
      <c r="KTX5" s="225"/>
      <c r="KTY5" s="223" t="s">
        <v>44</v>
      </c>
      <c r="KTZ5" s="224"/>
      <c r="KUA5" s="224"/>
      <c r="KUB5" s="225"/>
      <c r="KUC5" s="223" t="s">
        <v>44</v>
      </c>
      <c r="KUD5" s="224"/>
      <c r="KUE5" s="224"/>
      <c r="KUF5" s="225"/>
      <c r="KUG5" s="223" t="s">
        <v>44</v>
      </c>
      <c r="KUH5" s="224"/>
      <c r="KUI5" s="224"/>
      <c r="KUJ5" s="225"/>
      <c r="KUK5" s="223" t="s">
        <v>44</v>
      </c>
      <c r="KUL5" s="224"/>
      <c r="KUM5" s="224"/>
      <c r="KUN5" s="225"/>
      <c r="KUO5" s="223" t="s">
        <v>44</v>
      </c>
      <c r="KUP5" s="224"/>
      <c r="KUQ5" s="224"/>
      <c r="KUR5" s="225"/>
      <c r="KUS5" s="223" t="s">
        <v>44</v>
      </c>
      <c r="KUT5" s="224"/>
      <c r="KUU5" s="224"/>
      <c r="KUV5" s="225"/>
      <c r="KUW5" s="223" t="s">
        <v>44</v>
      </c>
      <c r="KUX5" s="224"/>
      <c r="KUY5" s="224"/>
      <c r="KUZ5" s="225"/>
      <c r="KVA5" s="223" t="s">
        <v>44</v>
      </c>
      <c r="KVB5" s="224"/>
      <c r="KVC5" s="224"/>
      <c r="KVD5" s="225"/>
      <c r="KVE5" s="223" t="s">
        <v>44</v>
      </c>
      <c r="KVF5" s="224"/>
      <c r="KVG5" s="224"/>
      <c r="KVH5" s="225"/>
      <c r="KVI5" s="223" t="s">
        <v>44</v>
      </c>
      <c r="KVJ5" s="224"/>
      <c r="KVK5" s="224"/>
      <c r="KVL5" s="225"/>
      <c r="KVM5" s="223" t="s">
        <v>44</v>
      </c>
      <c r="KVN5" s="224"/>
      <c r="KVO5" s="224"/>
      <c r="KVP5" s="225"/>
      <c r="KVQ5" s="223" t="s">
        <v>44</v>
      </c>
      <c r="KVR5" s="224"/>
      <c r="KVS5" s="224"/>
      <c r="KVT5" s="225"/>
      <c r="KVU5" s="223" t="s">
        <v>44</v>
      </c>
      <c r="KVV5" s="224"/>
      <c r="KVW5" s="224"/>
      <c r="KVX5" s="225"/>
      <c r="KVY5" s="223" t="s">
        <v>44</v>
      </c>
      <c r="KVZ5" s="224"/>
      <c r="KWA5" s="224"/>
      <c r="KWB5" s="225"/>
      <c r="KWC5" s="223" t="s">
        <v>44</v>
      </c>
      <c r="KWD5" s="224"/>
      <c r="KWE5" s="224"/>
      <c r="KWF5" s="225"/>
      <c r="KWG5" s="223" t="s">
        <v>44</v>
      </c>
      <c r="KWH5" s="224"/>
      <c r="KWI5" s="224"/>
      <c r="KWJ5" s="225"/>
      <c r="KWK5" s="223" t="s">
        <v>44</v>
      </c>
      <c r="KWL5" s="224"/>
      <c r="KWM5" s="224"/>
      <c r="KWN5" s="225"/>
      <c r="KWO5" s="223" t="s">
        <v>44</v>
      </c>
      <c r="KWP5" s="224"/>
      <c r="KWQ5" s="224"/>
      <c r="KWR5" s="225"/>
      <c r="KWS5" s="223" t="s">
        <v>44</v>
      </c>
      <c r="KWT5" s="224"/>
      <c r="KWU5" s="224"/>
      <c r="KWV5" s="225"/>
      <c r="KWW5" s="223" t="s">
        <v>44</v>
      </c>
      <c r="KWX5" s="224"/>
      <c r="KWY5" s="224"/>
      <c r="KWZ5" s="225"/>
      <c r="KXA5" s="223" t="s">
        <v>44</v>
      </c>
      <c r="KXB5" s="224"/>
      <c r="KXC5" s="224"/>
      <c r="KXD5" s="225"/>
      <c r="KXE5" s="223" t="s">
        <v>44</v>
      </c>
      <c r="KXF5" s="224"/>
      <c r="KXG5" s="224"/>
      <c r="KXH5" s="225"/>
      <c r="KXI5" s="223" t="s">
        <v>44</v>
      </c>
      <c r="KXJ5" s="224"/>
      <c r="KXK5" s="224"/>
      <c r="KXL5" s="225"/>
      <c r="KXM5" s="223" t="s">
        <v>44</v>
      </c>
      <c r="KXN5" s="224"/>
      <c r="KXO5" s="224"/>
      <c r="KXP5" s="225"/>
      <c r="KXQ5" s="223" t="s">
        <v>44</v>
      </c>
      <c r="KXR5" s="224"/>
      <c r="KXS5" s="224"/>
      <c r="KXT5" s="225"/>
      <c r="KXU5" s="223" t="s">
        <v>44</v>
      </c>
      <c r="KXV5" s="224"/>
      <c r="KXW5" s="224"/>
      <c r="KXX5" s="225"/>
      <c r="KXY5" s="223" t="s">
        <v>44</v>
      </c>
      <c r="KXZ5" s="224"/>
      <c r="KYA5" s="224"/>
      <c r="KYB5" s="225"/>
      <c r="KYC5" s="223" t="s">
        <v>44</v>
      </c>
      <c r="KYD5" s="224"/>
      <c r="KYE5" s="224"/>
      <c r="KYF5" s="225"/>
      <c r="KYG5" s="223" t="s">
        <v>44</v>
      </c>
      <c r="KYH5" s="224"/>
      <c r="KYI5" s="224"/>
      <c r="KYJ5" s="225"/>
      <c r="KYK5" s="223" t="s">
        <v>44</v>
      </c>
      <c r="KYL5" s="224"/>
      <c r="KYM5" s="224"/>
      <c r="KYN5" s="225"/>
      <c r="KYO5" s="223" t="s">
        <v>44</v>
      </c>
      <c r="KYP5" s="224"/>
      <c r="KYQ5" s="224"/>
      <c r="KYR5" s="225"/>
      <c r="KYS5" s="223" t="s">
        <v>44</v>
      </c>
      <c r="KYT5" s="224"/>
      <c r="KYU5" s="224"/>
      <c r="KYV5" s="225"/>
      <c r="KYW5" s="223" t="s">
        <v>44</v>
      </c>
      <c r="KYX5" s="224"/>
      <c r="KYY5" s="224"/>
      <c r="KYZ5" s="225"/>
      <c r="KZA5" s="223" t="s">
        <v>44</v>
      </c>
      <c r="KZB5" s="224"/>
      <c r="KZC5" s="224"/>
      <c r="KZD5" s="225"/>
      <c r="KZE5" s="223" t="s">
        <v>44</v>
      </c>
      <c r="KZF5" s="224"/>
      <c r="KZG5" s="224"/>
      <c r="KZH5" s="225"/>
      <c r="KZI5" s="223" t="s">
        <v>44</v>
      </c>
      <c r="KZJ5" s="224"/>
      <c r="KZK5" s="224"/>
      <c r="KZL5" s="225"/>
      <c r="KZM5" s="223" t="s">
        <v>44</v>
      </c>
      <c r="KZN5" s="224"/>
      <c r="KZO5" s="224"/>
      <c r="KZP5" s="225"/>
      <c r="KZQ5" s="223" t="s">
        <v>44</v>
      </c>
      <c r="KZR5" s="224"/>
      <c r="KZS5" s="224"/>
      <c r="KZT5" s="225"/>
      <c r="KZU5" s="223" t="s">
        <v>44</v>
      </c>
      <c r="KZV5" s="224"/>
      <c r="KZW5" s="224"/>
      <c r="KZX5" s="225"/>
      <c r="KZY5" s="223" t="s">
        <v>44</v>
      </c>
      <c r="KZZ5" s="224"/>
      <c r="LAA5" s="224"/>
      <c r="LAB5" s="225"/>
      <c r="LAC5" s="223" t="s">
        <v>44</v>
      </c>
      <c r="LAD5" s="224"/>
      <c r="LAE5" s="224"/>
      <c r="LAF5" s="225"/>
      <c r="LAG5" s="223" t="s">
        <v>44</v>
      </c>
      <c r="LAH5" s="224"/>
      <c r="LAI5" s="224"/>
      <c r="LAJ5" s="225"/>
      <c r="LAK5" s="223" t="s">
        <v>44</v>
      </c>
      <c r="LAL5" s="224"/>
      <c r="LAM5" s="224"/>
      <c r="LAN5" s="225"/>
      <c r="LAO5" s="223" t="s">
        <v>44</v>
      </c>
      <c r="LAP5" s="224"/>
      <c r="LAQ5" s="224"/>
      <c r="LAR5" s="225"/>
      <c r="LAS5" s="223" t="s">
        <v>44</v>
      </c>
      <c r="LAT5" s="224"/>
      <c r="LAU5" s="224"/>
      <c r="LAV5" s="225"/>
      <c r="LAW5" s="223" t="s">
        <v>44</v>
      </c>
      <c r="LAX5" s="224"/>
      <c r="LAY5" s="224"/>
      <c r="LAZ5" s="225"/>
      <c r="LBA5" s="223" t="s">
        <v>44</v>
      </c>
      <c r="LBB5" s="224"/>
      <c r="LBC5" s="224"/>
      <c r="LBD5" s="225"/>
      <c r="LBE5" s="223" t="s">
        <v>44</v>
      </c>
      <c r="LBF5" s="224"/>
      <c r="LBG5" s="224"/>
      <c r="LBH5" s="225"/>
      <c r="LBI5" s="223" t="s">
        <v>44</v>
      </c>
      <c r="LBJ5" s="224"/>
      <c r="LBK5" s="224"/>
      <c r="LBL5" s="225"/>
      <c r="LBM5" s="223" t="s">
        <v>44</v>
      </c>
      <c r="LBN5" s="224"/>
      <c r="LBO5" s="224"/>
      <c r="LBP5" s="225"/>
      <c r="LBQ5" s="223" t="s">
        <v>44</v>
      </c>
      <c r="LBR5" s="224"/>
      <c r="LBS5" s="224"/>
      <c r="LBT5" s="225"/>
      <c r="LBU5" s="223" t="s">
        <v>44</v>
      </c>
      <c r="LBV5" s="224"/>
      <c r="LBW5" s="224"/>
      <c r="LBX5" s="225"/>
      <c r="LBY5" s="223" t="s">
        <v>44</v>
      </c>
      <c r="LBZ5" s="224"/>
      <c r="LCA5" s="224"/>
      <c r="LCB5" s="225"/>
      <c r="LCC5" s="223" t="s">
        <v>44</v>
      </c>
      <c r="LCD5" s="224"/>
      <c r="LCE5" s="224"/>
      <c r="LCF5" s="225"/>
      <c r="LCG5" s="223" t="s">
        <v>44</v>
      </c>
      <c r="LCH5" s="224"/>
      <c r="LCI5" s="224"/>
      <c r="LCJ5" s="225"/>
      <c r="LCK5" s="223" t="s">
        <v>44</v>
      </c>
      <c r="LCL5" s="224"/>
      <c r="LCM5" s="224"/>
      <c r="LCN5" s="225"/>
      <c r="LCO5" s="223" t="s">
        <v>44</v>
      </c>
      <c r="LCP5" s="224"/>
      <c r="LCQ5" s="224"/>
      <c r="LCR5" s="225"/>
      <c r="LCS5" s="223" t="s">
        <v>44</v>
      </c>
      <c r="LCT5" s="224"/>
      <c r="LCU5" s="224"/>
      <c r="LCV5" s="225"/>
      <c r="LCW5" s="223" t="s">
        <v>44</v>
      </c>
      <c r="LCX5" s="224"/>
      <c r="LCY5" s="224"/>
      <c r="LCZ5" s="225"/>
      <c r="LDA5" s="223" t="s">
        <v>44</v>
      </c>
      <c r="LDB5" s="224"/>
      <c r="LDC5" s="224"/>
      <c r="LDD5" s="225"/>
      <c r="LDE5" s="223" t="s">
        <v>44</v>
      </c>
      <c r="LDF5" s="224"/>
      <c r="LDG5" s="224"/>
      <c r="LDH5" s="225"/>
      <c r="LDI5" s="223" t="s">
        <v>44</v>
      </c>
      <c r="LDJ5" s="224"/>
      <c r="LDK5" s="224"/>
      <c r="LDL5" s="225"/>
      <c r="LDM5" s="223" t="s">
        <v>44</v>
      </c>
      <c r="LDN5" s="224"/>
      <c r="LDO5" s="224"/>
      <c r="LDP5" s="225"/>
      <c r="LDQ5" s="223" t="s">
        <v>44</v>
      </c>
      <c r="LDR5" s="224"/>
      <c r="LDS5" s="224"/>
      <c r="LDT5" s="225"/>
      <c r="LDU5" s="223" t="s">
        <v>44</v>
      </c>
      <c r="LDV5" s="224"/>
      <c r="LDW5" s="224"/>
      <c r="LDX5" s="225"/>
      <c r="LDY5" s="223" t="s">
        <v>44</v>
      </c>
      <c r="LDZ5" s="224"/>
      <c r="LEA5" s="224"/>
      <c r="LEB5" s="225"/>
      <c r="LEC5" s="223" t="s">
        <v>44</v>
      </c>
      <c r="LED5" s="224"/>
      <c r="LEE5" s="224"/>
      <c r="LEF5" s="225"/>
      <c r="LEG5" s="223" t="s">
        <v>44</v>
      </c>
      <c r="LEH5" s="224"/>
      <c r="LEI5" s="224"/>
      <c r="LEJ5" s="225"/>
      <c r="LEK5" s="223" t="s">
        <v>44</v>
      </c>
      <c r="LEL5" s="224"/>
      <c r="LEM5" s="224"/>
      <c r="LEN5" s="225"/>
      <c r="LEO5" s="223" t="s">
        <v>44</v>
      </c>
      <c r="LEP5" s="224"/>
      <c r="LEQ5" s="224"/>
      <c r="LER5" s="225"/>
      <c r="LES5" s="223" t="s">
        <v>44</v>
      </c>
      <c r="LET5" s="224"/>
      <c r="LEU5" s="224"/>
      <c r="LEV5" s="225"/>
      <c r="LEW5" s="223" t="s">
        <v>44</v>
      </c>
      <c r="LEX5" s="224"/>
      <c r="LEY5" s="224"/>
      <c r="LEZ5" s="225"/>
      <c r="LFA5" s="223" t="s">
        <v>44</v>
      </c>
      <c r="LFB5" s="224"/>
      <c r="LFC5" s="224"/>
      <c r="LFD5" s="225"/>
      <c r="LFE5" s="223" t="s">
        <v>44</v>
      </c>
      <c r="LFF5" s="224"/>
      <c r="LFG5" s="224"/>
      <c r="LFH5" s="225"/>
      <c r="LFI5" s="223" t="s">
        <v>44</v>
      </c>
      <c r="LFJ5" s="224"/>
      <c r="LFK5" s="224"/>
      <c r="LFL5" s="225"/>
      <c r="LFM5" s="223" t="s">
        <v>44</v>
      </c>
      <c r="LFN5" s="224"/>
      <c r="LFO5" s="224"/>
      <c r="LFP5" s="225"/>
      <c r="LFQ5" s="223" t="s">
        <v>44</v>
      </c>
      <c r="LFR5" s="224"/>
      <c r="LFS5" s="224"/>
      <c r="LFT5" s="225"/>
      <c r="LFU5" s="223" t="s">
        <v>44</v>
      </c>
      <c r="LFV5" s="224"/>
      <c r="LFW5" s="224"/>
      <c r="LFX5" s="225"/>
      <c r="LFY5" s="223" t="s">
        <v>44</v>
      </c>
      <c r="LFZ5" s="224"/>
      <c r="LGA5" s="224"/>
      <c r="LGB5" s="225"/>
      <c r="LGC5" s="223" t="s">
        <v>44</v>
      </c>
      <c r="LGD5" s="224"/>
      <c r="LGE5" s="224"/>
      <c r="LGF5" s="225"/>
      <c r="LGG5" s="223" t="s">
        <v>44</v>
      </c>
      <c r="LGH5" s="224"/>
      <c r="LGI5" s="224"/>
      <c r="LGJ5" s="225"/>
      <c r="LGK5" s="223" t="s">
        <v>44</v>
      </c>
      <c r="LGL5" s="224"/>
      <c r="LGM5" s="224"/>
      <c r="LGN5" s="225"/>
      <c r="LGO5" s="223" t="s">
        <v>44</v>
      </c>
      <c r="LGP5" s="224"/>
      <c r="LGQ5" s="224"/>
      <c r="LGR5" s="225"/>
      <c r="LGS5" s="223" t="s">
        <v>44</v>
      </c>
      <c r="LGT5" s="224"/>
      <c r="LGU5" s="224"/>
      <c r="LGV5" s="225"/>
      <c r="LGW5" s="223" t="s">
        <v>44</v>
      </c>
      <c r="LGX5" s="224"/>
      <c r="LGY5" s="224"/>
      <c r="LGZ5" s="225"/>
      <c r="LHA5" s="223" t="s">
        <v>44</v>
      </c>
      <c r="LHB5" s="224"/>
      <c r="LHC5" s="224"/>
      <c r="LHD5" s="225"/>
      <c r="LHE5" s="223" t="s">
        <v>44</v>
      </c>
      <c r="LHF5" s="224"/>
      <c r="LHG5" s="224"/>
      <c r="LHH5" s="225"/>
      <c r="LHI5" s="223" t="s">
        <v>44</v>
      </c>
      <c r="LHJ5" s="224"/>
      <c r="LHK5" s="224"/>
      <c r="LHL5" s="225"/>
      <c r="LHM5" s="223" t="s">
        <v>44</v>
      </c>
      <c r="LHN5" s="224"/>
      <c r="LHO5" s="224"/>
      <c r="LHP5" s="225"/>
      <c r="LHQ5" s="223" t="s">
        <v>44</v>
      </c>
      <c r="LHR5" s="224"/>
      <c r="LHS5" s="224"/>
      <c r="LHT5" s="225"/>
      <c r="LHU5" s="223" t="s">
        <v>44</v>
      </c>
      <c r="LHV5" s="224"/>
      <c r="LHW5" s="224"/>
      <c r="LHX5" s="225"/>
      <c r="LHY5" s="223" t="s">
        <v>44</v>
      </c>
      <c r="LHZ5" s="224"/>
      <c r="LIA5" s="224"/>
      <c r="LIB5" s="225"/>
      <c r="LIC5" s="223" t="s">
        <v>44</v>
      </c>
      <c r="LID5" s="224"/>
      <c r="LIE5" s="224"/>
      <c r="LIF5" s="225"/>
      <c r="LIG5" s="223" t="s">
        <v>44</v>
      </c>
      <c r="LIH5" s="224"/>
      <c r="LII5" s="224"/>
      <c r="LIJ5" s="225"/>
      <c r="LIK5" s="223" t="s">
        <v>44</v>
      </c>
      <c r="LIL5" s="224"/>
      <c r="LIM5" s="224"/>
      <c r="LIN5" s="225"/>
      <c r="LIO5" s="223" t="s">
        <v>44</v>
      </c>
      <c r="LIP5" s="224"/>
      <c r="LIQ5" s="224"/>
      <c r="LIR5" s="225"/>
      <c r="LIS5" s="223" t="s">
        <v>44</v>
      </c>
      <c r="LIT5" s="224"/>
      <c r="LIU5" s="224"/>
      <c r="LIV5" s="225"/>
      <c r="LIW5" s="223" t="s">
        <v>44</v>
      </c>
      <c r="LIX5" s="224"/>
      <c r="LIY5" s="224"/>
      <c r="LIZ5" s="225"/>
      <c r="LJA5" s="223" t="s">
        <v>44</v>
      </c>
      <c r="LJB5" s="224"/>
      <c r="LJC5" s="224"/>
      <c r="LJD5" s="225"/>
      <c r="LJE5" s="223" t="s">
        <v>44</v>
      </c>
      <c r="LJF5" s="224"/>
      <c r="LJG5" s="224"/>
      <c r="LJH5" s="225"/>
      <c r="LJI5" s="223" t="s">
        <v>44</v>
      </c>
      <c r="LJJ5" s="224"/>
      <c r="LJK5" s="224"/>
      <c r="LJL5" s="225"/>
      <c r="LJM5" s="223" t="s">
        <v>44</v>
      </c>
      <c r="LJN5" s="224"/>
      <c r="LJO5" s="224"/>
      <c r="LJP5" s="225"/>
      <c r="LJQ5" s="223" t="s">
        <v>44</v>
      </c>
      <c r="LJR5" s="224"/>
      <c r="LJS5" s="224"/>
      <c r="LJT5" s="225"/>
      <c r="LJU5" s="223" t="s">
        <v>44</v>
      </c>
      <c r="LJV5" s="224"/>
      <c r="LJW5" s="224"/>
      <c r="LJX5" s="225"/>
      <c r="LJY5" s="223" t="s">
        <v>44</v>
      </c>
      <c r="LJZ5" s="224"/>
      <c r="LKA5" s="224"/>
      <c r="LKB5" s="225"/>
      <c r="LKC5" s="223" t="s">
        <v>44</v>
      </c>
      <c r="LKD5" s="224"/>
      <c r="LKE5" s="224"/>
      <c r="LKF5" s="225"/>
      <c r="LKG5" s="223" t="s">
        <v>44</v>
      </c>
      <c r="LKH5" s="224"/>
      <c r="LKI5" s="224"/>
      <c r="LKJ5" s="225"/>
      <c r="LKK5" s="223" t="s">
        <v>44</v>
      </c>
      <c r="LKL5" s="224"/>
      <c r="LKM5" s="224"/>
      <c r="LKN5" s="225"/>
      <c r="LKO5" s="223" t="s">
        <v>44</v>
      </c>
      <c r="LKP5" s="224"/>
      <c r="LKQ5" s="224"/>
      <c r="LKR5" s="225"/>
      <c r="LKS5" s="223" t="s">
        <v>44</v>
      </c>
      <c r="LKT5" s="224"/>
      <c r="LKU5" s="224"/>
      <c r="LKV5" s="225"/>
      <c r="LKW5" s="223" t="s">
        <v>44</v>
      </c>
      <c r="LKX5" s="224"/>
      <c r="LKY5" s="224"/>
      <c r="LKZ5" s="225"/>
      <c r="LLA5" s="223" t="s">
        <v>44</v>
      </c>
      <c r="LLB5" s="224"/>
      <c r="LLC5" s="224"/>
      <c r="LLD5" s="225"/>
      <c r="LLE5" s="223" t="s">
        <v>44</v>
      </c>
      <c r="LLF5" s="224"/>
      <c r="LLG5" s="224"/>
      <c r="LLH5" s="225"/>
      <c r="LLI5" s="223" t="s">
        <v>44</v>
      </c>
      <c r="LLJ5" s="224"/>
      <c r="LLK5" s="224"/>
      <c r="LLL5" s="225"/>
      <c r="LLM5" s="223" t="s">
        <v>44</v>
      </c>
      <c r="LLN5" s="224"/>
      <c r="LLO5" s="224"/>
      <c r="LLP5" s="225"/>
      <c r="LLQ5" s="223" t="s">
        <v>44</v>
      </c>
      <c r="LLR5" s="224"/>
      <c r="LLS5" s="224"/>
      <c r="LLT5" s="225"/>
      <c r="LLU5" s="223" t="s">
        <v>44</v>
      </c>
      <c r="LLV5" s="224"/>
      <c r="LLW5" s="224"/>
      <c r="LLX5" s="225"/>
      <c r="LLY5" s="223" t="s">
        <v>44</v>
      </c>
      <c r="LLZ5" s="224"/>
      <c r="LMA5" s="224"/>
      <c r="LMB5" s="225"/>
      <c r="LMC5" s="223" t="s">
        <v>44</v>
      </c>
      <c r="LMD5" s="224"/>
      <c r="LME5" s="224"/>
      <c r="LMF5" s="225"/>
      <c r="LMG5" s="223" t="s">
        <v>44</v>
      </c>
      <c r="LMH5" s="224"/>
      <c r="LMI5" s="224"/>
      <c r="LMJ5" s="225"/>
      <c r="LMK5" s="223" t="s">
        <v>44</v>
      </c>
      <c r="LML5" s="224"/>
      <c r="LMM5" s="224"/>
      <c r="LMN5" s="225"/>
      <c r="LMO5" s="223" t="s">
        <v>44</v>
      </c>
      <c r="LMP5" s="224"/>
      <c r="LMQ5" s="224"/>
      <c r="LMR5" s="225"/>
      <c r="LMS5" s="223" t="s">
        <v>44</v>
      </c>
      <c r="LMT5" s="224"/>
      <c r="LMU5" s="224"/>
      <c r="LMV5" s="225"/>
      <c r="LMW5" s="223" t="s">
        <v>44</v>
      </c>
      <c r="LMX5" s="224"/>
      <c r="LMY5" s="224"/>
      <c r="LMZ5" s="225"/>
      <c r="LNA5" s="223" t="s">
        <v>44</v>
      </c>
      <c r="LNB5" s="224"/>
      <c r="LNC5" s="224"/>
      <c r="LND5" s="225"/>
      <c r="LNE5" s="223" t="s">
        <v>44</v>
      </c>
      <c r="LNF5" s="224"/>
      <c r="LNG5" s="224"/>
      <c r="LNH5" s="225"/>
      <c r="LNI5" s="223" t="s">
        <v>44</v>
      </c>
      <c r="LNJ5" s="224"/>
      <c r="LNK5" s="224"/>
      <c r="LNL5" s="225"/>
      <c r="LNM5" s="223" t="s">
        <v>44</v>
      </c>
      <c r="LNN5" s="224"/>
      <c r="LNO5" s="224"/>
      <c r="LNP5" s="225"/>
      <c r="LNQ5" s="223" t="s">
        <v>44</v>
      </c>
      <c r="LNR5" s="224"/>
      <c r="LNS5" s="224"/>
      <c r="LNT5" s="225"/>
      <c r="LNU5" s="223" t="s">
        <v>44</v>
      </c>
      <c r="LNV5" s="224"/>
      <c r="LNW5" s="224"/>
      <c r="LNX5" s="225"/>
      <c r="LNY5" s="223" t="s">
        <v>44</v>
      </c>
      <c r="LNZ5" s="224"/>
      <c r="LOA5" s="224"/>
      <c r="LOB5" s="225"/>
      <c r="LOC5" s="223" t="s">
        <v>44</v>
      </c>
      <c r="LOD5" s="224"/>
      <c r="LOE5" s="224"/>
      <c r="LOF5" s="225"/>
      <c r="LOG5" s="223" t="s">
        <v>44</v>
      </c>
      <c r="LOH5" s="224"/>
      <c r="LOI5" s="224"/>
      <c r="LOJ5" s="225"/>
      <c r="LOK5" s="223" t="s">
        <v>44</v>
      </c>
      <c r="LOL5" s="224"/>
      <c r="LOM5" s="224"/>
      <c r="LON5" s="225"/>
      <c r="LOO5" s="223" t="s">
        <v>44</v>
      </c>
      <c r="LOP5" s="224"/>
      <c r="LOQ5" s="224"/>
      <c r="LOR5" s="225"/>
      <c r="LOS5" s="223" t="s">
        <v>44</v>
      </c>
      <c r="LOT5" s="224"/>
      <c r="LOU5" s="224"/>
      <c r="LOV5" s="225"/>
      <c r="LOW5" s="223" t="s">
        <v>44</v>
      </c>
      <c r="LOX5" s="224"/>
      <c r="LOY5" s="224"/>
      <c r="LOZ5" s="225"/>
      <c r="LPA5" s="223" t="s">
        <v>44</v>
      </c>
      <c r="LPB5" s="224"/>
      <c r="LPC5" s="224"/>
      <c r="LPD5" s="225"/>
      <c r="LPE5" s="223" t="s">
        <v>44</v>
      </c>
      <c r="LPF5" s="224"/>
      <c r="LPG5" s="224"/>
      <c r="LPH5" s="225"/>
      <c r="LPI5" s="223" t="s">
        <v>44</v>
      </c>
      <c r="LPJ5" s="224"/>
      <c r="LPK5" s="224"/>
      <c r="LPL5" s="225"/>
      <c r="LPM5" s="223" t="s">
        <v>44</v>
      </c>
      <c r="LPN5" s="224"/>
      <c r="LPO5" s="224"/>
      <c r="LPP5" s="225"/>
      <c r="LPQ5" s="223" t="s">
        <v>44</v>
      </c>
      <c r="LPR5" s="224"/>
      <c r="LPS5" s="224"/>
      <c r="LPT5" s="225"/>
      <c r="LPU5" s="223" t="s">
        <v>44</v>
      </c>
      <c r="LPV5" s="224"/>
      <c r="LPW5" s="224"/>
      <c r="LPX5" s="225"/>
      <c r="LPY5" s="223" t="s">
        <v>44</v>
      </c>
      <c r="LPZ5" s="224"/>
      <c r="LQA5" s="224"/>
      <c r="LQB5" s="225"/>
      <c r="LQC5" s="223" t="s">
        <v>44</v>
      </c>
      <c r="LQD5" s="224"/>
      <c r="LQE5" s="224"/>
      <c r="LQF5" s="225"/>
      <c r="LQG5" s="223" t="s">
        <v>44</v>
      </c>
      <c r="LQH5" s="224"/>
      <c r="LQI5" s="224"/>
      <c r="LQJ5" s="225"/>
      <c r="LQK5" s="223" t="s">
        <v>44</v>
      </c>
      <c r="LQL5" s="224"/>
      <c r="LQM5" s="224"/>
      <c r="LQN5" s="225"/>
      <c r="LQO5" s="223" t="s">
        <v>44</v>
      </c>
      <c r="LQP5" s="224"/>
      <c r="LQQ5" s="224"/>
      <c r="LQR5" s="225"/>
      <c r="LQS5" s="223" t="s">
        <v>44</v>
      </c>
      <c r="LQT5" s="224"/>
      <c r="LQU5" s="224"/>
      <c r="LQV5" s="225"/>
      <c r="LQW5" s="223" t="s">
        <v>44</v>
      </c>
      <c r="LQX5" s="224"/>
      <c r="LQY5" s="224"/>
      <c r="LQZ5" s="225"/>
      <c r="LRA5" s="223" t="s">
        <v>44</v>
      </c>
      <c r="LRB5" s="224"/>
      <c r="LRC5" s="224"/>
      <c r="LRD5" s="225"/>
      <c r="LRE5" s="223" t="s">
        <v>44</v>
      </c>
      <c r="LRF5" s="224"/>
      <c r="LRG5" s="224"/>
      <c r="LRH5" s="225"/>
      <c r="LRI5" s="223" t="s">
        <v>44</v>
      </c>
      <c r="LRJ5" s="224"/>
      <c r="LRK5" s="224"/>
      <c r="LRL5" s="225"/>
      <c r="LRM5" s="223" t="s">
        <v>44</v>
      </c>
      <c r="LRN5" s="224"/>
      <c r="LRO5" s="224"/>
      <c r="LRP5" s="225"/>
      <c r="LRQ5" s="223" t="s">
        <v>44</v>
      </c>
      <c r="LRR5" s="224"/>
      <c r="LRS5" s="224"/>
      <c r="LRT5" s="225"/>
      <c r="LRU5" s="223" t="s">
        <v>44</v>
      </c>
      <c r="LRV5" s="224"/>
      <c r="LRW5" s="224"/>
      <c r="LRX5" s="225"/>
      <c r="LRY5" s="223" t="s">
        <v>44</v>
      </c>
      <c r="LRZ5" s="224"/>
      <c r="LSA5" s="224"/>
      <c r="LSB5" s="225"/>
      <c r="LSC5" s="223" t="s">
        <v>44</v>
      </c>
      <c r="LSD5" s="224"/>
      <c r="LSE5" s="224"/>
      <c r="LSF5" s="225"/>
      <c r="LSG5" s="223" t="s">
        <v>44</v>
      </c>
      <c r="LSH5" s="224"/>
      <c r="LSI5" s="224"/>
      <c r="LSJ5" s="225"/>
      <c r="LSK5" s="223" t="s">
        <v>44</v>
      </c>
      <c r="LSL5" s="224"/>
      <c r="LSM5" s="224"/>
      <c r="LSN5" s="225"/>
      <c r="LSO5" s="223" t="s">
        <v>44</v>
      </c>
      <c r="LSP5" s="224"/>
      <c r="LSQ5" s="224"/>
      <c r="LSR5" s="225"/>
      <c r="LSS5" s="223" t="s">
        <v>44</v>
      </c>
      <c r="LST5" s="224"/>
      <c r="LSU5" s="224"/>
      <c r="LSV5" s="225"/>
      <c r="LSW5" s="223" t="s">
        <v>44</v>
      </c>
      <c r="LSX5" s="224"/>
      <c r="LSY5" s="224"/>
      <c r="LSZ5" s="225"/>
      <c r="LTA5" s="223" t="s">
        <v>44</v>
      </c>
      <c r="LTB5" s="224"/>
      <c r="LTC5" s="224"/>
      <c r="LTD5" s="225"/>
      <c r="LTE5" s="223" t="s">
        <v>44</v>
      </c>
      <c r="LTF5" s="224"/>
      <c r="LTG5" s="224"/>
      <c r="LTH5" s="225"/>
      <c r="LTI5" s="223" t="s">
        <v>44</v>
      </c>
      <c r="LTJ5" s="224"/>
      <c r="LTK5" s="224"/>
      <c r="LTL5" s="225"/>
      <c r="LTM5" s="223" t="s">
        <v>44</v>
      </c>
      <c r="LTN5" s="224"/>
      <c r="LTO5" s="224"/>
      <c r="LTP5" s="225"/>
      <c r="LTQ5" s="223" t="s">
        <v>44</v>
      </c>
      <c r="LTR5" s="224"/>
      <c r="LTS5" s="224"/>
      <c r="LTT5" s="225"/>
      <c r="LTU5" s="223" t="s">
        <v>44</v>
      </c>
      <c r="LTV5" s="224"/>
      <c r="LTW5" s="224"/>
      <c r="LTX5" s="225"/>
      <c r="LTY5" s="223" t="s">
        <v>44</v>
      </c>
      <c r="LTZ5" s="224"/>
      <c r="LUA5" s="224"/>
      <c r="LUB5" s="225"/>
      <c r="LUC5" s="223" t="s">
        <v>44</v>
      </c>
      <c r="LUD5" s="224"/>
      <c r="LUE5" s="224"/>
      <c r="LUF5" s="225"/>
      <c r="LUG5" s="223" t="s">
        <v>44</v>
      </c>
      <c r="LUH5" s="224"/>
      <c r="LUI5" s="224"/>
      <c r="LUJ5" s="225"/>
      <c r="LUK5" s="223" t="s">
        <v>44</v>
      </c>
      <c r="LUL5" s="224"/>
      <c r="LUM5" s="224"/>
      <c r="LUN5" s="225"/>
      <c r="LUO5" s="223" t="s">
        <v>44</v>
      </c>
      <c r="LUP5" s="224"/>
      <c r="LUQ5" s="224"/>
      <c r="LUR5" s="225"/>
      <c r="LUS5" s="223" t="s">
        <v>44</v>
      </c>
      <c r="LUT5" s="224"/>
      <c r="LUU5" s="224"/>
      <c r="LUV5" s="225"/>
      <c r="LUW5" s="223" t="s">
        <v>44</v>
      </c>
      <c r="LUX5" s="224"/>
      <c r="LUY5" s="224"/>
      <c r="LUZ5" s="225"/>
      <c r="LVA5" s="223" t="s">
        <v>44</v>
      </c>
      <c r="LVB5" s="224"/>
      <c r="LVC5" s="224"/>
      <c r="LVD5" s="225"/>
      <c r="LVE5" s="223" t="s">
        <v>44</v>
      </c>
      <c r="LVF5" s="224"/>
      <c r="LVG5" s="224"/>
      <c r="LVH5" s="225"/>
      <c r="LVI5" s="223" t="s">
        <v>44</v>
      </c>
      <c r="LVJ5" s="224"/>
      <c r="LVK5" s="224"/>
      <c r="LVL5" s="225"/>
      <c r="LVM5" s="223" t="s">
        <v>44</v>
      </c>
      <c r="LVN5" s="224"/>
      <c r="LVO5" s="224"/>
      <c r="LVP5" s="225"/>
      <c r="LVQ5" s="223" t="s">
        <v>44</v>
      </c>
      <c r="LVR5" s="224"/>
      <c r="LVS5" s="224"/>
      <c r="LVT5" s="225"/>
      <c r="LVU5" s="223" t="s">
        <v>44</v>
      </c>
      <c r="LVV5" s="224"/>
      <c r="LVW5" s="224"/>
      <c r="LVX5" s="225"/>
      <c r="LVY5" s="223" t="s">
        <v>44</v>
      </c>
      <c r="LVZ5" s="224"/>
      <c r="LWA5" s="224"/>
      <c r="LWB5" s="225"/>
      <c r="LWC5" s="223" t="s">
        <v>44</v>
      </c>
      <c r="LWD5" s="224"/>
      <c r="LWE5" s="224"/>
      <c r="LWF5" s="225"/>
      <c r="LWG5" s="223" t="s">
        <v>44</v>
      </c>
      <c r="LWH5" s="224"/>
      <c r="LWI5" s="224"/>
      <c r="LWJ5" s="225"/>
      <c r="LWK5" s="223" t="s">
        <v>44</v>
      </c>
      <c r="LWL5" s="224"/>
      <c r="LWM5" s="224"/>
      <c r="LWN5" s="225"/>
      <c r="LWO5" s="223" t="s">
        <v>44</v>
      </c>
      <c r="LWP5" s="224"/>
      <c r="LWQ5" s="224"/>
      <c r="LWR5" s="225"/>
      <c r="LWS5" s="223" t="s">
        <v>44</v>
      </c>
      <c r="LWT5" s="224"/>
      <c r="LWU5" s="224"/>
      <c r="LWV5" s="225"/>
      <c r="LWW5" s="223" t="s">
        <v>44</v>
      </c>
      <c r="LWX5" s="224"/>
      <c r="LWY5" s="224"/>
      <c r="LWZ5" s="225"/>
      <c r="LXA5" s="223" t="s">
        <v>44</v>
      </c>
      <c r="LXB5" s="224"/>
      <c r="LXC5" s="224"/>
      <c r="LXD5" s="225"/>
      <c r="LXE5" s="223" t="s">
        <v>44</v>
      </c>
      <c r="LXF5" s="224"/>
      <c r="LXG5" s="224"/>
      <c r="LXH5" s="225"/>
      <c r="LXI5" s="223" t="s">
        <v>44</v>
      </c>
      <c r="LXJ5" s="224"/>
      <c r="LXK5" s="224"/>
      <c r="LXL5" s="225"/>
      <c r="LXM5" s="223" t="s">
        <v>44</v>
      </c>
      <c r="LXN5" s="224"/>
      <c r="LXO5" s="224"/>
      <c r="LXP5" s="225"/>
      <c r="LXQ5" s="223" t="s">
        <v>44</v>
      </c>
      <c r="LXR5" s="224"/>
      <c r="LXS5" s="224"/>
      <c r="LXT5" s="225"/>
      <c r="LXU5" s="223" t="s">
        <v>44</v>
      </c>
      <c r="LXV5" s="224"/>
      <c r="LXW5" s="224"/>
      <c r="LXX5" s="225"/>
      <c r="LXY5" s="223" t="s">
        <v>44</v>
      </c>
      <c r="LXZ5" s="224"/>
      <c r="LYA5" s="224"/>
      <c r="LYB5" s="225"/>
      <c r="LYC5" s="223" t="s">
        <v>44</v>
      </c>
      <c r="LYD5" s="224"/>
      <c r="LYE5" s="224"/>
      <c r="LYF5" s="225"/>
      <c r="LYG5" s="223" t="s">
        <v>44</v>
      </c>
      <c r="LYH5" s="224"/>
      <c r="LYI5" s="224"/>
      <c r="LYJ5" s="225"/>
      <c r="LYK5" s="223" t="s">
        <v>44</v>
      </c>
      <c r="LYL5" s="224"/>
      <c r="LYM5" s="224"/>
      <c r="LYN5" s="225"/>
      <c r="LYO5" s="223" t="s">
        <v>44</v>
      </c>
      <c r="LYP5" s="224"/>
      <c r="LYQ5" s="224"/>
      <c r="LYR5" s="225"/>
      <c r="LYS5" s="223" t="s">
        <v>44</v>
      </c>
      <c r="LYT5" s="224"/>
      <c r="LYU5" s="224"/>
      <c r="LYV5" s="225"/>
      <c r="LYW5" s="223" t="s">
        <v>44</v>
      </c>
      <c r="LYX5" s="224"/>
      <c r="LYY5" s="224"/>
      <c r="LYZ5" s="225"/>
      <c r="LZA5" s="223" t="s">
        <v>44</v>
      </c>
      <c r="LZB5" s="224"/>
      <c r="LZC5" s="224"/>
      <c r="LZD5" s="225"/>
      <c r="LZE5" s="223" t="s">
        <v>44</v>
      </c>
      <c r="LZF5" s="224"/>
      <c r="LZG5" s="224"/>
      <c r="LZH5" s="225"/>
      <c r="LZI5" s="223" t="s">
        <v>44</v>
      </c>
      <c r="LZJ5" s="224"/>
      <c r="LZK5" s="224"/>
      <c r="LZL5" s="225"/>
      <c r="LZM5" s="223" t="s">
        <v>44</v>
      </c>
      <c r="LZN5" s="224"/>
      <c r="LZO5" s="224"/>
      <c r="LZP5" s="225"/>
      <c r="LZQ5" s="223" t="s">
        <v>44</v>
      </c>
      <c r="LZR5" s="224"/>
      <c r="LZS5" s="224"/>
      <c r="LZT5" s="225"/>
      <c r="LZU5" s="223" t="s">
        <v>44</v>
      </c>
      <c r="LZV5" s="224"/>
      <c r="LZW5" s="224"/>
      <c r="LZX5" s="225"/>
      <c r="LZY5" s="223" t="s">
        <v>44</v>
      </c>
      <c r="LZZ5" s="224"/>
      <c r="MAA5" s="224"/>
      <c r="MAB5" s="225"/>
      <c r="MAC5" s="223" t="s">
        <v>44</v>
      </c>
      <c r="MAD5" s="224"/>
      <c r="MAE5" s="224"/>
      <c r="MAF5" s="225"/>
      <c r="MAG5" s="223" t="s">
        <v>44</v>
      </c>
      <c r="MAH5" s="224"/>
      <c r="MAI5" s="224"/>
      <c r="MAJ5" s="225"/>
      <c r="MAK5" s="223" t="s">
        <v>44</v>
      </c>
      <c r="MAL5" s="224"/>
      <c r="MAM5" s="224"/>
      <c r="MAN5" s="225"/>
      <c r="MAO5" s="223" t="s">
        <v>44</v>
      </c>
      <c r="MAP5" s="224"/>
      <c r="MAQ5" s="224"/>
      <c r="MAR5" s="225"/>
      <c r="MAS5" s="223" t="s">
        <v>44</v>
      </c>
      <c r="MAT5" s="224"/>
      <c r="MAU5" s="224"/>
      <c r="MAV5" s="225"/>
      <c r="MAW5" s="223" t="s">
        <v>44</v>
      </c>
      <c r="MAX5" s="224"/>
      <c r="MAY5" s="224"/>
      <c r="MAZ5" s="225"/>
      <c r="MBA5" s="223" t="s">
        <v>44</v>
      </c>
      <c r="MBB5" s="224"/>
      <c r="MBC5" s="224"/>
      <c r="MBD5" s="225"/>
      <c r="MBE5" s="223" t="s">
        <v>44</v>
      </c>
      <c r="MBF5" s="224"/>
      <c r="MBG5" s="224"/>
      <c r="MBH5" s="225"/>
      <c r="MBI5" s="223" t="s">
        <v>44</v>
      </c>
      <c r="MBJ5" s="224"/>
      <c r="MBK5" s="224"/>
      <c r="MBL5" s="225"/>
      <c r="MBM5" s="223" t="s">
        <v>44</v>
      </c>
      <c r="MBN5" s="224"/>
      <c r="MBO5" s="224"/>
      <c r="MBP5" s="225"/>
      <c r="MBQ5" s="223" t="s">
        <v>44</v>
      </c>
      <c r="MBR5" s="224"/>
      <c r="MBS5" s="224"/>
      <c r="MBT5" s="225"/>
      <c r="MBU5" s="223" t="s">
        <v>44</v>
      </c>
      <c r="MBV5" s="224"/>
      <c r="MBW5" s="224"/>
      <c r="MBX5" s="225"/>
      <c r="MBY5" s="223" t="s">
        <v>44</v>
      </c>
      <c r="MBZ5" s="224"/>
      <c r="MCA5" s="224"/>
      <c r="MCB5" s="225"/>
      <c r="MCC5" s="223" t="s">
        <v>44</v>
      </c>
      <c r="MCD5" s="224"/>
      <c r="MCE5" s="224"/>
      <c r="MCF5" s="225"/>
      <c r="MCG5" s="223" t="s">
        <v>44</v>
      </c>
      <c r="MCH5" s="224"/>
      <c r="MCI5" s="224"/>
      <c r="MCJ5" s="225"/>
      <c r="MCK5" s="223" t="s">
        <v>44</v>
      </c>
      <c r="MCL5" s="224"/>
      <c r="MCM5" s="224"/>
      <c r="MCN5" s="225"/>
      <c r="MCO5" s="223" t="s">
        <v>44</v>
      </c>
      <c r="MCP5" s="224"/>
      <c r="MCQ5" s="224"/>
      <c r="MCR5" s="225"/>
      <c r="MCS5" s="223" t="s">
        <v>44</v>
      </c>
      <c r="MCT5" s="224"/>
      <c r="MCU5" s="224"/>
      <c r="MCV5" s="225"/>
      <c r="MCW5" s="223" t="s">
        <v>44</v>
      </c>
      <c r="MCX5" s="224"/>
      <c r="MCY5" s="224"/>
      <c r="MCZ5" s="225"/>
      <c r="MDA5" s="223" t="s">
        <v>44</v>
      </c>
      <c r="MDB5" s="224"/>
      <c r="MDC5" s="224"/>
      <c r="MDD5" s="225"/>
      <c r="MDE5" s="223" t="s">
        <v>44</v>
      </c>
      <c r="MDF5" s="224"/>
      <c r="MDG5" s="224"/>
      <c r="MDH5" s="225"/>
      <c r="MDI5" s="223" t="s">
        <v>44</v>
      </c>
      <c r="MDJ5" s="224"/>
      <c r="MDK5" s="224"/>
      <c r="MDL5" s="225"/>
      <c r="MDM5" s="223" t="s">
        <v>44</v>
      </c>
      <c r="MDN5" s="224"/>
      <c r="MDO5" s="224"/>
      <c r="MDP5" s="225"/>
      <c r="MDQ5" s="223" t="s">
        <v>44</v>
      </c>
      <c r="MDR5" s="224"/>
      <c r="MDS5" s="224"/>
      <c r="MDT5" s="225"/>
      <c r="MDU5" s="223" t="s">
        <v>44</v>
      </c>
      <c r="MDV5" s="224"/>
      <c r="MDW5" s="224"/>
      <c r="MDX5" s="225"/>
      <c r="MDY5" s="223" t="s">
        <v>44</v>
      </c>
      <c r="MDZ5" s="224"/>
      <c r="MEA5" s="224"/>
      <c r="MEB5" s="225"/>
      <c r="MEC5" s="223" t="s">
        <v>44</v>
      </c>
      <c r="MED5" s="224"/>
      <c r="MEE5" s="224"/>
      <c r="MEF5" s="225"/>
      <c r="MEG5" s="223" t="s">
        <v>44</v>
      </c>
      <c r="MEH5" s="224"/>
      <c r="MEI5" s="224"/>
      <c r="MEJ5" s="225"/>
      <c r="MEK5" s="223" t="s">
        <v>44</v>
      </c>
      <c r="MEL5" s="224"/>
      <c r="MEM5" s="224"/>
      <c r="MEN5" s="225"/>
      <c r="MEO5" s="223" t="s">
        <v>44</v>
      </c>
      <c r="MEP5" s="224"/>
      <c r="MEQ5" s="224"/>
      <c r="MER5" s="225"/>
      <c r="MES5" s="223" t="s">
        <v>44</v>
      </c>
      <c r="MET5" s="224"/>
      <c r="MEU5" s="224"/>
      <c r="MEV5" s="225"/>
      <c r="MEW5" s="223" t="s">
        <v>44</v>
      </c>
      <c r="MEX5" s="224"/>
      <c r="MEY5" s="224"/>
      <c r="MEZ5" s="225"/>
      <c r="MFA5" s="223" t="s">
        <v>44</v>
      </c>
      <c r="MFB5" s="224"/>
      <c r="MFC5" s="224"/>
      <c r="MFD5" s="225"/>
      <c r="MFE5" s="223" t="s">
        <v>44</v>
      </c>
      <c r="MFF5" s="224"/>
      <c r="MFG5" s="224"/>
      <c r="MFH5" s="225"/>
      <c r="MFI5" s="223" t="s">
        <v>44</v>
      </c>
      <c r="MFJ5" s="224"/>
      <c r="MFK5" s="224"/>
      <c r="MFL5" s="225"/>
      <c r="MFM5" s="223" t="s">
        <v>44</v>
      </c>
      <c r="MFN5" s="224"/>
      <c r="MFO5" s="224"/>
      <c r="MFP5" s="225"/>
      <c r="MFQ5" s="223" t="s">
        <v>44</v>
      </c>
      <c r="MFR5" s="224"/>
      <c r="MFS5" s="224"/>
      <c r="MFT5" s="225"/>
      <c r="MFU5" s="223" t="s">
        <v>44</v>
      </c>
      <c r="MFV5" s="224"/>
      <c r="MFW5" s="224"/>
      <c r="MFX5" s="225"/>
      <c r="MFY5" s="223" t="s">
        <v>44</v>
      </c>
      <c r="MFZ5" s="224"/>
      <c r="MGA5" s="224"/>
      <c r="MGB5" s="225"/>
      <c r="MGC5" s="223" t="s">
        <v>44</v>
      </c>
      <c r="MGD5" s="224"/>
      <c r="MGE5" s="224"/>
      <c r="MGF5" s="225"/>
      <c r="MGG5" s="223" t="s">
        <v>44</v>
      </c>
      <c r="MGH5" s="224"/>
      <c r="MGI5" s="224"/>
      <c r="MGJ5" s="225"/>
      <c r="MGK5" s="223" t="s">
        <v>44</v>
      </c>
      <c r="MGL5" s="224"/>
      <c r="MGM5" s="224"/>
      <c r="MGN5" s="225"/>
      <c r="MGO5" s="223" t="s">
        <v>44</v>
      </c>
      <c r="MGP5" s="224"/>
      <c r="MGQ5" s="224"/>
      <c r="MGR5" s="225"/>
      <c r="MGS5" s="223" t="s">
        <v>44</v>
      </c>
      <c r="MGT5" s="224"/>
      <c r="MGU5" s="224"/>
      <c r="MGV5" s="225"/>
      <c r="MGW5" s="223" t="s">
        <v>44</v>
      </c>
      <c r="MGX5" s="224"/>
      <c r="MGY5" s="224"/>
      <c r="MGZ5" s="225"/>
      <c r="MHA5" s="223" t="s">
        <v>44</v>
      </c>
      <c r="MHB5" s="224"/>
      <c r="MHC5" s="224"/>
      <c r="MHD5" s="225"/>
      <c r="MHE5" s="223" t="s">
        <v>44</v>
      </c>
      <c r="MHF5" s="224"/>
      <c r="MHG5" s="224"/>
      <c r="MHH5" s="225"/>
      <c r="MHI5" s="223" t="s">
        <v>44</v>
      </c>
      <c r="MHJ5" s="224"/>
      <c r="MHK5" s="224"/>
      <c r="MHL5" s="225"/>
      <c r="MHM5" s="223" t="s">
        <v>44</v>
      </c>
      <c r="MHN5" s="224"/>
      <c r="MHO5" s="224"/>
      <c r="MHP5" s="225"/>
      <c r="MHQ5" s="223" t="s">
        <v>44</v>
      </c>
      <c r="MHR5" s="224"/>
      <c r="MHS5" s="224"/>
      <c r="MHT5" s="225"/>
      <c r="MHU5" s="223" t="s">
        <v>44</v>
      </c>
      <c r="MHV5" s="224"/>
      <c r="MHW5" s="224"/>
      <c r="MHX5" s="225"/>
      <c r="MHY5" s="223" t="s">
        <v>44</v>
      </c>
      <c r="MHZ5" s="224"/>
      <c r="MIA5" s="224"/>
      <c r="MIB5" s="225"/>
      <c r="MIC5" s="223" t="s">
        <v>44</v>
      </c>
      <c r="MID5" s="224"/>
      <c r="MIE5" s="224"/>
      <c r="MIF5" s="225"/>
      <c r="MIG5" s="223" t="s">
        <v>44</v>
      </c>
      <c r="MIH5" s="224"/>
      <c r="MII5" s="224"/>
      <c r="MIJ5" s="225"/>
      <c r="MIK5" s="223" t="s">
        <v>44</v>
      </c>
      <c r="MIL5" s="224"/>
      <c r="MIM5" s="224"/>
      <c r="MIN5" s="225"/>
      <c r="MIO5" s="223" t="s">
        <v>44</v>
      </c>
      <c r="MIP5" s="224"/>
      <c r="MIQ5" s="224"/>
      <c r="MIR5" s="225"/>
      <c r="MIS5" s="223" t="s">
        <v>44</v>
      </c>
      <c r="MIT5" s="224"/>
      <c r="MIU5" s="224"/>
      <c r="MIV5" s="225"/>
      <c r="MIW5" s="223" t="s">
        <v>44</v>
      </c>
      <c r="MIX5" s="224"/>
      <c r="MIY5" s="224"/>
      <c r="MIZ5" s="225"/>
      <c r="MJA5" s="223" t="s">
        <v>44</v>
      </c>
      <c r="MJB5" s="224"/>
      <c r="MJC5" s="224"/>
      <c r="MJD5" s="225"/>
      <c r="MJE5" s="223" t="s">
        <v>44</v>
      </c>
      <c r="MJF5" s="224"/>
      <c r="MJG5" s="224"/>
      <c r="MJH5" s="225"/>
      <c r="MJI5" s="223" t="s">
        <v>44</v>
      </c>
      <c r="MJJ5" s="224"/>
      <c r="MJK5" s="224"/>
      <c r="MJL5" s="225"/>
      <c r="MJM5" s="223" t="s">
        <v>44</v>
      </c>
      <c r="MJN5" s="224"/>
      <c r="MJO5" s="224"/>
      <c r="MJP5" s="225"/>
      <c r="MJQ5" s="223" t="s">
        <v>44</v>
      </c>
      <c r="MJR5" s="224"/>
      <c r="MJS5" s="224"/>
      <c r="MJT5" s="225"/>
      <c r="MJU5" s="223" t="s">
        <v>44</v>
      </c>
      <c r="MJV5" s="224"/>
      <c r="MJW5" s="224"/>
      <c r="MJX5" s="225"/>
      <c r="MJY5" s="223" t="s">
        <v>44</v>
      </c>
      <c r="MJZ5" s="224"/>
      <c r="MKA5" s="224"/>
      <c r="MKB5" s="225"/>
      <c r="MKC5" s="223" t="s">
        <v>44</v>
      </c>
      <c r="MKD5" s="224"/>
      <c r="MKE5" s="224"/>
      <c r="MKF5" s="225"/>
      <c r="MKG5" s="223" t="s">
        <v>44</v>
      </c>
      <c r="MKH5" s="224"/>
      <c r="MKI5" s="224"/>
      <c r="MKJ5" s="225"/>
      <c r="MKK5" s="223" t="s">
        <v>44</v>
      </c>
      <c r="MKL5" s="224"/>
      <c r="MKM5" s="224"/>
      <c r="MKN5" s="225"/>
      <c r="MKO5" s="223" t="s">
        <v>44</v>
      </c>
      <c r="MKP5" s="224"/>
      <c r="MKQ5" s="224"/>
      <c r="MKR5" s="225"/>
      <c r="MKS5" s="223" t="s">
        <v>44</v>
      </c>
      <c r="MKT5" s="224"/>
      <c r="MKU5" s="224"/>
      <c r="MKV5" s="225"/>
      <c r="MKW5" s="223" t="s">
        <v>44</v>
      </c>
      <c r="MKX5" s="224"/>
      <c r="MKY5" s="224"/>
      <c r="MKZ5" s="225"/>
      <c r="MLA5" s="223" t="s">
        <v>44</v>
      </c>
      <c r="MLB5" s="224"/>
      <c r="MLC5" s="224"/>
      <c r="MLD5" s="225"/>
      <c r="MLE5" s="223" t="s">
        <v>44</v>
      </c>
      <c r="MLF5" s="224"/>
      <c r="MLG5" s="224"/>
      <c r="MLH5" s="225"/>
      <c r="MLI5" s="223" t="s">
        <v>44</v>
      </c>
      <c r="MLJ5" s="224"/>
      <c r="MLK5" s="224"/>
      <c r="MLL5" s="225"/>
      <c r="MLM5" s="223" t="s">
        <v>44</v>
      </c>
      <c r="MLN5" s="224"/>
      <c r="MLO5" s="224"/>
      <c r="MLP5" s="225"/>
      <c r="MLQ5" s="223" t="s">
        <v>44</v>
      </c>
      <c r="MLR5" s="224"/>
      <c r="MLS5" s="224"/>
      <c r="MLT5" s="225"/>
      <c r="MLU5" s="223" t="s">
        <v>44</v>
      </c>
      <c r="MLV5" s="224"/>
      <c r="MLW5" s="224"/>
      <c r="MLX5" s="225"/>
      <c r="MLY5" s="223" t="s">
        <v>44</v>
      </c>
      <c r="MLZ5" s="224"/>
      <c r="MMA5" s="224"/>
      <c r="MMB5" s="225"/>
      <c r="MMC5" s="223" t="s">
        <v>44</v>
      </c>
      <c r="MMD5" s="224"/>
      <c r="MME5" s="224"/>
      <c r="MMF5" s="225"/>
      <c r="MMG5" s="223" t="s">
        <v>44</v>
      </c>
      <c r="MMH5" s="224"/>
      <c r="MMI5" s="224"/>
      <c r="MMJ5" s="225"/>
      <c r="MMK5" s="223" t="s">
        <v>44</v>
      </c>
      <c r="MML5" s="224"/>
      <c r="MMM5" s="224"/>
      <c r="MMN5" s="225"/>
      <c r="MMO5" s="223" t="s">
        <v>44</v>
      </c>
      <c r="MMP5" s="224"/>
      <c r="MMQ5" s="224"/>
      <c r="MMR5" s="225"/>
      <c r="MMS5" s="223" t="s">
        <v>44</v>
      </c>
      <c r="MMT5" s="224"/>
      <c r="MMU5" s="224"/>
      <c r="MMV5" s="225"/>
      <c r="MMW5" s="223" t="s">
        <v>44</v>
      </c>
      <c r="MMX5" s="224"/>
      <c r="MMY5" s="224"/>
      <c r="MMZ5" s="225"/>
      <c r="MNA5" s="223" t="s">
        <v>44</v>
      </c>
      <c r="MNB5" s="224"/>
      <c r="MNC5" s="224"/>
      <c r="MND5" s="225"/>
      <c r="MNE5" s="223" t="s">
        <v>44</v>
      </c>
      <c r="MNF5" s="224"/>
      <c r="MNG5" s="224"/>
      <c r="MNH5" s="225"/>
      <c r="MNI5" s="223" t="s">
        <v>44</v>
      </c>
      <c r="MNJ5" s="224"/>
      <c r="MNK5" s="224"/>
      <c r="MNL5" s="225"/>
      <c r="MNM5" s="223" t="s">
        <v>44</v>
      </c>
      <c r="MNN5" s="224"/>
      <c r="MNO5" s="224"/>
      <c r="MNP5" s="225"/>
      <c r="MNQ5" s="223" t="s">
        <v>44</v>
      </c>
      <c r="MNR5" s="224"/>
      <c r="MNS5" s="224"/>
      <c r="MNT5" s="225"/>
      <c r="MNU5" s="223" t="s">
        <v>44</v>
      </c>
      <c r="MNV5" s="224"/>
      <c r="MNW5" s="224"/>
      <c r="MNX5" s="225"/>
      <c r="MNY5" s="223" t="s">
        <v>44</v>
      </c>
      <c r="MNZ5" s="224"/>
      <c r="MOA5" s="224"/>
      <c r="MOB5" s="225"/>
      <c r="MOC5" s="223" t="s">
        <v>44</v>
      </c>
      <c r="MOD5" s="224"/>
      <c r="MOE5" s="224"/>
      <c r="MOF5" s="225"/>
      <c r="MOG5" s="223" t="s">
        <v>44</v>
      </c>
      <c r="MOH5" s="224"/>
      <c r="MOI5" s="224"/>
      <c r="MOJ5" s="225"/>
      <c r="MOK5" s="223" t="s">
        <v>44</v>
      </c>
      <c r="MOL5" s="224"/>
      <c r="MOM5" s="224"/>
      <c r="MON5" s="225"/>
      <c r="MOO5" s="223" t="s">
        <v>44</v>
      </c>
      <c r="MOP5" s="224"/>
      <c r="MOQ5" s="224"/>
      <c r="MOR5" s="225"/>
      <c r="MOS5" s="223" t="s">
        <v>44</v>
      </c>
      <c r="MOT5" s="224"/>
      <c r="MOU5" s="224"/>
      <c r="MOV5" s="225"/>
      <c r="MOW5" s="223" t="s">
        <v>44</v>
      </c>
      <c r="MOX5" s="224"/>
      <c r="MOY5" s="224"/>
      <c r="MOZ5" s="225"/>
      <c r="MPA5" s="223" t="s">
        <v>44</v>
      </c>
      <c r="MPB5" s="224"/>
      <c r="MPC5" s="224"/>
      <c r="MPD5" s="225"/>
      <c r="MPE5" s="223" t="s">
        <v>44</v>
      </c>
      <c r="MPF5" s="224"/>
      <c r="MPG5" s="224"/>
      <c r="MPH5" s="225"/>
      <c r="MPI5" s="223" t="s">
        <v>44</v>
      </c>
      <c r="MPJ5" s="224"/>
      <c r="MPK5" s="224"/>
      <c r="MPL5" s="225"/>
      <c r="MPM5" s="223" t="s">
        <v>44</v>
      </c>
      <c r="MPN5" s="224"/>
      <c r="MPO5" s="224"/>
      <c r="MPP5" s="225"/>
      <c r="MPQ5" s="223" t="s">
        <v>44</v>
      </c>
      <c r="MPR5" s="224"/>
      <c r="MPS5" s="224"/>
      <c r="MPT5" s="225"/>
      <c r="MPU5" s="223" t="s">
        <v>44</v>
      </c>
      <c r="MPV5" s="224"/>
      <c r="MPW5" s="224"/>
      <c r="MPX5" s="225"/>
      <c r="MPY5" s="223" t="s">
        <v>44</v>
      </c>
      <c r="MPZ5" s="224"/>
      <c r="MQA5" s="224"/>
      <c r="MQB5" s="225"/>
      <c r="MQC5" s="223" t="s">
        <v>44</v>
      </c>
      <c r="MQD5" s="224"/>
      <c r="MQE5" s="224"/>
      <c r="MQF5" s="225"/>
      <c r="MQG5" s="223" t="s">
        <v>44</v>
      </c>
      <c r="MQH5" s="224"/>
      <c r="MQI5" s="224"/>
      <c r="MQJ5" s="225"/>
      <c r="MQK5" s="223" t="s">
        <v>44</v>
      </c>
      <c r="MQL5" s="224"/>
      <c r="MQM5" s="224"/>
      <c r="MQN5" s="225"/>
      <c r="MQO5" s="223" t="s">
        <v>44</v>
      </c>
      <c r="MQP5" s="224"/>
      <c r="MQQ5" s="224"/>
      <c r="MQR5" s="225"/>
      <c r="MQS5" s="223" t="s">
        <v>44</v>
      </c>
      <c r="MQT5" s="224"/>
      <c r="MQU5" s="224"/>
      <c r="MQV5" s="225"/>
      <c r="MQW5" s="223" t="s">
        <v>44</v>
      </c>
      <c r="MQX5" s="224"/>
      <c r="MQY5" s="224"/>
      <c r="MQZ5" s="225"/>
      <c r="MRA5" s="223" t="s">
        <v>44</v>
      </c>
      <c r="MRB5" s="224"/>
      <c r="MRC5" s="224"/>
      <c r="MRD5" s="225"/>
      <c r="MRE5" s="223" t="s">
        <v>44</v>
      </c>
      <c r="MRF5" s="224"/>
      <c r="MRG5" s="224"/>
      <c r="MRH5" s="225"/>
      <c r="MRI5" s="223" t="s">
        <v>44</v>
      </c>
      <c r="MRJ5" s="224"/>
      <c r="MRK5" s="224"/>
      <c r="MRL5" s="225"/>
      <c r="MRM5" s="223" t="s">
        <v>44</v>
      </c>
      <c r="MRN5" s="224"/>
      <c r="MRO5" s="224"/>
      <c r="MRP5" s="225"/>
      <c r="MRQ5" s="223" t="s">
        <v>44</v>
      </c>
      <c r="MRR5" s="224"/>
      <c r="MRS5" s="224"/>
      <c r="MRT5" s="225"/>
      <c r="MRU5" s="223" t="s">
        <v>44</v>
      </c>
      <c r="MRV5" s="224"/>
      <c r="MRW5" s="224"/>
      <c r="MRX5" s="225"/>
      <c r="MRY5" s="223" t="s">
        <v>44</v>
      </c>
      <c r="MRZ5" s="224"/>
      <c r="MSA5" s="224"/>
      <c r="MSB5" s="225"/>
      <c r="MSC5" s="223" t="s">
        <v>44</v>
      </c>
      <c r="MSD5" s="224"/>
      <c r="MSE5" s="224"/>
      <c r="MSF5" s="225"/>
      <c r="MSG5" s="223" t="s">
        <v>44</v>
      </c>
      <c r="MSH5" s="224"/>
      <c r="MSI5" s="224"/>
      <c r="MSJ5" s="225"/>
      <c r="MSK5" s="223" t="s">
        <v>44</v>
      </c>
      <c r="MSL5" s="224"/>
      <c r="MSM5" s="224"/>
      <c r="MSN5" s="225"/>
      <c r="MSO5" s="223" t="s">
        <v>44</v>
      </c>
      <c r="MSP5" s="224"/>
      <c r="MSQ5" s="224"/>
      <c r="MSR5" s="225"/>
      <c r="MSS5" s="223" t="s">
        <v>44</v>
      </c>
      <c r="MST5" s="224"/>
      <c r="MSU5" s="224"/>
      <c r="MSV5" s="225"/>
      <c r="MSW5" s="223" t="s">
        <v>44</v>
      </c>
      <c r="MSX5" s="224"/>
      <c r="MSY5" s="224"/>
      <c r="MSZ5" s="225"/>
      <c r="MTA5" s="223" t="s">
        <v>44</v>
      </c>
      <c r="MTB5" s="224"/>
      <c r="MTC5" s="224"/>
      <c r="MTD5" s="225"/>
      <c r="MTE5" s="223" t="s">
        <v>44</v>
      </c>
      <c r="MTF5" s="224"/>
      <c r="MTG5" s="224"/>
      <c r="MTH5" s="225"/>
      <c r="MTI5" s="223" t="s">
        <v>44</v>
      </c>
      <c r="MTJ5" s="224"/>
      <c r="MTK5" s="224"/>
      <c r="MTL5" s="225"/>
      <c r="MTM5" s="223" t="s">
        <v>44</v>
      </c>
      <c r="MTN5" s="224"/>
      <c r="MTO5" s="224"/>
      <c r="MTP5" s="225"/>
      <c r="MTQ5" s="223" t="s">
        <v>44</v>
      </c>
      <c r="MTR5" s="224"/>
      <c r="MTS5" s="224"/>
      <c r="MTT5" s="225"/>
      <c r="MTU5" s="223" t="s">
        <v>44</v>
      </c>
      <c r="MTV5" s="224"/>
      <c r="MTW5" s="224"/>
      <c r="MTX5" s="225"/>
      <c r="MTY5" s="223" t="s">
        <v>44</v>
      </c>
      <c r="MTZ5" s="224"/>
      <c r="MUA5" s="224"/>
      <c r="MUB5" s="225"/>
      <c r="MUC5" s="223" t="s">
        <v>44</v>
      </c>
      <c r="MUD5" s="224"/>
      <c r="MUE5" s="224"/>
      <c r="MUF5" s="225"/>
      <c r="MUG5" s="223" t="s">
        <v>44</v>
      </c>
      <c r="MUH5" s="224"/>
      <c r="MUI5" s="224"/>
      <c r="MUJ5" s="225"/>
      <c r="MUK5" s="223" t="s">
        <v>44</v>
      </c>
      <c r="MUL5" s="224"/>
      <c r="MUM5" s="224"/>
      <c r="MUN5" s="225"/>
      <c r="MUO5" s="223" t="s">
        <v>44</v>
      </c>
      <c r="MUP5" s="224"/>
      <c r="MUQ5" s="224"/>
      <c r="MUR5" s="225"/>
      <c r="MUS5" s="223" t="s">
        <v>44</v>
      </c>
      <c r="MUT5" s="224"/>
      <c r="MUU5" s="224"/>
      <c r="MUV5" s="225"/>
      <c r="MUW5" s="223" t="s">
        <v>44</v>
      </c>
      <c r="MUX5" s="224"/>
      <c r="MUY5" s="224"/>
      <c r="MUZ5" s="225"/>
      <c r="MVA5" s="223" t="s">
        <v>44</v>
      </c>
      <c r="MVB5" s="224"/>
      <c r="MVC5" s="224"/>
      <c r="MVD5" s="225"/>
      <c r="MVE5" s="223" t="s">
        <v>44</v>
      </c>
      <c r="MVF5" s="224"/>
      <c r="MVG5" s="224"/>
      <c r="MVH5" s="225"/>
      <c r="MVI5" s="223" t="s">
        <v>44</v>
      </c>
      <c r="MVJ5" s="224"/>
      <c r="MVK5" s="224"/>
      <c r="MVL5" s="225"/>
      <c r="MVM5" s="223" t="s">
        <v>44</v>
      </c>
      <c r="MVN5" s="224"/>
      <c r="MVO5" s="224"/>
      <c r="MVP5" s="225"/>
      <c r="MVQ5" s="223" t="s">
        <v>44</v>
      </c>
      <c r="MVR5" s="224"/>
      <c r="MVS5" s="224"/>
      <c r="MVT5" s="225"/>
      <c r="MVU5" s="223" t="s">
        <v>44</v>
      </c>
      <c r="MVV5" s="224"/>
      <c r="MVW5" s="224"/>
      <c r="MVX5" s="225"/>
      <c r="MVY5" s="223" t="s">
        <v>44</v>
      </c>
      <c r="MVZ5" s="224"/>
      <c r="MWA5" s="224"/>
      <c r="MWB5" s="225"/>
      <c r="MWC5" s="223" t="s">
        <v>44</v>
      </c>
      <c r="MWD5" s="224"/>
      <c r="MWE5" s="224"/>
      <c r="MWF5" s="225"/>
      <c r="MWG5" s="223" t="s">
        <v>44</v>
      </c>
      <c r="MWH5" s="224"/>
      <c r="MWI5" s="224"/>
      <c r="MWJ5" s="225"/>
      <c r="MWK5" s="223" t="s">
        <v>44</v>
      </c>
      <c r="MWL5" s="224"/>
      <c r="MWM5" s="224"/>
      <c r="MWN5" s="225"/>
      <c r="MWO5" s="223" t="s">
        <v>44</v>
      </c>
      <c r="MWP5" s="224"/>
      <c r="MWQ5" s="224"/>
      <c r="MWR5" s="225"/>
      <c r="MWS5" s="223" t="s">
        <v>44</v>
      </c>
      <c r="MWT5" s="224"/>
      <c r="MWU5" s="224"/>
      <c r="MWV5" s="225"/>
      <c r="MWW5" s="223" t="s">
        <v>44</v>
      </c>
      <c r="MWX5" s="224"/>
      <c r="MWY5" s="224"/>
      <c r="MWZ5" s="225"/>
      <c r="MXA5" s="223" t="s">
        <v>44</v>
      </c>
      <c r="MXB5" s="224"/>
      <c r="MXC5" s="224"/>
      <c r="MXD5" s="225"/>
      <c r="MXE5" s="223" t="s">
        <v>44</v>
      </c>
      <c r="MXF5" s="224"/>
      <c r="MXG5" s="224"/>
      <c r="MXH5" s="225"/>
      <c r="MXI5" s="223" t="s">
        <v>44</v>
      </c>
      <c r="MXJ5" s="224"/>
      <c r="MXK5" s="224"/>
      <c r="MXL5" s="225"/>
      <c r="MXM5" s="223" t="s">
        <v>44</v>
      </c>
      <c r="MXN5" s="224"/>
      <c r="MXO5" s="224"/>
      <c r="MXP5" s="225"/>
      <c r="MXQ5" s="223" t="s">
        <v>44</v>
      </c>
      <c r="MXR5" s="224"/>
      <c r="MXS5" s="224"/>
      <c r="MXT5" s="225"/>
      <c r="MXU5" s="223" t="s">
        <v>44</v>
      </c>
      <c r="MXV5" s="224"/>
      <c r="MXW5" s="224"/>
      <c r="MXX5" s="225"/>
      <c r="MXY5" s="223" t="s">
        <v>44</v>
      </c>
      <c r="MXZ5" s="224"/>
      <c r="MYA5" s="224"/>
      <c r="MYB5" s="225"/>
      <c r="MYC5" s="223" t="s">
        <v>44</v>
      </c>
      <c r="MYD5" s="224"/>
      <c r="MYE5" s="224"/>
      <c r="MYF5" s="225"/>
      <c r="MYG5" s="223" t="s">
        <v>44</v>
      </c>
      <c r="MYH5" s="224"/>
      <c r="MYI5" s="224"/>
      <c r="MYJ5" s="225"/>
      <c r="MYK5" s="223" t="s">
        <v>44</v>
      </c>
      <c r="MYL5" s="224"/>
      <c r="MYM5" s="224"/>
      <c r="MYN5" s="225"/>
      <c r="MYO5" s="223" t="s">
        <v>44</v>
      </c>
      <c r="MYP5" s="224"/>
      <c r="MYQ5" s="224"/>
      <c r="MYR5" s="225"/>
      <c r="MYS5" s="223" t="s">
        <v>44</v>
      </c>
      <c r="MYT5" s="224"/>
      <c r="MYU5" s="224"/>
      <c r="MYV5" s="225"/>
      <c r="MYW5" s="223" t="s">
        <v>44</v>
      </c>
      <c r="MYX5" s="224"/>
      <c r="MYY5" s="224"/>
      <c r="MYZ5" s="225"/>
      <c r="MZA5" s="223" t="s">
        <v>44</v>
      </c>
      <c r="MZB5" s="224"/>
      <c r="MZC5" s="224"/>
      <c r="MZD5" s="225"/>
      <c r="MZE5" s="223" t="s">
        <v>44</v>
      </c>
      <c r="MZF5" s="224"/>
      <c r="MZG5" s="224"/>
      <c r="MZH5" s="225"/>
      <c r="MZI5" s="223" t="s">
        <v>44</v>
      </c>
      <c r="MZJ5" s="224"/>
      <c r="MZK5" s="224"/>
      <c r="MZL5" s="225"/>
      <c r="MZM5" s="223" t="s">
        <v>44</v>
      </c>
      <c r="MZN5" s="224"/>
      <c r="MZO5" s="224"/>
      <c r="MZP5" s="225"/>
      <c r="MZQ5" s="223" t="s">
        <v>44</v>
      </c>
      <c r="MZR5" s="224"/>
      <c r="MZS5" s="224"/>
      <c r="MZT5" s="225"/>
      <c r="MZU5" s="223" t="s">
        <v>44</v>
      </c>
      <c r="MZV5" s="224"/>
      <c r="MZW5" s="224"/>
      <c r="MZX5" s="225"/>
      <c r="MZY5" s="223" t="s">
        <v>44</v>
      </c>
      <c r="MZZ5" s="224"/>
      <c r="NAA5" s="224"/>
      <c r="NAB5" s="225"/>
      <c r="NAC5" s="223" t="s">
        <v>44</v>
      </c>
      <c r="NAD5" s="224"/>
      <c r="NAE5" s="224"/>
      <c r="NAF5" s="225"/>
      <c r="NAG5" s="223" t="s">
        <v>44</v>
      </c>
      <c r="NAH5" s="224"/>
      <c r="NAI5" s="224"/>
      <c r="NAJ5" s="225"/>
      <c r="NAK5" s="223" t="s">
        <v>44</v>
      </c>
      <c r="NAL5" s="224"/>
      <c r="NAM5" s="224"/>
      <c r="NAN5" s="225"/>
      <c r="NAO5" s="223" t="s">
        <v>44</v>
      </c>
      <c r="NAP5" s="224"/>
      <c r="NAQ5" s="224"/>
      <c r="NAR5" s="225"/>
      <c r="NAS5" s="223" t="s">
        <v>44</v>
      </c>
      <c r="NAT5" s="224"/>
      <c r="NAU5" s="224"/>
      <c r="NAV5" s="225"/>
      <c r="NAW5" s="223" t="s">
        <v>44</v>
      </c>
      <c r="NAX5" s="224"/>
      <c r="NAY5" s="224"/>
      <c r="NAZ5" s="225"/>
      <c r="NBA5" s="223" t="s">
        <v>44</v>
      </c>
      <c r="NBB5" s="224"/>
      <c r="NBC5" s="224"/>
      <c r="NBD5" s="225"/>
      <c r="NBE5" s="223" t="s">
        <v>44</v>
      </c>
      <c r="NBF5" s="224"/>
      <c r="NBG5" s="224"/>
      <c r="NBH5" s="225"/>
      <c r="NBI5" s="223" t="s">
        <v>44</v>
      </c>
      <c r="NBJ5" s="224"/>
      <c r="NBK5" s="224"/>
      <c r="NBL5" s="225"/>
      <c r="NBM5" s="223" t="s">
        <v>44</v>
      </c>
      <c r="NBN5" s="224"/>
      <c r="NBO5" s="224"/>
      <c r="NBP5" s="225"/>
      <c r="NBQ5" s="223" t="s">
        <v>44</v>
      </c>
      <c r="NBR5" s="224"/>
      <c r="NBS5" s="224"/>
      <c r="NBT5" s="225"/>
      <c r="NBU5" s="223" t="s">
        <v>44</v>
      </c>
      <c r="NBV5" s="224"/>
      <c r="NBW5" s="224"/>
      <c r="NBX5" s="225"/>
      <c r="NBY5" s="223" t="s">
        <v>44</v>
      </c>
      <c r="NBZ5" s="224"/>
      <c r="NCA5" s="224"/>
      <c r="NCB5" s="225"/>
      <c r="NCC5" s="223" t="s">
        <v>44</v>
      </c>
      <c r="NCD5" s="224"/>
      <c r="NCE5" s="224"/>
      <c r="NCF5" s="225"/>
      <c r="NCG5" s="223" t="s">
        <v>44</v>
      </c>
      <c r="NCH5" s="224"/>
      <c r="NCI5" s="224"/>
      <c r="NCJ5" s="225"/>
      <c r="NCK5" s="223" t="s">
        <v>44</v>
      </c>
      <c r="NCL5" s="224"/>
      <c r="NCM5" s="224"/>
      <c r="NCN5" s="225"/>
      <c r="NCO5" s="223" t="s">
        <v>44</v>
      </c>
      <c r="NCP5" s="224"/>
      <c r="NCQ5" s="224"/>
      <c r="NCR5" s="225"/>
      <c r="NCS5" s="223" t="s">
        <v>44</v>
      </c>
      <c r="NCT5" s="224"/>
      <c r="NCU5" s="224"/>
      <c r="NCV5" s="225"/>
      <c r="NCW5" s="223" t="s">
        <v>44</v>
      </c>
      <c r="NCX5" s="224"/>
      <c r="NCY5" s="224"/>
      <c r="NCZ5" s="225"/>
      <c r="NDA5" s="223" t="s">
        <v>44</v>
      </c>
      <c r="NDB5" s="224"/>
      <c r="NDC5" s="224"/>
      <c r="NDD5" s="225"/>
      <c r="NDE5" s="223" t="s">
        <v>44</v>
      </c>
      <c r="NDF5" s="224"/>
      <c r="NDG5" s="224"/>
      <c r="NDH5" s="225"/>
      <c r="NDI5" s="223" t="s">
        <v>44</v>
      </c>
      <c r="NDJ5" s="224"/>
      <c r="NDK5" s="224"/>
      <c r="NDL5" s="225"/>
      <c r="NDM5" s="223" t="s">
        <v>44</v>
      </c>
      <c r="NDN5" s="224"/>
      <c r="NDO5" s="224"/>
      <c r="NDP5" s="225"/>
      <c r="NDQ5" s="223" t="s">
        <v>44</v>
      </c>
      <c r="NDR5" s="224"/>
      <c r="NDS5" s="224"/>
      <c r="NDT5" s="225"/>
      <c r="NDU5" s="223" t="s">
        <v>44</v>
      </c>
      <c r="NDV5" s="224"/>
      <c r="NDW5" s="224"/>
      <c r="NDX5" s="225"/>
      <c r="NDY5" s="223" t="s">
        <v>44</v>
      </c>
      <c r="NDZ5" s="224"/>
      <c r="NEA5" s="224"/>
      <c r="NEB5" s="225"/>
      <c r="NEC5" s="223" t="s">
        <v>44</v>
      </c>
      <c r="NED5" s="224"/>
      <c r="NEE5" s="224"/>
      <c r="NEF5" s="225"/>
      <c r="NEG5" s="223" t="s">
        <v>44</v>
      </c>
      <c r="NEH5" s="224"/>
      <c r="NEI5" s="224"/>
      <c r="NEJ5" s="225"/>
      <c r="NEK5" s="223" t="s">
        <v>44</v>
      </c>
      <c r="NEL5" s="224"/>
      <c r="NEM5" s="224"/>
      <c r="NEN5" s="225"/>
      <c r="NEO5" s="223" t="s">
        <v>44</v>
      </c>
      <c r="NEP5" s="224"/>
      <c r="NEQ5" s="224"/>
      <c r="NER5" s="225"/>
      <c r="NES5" s="223" t="s">
        <v>44</v>
      </c>
      <c r="NET5" s="224"/>
      <c r="NEU5" s="224"/>
      <c r="NEV5" s="225"/>
      <c r="NEW5" s="223" t="s">
        <v>44</v>
      </c>
      <c r="NEX5" s="224"/>
      <c r="NEY5" s="224"/>
      <c r="NEZ5" s="225"/>
      <c r="NFA5" s="223" t="s">
        <v>44</v>
      </c>
      <c r="NFB5" s="224"/>
      <c r="NFC5" s="224"/>
      <c r="NFD5" s="225"/>
      <c r="NFE5" s="223" t="s">
        <v>44</v>
      </c>
      <c r="NFF5" s="224"/>
      <c r="NFG5" s="224"/>
      <c r="NFH5" s="225"/>
      <c r="NFI5" s="223" t="s">
        <v>44</v>
      </c>
      <c r="NFJ5" s="224"/>
      <c r="NFK5" s="224"/>
      <c r="NFL5" s="225"/>
      <c r="NFM5" s="223" t="s">
        <v>44</v>
      </c>
      <c r="NFN5" s="224"/>
      <c r="NFO5" s="224"/>
      <c r="NFP5" s="225"/>
      <c r="NFQ5" s="223" t="s">
        <v>44</v>
      </c>
      <c r="NFR5" s="224"/>
      <c r="NFS5" s="224"/>
      <c r="NFT5" s="225"/>
      <c r="NFU5" s="223" t="s">
        <v>44</v>
      </c>
      <c r="NFV5" s="224"/>
      <c r="NFW5" s="224"/>
      <c r="NFX5" s="225"/>
      <c r="NFY5" s="223" t="s">
        <v>44</v>
      </c>
      <c r="NFZ5" s="224"/>
      <c r="NGA5" s="224"/>
      <c r="NGB5" s="225"/>
      <c r="NGC5" s="223" t="s">
        <v>44</v>
      </c>
      <c r="NGD5" s="224"/>
      <c r="NGE5" s="224"/>
      <c r="NGF5" s="225"/>
      <c r="NGG5" s="223" t="s">
        <v>44</v>
      </c>
      <c r="NGH5" s="224"/>
      <c r="NGI5" s="224"/>
      <c r="NGJ5" s="225"/>
      <c r="NGK5" s="223" t="s">
        <v>44</v>
      </c>
      <c r="NGL5" s="224"/>
      <c r="NGM5" s="224"/>
      <c r="NGN5" s="225"/>
      <c r="NGO5" s="223" t="s">
        <v>44</v>
      </c>
      <c r="NGP5" s="224"/>
      <c r="NGQ5" s="224"/>
      <c r="NGR5" s="225"/>
      <c r="NGS5" s="223" t="s">
        <v>44</v>
      </c>
      <c r="NGT5" s="224"/>
      <c r="NGU5" s="224"/>
      <c r="NGV5" s="225"/>
      <c r="NGW5" s="223" t="s">
        <v>44</v>
      </c>
      <c r="NGX5" s="224"/>
      <c r="NGY5" s="224"/>
      <c r="NGZ5" s="225"/>
      <c r="NHA5" s="223" t="s">
        <v>44</v>
      </c>
      <c r="NHB5" s="224"/>
      <c r="NHC5" s="224"/>
      <c r="NHD5" s="225"/>
      <c r="NHE5" s="223" t="s">
        <v>44</v>
      </c>
      <c r="NHF5" s="224"/>
      <c r="NHG5" s="224"/>
      <c r="NHH5" s="225"/>
      <c r="NHI5" s="223" t="s">
        <v>44</v>
      </c>
      <c r="NHJ5" s="224"/>
      <c r="NHK5" s="224"/>
      <c r="NHL5" s="225"/>
      <c r="NHM5" s="223" t="s">
        <v>44</v>
      </c>
      <c r="NHN5" s="224"/>
      <c r="NHO5" s="224"/>
      <c r="NHP5" s="225"/>
      <c r="NHQ5" s="223" t="s">
        <v>44</v>
      </c>
      <c r="NHR5" s="224"/>
      <c r="NHS5" s="224"/>
      <c r="NHT5" s="225"/>
      <c r="NHU5" s="223" t="s">
        <v>44</v>
      </c>
      <c r="NHV5" s="224"/>
      <c r="NHW5" s="224"/>
      <c r="NHX5" s="225"/>
      <c r="NHY5" s="223" t="s">
        <v>44</v>
      </c>
      <c r="NHZ5" s="224"/>
      <c r="NIA5" s="224"/>
      <c r="NIB5" s="225"/>
      <c r="NIC5" s="223" t="s">
        <v>44</v>
      </c>
      <c r="NID5" s="224"/>
      <c r="NIE5" s="224"/>
      <c r="NIF5" s="225"/>
      <c r="NIG5" s="223" t="s">
        <v>44</v>
      </c>
      <c r="NIH5" s="224"/>
      <c r="NII5" s="224"/>
      <c r="NIJ5" s="225"/>
      <c r="NIK5" s="223" t="s">
        <v>44</v>
      </c>
      <c r="NIL5" s="224"/>
      <c r="NIM5" s="224"/>
      <c r="NIN5" s="225"/>
      <c r="NIO5" s="223" t="s">
        <v>44</v>
      </c>
      <c r="NIP5" s="224"/>
      <c r="NIQ5" s="224"/>
      <c r="NIR5" s="225"/>
      <c r="NIS5" s="223" t="s">
        <v>44</v>
      </c>
      <c r="NIT5" s="224"/>
      <c r="NIU5" s="224"/>
      <c r="NIV5" s="225"/>
      <c r="NIW5" s="223" t="s">
        <v>44</v>
      </c>
      <c r="NIX5" s="224"/>
      <c r="NIY5" s="224"/>
      <c r="NIZ5" s="225"/>
      <c r="NJA5" s="223" t="s">
        <v>44</v>
      </c>
      <c r="NJB5" s="224"/>
      <c r="NJC5" s="224"/>
      <c r="NJD5" s="225"/>
      <c r="NJE5" s="223" t="s">
        <v>44</v>
      </c>
      <c r="NJF5" s="224"/>
      <c r="NJG5" s="224"/>
      <c r="NJH5" s="225"/>
      <c r="NJI5" s="223" t="s">
        <v>44</v>
      </c>
      <c r="NJJ5" s="224"/>
      <c r="NJK5" s="224"/>
      <c r="NJL5" s="225"/>
      <c r="NJM5" s="223" t="s">
        <v>44</v>
      </c>
      <c r="NJN5" s="224"/>
      <c r="NJO5" s="224"/>
      <c r="NJP5" s="225"/>
      <c r="NJQ5" s="223" t="s">
        <v>44</v>
      </c>
      <c r="NJR5" s="224"/>
      <c r="NJS5" s="224"/>
      <c r="NJT5" s="225"/>
      <c r="NJU5" s="223" t="s">
        <v>44</v>
      </c>
      <c r="NJV5" s="224"/>
      <c r="NJW5" s="224"/>
      <c r="NJX5" s="225"/>
      <c r="NJY5" s="223" t="s">
        <v>44</v>
      </c>
      <c r="NJZ5" s="224"/>
      <c r="NKA5" s="224"/>
      <c r="NKB5" s="225"/>
      <c r="NKC5" s="223" t="s">
        <v>44</v>
      </c>
      <c r="NKD5" s="224"/>
      <c r="NKE5" s="224"/>
      <c r="NKF5" s="225"/>
      <c r="NKG5" s="223" t="s">
        <v>44</v>
      </c>
      <c r="NKH5" s="224"/>
      <c r="NKI5" s="224"/>
      <c r="NKJ5" s="225"/>
      <c r="NKK5" s="223" t="s">
        <v>44</v>
      </c>
      <c r="NKL5" s="224"/>
      <c r="NKM5" s="224"/>
      <c r="NKN5" s="225"/>
      <c r="NKO5" s="223" t="s">
        <v>44</v>
      </c>
      <c r="NKP5" s="224"/>
      <c r="NKQ5" s="224"/>
      <c r="NKR5" s="225"/>
      <c r="NKS5" s="223" t="s">
        <v>44</v>
      </c>
      <c r="NKT5" s="224"/>
      <c r="NKU5" s="224"/>
      <c r="NKV5" s="225"/>
      <c r="NKW5" s="223" t="s">
        <v>44</v>
      </c>
      <c r="NKX5" s="224"/>
      <c r="NKY5" s="224"/>
      <c r="NKZ5" s="225"/>
      <c r="NLA5" s="223" t="s">
        <v>44</v>
      </c>
      <c r="NLB5" s="224"/>
      <c r="NLC5" s="224"/>
      <c r="NLD5" s="225"/>
      <c r="NLE5" s="223" t="s">
        <v>44</v>
      </c>
      <c r="NLF5" s="224"/>
      <c r="NLG5" s="224"/>
      <c r="NLH5" s="225"/>
      <c r="NLI5" s="223" t="s">
        <v>44</v>
      </c>
      <c r="NLJ5" s="224"/>
      <c r="NLK5" s="224"/>
      <c r="NLL5" s="225"/>
      <c r="NLM5" s="223" t="s">
        <v>44</v>
      </c>
      <c r="NLN5" s="224"/>
      <c r="NLO5" s="224"/>
      <c r="NLP5" s="225"/>
      <c r="NLQ5" s="223" t="s">
        <v>44</v>
      </c>
      <c r="NLR5" s="224"/>
      <c r="NLS5" s="224"/>
      <c r="NLT5" s="225"/>
      <c r="NLU5" s="223" t="s">
        <v>44</v>
      </c>
      <c r="NLV5" s="224"/>
      <c r="NLW5" s="224"/>
      <c r="NLX5" s="225"/>
      <c r="NLY5" s="223" t="s">
        <v>44</v>
      </c>
      <c r="NLZ5" s="224"/>
      <c r="NMA5" s="224"/>
      <c r="NMB5" s="225"/>
      <c r="NMC5" s="223" t="s">
        <v>44</v>
      </c>
      <c r="NMD5" s="224"/>
      <c r="NME5" s="224"/>
      <c r="NMF5" s="225"/>
      <c r="NMG5" s="223" t="s">
        <v>44</v>
      </c>
      <c r="NMH5" s="224"/>
      <c r="NMI5" s="224"/>
      <c r="NMJ5" s="225"/>
      <c r="NMK5" s="223" t="s">
        <v>44</v>
      </c>
      <c r="NML5" s="224"/>
      <c r="NMM5" s="224"/>
      <c r="NMN5" s="225"/>
      <c r="NMO5" s="223" t="s">
        <v>44</v>
      </c>
      <c r="NMP5" s="224"/>
      <c r="NMQ5" s="224"/>
      <c r="NMR5" s="225"/>
      <c r="NMS5" s="223" t="s">
        <v>44</v>
      </c>
      <c r="NMT5" s="224"/>
      <c r="NMU5" s="224"/>
      <c r="NMV5" s="225"/>
      <c r="NMW5" s="223" t="s">
        <v>44</v>
      </c>
      <c r="NMX5" s="224"/>
      <c r="NMY5" s="224"/>
      <c r="NMZ5" s="225"/>
      <c r="NNA5" s="223" t="s">
        <v>44</v>
      </c>
      <c r="NNB5" s="224"/>
      <c r="NNC5" s="224"/>
      <c r="NND5" s="225"/>
      <c r="NNE5" s="223" t="s">
        <v>44</v>
      </c>
      <c r="NNF5" s="224"/>
      <c r="NNG5" s="224"/>
      <c r="NNH5" s="225"/>
      <c r="NNI5" s="223" t="s">
        <v>44</v>
      </c>
      <c r="NNJ5" s="224"/>
      <c r="NNK5" s="224"/>
      <c r="NNL5" s="225"/>
      <c r="NNM5" s="223" t="s">
        <v>44</v>
      </c>
      <c r="NNN5" s="224"/>
      <c r="NNO5" s="224"/>
      <c r="NNP5" s="225"/>
      <c r="NNQ5" s="223" t="s">
        <v>44</v>
      </c>
      <c r="NNR5" s="224"/>
      <c r="NNS5" s="224"/>
      <c r="NNT5" s="225"/>
      <c r="NNU5" s="223" t="s">
        <v>44</v>
      </c>
      <c r="NNV5" s="224"/>
      <c r="NNW5" s="224"/>
      <c r="NNX5" s="225"/>
      <c r="NNY5" s="223" t="s">
        <v>44</v>
      </c>
      <c r="NNZ5" s="224"/>
      <c r="NOA5" s="224"/>
      <c r="NOB5" s="225"/>
      <c r="NOC5" s="223" t="s">
        <v>44</v>
      </c>
      <c r="NOD5" s="224"/>
      <c r="NOE5" s="224"/>
      <c r="NOF5" s="225"/>
      <c r="NOG5" s="223" t="s">
        <v>44</v>
      </c>
      <c r="NOH5" s="224"/>
      <c r="NOI5" s="224"/>
      <c r="NOJ5" s="225"/>
      <c r="NOK5" s="223" t="s">
        <v>44</v>
      </c>
      <c r="NOL5" s="224"/>
      <c r="NOM5" s="224"/>
      <c r="NON5" s="225"/>
      <c r="NOO5" s="223" t="s">
        <v>44</v>
      </c>
      <c r="NOP5" s="224"/>
      <c r="NOQ5" s="224"/>
      <c r="NOR5" s="225"/>
      <c r="NOS5" s="223" t="s">
        <v>44</v>
      </c>
      <c r="NOT5" s="224"/>
      <c r="NOU5" s="224"/>
      <c r="NOV5" s="225"/>
      <c r="NOW5" s="223" t="s">
        <v>44</v>
      </c>
      <c r="NOX5" s="224"/>
      <c r="NOY5" s="224"/>
      <c r="NOZ5" s="225"/>
      <c r="NPA5" s="223" t="s">
        <v>44</v>
      </c>
      <c r="NPB5" s="224"/>
      <c r="NPC5" s="224"/>
      <c r="NPD5" s="225"/>
      <c r="NPE5" s="223" t="s">
        <v>44</v>
      </c>
      <c r="NPF5" s="224"/>
      <c r="NPG5" s="224"/>
      <c r="NPH5" s="225"/>
      <c r="NPI5" s="223" t="s">
        <v>44</v>
      </c>
      <c r="NPJ5" s="224"/>
      <c r="NPK5" s="224"/>
      <c r="NPL5" s="225"/>
      <c r="NPM5" s="223" t="s">
        <v>44</v>
      </c>
      <c r="NPN5" s="224"/>
      <c r="NPO5" s="224"/>
      <c r="NPP5" s="225"/>
      <c r="NPQ5" s="223" t="s">
        <v>44</v>
      </c>
      <c r="NPR5" s="224"/>
      <c r="NPS5" s="224"/>
      <c r="NPT5" s="225"/>
      <c r="NPU5" s="223" t="s">
        <v>44</v>
      </c>
      <c r="NPV5" s="224"/>
      <c r="NPW5" s="224"/>
      <c r="NPX5" s="225"/>
      <c r="NPY5" s="223" t="s">
        <v>44</v>
      </c>
      <c r="NPZ5" s="224"/>
      <c r="NQA5" s="224"/>
      <c r="NQB5" s="225"/>
      <c r="NQC5" s="223" t="s">
        <v>44</v>
      </c>
      <c r="NQD5" s="224"/>
      <c r="NQE5" s="224"/>
      <c r="NQF5" s="225"/>
      <c r="NQG5" s="223" t="s">
        <v>44</v>
      </c>
      <c r="NQH5" s="224"/>
      <c r="NQI5" s="224"/>
      <c r="NQJ5" s="225"/>
      <c r="NQK5" s="223" t="s">
        <v>44</v>
      </c>
      <c r="NQL5" s="224"/>
      <c r="NQM5" s="224"/>
      <c r="NQN5" s="225"/>
      <c r="NQO5" s="223" t="s">
        <v>44</v>
      </c>
      <c r="NQP5" s="224"/>
      <c r="NQQ5" s="224"/>
      <c r="NQR5" s="225"/>
      <c r="NQS5" s="223" t="s">
        <v>44</v>
      </c>
      <c r="NQT5" s="224"/>
      <c r="NQU5" s="224"/>
      <c r="NQV5" s="225"/>
      <c r="NQW5" s="223" t="s">
        <v>44</v>
      </c>
      <c r="NQX5" s="224"/>
      <c r="NQY5" s="224"/>
      <c r="NQZ5" s="225"/>
      <c r="NRA5" s="223" t="s">
        <v>44</v>
      </c>
      <c r="NRB5" s="224"/>
      <c r="NRC5" s="224"/>
      <c r="NRD5" s="225"/>
      <c r="NRE5" s="223" t="s">
        <v>44</v>
      </c>
      <c r="NRF5" s="224"/>
      <c r="NRG5" s="224"/>
      <c r="NRH5" s="225"/>
      <c r="NRI5" s="223" t="s">
        <v>44</v>
      </c>
      <c r="NRJ5" s="224"/>
      <c r="NRK5" s="224"/>
      <c r="NRL5" s="225"/>
      <c r="NRM5" s="223" t="s">
        <v>44</v>
      </c>
      <c r="NRN5" s="224"/>
      <c r="NRO5" s="224"/>
      <c r="NRP5" s="225"/>
      <c r="NRQ5" s="223" t="s">
        <v>44</v>
      </c>
      <c r="NRR5" s="224"/>
      <c r="NRS5" s="224"/>
      <c r="NRT5" s="225"/>
      <c r="NRU5" s="223" t="s">
        <v>44</v>
      </c>
      <c r="NRV5" s="224"/>
      <c r="NRW5" s="224"/>
      <c r="NRX5" s="225"/>
      <c r="NRY5" s="223" t="s">
        <v>44</v>
      </c>
      <c r="NRZ5" s="224"/>
      <c r="NSA5" s="224"/>
      <c r="NSB5" s="225"/>
      <c r="NSC5" s="223" t="s">
        <v>44</v>
      </c>
      <c r="NSD5" s="224"/>
      <c r="NSE5" s="224"/>
      <c r="NSF5" s="225"/>
      <c r="NSG5" s="223" t="s">
        <v>44</v>
      </c>
      <c r="NSH5" s="224"/>
      <c r="NSI5" s="224"/>
      <c r="NSJ5" s="225"/>
      <c r="NSK5" s="223" t="s">
        <v>44</v>
      </c>
      <c r="NSL5" s="224"/>
      <c r="NSM5" s="224"/>
      <c r="NSN5" s="225"/>
      <c r="NSO5" s="223" t="s">
        <v>44</v>
      </c>
      <c r="NSP5" s="224"/>
      <c r="NSQ5" s="224"/>
      <c r="NSR5" s="225"/>
      <c r="NSS5" s="223" t="s">
        <v>44</v>
      </c>
      <c r="NST5" s="224"/>
      <c r="NSU5" s="224"/>
      <c r="NSV5" s="225"/>
      <c r="NSW5" s="223" t="s">
        <v>44</v>
      </c>
      <c r="NSX5" s="224"/>
      <c r="NSY5" s="224"/>
      <c r="NSZ5" s="225"/>
      <c r="NTA5" s="223" t="s">
        <v>44</v>
      </c>
      <c r="NTB5" s="224"/>
      <c r="NTC5" s="224"/>
      <c r="NTD5" s="225"/>
      <c r="NTE5" s="223" t="s">
        <v>44</v>
      </c>
      <c r="NTF5" s="224"/>
      <c r="NTG5" s="224"/>
      <c r="NTH5" s="225"/>
      <c r="NTI5" s="223" t="s">
        <v>44</v>
      </c>
      <c r="NTJ5" s="224"/>
      <c r="NTK5" s="224"/>
      <c r="NTL5" s="225"/>
      <c r="NTM5" s="223" t="s">
        <v>44</v>
      </c>
      <c r="NTN5" s="224"/>
      <c r="NTO5" s="224"/>
      <c r="NTP5" s="225"/>
      <c r="NTQ5" s="223" t="s">
        <v>44</v>
      </c>
      <c r="NTR5" s="224"/>
      <c r="NTS5" s="224"/>
      <c r="NTT5" s="225"/>
      <c r="NTU5" s="223" t="s">
        <v>44</v>
      </c>
      <c r="NTV5" s="224"/>
      <c r="NTW5" s="224"/>
      <c r="NTX5" s="225"/>
      <c r="NTY5" s="223" t="s">
        <v>44</v>
      </c>
      <c r="NTZ5" s="224"/>
      <c r="NUA5" s="224"/>
      <c r="NUB5" s="225"/>
      <c r="NUC5" s="223" t="s">
        <v>44</v>
      </c>
      <c r="NUD5" s="224"/>
      <c r="NUE5" s="224"/>
      <c r="NUF5" s="225"/>
      <c r="NUG5" s="223" t="s">
        <v>44</v>
      </c>
      <c r="NUH5" s="224"/>
      <c r="NUI5" s="224"/>
      <c r="NUJ5" s="225"/>
      <c r="NUK5" s="223" t="s">
        <v>44</v>
      </c>
      <c r="NUL5" s="224"/>
      <c r="NUM5" s="224"/>
      <c r="NUN5" s="225"/>
      <c r="NUO5" s="223" t="s">
        <v>44</v>
      </c>
      <c r="NUP5" s="224"/>
      <c r="NUQ5" s="224"/>
      <c r="NUR5" s="225"/>
      <c r="NUS5" s="223" t="s">
        <v>44</v>
      </c>
      <c r="NUT5" s="224"/>
      <c r="NUU5" s="224"/>
      <c r="NUV5" s="225"/>
      <c r="NUW5" s="223" t="s">
        <v>44</v>
      </c>
      <c r="NUX5" s="224"/>
      <c r="NUY5" s="224"/>
      <c r="NUZ5" s="225"/>
      <c r="NVA5" s="223" t="s">
        <v>44</v>
      </c>
      <c r="NVB5" s="224"/>
      <c r="NVC5" s="224"/>
      <c r="NVD5" s="225"/>
      <c r="NVE5" s="223" t="s">
        <v>44</v>
      </c>
      <c r="NVF5" s="224"/>
      <c r="NVG5" s="224"/>
      <c r="NVH5" s="225"/>
      <c r="NVI5" s="223" t="s">
        <v>44</v>
      </c>
      <c r="NVJ5" s="224"/>
      <c r="NVK5" s="224"/>
      <c r="NVL5" s="225"/>
      <c r="NVM5" s="223" t="s">
        <v>44</v>
      </c>
      <c r="NVN5" s="224"/>
      <c r="NVO5" s="224"/>
      <c r="NVP5" s="225"/>
      <c r="NVQ5" s="223" t="s">
        <v>44</v>
      </c>
      <c r="NVR5" s="224"/>
      <c r="NVS5" s="224"/>
      <c r="NVT5" s="225"/>
      <c r="NVU5" s="223" t="s">
        <v>44</v>
      </c>
      <c r="NVV5" s="224"/>
      <c r="NVW5" s="224"/>
      <c r="NVX5" s="225"/>
      <c r="NVY5" s="223" t="s">
        <v>44</v>
      </c>
      <c r="NVZ5" s="224"/>
      <c r="NWA5" s="224"/>
      <c r="NWB5" s="225"/>
      <c r="NWC5" s="223" t="s">
        <v>44</v>
      </c>
      <c r="NWD5" s="224"/>
      <c r="NWE5" s="224"/>
      <c r="NWF5" s="225"/>
      <c r="NWG5" s="223" t="s">
        <v>44</v>
      </c>
      <c r="NWH5" s="224"/>
      <c r="NWI5" s="224"/>
      <c r="NWJ5" s="225"/>
      <c r="NWK5" s="223" t="s">
        <v>44</v>
      </c>
      <c r="NWL5" s="224"/>
      <c r="NWM5" s="224"/>
      <c r="NWN5" s="225"/>
      <c r="NWO5" s="223" t="s">
        <v>44</v>
      </c>
      <c r="NWP5" s="224"/>
      <c r="NWQ5" s="224"/>
      <c r="NWR5" s="225"/>
      <c r="NWS5" s="223" t="s">
        <v>44</v>
      </c>
      <c r="NWT5" s="224"/>
      <c r="NWU5" s="224"/>
      <c r="NWV5" s="225"/>
      <c r="NWW5" s="223" t="s">
        <v>44</v>
      </c>
      <c r="NWX5" s="224"/>
      <c r="NWY5" s="224"/>
      <c r="NWZ5" s="225"/>
      <c r="NXA5" s="223" t="s">
        <v>44</v>
      </c>
      <c r="NXB5" s="224"/>
      <c r="NXC5" s="224"/>
      <c r="NXD5" s="225"/>
      <c r="NXE5" s="223" t="s">
        <v>44</v>
      </c>
      <c r="NXF5" s="224"/>
      <c r="NXG5" s="224"/>
      <c r="NXH5" s="225"/>
      <c r="NXI5" s="223" t="s">
        <v>44</v>
      </c>
      <c r="NXJ5" s="224"/>
      <c r="NXK5" s="224"/>
      <c r="NXL5" s="225"/>
      <c r="NXM5" s="223" t="s">
        <v>44</v>
      </c>
      <c r="NXN5" s="224"/>
      <c r="NXO5" s="224"/>
      <c r="NXP5" s="225"/>
      <c r="NXQ5" s="223" t="s">
        <v>44</v>
      </c>
      <c r="NXR5" s="224"/>
      <c r="NXS5" s="224"/>
      <c r="NXT5" s="225"/>
      <c r="NXU5" s="223" t="s">
        <v>44</v>
      </c>
      <c r="NXV5" s="224"/>
      <c r="NXW5" s="224"/>
      <c r="NXX5" s="225"/>
      <c r="NXY5" s="223" t="s">
        <v>44</v>
      </c>
      <c r="NXZ5" s="224"/>
      <c r="NYA5" s="224"/>
      <c r="NYB5" s="225"/>
      <c r="NYC5" s="223" t="s">
        <v>44</v>
      </c>
      <c r="NYD5" s="224"/>
      <c r="NYE5" s="224"/>
      <c r="NYF5" s="225"/>
      <c r="NYG5" s="223" t="s">
        <v>44</v>
      </c>
      <c r="NYH5" s="224"/>
      <c r="NYI5" s="224"/>
      <c r="NYJ5" s="225"/>
      <c r="NYK5" s="223" t="s">
        <v>44</v>
      </c>
      <c r="NYL5" s="224"/>
      <c r="NYM5" s="224"/>
      <c r="NYN5" s="225"/>
      <c r="NYO5" s="223" t="s">
        <v>44</v>
      </c>
      <c r="NYP5" s="224"/>
      <c r="NYQ5" s="224"/>
      <c r="NYR5" s="225"/>
      <c r="NYS5" s="223" t="s">
        <v>44</v>
      </c>
      <c r="NYT5" s="224"/>
      <c r="NYU5" s="224"/>
      <c r="NYV5" s="225"/>
      <c r="NYW5" s="223" t="s">
        <v>44</v>
      </c>
      <c r="NYX5" s="224"/>
      <c r="NYY5" s="224"/>
      <c r="NYZ5" s="225"/>
      <c r="NZA5" s="223" t="s">
        <v>44</v>
      </c>
      <c r="NZB5" s="224"/>
      <c r="NZC5" s="224"/>
      <c r="NZD5" s="225"/>
      <c r="NZE5" s="223" t="s">
        <v>44</v>
      </c>
      <c r="NZF5" s="224"/>
      <c r="NZG5" s="224"/>
      <c r="NZH5" s="225"/>
      <c r="NZI5" s="223" t="s">
        <v>44</v>
      </c>
      <c r="NZJ5" s="224"/>
      <c r="NZK5" s="224"/>
      <c r="NZL5" s="225"/>
      <c r="NZM5" s="223" t="s">
        <v>44</v>
      </c>
      <c r="NZN5" s="224"/>
      <c r="NZO5" s="224"/>
      <c r="NZP5" s="225"/>
      <c r="NZQ5" s="223" t="s">
        <v>44</v>
      </c>
      <c r="NZR5" s="224"/>
      <c r="NZS5" s="224"/>
      <c r="NZT5" s="225"/>
      <c r="NZU5" s="223" t="s">
        <v>44</v>
      </c>
      <c r="NZV5" s="224"/>
      <c r="NZW5" s="224"/>
      <c r="NZX5" s="225"/>
      <c r="NZY5" s="223" t="s">
        <v>44</v>
      </c>
      <c r="NZZ5" s="224"/>
      <c r="OAA5" s="224"/>
      <c r="OAB5" s="225"/>
      <c r="OAC5" s="223" t="s">
        <v>44</v>
      </c>
      <c r="OAD5" s="224"/>
      <c r="OAE5" s="224"/>
      <c r="OAF5" s="225"/>
      <c r="OAG5" s="223" t="s">
        <v>44</v>
      </c>
      <c r="OAH5" s="224"/>
      <c r="OAI5" s="224"/>
      <c r="OAJ5" s="225"/>
      <c r="OAK5" s="223" t="s">
        <v>44</v>
      </c>
      <c r="OAL5" s="224"/>
      <c r="OAM5" s="224"/>
      <c r="OAN5" s="225"/>
      <c r="OAO5" s="223" t="s">
        <v>44</v>
      </c>
      <c r="OAP5" s="224"/>
      <c r="OAQ5" s="224"/>
      <c r="OAR5" s="225"/>
      <c r="OAS5" s="223" t="s">
        <v>44</v>
      </c>
      <c r="OAT5" s="224"/>
      <c r="OAU5" s="224"/>
      <c r="OAV5" s="225"/>
      <c r="OAW5" s="223" t="s">
        <v>44</v>
      </c>
      <c r="OAX5" s="224"/>
      <c r="OAY5" s="224"/>
      <c r="OAZ5" s="225"/>
      <c r="OBA5" s="223" t="s">
        <v>44</v>
      </c>
      <c r="OBB5" s="224"/>
      <c r="OBC5" s="224"/>
      <c r="OBD5" s="225"/>
      <c r="OBE5" s="223" t="s">
        <v>44</v>
      </c>
      <c r="OBF5" s="224"/>
      <c r="OBG5" s="224"/>
      <c r="OBH5" s="225"/>
      <c r="OBI5" s="223" t="s">
        <v>44</v>
      </c>
      <c r="OBJ5" s="224"/>
      <c r="OBK5" s="224"/>
      <c r="OBL5" s="225"/>
      <c r="OBM5" s="223" t="s">
        <v>44</v>
      </c>
      <c r="OBN5" s="224"/>
      <c r="OBO5" s="224"/>
      <c r="OBP5" s="225"/>
      <c r="OBQ5" s="223" t="s">
        <v>44</v>
      </c>
      <c r="OBR5" s="224"/>
      <c r="OBS5" s="224"/>
      <c r="OBT5" s="225"/>
      <c r="OBU5" s="223" t="s">
        <v>44</v>
      </c>
      <c r="OBV5" s="224"/>
      <c r="OBW5" s="224"/>
      <c r="OBX5" s="225"/>
      <c r="OBY5" s="223" t="s">
        <v>44</v>
      </c>
      <c r="OBZ5" s="224"/>
      <c r="OCA5" s="224"/>
      <c r="OCB5" s="225"/>
      <c r="OCC5" s="223" t="s">
        <v>44</v>
      </c>
      <c r="OCD5" s="224"/>
      <c r="OCE5" s="224"/>
      <c r="OCF5" s="225"/>
      <c r="OCG5" s="223" t="s">
        <v>44</v>
      </c>
      <c r="OCH5" s="224"/>
      <c r="OCI5" s="224"/>
      <c r="OCJ5" s="225"/>
      <c r="OCK5" s="223" t="s">
        <v>44</v>
      </c>
      <c r="OCL5" s="224"/>
      <c r="OCM5" s="224"/>
      <c r="OCN5" s="225"/>
      <c r="OCO5" s="223" t="s">
        <v>44</v>
      </c>
      <c r="OCP5" s="224"/>
      <c r="OCQ5" s="224"/>
      <c r="OCR5" s="225"/>
      <c r="OCS5" s="223" t="s">
        <v>44</v>
      </c>
      <c r="OCT5" s="224"/>
      <c r="OCU5" s="224"/>
      <c r="OCV5" s="225"/>
      <c r="OCW5" s="223" t="s">
        <v>44</v>
      </c>
      <c r="OCX5" s="224"/>
      <c r="OCY5" s="224"/>
      <c r="OCZ5" s="225"/>
      <c r="ODA5" s="223" t="s">
        <v>44</v>
      </c>
      <c r="ODB5" s="224"/>
      <c r="ODC5" s="224"/>
      <c r="ODD5" s="225"/>
      <c r="ODE5" s="223" t="s">
        <v>44</v>
      </c>
      <c r="ODF5" s="224"/>
      <c r="ODG5" s="224"/>
      <c r="ODH5" s="225"/>
      <c r="ODI5" s="223" t="s">
        <v>44</v>
      </c>
      <c r="ODJ5" s="224"/>
      <c r="ODK5" s="224"/>
      <c r="ODL5" s="225"/>
      <c r="ODM5" s="223" t="s">
        <v>44</v>
      </c>
      <c r="ODN5" s="224"/>
      <c r="ODO5" s="224"/>
      <c r="ODP5" s="225"/>
      <c r="ODQ5" s="223" t="s">
        <v>44</v>
      </c>
      <c r="ODR5" s="224"/>
      <c r="ODS5" s="224"/>
      <c r="ODT5" s="225"/>
      <c r="ODU5" s="223" t="s">
        <v>44</v>
      </c>
      <c r="ODV5" s="224"/>
      <c r="ODW5" s="224"/>
      <c r="ODX5" s="225"/>
      <c r="ODY5" s="223" t="s">
        <v>44</v>
      </c>
      <c r="ODZ5" s="224"/>
      <c r="OEA5" s="224"/>
      <c r="OEB5" s="225"/>
      <c r="OEC5" s="223" t="s">
        <v>44</v>
      </c>
      <c r="OED5" s="224"/>
      <c r="OEE5" s="224"/>
      <c r="OEF5" s="225"/>
      <c r="OEG5" s="223" t="s">
        <v>44</v>
      </c>
      <c r="OEH5" s="224"/>
      <c r="OEI5" s="224"/>
      <c r="OEJ5" s="225"/>
      <c r="OEK5" s="223" t="s">
        <v>44</v>
      </c>
      <c r="OEL5" s="224"/>
      <c r="OEM5" s="224"/>
      <c r="OEN5" s="225"/>
      <c r="OEO5" s="223" t="s">
        <v>44</v>
      </c>
      <c r="OEP5" s="224"/>
      <c r="OEQ5" s="224"/>
      <c r="OER5" s="225"/>
      <c r="OES5" s="223" t="s">
        <v>44</v>
      </c>
      <c r="OET5" s="224"/>
      <c r="OEU5" s="224"/>
      <c r="OEV5" s="225"/>
      <c r="OEW5" s="223" t="s">
        <v>44</v>
      </c>
      <c r="OEX5" s="224"/>
      <c r="OEY5" s="224"/>
      <c r="OEZ5" s="225"/>
      <c r="OFA5" s="223" t="s">
        <v>44</v>
      </c>
      <c r="OFB5" s="224"/>
      <c r="OFC5" s="224"/>
      <c r="OFD5" s="225"/>
      <c r="OFE5" s="223" t="s">
        <v>44</v>
      </c>
      <c r="OFF5" s="224"/>
      <c r="OFG5" s="224"/>
      <c r="OFH5" s="225"/>
      <c r="OFI5" s="223" t="s">
        <v>44</v>
      </c>
      <c r="OFJ5" s="224"/>
      <c r="OFK5" s="224"/>
      <c r="OFL5" s="225"/>
      <c r="OFM5" s="223" t="s">
        <v>44</v>
      </c>
      <c r="OFN5" s="224"/>
      <c r="OFO5" s="224"/>
      <c r="OFP5" s="225"/>
      <c r="OFQ5" s="223" t="s">
        <v>44</v>
      </c>
      <c r="OFR5" s="224"/>
      <c r="OFS5" s="224"/>
      <c r="OFT5" s="225"/>
      <c r="OFU5" s="223" t="s">
        <v>44</v>
      </c>
      <c r="OFV5" s="224"/>
      <c r="OFW5" s="224"/>
      <c r="OFX5" s="225"/>
      <c r="OFY5" s="223" t="s">
        <v>44</v>
      </c>
      <c r="OFZ5" s="224"/>
      <c r="OGA5" s="224"/>
      <c r="OGB5" s="225"/>
      <c r="OGC5" s="223" t="s">
        <v>44</v>
      </c>
      <c r="OGD5" s="224"/>
      <c r="OGE5" s="224"/>
      <c r="OGF5" s="225"/>
      <c r="OGG5" s="223" t="s">
        <v>44</v>
      </c>
      <c r="OGH5" s="224"/>
      <c r="OGI5" s="224"/>
      <c r="OGJ5" s="225"/>
      <c r="OGK5" s="223" t="s">
        <v>44</v>
      </c>
      <c r="OGL5" s="224"/>
      <c r="OGM5" s="224"/>
      <c r="OGN5" s="225"/>
      <c r="OGO5" s="223" t="s">
        <v>44</v>
      </c>
      <c r="OGP5" s="224"/>
      <c r="OGQ5" s="224"/>
      <c r="OGR5" s="225"/>
      <c r="OGS5" s="223" t="s">
        <v>44</v>
      </c>
      <c r="OGT5" s="224"/>
      <c r="OGU5" s="224"/>
      <c r="OGV5" s="225"/>
      <c r="OGW5" s="223" t="s">
        <v>44</v>
      </c>
      <c r="OGX5" s="224"/>
      <c r="OGY5" s="224"/>
      <c r="OGZ5" s="225"/>
      <c r="OHA5" s="223" t="s">
        <v>44</v>
      </c>
      <c r="OHB5" s="224"/>
      <c r="OHC5" s="224"/>
      <c r="OHD5" s="225"/>
      <c r="OHE5" s="223" t="s">
        <v>44</v>
      </c>
      <c r="OHF5" s="224"/>
      <c r="OHG5" s="224"/>
      <c r="OHH5" s="225"/>
      <c r="OHI5" s="223" t="s">
        <v>44</v>
      </c>
      <c r="OHJ5" s="224"/>
      <c r="OHK5" s="224"/>
      <c r="OHL5" s="225"/>
      <c r="OHM5" s="223" t="s">
        <v>44</v>
      </c>
      <c r="OHN5" s="224"/>
      <c r="OHO5" s="224"/>
      <c r="OHP5" s="225"/>
      <c r="OHQ5" s="223" t="s">
        <v>44</v>
      </c>
      <c r="OHR5" s="224"/>
      <c r="OHS5" s="224"/>
      <c r="OHT5" s="225"/>
      <c r="OHU5" s="223" t="s">
        <v>44</v>
      </c>
      <c r="OHV5" s="224"/>
      <c r="OHW5" s="224"/>
      <c r="OHX5" s="225"/>
      <c r="OHY5" s="223" t="s">
        <v>44</v>
      </c>
      <c r="OHZ5" s="224"/>
      <c r="OIA5" s="224"/>
      <c r="OIB5" s="225"/>
      <c r="OIC5" s="223" t="s">
        <v>44</v>
      </c>
      <c r="OID5" s="224"/>
      <c r="OIE5" s="224"/>
      <c r="OIF5" s="225"/>
      <c r="OIG5" s="223" t="s">
        <v>44</v>
      </c>
      <c r="OIH5" s="224"/>
      <c r="OII5" s="224"/>
      <c r="OIJ5" s="225"/>
      <c r="OIK5" s="223" t="s">
        <v>44</v>
      </c>
      <c r="OIL5" s="224"/>
      <c r="OIM5" s="224"/>
      <c r="OIN5" s="225"/>
      <c r="OIO5" s="223" t="s">
        <v>44</v>
      </c>
      <c r="OIP5" s="224"/>
      <c r="OIQ5" s="224"/>
      <c r="OIR5" s="225"/>
      <c r="OIS5" s="223" t="s">
        <v>44</v>
      </c>
      <c r="OIT5" s="224"/>
      <c r="OIU5" s="224"/>
      <c r="OIV5" s="225"/>
      <c r="OIW5" s="223" t="s">
        <v>44</v>
      </c>
      <c r="OIX5" s="224"/>
      <c r="OIY5" s="224"/>
      <c r="OIZ5" s="225"/>
      <c r="OJA5" s="223" t="s">
        <v>44</v>
      </c>
      <c r="OJB5" s="224"/>
      <c r="OJC5" s="224"/>
      <c r="OJD5" s="225"/>
      <c r="OJE5" s="223" t="s">
        <v>44</v>
      </c>
      <c r="OJF5" s="224"/>
      <c r="OJG5" s="224"/>
      <c r="OJH5" s="225"/>
      <c r="OJI5" s="223" t="s">
        <v>44</v>
      </c>
      <c r="OJJ5" s="224"/>
      <c r="OJK5" s="224"/>
      <c r="OJL5" s="225"/>
      <c r="OJM5" s="223" t="s">
        <v>44</v>
      </c>
      <c r="OJN5" s="224"/>
      <c r="OJO5" s="224"/>
      <c r="OJP5" s="225"/>
      <c r="OJQ5" s="223" t="s">
        <v>44</v>
      </c>
      <c r="OJR5" s="224"/>
      <c r="OJS5" s="224"/>
      <c r="OJT5" s="225"/>
      <c r="OJU5" s="223" t="s">
        <v>44</v>
      </c>
      <c r="OJV5" s="224"/>
      <c r="OJW5" s="224"/>
      <c r="OJX5" s="225"/>
      <c r="OJY5" s="223" t="s">
        <v>44</v>
      </c>
      <c r="OJZ5" s="224"/>
      <c r="OKA5" s="224"/>
      <c r="OKB5" s="225"/>
      <c r="OKC5" s="223" t="s">
        <v>44</v>
      </c>
      <c r="OKD5" s="224"/>
      <c r="OKE5" s="224"/>
      <c r="OKF5" s="225"/>
      <c r="OKG5" s="223" t="s">
        <v>44</v>
      </c>
      <c r="OKH5" s="224"/>
      <c r="OKI5" s="224"/>
      <c r="OKJ5" s="225"/>
      <c r="OKK5" s="223" t="s">
        <v>44</v>
      </c>
      <c r="OKL5" s="224"/>
      <c r="OKM5" s="224"/>
      <c r="OKN5" s="225"/>
      <c r="OKO5" s="223" t="s">
        <v>44</v>
      </c>
      <c r="OKP5" s="224"/>
      <c r="OKQ5" s="224"/>
      <c r="OKR5" s="225"/>
      <c r="OKS5" s="223" t="s">
        <v>44</v>
      </c>
      <c r="OKT5" s="224"/>
      <c r="OKU5" s="224"/>
      <c r="OKV5" s="225"/>
      <c r="OKW5" s="223" t="s">
        <v>44</v>
      </c>
      <c r="OKX5" s="224"/>
      <c r="OKY5" s="224"/>
      <c r="OKZ5" s="225"/>
      <c r="OLA5" s="223" t="s">
        <v>44</v>
      </c>
      <c r="OLB5" s="224"/>
      <c r="OLC5" s="224"/>
      <c r="OLD5" s="225"/>
      <c r="OLE5" s="223" t="s">
        <v>44</v>
      </c>
      <c r="OLF5" s="224"/>
      <c r="OLG5" s="224"/>
      <c r="OLH5" s="225"/>
      <c r="OLI5" s="223" t="s">
        <v>44</v>
      </c>
      <c r="OLJ5" s="224"/>
      <c r="OLK5" s="224"/>
      <c r="OLL5" s="225"/>
      <c r="OLM5" s="223" t="s">
        <v>44</v>
      </c>
      <c r="OLN5" s="224"/>
      <c r="OLO5" s="224"/>
      <c r="OLP5" s="225"/>
      <c r="OLQ5" s="223" t="s">
        <v>44</v>
      </c>
      <c r="OLR5" s="224"/>
      <c r="OLS5" s="224"/>
      <c r="OLT5" s="225"/>
      <c r="OLU5" s="223" t="s">
        <v>44</v>
      </c>
      <c r="OLV5" s="224"/>
      <c r="OLW5" s="224"/>
      <c r="OLX5" s="225"/>
      <c r="OLY5" s="223" t="s">
        <v>44</v>
      </c>
      <c r="OLZ5" s="224"/>
      <c r="OMA5" s="224"/>
      <c r="OMB5" s="225"/>
      <c r="OMC5" s="223" t="s">
        <v>44</v>
      </c>
      <c r="OMD5" s="224"/>
      <c r="OME5" s="224"/>
      <c r="OMF5" s="225"/>
      <c r="OMG5" s="223" t="s">
        <v>44</v>
      </c>
      <c r="OMH5" s="224"/>
      <c r="OMI5" s="224"/>
      <c r="OMJ5" s="225"/>
      <c r="OMK5" s="223" t="s">
        <v>44</v>
      </c>
      <c r="OML5" s="224"/>
      <c r="OMM5" s="224"/>
      <c r="OMN5" s="225"/>
      <c r="OMO5" s="223" t="s">
        <v>44</v>
      </c>
      <c r="OMP5" s="224"/>
      <c r="OMQ5" s="224"/>
      <c r="OMR5" s="225"/>
      <c r="OMS5" s="223" t="s">
        <v>44</v>
      </c>
      <c r="OMT5" s="224"/>
      <c r="OMU5" s="224"/>
      <c r="OMV5" s="225"/>
      <c r="OMW5" s="223" t="s">
        <v>44</v>
      </c>
      <c r="OMX5" s="224"/>
      <c r="OMY5" s="224"/>
      <c r="OMZ5" s="225"/>
      <c r="ONA5" s="223" t="s">
        <v>44</v>
      </c>
      <c r="ONB5" s="224"/>
      <c r="ONC5" s="224"/>
      <c r="OND5" s="225"/>
      <c r="ONE5" s="223" t="s">
        <v>44</v>
      </c>
      <c r="ONF5" s="224"/>
      <c r="ONG5" s="224"/>
      <c r="ONH5" s="225"/>
      <c r="ONI5" s="223" t="s">
        <v>44</v>
      </c>
      <c r="ONJ5" s="224"/>
      <c r="ONK5" s="224"/>
      <c r="ONL5" s="225"/>
      <c r="ONM5" s="223" t="s">
        <v>44</v>
      </c>
      <c r="ONN5" s="224"/>
      <c r="ONO5" s="224"/>
      <c r="ONP5" s="225"/>
      <c r="ONQ5" s="223" t="s">
        <v>44</v>
      </c>
      <c r="ONR5" s="224"/>
      <c r="ONS5" s="224"/>
      <c r="ONT5" s="225"/>
      <c r="ONU5" s="223" t="s">
        <v>44</v>
      </c>
      <c r="ONV5" s="224"/>
      <c r="ONW5" s="224"/>
      <c r="ONX5" s="225"/>
      <c r="ONY5" s="223" t="s">
        <v>44</v>
      </c>
      <c r="ONZ5" s="224"/>
      <c r="OOA5" s="224"/>
      <c r="OOB5" s="225"/>
      <c r="OOC5" s="223" t="s">
        <v>44</v>
      </c>
      <c r="OOD5" s="224"/>
      <c r="OOE5" s="224"/>
      <c r="OOF5" s="225"/>
      <c r="OOG5" s="223" t="s">
        <v>44</v>
      </c>
      <c r="OOH5" s="224"/>
      <c r="OOI5" s="224"/>
      <c r="OOJ5" s="225"/>
      <c r="OOK5" s="223" t="s">
        <v>44</v>
      </c>
      <c r="OOL5" s="224"/>
      <c r="OOM5" s="224"/>
      <c r="OON5" s="225"/>
      <c r="OOO5" s="223" t="s">
        <v>44</v>
      </c>
      <c r="OOP5" s="224"/>
      <c r="OOQ5" s="224"/>
      <c r="OOR5" s="225"/>
      <c r="OOS5" s="223" t="s">
        <v>44</v>
      </c>
      <c r="OOT5" s="224"/>
      <c r="OOU5" s="224"/>
      <c r="OOV5" s="225"/>
      <c r="OOW5" s="223" t="s">
        <v>44</v>
      </c>
      <c r="OOX5" s="224"/>
      <c r="OOY5" s="224"/>
      <c r="OOZ5" s="225"/>
      <c r="OPA5" s="223" t="s">
        <v>44</v>
      </c>
      <c r="OPB5" s="224"/>
      <c r="OPC5" s="224"/>
      <c r="OPD5" s="225"/>
      <c r="OPE5" s="223" t="s">
        <v>44</v>
      </c>
      <c r="OPF5" s="224"/>
      <c r="OPG5" s="224"/>
      <c r="OPH5" s="225"/>
      <c r="OPI5" s="223" t="s">
        <v>44</v>
      </c>
      <c r="OPJ5" s="224"/>
      <c r="OPK5" s="224"/>
      <c r="OPL5" s="225"/>
      <c r="OPM5" s="223" t="s">
        <v>44</v>
      </c>
      <c r="OPN5" s="224"/>
      <c r="OPO5" s="224"/>
      <c r="OPP5" s="225"/>
      <c r="OPQ5" s="223" t="s">
        <v>44</v>
      </c>
      <c r="OPR5" s="224"/>
      <c r="OPS5" s="224"/>
      <c r="OPT5" s="225"/>
      <c r="OPU5" s="223" t="s">
        <v>44</v>
      </c>
      <c r="OPV5" s="224"/>
      <c r="OPW5" s="224"/>
      <c r="OPX5" s="225"/>
      <c r="OPY5" s="223" t="s">
        <v>44</v>
      </c>
      <c r="OPZ5" s="224"/>
      <c r="OQA5" s="224"/>
      <c r="OQB5" s="225"/>
      <c r="OQC5" s="223" t="s">
        <v>44</v>
      </c>
      <c r="OQD5" s="224"/>
      <c r="OQE5" s="224"/>
      <c r="OQF5" s="225"/>
      <c r="OQG5" s="223" t="s">
        <v>44</v>
      </c>
      <c r="OQH5" s="224"/>
      <c r="OQI5" s="224"/>
      <c r="OQJ5" s="225"/>
      <c r="OQK5" s="223" t="s">
        <v>44</v>
      </c>
      <c r="OQL5" s="224"/>
      <c r="OQM5" s="224"/>
      <c r="OQN5" s="225"/>
      <c r="OQO5" s="223" t="s">
        <v>44</v>
      </c>
      <c r="OQP5" s="224"/>
      <c r="OQQ5" s="224"/>
      <c r="OQR5" s="225"/>
      <c r="OQS5" s="223" t="s">
        <v>44</v>
      </c>
      <c r="OQT5" s="224"/>
      <c r="OQU5" s="224"/>
      <c r="OQV5" s="225"/>
      <c r="OQW5" s="223" t="s">
        <v>44</v>
      </c>
      <c r="OQX5" s="224"/>
      <c r="OQY5" s="224"/>
      <c r="OQZ5" s="225"/>
      <c r="ORA5" s="223" t="s">
        <v>44</v>
      </c>
      <c r="ORB5" s="224"/>
      <c r="ORC5" s="224"/>
      <c r="ORD5" s="225"/>
      <c r="ORE5" s="223" t="s">
        <v>44</v>
      </c>
      <c r="ORF5" s="224"/>
      <c r="ORG5" s="224"/>
      <c r="ORH5" s="225"/>
      <c r="ORI5" s="223" t="s">
        <v>44</v>
      </c>
      <c r="ORJ5" s="224"/>
      <c r="ORK5" s="224"/>
      <c r="ORL5" s="225"/>
      <c r="ORM5" s="223" t="s">
        <v>44</v>
      </c>
      <c r="ORN5" s="224"/>
      <c r="ORO5" s="224"/>
      <c r="ORP5" s="225"/>
      <c r="ORQ5" s="223" t="s">
        <v>44</v>
      </c>
      <c r="ORR5" s="224"/>
      <c r="ORS5" s="224"/>
      <c r="ORT5" s="225"/>
      <c r="ORU5" s="223" t="s">
        <v>44</v>
      </c>
      <c r="ORV5" s="224"/>
      <c r="ORW5" s="224"/>
      <c r="ORX5" s="225"/>
      <c r="ORY5" s="223" t="s">
        <v>44</v>
      </c>
      <c r="ORZ5" s="224"/>
      <c r="OSA5" s="224"/>
      <c r="OSB5" s="225"/>
      <c r="OSC5" s="223" t="s">
        <v>44</v>
      </c>
      <c r="OSD5" s="224"/>
      <c r="OSE5" s="224"/>
      <c r="OSF5" s="225"/>
      <c r="OSG5" s="223" t="s">
        <v>44</v>
      </c>
      <c r="OSH5" s="224"/>
      <c r="OSI5" s="224"/>
      <c r="OSJ5" s="225"/>
      <c r="OSK5" s="223" t="s">
        <v>44</v>
      </c>
      <c r="OSL5" s="224"/>
      <c r="OSM5" s="224"/>
      <c r="OSN5" s="225"/>
      <c r="OSO5" s="223" t="s">
        <v>44</v>
      </c>
      <c r="OSP5" s="224"/>
      <c r="OSQ5" s="224"/>
      <c r="OSR5" s="225"/>
      <c r="OSS5" s="223" t="s">
        <v>44</v>
      </c>
      <c r="OST5" s="224"/>
      <c r="OSU5" s="224"/>
      <c r="OSV5" s="225"/>
      <c r="OSW5" s="223" t="s">
        <v>44</v>
      </c>
      <c r="OSX5" s="224"/>
      <c r="OSY5" s="224"/>
      <c r="OSZ5" s="225"/>
      <c r="OTA5" s="223" t="s">
        <v>44</v>
      </c>
      <c r="OTB5" s="224"/>
      <c r="OTC5" s="224"/>
      <c r="OTD5" s="225"/>
      <c r="OTE5" s="223" t="s">
        <v>44</v>
      </c>
      <c r="OTF5" s="224"/>
      <c r="OTG5" s="224"/>
      <c r="OTH5" s="225"/>
      <c r="OTI5" s="223" t="s">
        <v>44</v>
      </c>
      <c r="OTJ5" s="224"/>
      <c r="OTK5" s="224"/>
      <c r="OTL5" s="225"/>
      <c r="OTM5" s="223" t="s">
        <v>44</v>
      </c>
      <c r="OTN5" s="224"/>
      <c r="OTO5" s="224"/>
      <c r="OTP5" s="225"/>
      <c r="OTQ5" s="223" t="s">
        <v>44</v>
      </c>
      <c r="OTR5" s="224"/>
      <c r="OTS5" s="224"/>
      <c r="OTT5" s="225"/>
      <c r="OTU5" s="223" t="s">
        <v>44</v>
      </c>
      <c r="OTV5" s="224"/>
      <c r="OTW5" s="224"/>
      <c r="OTX5" s="225"/>
      <c r="OTY5" s="223" t="s">
        <v>44</v>
      </c>
      <c r="OTZ5" s="224"/>
      <c r="OUA5" s="224"/>
      <c r="OUB5" s="225"/>
      <c r="OUC5" s="223" t="s">
        <v>44</v>
      </c>
      <c r="OUD5" s="224"/>
      <c r="OUE5" s="224"/>
      <c r="OUF5" s="225"/>
      <c r="OUG5" s="223" t="s">
        <v>44</v>
      </c>
      <c r="OUH5" s="224"/>
      <c r="OUI5" s="224"/>
      <c r="OUJ5" s="225"/>
      <c r="OUK5" s="223" t="s">
        <v>44</v>
      </c>
      <c r="OUL5" s="224"/>
      <c r="OUM5" s="224"/>
      <c r="OUN5" s="225"/>
      <c r="OUO5" s="223" t="s">
        <v>44</v>
      </c>
      <c r="OUP5" s="224"/>
      <c r="OUQ5" s="224"/>
      <c r="OUR5" s="225"/>
      <c r="OUS5" s="223" t="s">
        <v>44</v>
      </c>
      <c r="OUT5" s="224"/>
      <c r="OUU5" s="224"/>
      <c r="OUV5" s="225"/>
      <c r="OUW5" s="223" t="s">
        <v>44</v>
      </c>
      <c r="OUX5" s="224"/>
      <c r="OUY5" s="224"/>
      <c r="OUZ5" s="225"/>
      <c r="OVA5" s="223" t="s">
        <v>44</v>
      </c>
      <c r="OVB5" s="224"/>
      <c r="OVC5" s="224"/>
      <c r="OVD5" s="225"/>
      <c r="OVE5" s="223" t="s">
        <v>44</v>
      </c>
      <c r="OVF5" s="224"/>
      <c r="OVG5" s="224"/>
      <c r="OVH5" s="225"/>
      <c r="OVI5" s="223" t="s">
        <v>44</v>
      </c>
      <c r="OVJ5" s="224"/>
      <c r="OVK5" s="224"/>
      <c r="OVL5" s="225"/>
      <c r="OVM5" s="223" t="s">
        <v>44</v>
      </c>
      <c r="OVN5" s="224"/>
      <c r="OVO5" s="224"/>
      <c r="OVP5" s="225"/>
      <c r="OVQ5" s="223" t="s">
        <v>44</v>
      </c>
      <c r="OVR5" s="224"/>
      <c r="OVS5" s="224"/>
      <c r="OVT5" s="225"/>
      <c r="OVU5" s="223" t="s">
        <v>44</v>
      </c>
      <c r="OVV5" s="224"/>
      <c r="OVW5" s="224"/>
      <c r="OVX5" s="225"/>
      <c r="OVY5" s="223" t="s">
        <v>44</v>
      </c>
      <c r="OVZ5" s="224"/>
      <c r="OWA5" s="224"/>
      <c r="OWB5" s="225"/>
      <c r="OWC5" s="223" t="s">
        <v>44</v>
      </c>
      <c r="OWD5" s="224"/>
      <c r="OWE5" s="224"/>
      <c r="OWF5" s="225"/>
      <c r="OWG5" s="223" t="s">
        <v>44</v>
      </c>
      <c r="OWH5" s="224"/>
      <c r="OWI5" s="224"/>
      <c r="OWJ5" s="225"/>
      <c r="OWK5" s="223" t="s">
        <v>44</v>
      </c>
      <c r="OWL5" s="224"/>
      <c r="OWM5" s="224"/>
      <c r="OWN5" s="225"/>
      <c r="OWO5" s="223" t="s">
        <v>44</v>
      </c>
      <c r="OWP5" s="224"/>
      <c r="OWQ5" s="224"/>
      <c r="OWR5" s="225"/>
      <c r="OWS5" s="223" t="s">
        <v>44</v>
      </c>
      <c r="OWT5" s="224"/>
      <c r="OWU5" s="224"/>
      <c r="OWV5" s="225"/>
      <c r="OWW5" s="223" t="s">
        <v>44</v>
      </c>
      <c r="OWX5" s="224"/>
      <c r="OWY5" s="224"/>
      <c r="OWZ5" s="225"/>
      <c r="OXA5" s="223" t="s">
        <v>44</v>
      </c>
      <c r="OXB5" s="224"/>
      <c r="OXC5" s="224"/>
      <c r="OXD5" s="225"/>
      <c r="OXE5" s="223" t="s">
        <v>44</v>
      </c>
      <c r="OXF5" s="224"/>
      <c r="OXG5" s="224"/>
      <c r="OXH5" s="225"/>
      <c r="OXI5" s="223" t="s">
        <v>44</v>
      </c>
      <c r="OXJ5" s="224"/>
      <c r="OXK5" s="224"/>
      <c r="OXL5" s="225"/>
      <c r="OXM5" s="223" t="s">
        <v>44</v>
      </c>
      <c r="OXN5" s="224"/>
      <c r="OXO5" s="224"/>
      <c r="OXP5" s="225"/>
      <c r="OXQ5" s="223" t="s">
        <v>44</v>
      </c>
      <c r="OXR5" s="224"/>
      <c r="OXS5" s="224"/>
      <c r="OXT5" s="225"/>
      <c r="OXU5" s="223" t="s">
        <v>44</v>
      </c>
      <c r="OXV5" s="224"/>
      <c r="OXW5" s="224"/>
      <c r="OXX5" s="225"/>
      <c r="OXY5" s="223" t="s">
        <v>44</v>
      </c>
      <c r="OXZ5" s="224"/>
      <c r="OYA5" s="224"/>
      <c r="OYB5" s="225"/>
      <c r="OYC5" s="223" t="s">
        <v>44</v>
      </c>
      <c r="OYD5" s="224"/>
      <c r="OYE5" s="224"/>
      <c r="OYF5" s="225"/>
      <c r="OYG5" s="223" t="s">
        <v>44</v>
      </c>
      <c r="OYH5" s="224"/>
      <c r="OYI5" s="224"/>
      <c r="OYJ5" s="225"/>
      <c r="OYK5" s="223" t="s">
        <v>44</v>
      </c>
      <c r="OYL5" s="224"/>
      <c r="OYM5" s="224"/>
      <c r="OYN5" s="225"/>
      <c r="OYO5" s="223" t="s">
        <v>44</v>
      </c>
      <c r="OYP5" s="224"/>
      <c r="OYQ5" s="224"/>
      <c r="OYR5" s="225"/>
      <c r="OYS5" s="223" t="s">
        <v>44</v>
      </c>
      <c r="OYT5" s="224"/>
      <c r="OYU5" s="224"/>
      <c r="OYV5" s="225"/>
      <c r="OYW5" s="223" t="s">
        <v>44</v>
      </c>
      <c r="OYX5" s="224"/>
      <c r="OYY5" s="224"/>
      <c r="OYZ5" s="225"/>
      <c r="OZA5" s="223" t="s">
        <v>44</v>
      </c>
      <c r="OZB5" s="224"/>
      <c r="OZC5" s="224"/>
      <c r="OZD5" s="225"/>
      <c r="OZE5" s="223" t="s">
        <v>44</v>
      </c>
      <c r="OZF5" s="224"/>
      <c r="OZG5" s="224"/>
      <c r="OZH5" s="225"/>
      <c r="OZI5" s="223" t="s">
        <v>44</v>
      </c>
      <c r="OZJ5" s="224"/>
      <c r="OZK5" s="224"/>
      <c r="OZL5" s="225"/>
      <c r="OZM5" s="223" t="s">
        <v>44</v>
      </c>
      <c r="OZN5" s="224"/>
      <c r="OZO5" s="224"/>
      <c r="OZP5" s="225"/>
      <c r="OZQ5" s="223" t="s">
        <v>44</v>
      </c>
      <c r="OZR5" s="224"/>
      <c r="OZS5" s="224"/>
      <c r="OZT5" s="225"/>
      <c r="OZU5" s="223" t="s">
        <v>44</v>
      </c>
      <c r="OZV5" s="224"/>
      <c r="OZW5" s="224"/>
      <c r="OZX5" s="225"/>
      <c r="OZY5" s="223" t="s">
        <v>44</v>
      </c>
      <c r="OZZ5" s="224"/>
      <c r="PAA5" s="224"/>
      <c r="PAB5" s="225"/>
      <c r="PAC5" s="223" t="s">
        <v>44</v>
      </c>
      <c r="PAD5" s="224"/>
      <c r="PAE5" s="224"/>
      <c r="PAF5" s="225"/>
      <c r="PAG5" s="223" t="s">
        <v>44</v>
      </c>
      <c r="PAH5" s="224"/>
      <c r="PAI5" s="224"/>
      <c r="PAJ5" s="225"/>
      <c r="PAK5" s="223" t="s">
        <v>44</v>
      </c>
      <c r="PAL5" s="224"/>
      <c r="PAM5" s="224"/>
      <c r="PAN5" s="225"/>
      <c r="PAO5" s="223" t="s">
        <v>44</v>
      </c>
      <c r="PAP5" s="224"/>
      <c r="PAQ5" s="224"/>
      <c r="PAR5" s="225"/>
      <c r="PAS5" s="223" t="s">
        <v>44</v>
      </c>
      <c r="PAT5" s="224"/>
      <c r="PAU5" s="224"/>
      <c r="PAV5" s="225"/>
      <c r="PAW5" s="223" t="s">
        <v>44</v>
      </c>
      <c r="PAX5" s="224"/>
      <c r="PAY5" s="224"/>
      <c r="PAZ5" s="225"/>
      <c r="PBA5" s="223" t="s">
        <v>44</v>
      </c>
      <c r="PBB5" s="224"/>
      <c r="PBC5" s="224"/>
      <c r="PBD5" s="225"/>
      <c r="PBE5" s="223" t="s">
        <v>44</v>
      </c>
      <c r="PBF5" s="224"/>
      <c r="PBG5" s="224"/>
      <c r="PBH5" s="225"/>
      <c r="PBI5" s="223" t="s">
        <v>44</v>
      </c>
      <c r="PBJ5" s="224"/>
      <c r="PBK5" s="224"/>
      <c r="PBL5" s="225"/>
      <c r="PBM5" s="223" t="s">
        <v>44</v>
      </c>
      <c r="PBN5" s="224"/>
      <c r="PBO5" s="224"/>
      <c r="PBP5" s="225"/>
      <c r="PBQ5" s="223" t="s">
        <v>44</v>
      </c>
      <c r="PBR5" s="224"/>
      <c r="PBS5" s="224"/>
      <c r="PBT5" s="225"/>
      <c r="PBU5" s="223" t="s">
        <v>44</v>
      </c>
      <c r="PBV5" s="224"/>
      <c r="PBW5" s="224"/>
      <c r="PBX5" s="225"/>
      <c r="PBY5" s="223" t="s">
        <v>44</v>
      </c>
      <c r="PBZ5" s="224"/>
      <c r="PCA5" s="224"/>
      <c r="PCB5" s="225"/>
      <c r="PCC5" s="223" t="s">
        <v>44</v>
      </c>
      <c r="PCD5" s="224"/>
      <c r="PCE5" s="224"/>
      <c r="PCF5" s="225"/>
      <c r="PCG5" s="223" t="s">
        <v>44</v>
      </c>
      <c r="PCH5" s="224"/>
      <c r="PCI5" s="224"/>
      <c r="PCJ5" s="225"/>
      <c r="PCK5" s="223" t="s">
        <v>44</v>
      </c>
      <c r="PCL5" s="224"/>
      <c r="PCM5" s="224"/>
      <c r="PCN5" s="225"/>
      <c r="PCO5" s="223" t="s">
        <v>44</v>
      </c>
      <c r="PCP5" s="224"/>
      <c r="PCQ5" s="224"/>
      <c r="PCR5" s="225"/>
      <c r="PCS5" s="223" t="s">
        <v>44</v>
      </c>
      <c r="PCT5" s="224"/>
      <c r="PCU5" s="224"/>
      <c r="PCV5" s="225"/>
      <c r="PCW5" s="223" t="s">
        <v>44</v>
      </c>
      <c r="PCX5" s="224"/>
      <c r="PCY5" s="224"/>
      <c r="PCZ5" s="225"/>
      <c r="PDA5" s="223" t="s">
        <v>44</v>
      </c>
      <c r="PDB5" s="224"/>
      <c r="PDC5" s="224"/>
      <c r="PDD5" s="225"/>
      <c r="PDE5" s="223" t="s">
        <v>44</v>
      </c>
      <c r="PDF5" s="224"/>
      <c r="PDG5" s="224"/>
      <c r="PDH5" s="225"/>
      <c r="PDI5" s="223" t="s">
        <v>44</v>
      </c>
      <c r="PDJ5" s="224"/>
      <c r="PDK5" s="224"/>
      <c r="PDL5" s="225"/>
      <c r="PDM5" s="223" t="s">
        <v>44</v>
      </c>
      <c r="PDN5" s="224"/>
      <c r="PDO5" s="224"/>
      <c r="PDP5" s="225"/>
      <c r="PDQ5" s="223" t="s">
        <v>44</v>
      </c>
      <c r="PDR5" s="224"/>
      <c r="PDS5" s="224"/>
      <c r="PDT5" s="225"/>
      <c r="PDU5" s="223" t="s">
        <v>44</v>
      </c>
      <c r="PDV5" s="224"/>
      <c r="PDW5" s="224"/>
      <c r="PDX5" s="225"/>
      <c r="PDY5" s="223" t="s">
        <v>44</v>
      </c>
      <c r="PDZ5" s="224"/>
      <c r="PEA5" s="224"/>
      <c r="PEB5" s="225"/>
      <c r="PEC5" s="223" t="s">
        <v>44</v>
      </c>
      <c r="PED5" s="224"/>
      <c r="PEE5" s="224"/>
      <c r="PEF5" s="225"/>
      <c r="PEG5" s="223" t="s">
        <v>44</v>
      </c>
      <c r="PEH5" s="224"/>
      <c r="PEI5" s="224"/>
      <c r="PEJ5" s="225"/>
      <c r="PEK5" s="223" t="s">
        <v>44</v>
      </c>
      <c r="PEL5" s="224"/>
      <c r="PEM5" s="224"/>
      <c r="PEN5" s="225"/>
      <c r="PEO5" s="223" t="s">
        <v>44</v>
      </c>
      <c r="PEP5" s="224"/>
      <c r="PEQ5" s="224"/>
      <c r="PER5" s="225"/>
      <c r="PES5" s="223" t="s">
        <v>44</v>
      </c>
      <c r="PET5" s="224"/>
      <c r="PEU5" s="224"/>
      <c r="PEV5" s="225"/>
      <c r="PEW5" s="223" t="s">
        <v>44</v>
      </c>
      <c r="PEX5" s="224"/>
      <c r="PEY5" s="224"/>
      <c r="PEZ5" s="225"/>
      <c r="PFA5" s="223" t="s">
        <v>44</v>
      </c>
      <c r="PFB5" s="224"/>
      <c r="PFC5" s="224"/>
      <c r="PFD5" s="225"/>
      <c r="PFE5" s="223" t="s">
        <v>44</v>
      </c>
      <c r="PFF5" s="224"/>
      <c r="PFG5" s="224"/>
      <c r="PFH5" s="225"/>
      <c r="PFI5" s="223" t="s">
        <v>44</v>
      </c>
      <c r="PFJ5" s="224"/>
      <c r="PFK5" s="224"/>
      <c r="PFL5" s="225"/>
      <c r="PFM5" s="223" t="s">
        <v>44</v>
      </c>
      <c r="PFN5" s="224"/>
      <c r="PFO5" s="224"/>
      <c r="PFP5" s="225"/>
      <c r="PFQ5" s="223" t="s">
        <v>44</v>
      </c>
      <c r="PFR5" s="224"/>
      <c r="PFS5" s="224"/>
      <c r="PFT5" s="225"/>
      <c r="PFU5" s="223" t="s">
        <v>44</v>
      </c>
      <c r="PFV5" s="224"/>
      <c r="PFW5" s="224"/>
      <c r="PFX5" s="225"/>
      <c r="PFY5" s="223" t="s">
        <v>44</v>
      </c>
      <c r="PFZ5" s="224"/>
      <c r="PGA5" s="224"/>
      <c r="PGB5" s="225"/>
      <c r="PGC5" s="223" t="s">
        <v>44</v>
      </c>
      <c r="PGD5" s="224"/>
      <c r="PGE5" s="224"/>
      <c r="PGF5" s="225"/>
      <c r="PGG5" s="223" t="s">
        <v>44</v>
      </c>
      <c r="PGH5" s="224"/>
      <c r="PGI5" s="224"/>
      <c r="PGJ5" s="225"/>
      <c r="PGK5" s="223" t="s">
        <v>44</v>
      </c>
      <c r="PGL5" s="224"/>
      <c r="PGM5" s="224"/>
      <c r="PGN5" s="225"/>
      <c r="PGO5" s="223" t="s">
        <v>44</v>
      </c>
      <c r="PGP5" s="224"/>
      <c r="PGQ5" s="224"/>
      <c r="PGR5" s="225"/>
      <c r="PGS5" s="223" t="s">
        <v>44</v>
      </c>
      <c r="PGT5" s="224"/>
      <c r="PGU5" s="224"/>
      <c r="PGV5" s="225"/>
      <c r="PGW5" s="223" t="s">
        <v>44</v>
      </c>
      <c r="PGX5" s="224"/>
      <c r="PGY5" s="224"/>
      <c r="PGZ5" s="225"/>
      <c r="PHA5" s="223" t="s">
        <v>44</v>
      </c>
      <c r="PHB5" s="224"/>
      <c r="PHC5" s="224"/>
      <c r="PHD5" s="225"/>
      <c r="PHE5" s="223" t="s">
        <v>44</v>
      </c>
      <c r="PHF5" s="224"/>
      <c r="PHG5" s="224"/>
      <c r="PHH5" s="225"/>
      <c r="PHI5" s="223" t="s">
        <v>44</v>
      </c>
      <c r="PHJ5" s="224"/>
      <c r="PHK5" s="224"/>
      <c r="PHL5" s="225"/>
      <c r="PHM5" s="223" t="s">
        <v>44</v>
      </c>
      <c r="PHN5" s="224"/>
      <c r="PHO5" s="224"/>
      <c r="PHP5" s="225"/>
      <c r="PHQ5" s="223" t="s">
        <v>44</v>
      </c>
      <c r="PHR5" s="224"/>
      <c r="PHS5" s="224"/>
      <c r="PHT5" s="225"/>
      <c r="PHU5" s="223" t="s">
        <v>44</v>
      </c>
      <c r="PHV5" s="224"/>
      <c r="PHW5" s="224"/>
      <c r="PHX5" s="225"/>
      <c r="PHY5" s="223" t="s">
        <v>44</v>
      </c>
      <c r="PHZ5" s="224"/>
      <c r="PIA5" s="224"/>
      <c r="PIB5" s="225"/>
      <c r="PIC5" s="223" t="s">
        <v>44</v>
      </c>
      <c r="PID5" s="224"/>
      <c r="PIE5" s="224"/>
      <c r="PIF5" s="225"/>
      <c r="PIG5" s="223" t="s">
        <v>44</v>
      </c>
      <c r="PIH5" s="224"/>
      <c r="PII5" s="224"/>
      <c r="PIJ5" s="225"/>
      <c r="PIK5" s="223" t="s">
        <v>44</v>
      </c>
      <c r="PIL5" s="224"/>
      <c r="PIM5" s="224"/>
      <c r="PIN5" s="225"/>
      <c r="PIO5" s="223" t="s">
        <v>44</v>
      </c>
      <c r="PIP5" s="224"/>
      <c r="PIQ5" s="224"/>
      <c r="PIR5" s="225"/>
      <c r="PIS5" s="223" t="s">
        <v>44</v>
      </c>
      <c r="PIT5" s="224"/>
      <c r="PIU5" s="224"/>
      <c r="PIV5" s="225"/>
      <c r="PIW5" s="223" t="s">
        <v>44</v>
      </c>
      <c r="PIX5" s="224"/>
      <c r="PIY5" s="224"/>
      <c r="PIZ5" s="225"/>
      <c r="PJA5" s="223" t="s">
        <v>44</v>
      </c>
      <c r="PJB5" s="224"/>
      <c r="PJC5" s="224"/>
      <c r="PJD5" s="225"/>
      <c r="PJE5" s="223" t="s">
        <v>44</v>
      </c>
      <c r="PJF5" s="224"/>
      <c r="PJG5" s="224"/>
      <c r="PJH5" s="225"/>
      <c r="PJI5" s="223" t="s">
        <v>44</v>
      </c>
      <c r="PJJ5" s="224"/>
      <c r="PJK5" s="224"/>
      <c r="PJL5" s="225"/>
      <c r="PJM5" s="223" t="s">
        <v>44</v>
      </c>
      <c r="PJN5" s="224"/>
      <c r="PJO5" s="224"/>
      <c r="PJP5" s="225"/>
      <c r="PJQ5" s="223" t="s">
        <v>44</v>
      </c>
      <c r="PJR5" s="224"/>
      <c r="PJS5" s="224"/>
      <c r="PJT5" s="225"/>
      <c r="PJU5" s="223" t="s">
        <v>44</v>
      </c>
      <c r="PJV5" s="224"/>
      <c r="PJW5" s="224"/>
      <c r="PJX5" s="225"/>
      <c r="PJY5" s="223" t="s">
        <v>44</v>
      </c>
      <c r="PJZ5" s="224"/>
      <c r="PKA5" s="224"/>
      <c r="PKB5" s="225"/>
      <c r="PKC5" s="223" t="s">
        <v>44</v>
      </c>
      <c r="PKD5" s="224"/>
      <c r="PKE5" s="224"/>
      <c r="PKF5" s="225"/>
      <c r="PKG5" s="223" t="s">
        <v>44</v>
      </c>
      <c r="PKH5" s="224"/>
      <c r="PKI5" s="224"/>
      <c r="PKJ5" s="225"/>
      <c r="PKK5" s="223" t="s">
        <v>44</v>
      </c>
      <c r="PKL5" s="224"/>
      <c r="PKM5" s="224"/>
      <c r="PKN5" s="225"/>
      <c r="PKO5" s="223" t="s">
        <v>44</v>
      </c>
      <c r="PKP5" s="224"/>
      <c r="PKQ5" s="224"/>
      <c r="PKR5" s="225"/>
      <c r="PKS5" s="223" t="s">
        <v>44</v>
      </c>
      <c r="PKT5" s="224"/>
      <c r="PKU5" s="224"/>
      <c r="PKV5" s="225"/>
      <c r="PKW5" s="223" t="s">
        <v>44</v>
      </c>
      <c r="PKX5" s="224"/>
      <c r="PKY5" s="224"/>
      <c r="PKZ5" s="225"/>
      <c r="PLA5" s="223" t="s">
        <v>44</v>
      </c>
      <c r="PLB5" s="224"/>
      <c r="PLC5" s="224"/>
      <c r="PLD5" s="225"/>
      <c r="PLE5" s="223" t="s">
        <v>44</v>
      </c>
      <c r="PLF5" s="224"/>
      <c r="PLG5" s="224"/>
      <c r="PLH5" s="225"/>
      <c r="PLI5" s="223" t="s">
        <v>44</v>
      </c>
      <c r="PLJ5" s="224"/>
      <c r="PLK5" s="224"/>
      <c r="PLL5" s="225"/>
      <c r="PLM5" s="223" t="s">
        <v>44</v>
      </c>
      <c r="PLN5" s="224"/>
      <c r="PLO5" s="224"/>
      <c r="PLP5" s="225"/>
      <c r="PLQ5" s="223" t="s">
        <v>44</v>
      </c>
      <c r="PLR5" s="224"/>
      <c r="PLS5" s="224"/>
      <c r="PLT5" s="225"/>
      <c r="PLU5" s="223" t="s">
        <v>44</v>
      </c>
      <c r="PLV5" s="224"/>
      <c r="PLW5" s="224"/>
      <c r="PLX5" s="225"/>
      <c r="PLY5" s="223" t="s">
        <v>44</v>
      </c>
      <c r="PLZ5" s="224"/>
      <c r="PMA5" s="224"/>
      <c r="PMB5" s="225"/>
      <c r="PMC5" s="223" t="s">
        <v>44</v>
      </c>
      <c r="PMD5" s="224"/>
      <c r="PME5" s="224"/>
      <c r="PMF5" s="225"/>
      <c r="PMG5" s="223" t="s">
        <v>44</v>
      </c>
      <c r="PMH5" s="224"/>
      <c r="PMI5" s="224"/>
      <c r="PMJ5" s="225"/>
      <c r="PMK5" s="223" t="s">
        <v>44</v>
      </c>
      <c r="PML5" s="224"/>
      <c r="PMM5" s="224"/>
      <c r="PMN5" s="225"/>
      <c r="PMO5" s="223" t="s">
        <v>44</v>
      </c>
      <c r="PMP5" s="224"/>
      <c r="PMQ5" s="224"/>
      <c r="PMR5" s="225"/>
      <c r="PMS5" s="223" t="s">
        <v>44</v>
      </c>
      <c r="PMT5" s="224"/>
      <c r="PMU5" s="224"/>
      <c r="PMV5" s="225"/>
      <c r="PMW5" s="223" t="s">
        <v>44</v>
      </c>
      <c r="PMX5" s="224"/>
      <c r="PMY5" s="224"/>
      <c r="PMZ5" s="225"/>
      <c r="PNA5" s="223" t="s">
        <v>44</v>
      </c>
      <c r="PNB5" s="224"/>
      <c r="PNC5" s="224"/>
      <c r="PND5" s="225"/>
      <c r="PNE5" s="223" t="s">
        <v>44</v>
      </c>
      <c r="PNF5" s="224"/>
      <c r="PNG5" s="224"/>
      <c r="PNH5" s="225"/>
      <c r="PNI5" s="223" t="s">
        <v>44</v>
      </c>
      <c r="PNJ5" s="224"/>
      <c r="PNK5" s="224"/>
      <c r="PNL5" s="225"/>
      <c r="PNM5" s="223" t="s">
        <v>44</v>
      </c>
      <c r="PNN5" s="224"/>
      <c r="PNO5" s="224"/>
      <c r="PNP5" s="225"/>
      <c r="PNQ5" s="223" t="s">
        <v>44</v>
      </c>
      <c r="PNR5" s="224"/>
      <c r="PNS5" s="224"/>
      <c r="PNT5" s="225"/>
      <c r="PNU5" s="223" t="s">
        <v>44</v>
      </c>
      <c r="PNV5" s="224"/>
      <c r="PNW5" s="224"/>
      <c r="PNX5" s="225"/>
      <c r="PNY5" s="223" t="s">
        <v>44</v>
      </c>
      <c r="PNZ5" s="224"/>
      <c r="POA5" s="224"/>
      <c r="POB5" s="225"/>
      <c r="POC5" s="223" t="s">
        <v>44</v>
      </c>
      <c r="POD5" s="224"/>
      <c r="POE5" s="224"/>
      <c r="POF5" s="225"/>
      <c r="POG5" s="223" t="s">
        <v>44</v>
      </c>
      <c r="POH5" s="224"/>
      <c r="POI5" s="224"/>
      <c r="POJ5" s="225"/>
      <c r="POK5" s="223" t="s">
        <v>44</v>
      </c>
      <c r="POL5" s="224"/>
      <c r="POM5" s="224"/>
      <c r="PON5" s="225"/>
      <c r="POO5" s="223" t="s">
        <v>44</v>
      </c>
      <c r="POP5" s="224"/>
      <c r="POQ5" s="224"/>
      <c r="POR5" s="225"/>
      <c r="POS5" s="223" t="s">
        <v>44</v>
      </c>
      <c r="POT5" s="224"/>
      <c r="POU5" s="224"/>
      <c r="POV5" s="225"/>
      <c r="POW5" s="223" t="s">
        <v>44</v>
      </c>
      <c r="POX5" s="224"/>
      <c r="POY5" s="224"/>
      <c r="POZ5" s="225"/>
      <c r="PPA5" s="223" t="s">
        <v>44</v>
      </c>
      <c r="PPB5" s="224"/>
      <c r="PPC5" s="224"/>
      <c r="PPD5" s="225"/>
      <c r="PPE5" s="223" t="s">
        <v>44</v>
      </c>
      <c r="PPF5" s="224"/>
      <c r="PPG5" s="224"/>
      <c r="PPH5" s="225"/>
      <c r="PPI5" s="223" t="s">
        <v>44</v>
      </c>
      <c r="PPJ5" s="224"/>
      <c r="PPK5" s="224"/>
      <c r="PPL5" s="225"/>
      <c r="PPM5" s="223" t="s">
        <v>44</v>
      </c>
      <c r="PPN5" s="224"/>
      <c r="PPO5" s="224"/>
      <c r="PPP5" s="225"/>
      <c r="PPQ5" s="223" t="s">
        <v>44</v>
      </c>
      <c r="PPR5" s="224"/>
      <c r="PPS5" s="224"/>
      <c r="PPT5" s="225"/>
      <c r="PPU5" s="223" t="s">
        <v>44</v>
      </c>
      <c r="PPV5" s="224"/>
      <c r="PPW5" s="224"/>
      <c r="PPX5" s="225"/>
      <c r="PPY5" s="223" t="s">
        <v>44</v>
      </c>
      <c r="PPZ5" s="224"/>
      <c r="PQA5" s="224"/>
      <c r="PQB5" s="225"/>
      <c r="PQC5" s="223" t="s">
        <v>44</v>
      </c>
      <c r="PQD5" s="224"/>
      <c r="PQE5" s="224"/>
      <c r="PQF5" s="225"/>
      <c r="PQG5" s="223" t="s">
        <v>44</v>
      </c>
      <c r="PQH5" s="224"/>
      <c r="PQI5" s="224"/>
      <c r="PQJ5" s="225"/>
      <c r="PQK5" s="223" t="s">
        <v>44</v>
      </c>
      <c r="PQL5" s="224"/>
      <c r="PQM5" s="224"/>
      <c r="PQN5" s="225"/>
      <c r="PQO5" s="223" t="s">
        <v>44</v>
      </c>
      <c r="PQP5" s="224"/>
      <c r="PQQ5" s="224"/>
      <c r="PQR5" s="225"/>
      <c r="PQS5" s="223" t="s">
        <v>44</v>
      </c>
      <c r="PQT5" s="224"/>
      <c r="PQU5" s="224"/>
      <c r="PQV5" s="225"/>
      <c r="PQW5" s="223" t="s">
        <v>44</v>
      </c>
      <c r="PQX5" s="224"/>
      <c r="PQY5" s="224"/>
      <c r="PQZ5" s="225"/>
      <c r="PRA5" s="223" t="s">
        <v>44</v>
      </c>
      <c r="PRB5" s="224"/>
      <c r="PRC5" s="224"/>
      <c r="PRD5" s="225"/>
      <c r="PRE5" s="223" t="s">
        <v>44</v>
      </c>
      <c r="PRF5" s="224"/>
      <c r="PRG5" s="224"/>
      <c r="PRH5" s="225"/>
      <c r="PRI5" s="223" t="s">
        <v>44</v>
      </c>
      <c r="PRJ5" s="224"/>
      <c r="PRK5" s="224"/>
      <c r="PRL5" s="225"/>
      <c r="PRM5" s="223" t="s">
        <v>44</v>
      </c>
      <c r="PRN5" s="224"/>
      <c r="PRO5" s="224"/>
      <c r="PRP5" s="225"/>
      <c r="PRQ5" s="223" t="s">
        <v>44</v>
      </c>
      <c r="PRR5" s="224"/>
      <c r="PRS5" s="224"/>
      <c r="PRT5" s="225"/>
      <c r="PRU5" s="223" t="s">
        <v>44</v>
      </c>
      <c r="PRV5" s="224"/>
      <c r="PRW5" s="224"/>
      <c r="PRX5" s="225"/>
      <c r="PRY5" s="223" t="s">
        <v>44</v>
      </c>
      <c r="PRZ5" s="224"/>
      <c r="PSA5" s="224"/>
      <c r="PSB5" s="225"/>
      <c r="PSC5" s="223" t="s">
        <v>44</v>
      </c>
      <c r="PSD5" s="224"/>
      <c r="PSE5" s="224"/>
      <c r="PSF5" s="225"/>
      <c r="PSG5" s="223" t="s">
        <v>44</v>
      </c>
      <c r="PSH5" s="224"/>
      <c r="PSI5" s="224"/>
      <c r="PSJ5" s="225"/>
      <c r="PSK5" s="223" t="s">
        <v>44</v>
      </c>
      <c r="PSL5" s="224"/>
      <c r="PSM5" s="224"/>
      <c r="PSN5" s="225"/>
      <c r="PSO5" s="223" t="s">
        <v>44</v>
      </c>
      <c r="PSP5" s="224"/>
      <c r="PSQ5" s="224"/>
      <c r="PSR5" s="225"/>
      <c r="PSS5" s="223" t="s">
        <v>44</v>
      </c>
      <c r="PST5" s="224"/>
      <c r="PSU5" s="224"/>
      <c r="PSV5" s="225"/>
      <c r="PSW5" s="223" t="s">
        <v>44</v>
      </c>
      <c r="PSX5" s="224"/>
      <c r="PSY5" s="224"/>
      <c r="PSZ5" s="225"/>
      <c r="PTA5" s="223" t="s">
        <v>44</v>
      </c>
      <c r="PTB5" s="224"/>
      <c r="PTC5" s="224"/>
      <c r="PTD5" s="225"/>
      <c r="PTE5" s="223" t="s">
        <v>44</v>
      </c>
      <c r="PTF5" s="224"/>
      <c r="PTG5" s="224"/>
      <c r="PTH5" s="225"/>
      <c r="PTI5" s="223" t="s">
        <v>44</v>
      </c>
      <c r="PTJ5" s="224"/>
      <c r="PTK5" s="224"/>
      <c r="PTL5" s="225"/>
      <c r="PTM5" s="223" t="s">
        <v>44</v>
      </c>
      <c r="PTN5" s="224"/>
      <c r="PTO5" s="224"/>
      <c r="PTP5" s="225"/>
      <c r="PTQ5" s="223" t="s">
        <v>44</v>
      </c>
      <c r="PTR5" s="224"/>
      <c r="PTS5" s="224"/>
      <c r="PTT5" s="225"/>
      <c r="PTU5" s="223" t="s">
        <v>44</v>
      </c>
      <c r="PTV5" s="224"/>
      <c r="PTW5" s="224"/>
      <c r="PTX5" s="225"/>
      <c r="PTY5" s="223" t="s">
        <v>44</v>
      </c>
      <c r="PTZ5" s="224"/>
      <c r="PUA5" s="224"/>
      <c r="PUB5" s="225"/>
      <c r="PUC5" s="223" t="s">
        <v>44</v>
      </c>
      <c r="PUD5" s="224"/>
      <c r="PUE5" s="224"/>
      <c r="PUF5" s="225"/>
      <c r="PUG5" s="223" t="s">
        <v>44</v>
      </c>
      <c r="PUH5" s="224"/>
      <c r="PUI5" s="224"/>
      <c r="PUJ5" s="225"/>
      <c r="PUK5" s="223" t="s">
        <v>44</v>
      </c>
      <c r="PUL5" s="224"/>
      <c r="PUM5" s="224"/>
      <c r="PUN5" s="225"/>
      <c r="PUO5" s="223" t="s">
        <v>44</v>
      </c>
      <c r="PUP5" s="224"/>
      <c r="PUQ5" s="224"/>
      <c r="PUR5" s="225"/>
      <c r="PUS5" s="223" t="s">
        <v>44</v>
      </c>
      <c r="PUT5" s="224"/>
      <c r="PUU5" s="224"/>
      <c r="PUV5" s="225"/>
      <c r="PUW5" s="223" t="s">
        <v>44</v>
      </c>
      <c r="PUX5" s="224"/>
      <c r="PUY5" s="224"/>
      <c r="PUZ5" s="225"/>
      <c r="PVA5" s="223" t="s">
        <v>44</v>
      </c>
      <c r="PVB5" s="224"/>
      <c r="PVC5" s="224"/>
      <c r="PVD5" s="225"/>
      <c r="PVE5" s="223" t="s">
        <v>44</v>
      </c>
      <c r="PVF5" s="224"/>
      <c r="PVG5" s="224"/>
      <c r="PVH5" s="225"/>
      <c r="PVI5" s="223" t="s">
        <v>44</v>
      </c>
      <c r="PVJ5" s="224"/>
      <c r="PVK5" s="224"/>
      <c r="PVL5" s="225"/>
      <c r="PVM5" s="223" t="s">
        <v>44</v>
      </c>
      <c r="PVN5" s="224"/>
      <c r="PVO5" s="224"/>
      <c r="PVP5" s="225"/>
      <c r="PVQ5" s="223" t="s">
        <v>44</v>
      </c>
      <c r="PVR5" s="224"/>
      <c r="PVS5" s="224"/>
      <c r="PVT5" s="225"/>
      <c r="PVU5" s="223" t="s">
        <v>44</v>
      </c>
      <c r="PVV5" s="224"/>
      <c r="PVW5" s="224"/>
      <c r="PVX5" s="225"/>
      <c r="PVY5" s="223" t="s">
        <v>44</v>
      </c>
      <c r="PVZ5" s="224"/>
      <c r="PWA5" s="224"/>
      <c r="PWB5" s="225"/>
      <c r="PWC5" s="223" t="s">
        <v>44</v>
      </c>
      <c r="PWD5" s="224"/>
      <c r="PWE5" s="224"/>
      <c r="PWF5" s="225"/>
      <c r="PWG5" s="223" t="s">
        <v>44</v>
      </c>
      <c r="PWH5" s="224"/>
      <c r="PWI5" s="224"/>
      <c r="PWJ5" s="225"/>
      <c r="PWK5" s="223" t="s">
        <v>44</v>
      </c>
      <c r="PWL5" s="224"/>
      <c r="PWM5" s="224"/>
      <c r="PWN5" s="225"/>
      <c r="PWO5" s="223" t="s">
        <v>44</v>
      </c>
      <c r="PWP5" s="224"/>
      <c r="PWQ5" s="224"/>
      <c r="PWR5" s="225"/>
      <c r="PWS5" s="223" t="s">
        <v>44</v>
      </c>
      <c r="PWT5" s="224"/>
      <c r="PWU5" s="224"/>
      <c r="PWV5" s="225"/>
      <c r="PWW5" s="223" t="s">
        <v>44</v>
      </c>
      <c r="PWX5" s="224"/>
      <c r="PWY5" s="224"/>
      <c r="PWZ5" s="225"/>
      <c r="PXA5" s="223" t="s">
        <v>44</v>
      </c>
      <c r="PXB5" s="224"/>
      <c r="PXC5" s="224"/>
      <c r="PXD5" s="225"/>
      <c r="PXE5" s="223" t="s">
        <v>44</v>
      </c>
      <c r="PXF5" s="224"/>
      <c r="PXG5" s="224"/>
      <c r="PXH5" s="225"/>
      <c r="PXI5" s="223" t="s">
        <v>44</v>
      </c>
      <c r="PXJ5" s="224"/>
      <c r="PXK5" s="224"/>
      <c r="PXL5" s="225"/>
      <c r="PXM5" s="223" t="s">
        <v>44</v>
      </c>
      <c r="PXN5" s="224"/>
      <c r="PXO5" s="224"/>
      <c r="PXP5" s="225"/>
      <c r="PXQ5" s="223" t="s">
        <v>44</v>
      </c>
      <c r="PXR5" s="224"/>
      <c r="PXS5" s="224"/>
      <c r="PXT5" s="225"/>
      <c r="PXU5" s="223" t="s">
        <v>44</v>
      </c>
      <c r="PXV5" s="224"/>
      <c r="PXW5" s="224"/>
      <c r="PXX5" s="225"/>
      <c r="PXY5" s="223" t="s">
        <v>44</v>
      </c>
      <c r="PXZ5" s="224"/>
      <c r="PYA5" s="224"/>
      <c r="PYB5" s="225"/>
      <c r="PYC5" s="223" t="s">
        <v>44</v>
      </c>
      <c r="PYD5" s="224"/>
      <c r="PYE5" s="224"/>
      <c r="PYF5" s="225"/>
      <c r="PYG5" s="223" t="s">
        <v>44</v>
      </c>
      <c r="PYH5" s="224"/>
      <c r="PYI5" s="224"/>
      <c r="PYJ5" s="225"/>
      <c r="PYK5" s="223" t="s">
        <v>44</v>
      </c>
      <c r="PYL5" s="224"/>
      <c r="PYM5" s="224"/>
      <c r="PYN5" s="225"/>
      <c r="PYO5" s="223" t="s">
        <v>44</v>
      </c>
      <c r="PYP5" s="224"/>
      <c r="PYQ5" s="224"/>
      <c r="PYR5" s="225"/>
      <c r="PYS5" s="223" t="s">
        <v>44</v>
      </c>
      <c r="PYT5" s="224"/>
      <c r="PYU5" s="224"/>
      <c r="PYV5" s="225"/>
      <c r="PYW5" s="223" t="s">
        <v>44</v>
      </c>
      <c r="PYX5" s="224"/>
      <c r="PYY5" s="224"/>
      <c r="PYZ5" s="225"/>
      <c r="PZA5" s="223" t="s">
        <v>44</v>
      </c>
      <c r="PZB5" s="224"/>
      <c r="PZC5" s="224"/>
      <c r="PZD5" s="225"/>
      <c r="PZE5" s="223" t="s">
        <v>44</v>
      </c>
      <c r="PZF5" s="224"/>
      <c r="PZG5" s="224"/>
      <c r="PZH5" s="225"/>
      <c r="PZI5" s="223" t="s">
        <v>44</v>
      </c>
      <c r="PZJ5" s="224"/>
      <c r="PZK5" s="224"/>
      <c r="PZL5" s="225"/>
      <c r="PZM5" s="223" t="s">
        <v>44</v>
      </c>
      <c r="PZN5" s="224"/>
      <c r="PZO5" s="224"/>
      <c r="PZP5" s="225"/>
      <c r="PZQ5" s="223" t="s">
        <v>44</v>
      </c>
      <c r="PZR5" s="224"/>
      <c r="PZS5" s="224"/>
      <c r="PZT5" s="225"/>
      <c r="PZU5" s="223" t="s">
        <v>44</v>
      </c>
      <c r="PZV5" s="224"/>
      <c r="PZW5" s="224"/>
      <c r="PZX5" s="225"/>
      <c r="PZY5" s="223" t="s">
        <v>44</v>
      </c>
      <c r="PZZ5" s="224"/>
      <c r="QAA5" s="224"/>
      <c r="QAB5" s="225"/>
      <c r="QAC5" s="223" t="s">
        <v>44</v>
      </c>
      <c r="QAD5" s="224"/>
      <c r="QAE5" s="224"/>
      <c r="QAF5" s="225"/>
      <c r="QAG5" s="223" t="s">
        <v>44</v>
      </c>
      <c r="QAH5" s="224"/>
      <c r="QAI5" s="224"/>
      <c r="QAJ5" s="225"/>
      <c r="QAK5" s="223" t="s">
        <v>44</v>
      </c>
      <c r="QAL5" s="224"/>
      <c r="QAM5" s="224"/>
      <c r="QAN5" s="225"/>
      <c r="QAO5" s="223" t="s">
        <v>44</v>
      </c>
      <c r="QAP5" s="224"/>
      <c r="QAQ5" s="224"/>
      <c r="QAR5" s="225"/>
      <c r="QAS5" s="223" t="s">
        <v>44</v>
      </c>
      <c r="QAT5" s="224"/>
      <c r="QAU5" s="224"/>
      <c r="QAV5" s="225"/>
      <c r="QAW5" s="223" t="s">
        <v>44</v>
      </c>
      <c r="QAX5" s="224"/>
      <c r="QAY5" s="224"/>
      <c r="QAZ5" s="225"/>
      <c r="QBA5" s="223" t="s">
        <v>44</v>
      </c>
      <c r="QBB5" s="224"/>
      <c r="QBC5" s="224"/>
      <c r="QBD5" s="225"/>
      <c r="QBE5" s="223" t="s">
        <v>44</v>
      </c>
      <c r="QBF5" s="224"/>
      <c r="QBG5" s="224"/>
      <c r="QBH5" s="225"/>
      <c r="QBI5" s="223" t="s">
        <v>44</v>
      </c>
      <c r="QBJ5" s="224"/>
      <c r="QBK5" s="224"/>
      <c r="QBL5" s="225"/>
      <c r="QBM5" s="223" t="s">
        <v>44</v>
      </c>
      <c r="QBN5" s="224"/>
      <c r="QBO5" s="224"/>
      <c r="QBP5" s="225"/>
      <c r="QBQ5" s="223" t="s">
        <v>44</v>
      </c>
      <c r="QBR5" s="224"/>
      <c r="QBS5" s="224"/>
      <c r="QBT5" s="225"/>
      <c r="QBU5" s="223" t="s">
        <v>44</v>
      </c>
      <c r="QBV5" s="224"/>
      <c r="QBW5" s="224"/>
      <c r="QBX5" s="225"/>
      <c r="QBY5" s="223" t="s">
        <v>44</v>
      </c>
      <c r="QBZ5" s="224"/>
      <c r="QCA5" s="224"/>
      <c r="QCB5" s="225"/>
      <c r="QCC5" s="223" t="s">
        <v>44</v>
      </c>
      <c r="QCD5" s="224"/>
      <c r="QCE5" s="224"/>
      <c r="QCF5" s="225"/>
      <c r="QCG5" s="223" t="s">
        <v>44</v>
      </c>
      <c r="QCH5" s="224"/>
      <c r="QCI5" s="224"/>
      <c r="QCJ5" s="225"/>
      <c r="QCK5" s="223" t="s">
        <v>44</v>
      </c>
      <c r="QCL5" s="224"/>
      <c r="QCM5" s="224"/>
      <c r="QCN5" s="225"/>
      <c r="QCO5" s="223" t="s">
        <v>44</v>
      </c>
      <c r="QCP5" s="224"/>
      <c r="QCQ5" s="224"/>
      <c r="QCR5" s="225"/>
      <c r="QCS5" s="223" t="s">
        <v>44</v>
      </c>
      <c r="QCT5" s="224"/>
      <c r="QCU5" s="224"/>
      <c r="QCV5" s="225"/>
      <c r="QCW5" s="223" t="s">
        <v>44</v>
      </c>
      <c r="QCX5" s="224"/>
      <c r="QCY5" s="224"/>
      <c r="QCZ5" s="225"/>
      <c r="QDA5" s="223" t="s">
        <v>44</v>
      </c>
      <c r="QDB5" s="224"/>
      <c r="QDC5" s="224"/>
      <c r="QDD5" s="225"/>
      <c r="QDE5" s="223" t="s">
        <v>44</v>
      </c>
      <c r="QDF5" s="224"/>
      <c r="QDG5" s="224"/>
      <c r="QDH5" s="225"/>
      <c r="QDI5" s="223" t="s">
        <v>44</v>
      </c>
      <c r="QDJ5" s="224"/>
      <c r="QDK5" s="224"/>
      <c r="QDL5" s="225"/>
      <c r="QDM5" s="223" t="s">
        <v>44</v>
      </c>
      <c r="QDN5" s="224"/>
      <c r="QDO5" s="224"/>
      <c r="QDP5" s="225"/>
      <c r="QDQ5" s="223" t="s">
        <v>44</v>
      </c>
      <c r="QDR5" s="224"/>
      <c r="QDS5" s="224"/>
      <c r="QDT5" s="225"/>
      <c r="QDU5" s="223" t="s">
        <v>44</v>
      </c>
      <c r="QDV5" s="224"/>
      <c r="QDW5" s="224"/>
      <c r="QDX5" s="225"/>
      <c r="QDY5" s="223" t="s">
        <v>44</v>
      </c>
      <c r="QDZ5" s="224"/>
      <c r="QEA5" s="224"/>
      <c r="QEB5" s="225"/>
      <c r="QEC5" s="223" t="s">
        <v>44</v>
      </c>
      <c r="QED5" s="224"/>
      <c r="QEE5" s="224"/>
      <c r="QEF5" s="225"/>
      <c r="QEG5" s="223" t="s">
        <v>44</v>
      </c>
      <c r="QEH5" s="224"/>
      <c r="QEI5" s="224"/>
      <c r="QEJ5" s="225"/>
      <c r="QEK5" s="223" t="s">
        <v>44</v>
      </c>
      <c r="QEL5" s="224"/>
      <c r="QEM5" s="224"/>
      <c r="QEN5" s="225"/>
      <c r="QEO5" s="223" t="s">
        <v>44</v>
      </c>
      <c r="QEP5" s="224"/>
      <c r="QEQ5" s="224"/>
      <c r="QER5" s="225"/>
      <c r="QES5" s="223" t="s">
        <v>44</v>
      </c>
      <c r="QET5" s="224"/>
      <c r="QEU5" s="224"/>
      <c r="QEV5" s="225"/>
      <c r="QEW5" s="223" t="s">
        <v>44</v>
      </c>
      <c r="QEX5" s="224"/>
      <c r="QEY5" s="224"/>
      <c r="QEZ5" s="225"/>
      <c r="QFA5" s="223" t="s">
        <v>44</v>
      </c>
      <c r="QFB5" s="224"/>
      <c r="QFC5" s="224"/>
      <c r="QFD5" s="225"/>
      <c r="QFE5" s="223" t="s">
        <v>44</v>
      </c>
      <c r="QFF5" s="224"/>
      <c r="QFG5" s="224"/>
      <c r="QFH5" s="225"/>
      <c r="QFI5" s="223" t="s">
        <v>44</v>
      </c>
      <c r="QFJ5" s="224"/>
      <c r="QFK5" s="224"/>
      <c r="QFL5" s="225"/>
      <c r="QFM5" s="223" t="s">
        <v>44</v>
      </c>
      <c r="QFN5" s="224"/>
      <c r="QFO5" s="224"/>
      <c r="QFP5" s="225"/>
      <c r="QFQ5" s="223" t="s">
        <v>44</v>
      </c>
      <c r="QFR5" s="224"/>
      <c r="QFS5" s="224"/>
      <c r="QFT5" s="225"/>
      <c r="QFU5" s="223" t="s">
        <v>44</v>
      </c>
      <c r="QFV5" s="224"/>
      <c r="QFW5" s="224"/>
      <c r="QFX5" s="225"/>
      <c r="QFY5" s="223" t="s">
        <v>44</v>
      </c>
      <c r="QFZ5" s="224"/>
      <c r="QGA5" s="224"/>
      <c r="QGB5" s="225"/>
      <c r="QGC5" s="223" t="s">
        <v>44</v>
      </c>
      <c r="QGD5" s="224"/>
      <c r="QGE5" s="224"/>
      <c r="QGF5" s="225"/>
      <c r="QGG5" s="223" t="s">
        <v>44</v>
      </c>
      <c r="QGH5" s="224"/>
      <c r="QGI5" s="224"/>
      <c r="QGJ5" s="225"/>
      <c r="QGK5" s="223" t="s">
        <v>44</v>
      </c>
      <c r="QGL5" s="224"/>
      <c r="QGM5" s="224"/>
      <c r="QGN5" s="225"/>
      <c r="QGO5" s="223" t="s">
        <v>44</v>
      </c>
      <c r="QGP5" s="224"/>
      <c r="QGQ5" s="224"/>
      <c r="QGR5" s="225"/>
      <c r="QGS5" s="223" t="s">
        <v>44</v>
      </c>
      <c r="QGT5" s="224"/>
      <c r="QGU5" s="224"/>
      <c r="QGV5" s="225"/>
      <c r="QGW5" s="223" t="s">
        <v>44</v>
      </c>
      <c r="QGX5" s="224"/>
      <c r="QGY5" s="224"/>
      <c r="QGZ5" s="225"/>
      <c r="QHA5" s="223" t="s">
        <v>44</v>
      </c>
      <c r="QHB5" s="224"/>
      <c r="QHC5" s="224"/>
      <c r="QHD5" s="225"/>
      <c r="QHE5" s="223" t="s">
        <v>44</v>
      </c>
      <c r="QHF5" s="224"/>
      <c r="QHG5" s="224"/>
      <c r="QHH5" s="225"/>
      <c r="QHI5" s="223" t="s">
        <v>44</v>
      </c>
      <c r="QHJ5" s="224"/>
      <c r="QHK5" s="224"/>
      <c r="QHL5" s="225"/>
      <c r="QHM5" s="223" t="s">
        <v>44</v>
      </c>
      <c r="QHN5" s="224"/>
      <c r="QHO5" s="224"/>
      <c r="QHP5" s="225"/>
      <c r="QHQ5" s="223" t="s">
        <v>44</v>
      </c>
      <c r="QHR5" s="224"/>
      <c r="QHS5" s="224"/>
      <c r="QHT5" s="225"/>
      <c r="QHU5" s="223" t="s">
        <v>44</v>
      </c>
      <c r="QHV5" s="224"/>
      <c r="QHW5" s="224"/>
      <c r="QHX5" s="225"/>
      <c r="QHY5" s="223" t="s">
        <v>44</v>
      </c>
      <c r="QHZ5" s="224"/>
      <c r="QIA5" s="224"/>
      <c r="QIB5" s="225"/>
      <c r="QIC5" s="223" t="s">
        <v>44</v>
      </c>
      <c r="QID5" s="224"/>
      <c r="QIE5" s="224"/>
      <c r="QIF5" s="225"/>
      <c r="QIG5" s="223" t="s">
        <v>44</v>
      </c>
      <c r="QIH5" s="224"/>
      <c r="QII5" s="224"/>
      <c r="QIJ5" s="225"/>
      <c r="QIK5" s="223" t="s">
        <v>44</v>
      </c>
      <c r="QIL5" s="224"/>
      <c r="QIM5" s="224"/>
      <c r="QIN5" s="225"/>
      <c r="QIO5" s="223" t="s">
        <v>44</v>
      </c>
      <c r="QIP5" s="224"/>
      <c r="QIQ5" s="224"/>
      <c r="QIR5" s="225"/>
      <c r="QIS5" s="223" t="s">
        <v>44</v>
      </c>
      <c r="QIT5" s="224"/>
      <c r="QIU5" s="224"/>
      <c r="QIV5" s="225"/>
      <c r="QIW5" s="223" t="s">
        <v>44</v>
      </c>
      <c r="QIX5" s="224"/>
      <c r="QIY5" s="224"/>
      <c r="QIZ5" s="225"/>
      <c r="QJA5" s="223" t="s">
        <v>44</v>
      </c>
      <c r="QJB5" s="224"/>
      <c r="QJC5" s="224"/>
      <c r="QJD5" s="225"/>
      <c r="QJE5" s="223" t="s">
        <v>44</v>
      </c>
      <c r="QJF5" s="224"/>
      <c r="QJG5" s="224"/>
      <c r="QJH5" s="225"/>
      <c r="QJI5" s="223" t="s">
        <v>44</v>
      </c>
      <c r="QJJ5" s="224"/>
      <c r="QJK5" s="224"/>
      <c r="QJL5" s="225"/>
      <c r="QJM5" s="223" t="s">
        <v>44</v>
      </c>
      <c r="QJN5" s="224"/>
      <c r="QJO5" s="224"/>
      <c r="QJP5" s="225"/>
      <c r="QJQ5" s="223" t="s">
        <v>44</v>
      </c>
      <c r="QJR5" s="224"/>
      <c r="QJS5" s="224"/>
      <c r="QJT5" s="225"/>
      <c r="QJU5" s="223" t="s">
        <v>44</v>
      </c>
      <c r="QJV5" s="224"/>
      <c r="QJW5" s="224"/>
      <c r="QJX5" s="225"/>
      <c r="QJY5" s="223" t="s">
        <v>44</v>
      </c>
      <c r="QJZ5" s="224"/>
      <c r="QKA5" s="224"/>
      <c r="QKB5" s="225"/>
      <c r="QKC5" s="223" t="s">
        <v>44</v>
      </c>
      <c r="QKD5" s="224"/>
      <c r="QKE5" s="224"/>
      <c r="QKF5" s="225"/>
      <c r="QKG5" s="223" t="s">
        <v>44</v>
      </c>
      <c r="QKH5" s="224"/>
      <c r="QKI5" s="224"/>
      <c r="QKJ5" s="225"/>
      <c r="QKK5" s="223" t="s">
        <v>44</v>
      </c>
      <c r="QKL5" s="224"/>
      <c r="QKM5" s="224"/>
      <c r="QKN5" s="225"/>
      <c r="QKO5" s="223" t="s">
        <v>44</v>
      </c>
      <c r="QKP5" s="224"/>
      <c r="QKQ5" s="224"/>
      <c r="QKR5" s="225"/>
      <c r="QKS5" s="223" t="s">
        <v>44</v>
      </c>
      <c r="QKT5" s="224"/>
      <c r="QKU5" s="224"/>
      <c r="QKV5" s="225"/>
      <c r="QKW5" s="223" t="s">
        <v>44</v>
      </c>
      <c r="QKX5" s="224"/>
      <c r="QKY5" s="224"/>
      <c r="QKZ5" s="225"/>
      <c r="QLA5" s="223" t="s">
        <v>44</v>
      </c>
      <c r="QLB5" s="224"/>
      <c r="QLC5" s="224"/>
      <c r="QLD5" s="225"/>
      <c r="QLE5" s="223" t="s">
        <v>44</v>
      </c>
      <c r="QLF5" s="224"/>
      <c r="QLG5" s="224"/>
      <c r="QLH5" s="225"/>
      <c r="QLI5" s="223" t="s">
        <v>44</v>
      </c>
      <c r="QLJ5" s="224"/>
      <c r="QLK5" s="224"/>
      <c r="QLL5" s="225"/>
      <c r="QLM5" s="223" t="s">
        <v>44</v>
      </c>
      <c r="QLN5" s="224"/>
      <c r="QLO5" s="224"/>
      <c r="QLP5" s="225"/>
      <c r="QLQ5" s="223" t="s">
        <v>44</v>
      </c>
      <c r="QLR5" s="224"/>
      <c r="QLS5" s="224"/>
      <c r="QLT5" s="225"/>
      <c r="QLU5" s="223" t="s">
        <v>44</v>
      </c>
      <c r="QLV5" s="224"/>
      <c r="QLW5" s="224"/>
      <c r="QLX5" s="225"/>
      <c r="QLY5" s="223" t="s">
        <v>44</v>
      </c>
      <c r="QLZ5" s="224"/>
      <c r="QMA5" s="224"/>
      <c r="QMB5" s="225"/>
      <c r="QMC5" s="223" t="s">
        <v>44</v>
      </c>
      <c r="QMD5" s="224"/>
      <c r="QME5" s="224"/>
      <c r="QMF5" s="225"/>
      <c r="QMG5" s="223" t="s">
        <v>44</v>
      </c>
      <c r="QMH5" s="224"/>
      <c r="QMI5" s="224"/>
      <c r="QMJ5" s="225"/>
      <c r="QMK5" s="223" t="s">
        <v>44</v>
      </c>
      <c r="QML5" s="224"/>
      <c r="QMM5" s="224"/>
      <c r="QMN5" s="225"/>
      <c r="QMO5" s="223" t="s">
        <v>44</v>
      </c>
      <c r="QMP5" s="224"/>
      <c r="QMQ5" s="224"/>
      <c r="QMR5" s="225"/>
      <c r="QMS5" s="223" t="s">
        <v>44</v>
      </c>
      <c r="QMT5" s="224"/>
      <c r="QMU5" s="224"/>
      <c r="QMV5" s="225"/>
      <c r="QMW5" s="223" t="s">
        <v>44</v>
      </c>
      <c r="QMX5" s="224"/>
      <c r="QMY5" s="224"/>
      <c r="QMZ5" s="225"/>
      <c r="QNA5" s="223" t="s">
        <v>44</v>
      </c>
      <c r="QNB5" s="224"/>
      <c r="QNC5" s="224"/>
      <c r="QND5" s="225"/>
      <c r="QNE5" s="223" t="s">
        <v>44</v>
      </c>
      <c r="QNF5" s="224"/>
      <c r="QNG5" s="224"/>
      <c r="QNH5" s="225"/>
      <c r="QNI5" s="223" t="s">
        <v>44</v>
      </c>
      <c r="QNJ5" s="224"/>
      <c r="QNK5" s="224"/>
      <c r="QNL5" s="225"/>
      <c r="QNM5" s="223" t="s">
        <v>44</v>
      </c>
      <c r="QNN5" s="224"/>
      <c r="QNO5" s="224"/>
      <c r="QNP5" s="225"/>
      <c r="QNQ5" s="223" t="s">
        <v>44</v>
      </c>
      <c r="QNR5" s="224"/>
      <c r="QNS5" s="224"/>
      <c r="QNT5" s="225"/>
      <c r="QNU5" s="223" t="s">
        <v>44</v>
      </c>
      <c r="QNV5" s="224"/>
      <c r="QNW5" s="224"/>
      <c r="QNX5" s="225"/>
      <c r="QNY5" s="223" t="s">
        <v>44</v>
      </c>
      <c r="QNZ5" s="224"/>
      <c r="QOA5" s="224"/>
      <c r="QOB5" s="225"/>
      <c r="QOC5" s="223" t="s">
        <v>44</v>
      </c>
      <c r="QOD5" s="224"/>
      <c r="QOE5" s="224"/>
      <c r="QOF5" s="225"/>
      <c r="QOG5" s="223" t="s">
        <v>44</v>
      </c>
      <c r="QOH5" s="224"/>
      <c r="QOI5" s="224"/>
      <c r="QOJ5" s="225"/>
      <c r="QOK5" s="223" t="s">
        <v>44</v>
      </c>
      <c r="QOL5" s="224"/>
      <c r="QOM5" s="224"/>
      <c r="QON5" s="225"/>
      <c r="QOO5" s="223" t="s">
        <v>44</v>
      </c>
      <c r="QOP5" s="224"/>
      <c r="QOQ5" s="224"/>
      <c r="QOR5" s="225"/>
      <c r="QOS5" s="223" t="s">
        <v>44</v>
      </c>
      <c r="QOT5" s="224"/>
      <c r="QOU5" s="224"/>
      <c r="QOV5" s="225"/>
      <c r="QOW5" s="223" t="s">
        <v>44</v>
      </c>
      <c r="QOX5" s="224"/>
      <c r="QOY5" s="224"/>
      <c r="QOZ5" s="225"/>
      <c r="QPA5" s="223" t="s">
        <v>44</v>
      </c>
      <c r="QPB5" s="224"/>
      <c r="QPC5" s="224"/>
      <c r="QPD5" s="225"/>
      <c r="QPE5" s="223" t="s">
        <v>44</v>
      </c>
      <c r="QPF5" s="224"/>
      <c r="QPG5" s="224"/>
      <c r="QPH5" s="225"/>
      <c r="QPI5" s="223" t="s">
        <v>44</v>
      </c>
      <c r="QPJ5" s="224"/>
      <c r="QPK5" s="224"/>
      <c r="QPL5" s="225"/>
      <c r="QPM5" s="223" t="s">
        <v>44</v>
      </c>
      <c r="QPN5" s="224"/>
      <c r="QPO5" s="224"/>
      <c r="QPP5" s="225"/>
      <c r="QPQ5" s="223" t="s">
        <v>44</v>
      </c>
      <c r="QPR5" s="224"/>
      <c r="QPS5" s="224"/>
      <c r="QPT5" s="225"/>
      <c r="QPU5" s="223" t="s">
        <v>44</v>
      </c>
      <c r="QPV5" s="224"/>
      <c r="QPW5" s="224"/>
      <c r="QPX5" s="225"/>
      <c r="QPY5" s="223" t="s">
        <v>44</v>
      </c>
      <c r="QPZ5" s="224"/>
      <c r="QQA5" s="224"/>
      <c r="QQB5" s="225"/>
      <c r="QQC5" s="223" t="s">
        <v>44</v>
      </c>
      <c r="QQD5" s="224"/>
      <c r="QQE5" s="224"/>
      <c r="QQF5" s="225"/>
      <c r="QQG5" s="223" t="s">
        <v>44</v>
      </c>
      <c r="QQH5" s="224"/>
      <c r="QQI5" s="224"/>
      <c r="QQJ5" s="225"/>
      <c r="QQK5" s="223" t="s">
        <v>44</v>
      </c>
      <c r="QQL5" s="224"/>
      <c r="QQM5" s="224"/>
      <c r="QQN5" s="225"/>
      <c r="QQO5" s="223" t="s">
        <v>44</v>
      </c>
      <c r="QQP5" s="224"/>
      <c r="QQQ5" s="224"/>
      <c r="QQR5" s="225"/>
      <c r="QQS5" s="223" t="s">
        <v>44</v>
      </c>
      <c r="QQT5" s="224"/>
      <c r="QQU5" s="224"/>
      <c r="QQV5" s="225"/>
      <c r="QQW5" s="223" t="s">
        <v>44</v>
      </c>
      <c r="QQX5" s="224"/>
      <c r="QQY5" s="224"/>
      <c r="QQZ5" s="225"/>
      <c r="QRA5" s="223" t="s">
        <v>44</v>
      </c>
      <c r="QRB5" s="224"/>
      <c r="QRC5" s="224"/>
      <c r="QRD5" s="225"/>
      <c r="QRE5" s="223" t="s">
        <v>44</v>
      </c>
      <c r="QRF5" s="224"/>
      <c r="QRG5" s="224"/>
      <c r="QRH5" s="225"/>
      <c r="QRI5" s="223" t="s">
        <v>44</v>
      </c>
      <c r="QRJ5" s="224"/>
      <c r="QRK5" s="224"/>
      <c r="QRL5" s="225"/>
      <c r="QRM5" s="223" t="s">
        <v>44</v>
      </c>
      <c r="QRN5" s="224"/>
      <c r="QRO5" s="224"/>
      <c r="QRP5" s="225"/>
      <c r="QRQ5" s="223" t="s">
        <v>44</v>
      </c>
      <c r="QRR5" s="224"/>
      <c r="QRS5" s="224"/>
      <c r="QRT5" s="225"/>
      <c r="QRU5" s="223" t="s">
        <v>44</v>
      </c>
      <c r="QRV5" s="224"/>
      <c r="QRW5" s="224"/>
      <c r="QRX5" s="225"/>
      <c r="QRY5" s="223" t="s">
        <v>44</v>
      </c>
      <c r="QRZ5" s="224"/>
      <c r="QSA5" s="224"/>
      <c r="QSB5" s="225"/>
      <c r="QSC5" s="223" t="s">
        <v>44</v>
      </c>
      <c r="QSD5" s="224"/>
      <c r="QSE5" s="224"/>
      <c r="QSF5" s="225"/>
      <c r="QSG5" s="223" t="s">
        <v>44</v>
      </c>
      <c r="QSH5" s="224"/>
      <c r="QSI5" s="224"/>
      <c r="QSJ5" s="225"/>
      <c r="QSK5" s="223" t="s">
        <v>44</v>
      </c>
      <c r="QSL5" s="224"/>
      <c r="QSM5" s="224"/>
      <c r="QSN5" s="225"/>
      <c r="QSO5" s="223" t="s">
        <v>44</v>
      </c>
      <c r="QSP5" s="224"/>
      <c r="QSQ5" s="224"/>
      <c r="QSR5" s="225"/>
      <c r="QSS5" s="223" t="s">
        <v>44</v>
      </c>
      <c r="QST5" s="224"/>
      <c r="QSU5" s="224"/>
      <c r="QSV5" s="225"/>
      <c r="QSW5" s="223" t="s">
        <v>44</v>
      </c>
      <c r="QSX5" s="224"/>
      <c r="QSY5" s="224"/>
      <c r="QSZ5" s="225"/>
      <c r="QTA5" s="223" t="s">
        <v>44</v>
      </c>
      <c r="QTB5" s="224"/>
      <c r="QTC5" s="224"/>
      <c r="QTD5" s="225"/>
      <c r="QTE5" s="223" t="s">
        <v>44</v>
      </c>
      <c r="QTF5" s="224"/>
      <c r="QTG5" s="224"/>
      <c r="QTH5" s="225"/>
      <c r="QTI5" s="223" t="s">
        <v>44</v>
      </c>
      <c r="QTJ5" s="224"/>
      <c r="QTK5" s="224"/>
      <c r="QTL5" s="225"/>
      <c r="QTM5" s="223" t="s">
        <v>44</v>
      </c>
      <c r="QTN5" s="224"/>
      <c r="QTO5" s="224"/>
      <c r="QTP5" s="225"/>
      <c r="QTQ5" s="223" t="s">
        <v>44</v>
      </c>
      <c r="QTR5" s="224"/>
      <c r="QTS5" s="224"/>
      <c r="QTT5" s="225"/>
      <c r="QTU5" s="223" t="s">
        <v>44</v>
      </c>
      <c r="QTV5" s="224"/>
      <c r="QTW5" s="224"/>
      <c r="QTX5" s="225"/>
      <c r="QTY5" s="223" t="s">
        <v>44</v>
      </c>
      <c r="QTZ5" s="224"/>
      <c r="QUA5" s="224"/>
      <c r="QUB5" s="225"/>
      <c r="QUC5" s="223" t="s">
        <v>44</v>
      </c>
      <c r="QUD5" s="224"/>
      <c r="QUE5" s="224"/>
      <c r="QUF5" s="225"/>
      <c r="QUG5" s="223" t="s">
        <v>44</v>
      </c>
      <c r="QUH5" s="224"/>
      <c r="QUI5" s="224"/>
      <c r="QUJ5" s="225"/>
      <c r="QUK5" s="223" t="s">
        <v>44</v>
      </c>
      <c r="QUL5" s="224"/>
      <c r="QUM5" s="224"/>
      <c r="QUN5" s="225"/>
      <c r="QUO5" s="223" t="s">
        <v>44</v>
      </c>
      <c r="QUP5" s="224"/>
      <c r="QUQ5" s="224"/>
      <c r="QUR5" s="225"/>
      <c r="QUS5" s="223" t="s">
        <v>44</v>
      </c>
      <c r="QUT5" s="224"/>
      <c r="QUU5" s="224"/>
      <c r="QUV5" s="225"/>
      <c r="QUW5" s="223" t="s">
        <v>44</v>
      </c>
      <c r="QUX5" s="224"/>
      <c r="QUY5" s="224"/>
      <c r="QUZ5" s="225"/>
      <c r="QVA5" s="223" t="s">
        <v>44</v>
      </c>
      <c r="QVB5" s="224"/>
      <c r="QVC5" s="224"/>
      <c r="QVD5" s="225"/>
      <c r="QVE5" s="223" t="s">
        <v>44</v>
      </c>
      <c r="QVF5" s="224"/>
      <c r="QVG5" s="224"/>
      <c r="QVH5" s="225"/>
      <c r="QVI5" s="223" t="s">
        <v>44</v>
      </c>
      <c r="QVJ5" s="224"/>
      <c r="QVK5" s="224"/>
      <c r="QVL5" s="225"/>
      <c r="QVM5" s="223" t="s">
        <v>44</v>
      </c>
      <c r="QVN5" s="224"/>
      <c r="QVO5" s="224"/>
      <c r="QVP5" s="225"/>
      <c r="QVQ5" s="223" t="s">
        <v>44</v>
      </c>
      <c r="QVR5" s="224"/>
      <c r="QVS5" s="224"/>
      <c r="QVT5" s="225"/>
      <c r="QVU5" s="223" t="s">
        <v>44</v>
      </c>
      <c r="QVV5" s="224"/>
      <c r="QVW5" s="224"/>
      <c r="QVX5" s="225"/>
      <c r="QVY5" s="223" t="s">
        <v>44</v>
      </c>
      <c r="QVZ5" s="224"/>
      <c r="QWA5" s="224"/>
      <c r="QWB5" s="225"/>
      <c r="QWC5" s="223" t="s">
        <v>44</v>
      </c>
      <c r="QWD5" s="224"/>
      <c r="QWE5" s="224"/>
      <c r="QWF5" s="225"/>
      <c r="QWG5" s="223" t="s">
        <v>44</v>
      </c>
      <c r="QWH5" s="224"/>
      <c r="QWI5" s="224"/>
      <c r="QWJ5" s="225"/>
      <c r="QWK5" s="223" t="s">
        <v>44</v>
      </c>
      <c r="QWL5" s="224"/>
      <c r="QWM5" s="224"/>
      <c r="QWN5" s="225"/>
      <c r="QWO5" s="223" t="s">
        <v>44</v>
      </c>
      <c r="QWP5" s="224"/>
      <c r="QWQ5" s="224"/>
      <c r="QWR5" s="225"/>
      <c r="QWS5" s="223" t="s">
        <v>44</v>
      </c>
      <c r="QWT5" s="224"/>
      <c r="QWU5" s="224"/>
      <c r="QWV5" s="225"/>
      <c r="QWW5" s="223" t="s">
        <v>44</v>
      </c>
      <c r="QWX5" s="224"/>
      <c r="QWY5" s="224"/>
      <c r="QWZ5" s="225"/>
      <c r="QXA5" s="223" t="s">
        <v>44</v>
      </c>
      <c r="QXB5" s="224"/>
      <c r="QXC5" s="224"/>
      <c r="QXD5" s="225"/>
      <c r="QXE5" s="223" t="s">
        <v>44</v>
      </c>
      <c r="QXF5" s="224"/>
      <c r="QXG5" s="224"/>
      <c r="QXH5" s="225"/>
      <c r="QXI5" s="223" t="s">
        <v>44</v>
      </c>
      <c r="QXJ5" s="224"/>
      <c r="QXK5" s="224"/>
      <c r="QXL5" s="225"/>
      <c r="QXM5" s="223" t="s">
        <v>44</v>
      </c>
      <c r="QXN5" s="224"/>
      <c r="QXO5" s="224"/>
      <c r="QXP5" s="225"/>
      <c r="QXQ5" s="223" t="s">
        <v>44</v>
      </c>
      <c r="QXR5" s="224"/>
      <c r="QXS5" s="224"/>
      <c r="QXT5" s="225"/>
      <c r="QXU5" s="223" t="s">
        <v>44</v>
      </c>
      <c r="QXV5" s="224"/>
      <c r="QXW5" s="224"/>
      <c r="QXX5" s="225"/>
      <c r="QXY5" s="223" t="s">
        <v>44</v>
      </c>
      <c r="QXZ5" s="224"/>
      <c r="QYA5" s="224"/>
      <c r="QYB5" s="225"/>
      <c r="QYC5" s="223" t="s">
        <v>44</v>
      </c>
      <c r="QYD5" s="224"/>
      <c r="QYE5" s="224"/>
      <c r="QYF5" s="225"/>
      <c r="QYG5" s="223" t="s">
        <v>44</v>
      </c>
      <c r="QYH5" s="224"/>
      <c r="QYI5" s="224"/>
      <c r="QYJ5" s="225"/>
      <c r="QYK5" s="223" t="s">
        <v>44</v>
      </c>
      <c r="QYL5" s="224"/>
      <c r="QYM5" s="224"/>
      <c r="QYN5" s="225"/>
      <c r="QYO5" s="223" t="s">
        <v>44</v>
      </c>
      <c r="QYP5" s="224"/>
      <c r="QYQ5" s="224"/>
      <c r="QYR5" s="225"/>
      <c r="QYS5" s="223" t="s">
        <v>44</v>
      </c>
      <c r="QYT5" s="224"/>
      <c r="QYU5" s="224"/>
      <c r="QYV5" s="225"/>
      <c r="QYW5" s="223" t="s">
        <v>44</v>
      </c>
      <c r="QYX5" s="224"/>
      <c r="QYY5" s="224"/>
      <c r="QYZ5" s="225"/>
      <c r="QZA5" s="223" t="s">
        <v>44</v>
      </c>
      <c r="QZB5" s="224"/>
      <c r="QZC5" s="224"/>
      <c r="QZD5" s="225"/>
      <c r="QZE5" s="223" t="s">
        <v>44</v>
      </c>
      <c r="QZF5" s="224"/>
      <c r="QZG5" s="224"/>
      <c r="QZH5" s="225"/>
      <c r="QZI5" s="223" t="s">
        <v>44</v>
      </c>
      <c r="QZJ5" s="224"/>
      <c r="QZK5" s="224"/>
      <c r="QZL5" s="225"/>
      <c r="QZM5" s="223" t="s">
        <v>44</v>
      </c>
      <c r="QZN5" s="224"/>
      <c r="QZO5" s="224"/>
      <c r="QZP5" s="225"/>
      <c r="QZQ5" s="223" t="s">
        <v>44</v>
      </c>
      <c r="QZR5" s="224"/>
      <c r="QZS5" s="224"/>
      <c r="QZT5" s="225"/>
      <c r="QZU5" s="223" t="s">
        <v>44</v>
      </c>
      <c r="QZV5" s="224"/>
      <c r="QZW5" s="224"/>
      <c r="QZX5" s="225"/>
      <c r="QZY5" s="223" t="s">
        <v>44</v>
      </c>
      <c r="QZZ5" s="224"/>
      <c r="RAA5" s="224"/>
      <c r="RAB5" s="225"/>
      <c r="RAC5" s="223" t="s">
        <v>44</v>
      </c>
      <c r="RAD5" s="224"/>
      <c r="RAE5" s="224"/>
      <c r="RAF5" s="225"/>
      <c r="RAG5" s="223" t="s">
        <v>44</v>
      </c>
      <c r="RAH5" s="224"/>
      <c r="RAI5" s="224"/>
      <c r="RAJ5" s="225"/>
      <c r="RAK5" s="223" t="s">
        <v>44</v>
      </c>
      <c r="RAL5" s="224"/>
      <c r="RAM5" s="224"/>
      <c r="RAN5" s="225"/>
      <c r="RAO5" s="223" t="s">
        <v>44</v>
      </c>
      <c r="RAP5" s="224"/>
      <c r="RAQ5" s="224"/>
      <c r="RAR5" s="225"/>
      <c r="RAS5" s="223" t="s">
        <v>44</v>
      </c>
      <c r="RAT5" s="224"/>
      <c r="RAU5" s="224"/>
      <c r="RAV5" s="225"/>
      <c r="RAW5" s="223" t="s">
        <v>44</v>
      </c>
      <c r="RAX5" s="224"/>
      <c r="RAY5" s="224"/>
      <c r="RAZ5" s="225"/>
      <c r="RBA5" s="223" t="s">
        <v>44</v>
      </c>
      <c r="RBB5" s="224"/>
      <c r="RBC5" s="224"/>
      <c r="RBD5" s="225"/>
      <c r="RBE5" s="223" t="s">
        <v>44</v>
      </c>
      <c r="RBF5" s="224"/>
      <c r="RBG5" s="224"/>
      <c r="RBH5" s="225"/>
      <c r="RBI5" s="223" t="s">
        <v>44</v>
      </c>
      <c r="RBJ5" s="224"/>
      <c r="RBK5" s="224"/>
      <c r="RBL5" s="225"/>
      <c r="RBM5" s="223" t="s">
        <v>44</v>
      </c>
      <c r="RBN5" s="224"/>
      <c r="RBO5" s="224"/>
      <c r="RBP5" s="225"/>
      <c r="RBQ5" s="223" t="s">
        <v>44</v>
      </c>
      <c r="RBR5" s="224"/>
      <c r="RBS5" s="224"/>
      <c r="RBT5" s="225"/>
      <c r="RBU5" s="223" t="s">
        <v>44</v>
      </c>
      <c r="RBV5" s="224"/>
      <c r="RBW5" s="224"/>
      <c r="RBX5" s="225"/>
      <c r="RBY5" s="223" t="s">
        <v>44</v>
      </c>
      <c r="RBZ5" s="224"/>
      <c r="RCA5" s="224"/>
      <c r="RCB5" s="225"/>
      <c r="RCC5" s="223" t="s">
        <v>44</v>
      </c>
      <c r="RCD5" s="224"/>
      <c r="RCE5" s="224"/>
      <c r="RCF5" s="225"/>
      <c r="RCG5" s="223" t="s">
        <v>44</v>
      </c>
      <c r="RCH5" s="224"/>
      <c r="RCI5" s="224"/>
      <c r="RCJ5" s="225"/>
      <c r="RCK5" s="223" t="s">
        <v>44</v>
      </c>
      <c r="RCL5" s="224"/>
      <c r="RCM5" s="224"/>
      <c r="RCN5" s="225"/>
      <c r="RCO5" s="223" t="s">
        <v>44</v>
      </c>
      <c r="RCP5" s="224"/>
      <c r="RCQ5" s="224"/>
      <c r="RCR5" s="225"/>
      <c r="RCS5" s="223" t="s">
        <v>44</v>
      </c>
      <c r="RCT5" s="224"/>
      <c r="RCU5" s="224"/>
      <c r="RCV5" s="225"/>
      <c r="RCW5" s="223" t="s">
        <v>44</v>
      </c>
      <c r="RCX5" s="224"/>
      <c r="RCY5" s="224"/>
      <c r="RCZ5" s="225"/>
      <c r="RDA5" s="223" t="s">
        <v>44</v>
      </c>
      <c r="RDB5" s="224"/>
      <c r="RDC5" s="224"/>
      <c r="RDD5" s="225"/>
      <c r="RDE5" s="223" t="s">
        <v>44</v>
      </c>
      <c r="RDF5" s="224"/>
      <c r="RDG5" s="224"/>
      <c r="RDH5" s="225"/>
      <c r="RDI5" s="223" t="s">
        <v>44</v>
      </c>
      <c r="RDJ5" s="224"/>
      <c r="RDK5" s="224"/>
      <c r="RDL5" s="225"/>
      <c r="RDM5" s="223" t="s">
        <v>44</v>
      </c>
      <c r="RDN5" s="224"/>
      <c r="RDO5" s="224"/>
      <c r="RDP5" s="225"/>
      <c r="RDQ5" s="223" t="s">
        <v>44</v>
      </c>
      <c r="RDR5" s="224"/>
      <c r="RDS5" s="224"/>
      <c r="RDT5" s="225"/>
      <c r="RDU5" s="223" t="s">
        <v>44</v>
      </c>
      <c r="RDV5" s="224"/>
      <c r="RDW5" s="224"/>
      <c r="RDX5" s="225"/>
      <c r="RDY5" s="223" t="s">
        <v>44</v>
      </c>
      <c r="RDZ5" s="224"/>
      <c r="REA5" s="224"/>
      <c r="REB5" s="225"/>
      <c r="REC5" s="223" t="s">
        <v>44</v>
      </c>
      <c r="RED5" s="224"/>
      <c r="REE5" s="224"/>
      <c r="REF5" s="225"/>
      <c r="REG5" s="223" t="s">
        <v>44</v>
      </c>
      <c r="REH5" s="224"/>
      <c r="REI5" s="224"/>
      <c r="REJ5" s="225"/>
      <c r="REK5" s="223" t="s">
        <v>44</v>
      </c>
      <c r="REL5" s="224"/>
      <c r="REM5" s="224"/>
      <c r="REN5" s="225"/>
      <c r="REO5" s="223" t="s">
        <v>44</v>
      </c>
      <c r="REP5" s="224"/>
      <c r="REQ5" s="224"/>
      <c r="RER5" s="225"/>
      <c r="RES5" s="223" t="s">
        <v>44</v>
      </c>
      <c r="RET5" s="224"/>
      <c r="REU5" s="224"/>
      <c r="REV5" s="225"/>
      <c r="REW5" s="223" t="s">
        <v>44</v>
      </c>
      <c r="REX5" s="224"/>
      <c r="REY5" s="224"/>
      <c r="REZ5" s="225"/>
      <c r="RFA5" s="223" t="s">
        <v>44</v>
      </c>
      <c r="RFB5" s="224"/>
      <c r="RFC5" s="224"/>
      <c r="RFD5" s="225"/>
      <c r="RFE5" s="223" t="s">
        <v>44</v>
      </c>
      <c r="RFF5" s="224"/>
      <c r="RFG5" s="224"/>
      <c r="RFH5" s="225"/>
      <c r="RFI5" s="223" t="s">
        <v>44</v>
      </c>
      <c r="RFJ5" s="224"/>
      <c r="RFK5" s="224"/>
      <c r="RFL5" s="225"/>
      <c r="RFM5" s="223" t="s">
        <v>44</v>
      </c>
      <c r="RFN5" s="224"/>
      <c r="RFO5" s="224"/>
      <c r="RFP5" s="225"/>
      <c r="RFQ5" s="223" t="s">
        <v>44</v>
      </c>
      <c r="RFR5" s="224"/>
      <c r="RFS5" s="224"/>
      <c r="RFT5" s="225"/>
      <c r="RFU5" s="223" t="s">
        <v>44</v>
      </c>
      <c r="RFV5" s="224"/>
      <c r="RFW5" s="224"/>
      <c r="RFX5" s="225"/>
      <c r="RFY5" s="223" t="s">
        <v>44</v>
      </c>
      <c r="RFZ5" s="224"/>
      <c r="RGA5" s="224"/>
      <c r="RGB5" s="225"/>
      <c r="RGC5" s="223" t="s">
        <v>44</v>
      </c>
      <c r="RGD5" s="224"/>
      <c r="RGE5" s="224"/>
      <c r="RGF5" s="225"/>
      <c r="RGG5" s="223" t="s">
        <v>44</v>
      </c>
      <c r="RGH5" s="224"/>
      <c r="RGI5" s="224"/>
      <c r="RGJ5" s="225"/>
      <c r="RGK5" s="223" t="s">
        <v>44</v>
      </c>
      <c r="RGL5" s="224"/>
      <c r="RGM5" s="224"/>
      <c r="RGN5" s="225"/>
      <c r="RGO5" s="223" t="s">
        <v>44</v>
      </c>
      <c r="RGP5" s="224"/>
      <c r="RGQ5" s="224"/>
      <c r="RGR5" s="225"/>
      <c r="RGS5" s="223" t="s">
        <v>44</v>
      </c>
      <c r="RGT5" s="224"/>
      <c r="RGU5" s="224"/>
      <c r="RGV5" s="225"/>
      <c r="RGW5" s="223" t="s">
        <v>44</v>
      </c>
      <c r="RGX5" s="224"/>
      <c r="RGY5" s="224"/>
      <c r="RGZ5" s="225"/>
      <c r="RHA5" s="223" t="s">
        <v>44</v>
      </c>
      <c r="RHB5" s="224"/>
      <c r="RHC5" s="224"/>
      <c r="RHD5" s="225"/>
      <c r="RHE5" s="223" t="s">
        <v>44</v>
      </c>
      <c r="RHF5" s="224"/>
      <c r="RHG5" s="224"/>
      <c r="RHH5" s="225"/>
      <c r="RHI5" s="223" t="s">
        <v>44</v>
      </c>
      <c r="RHJ5" s="224"/>
      <c r="RHK5" s="224"/>
      <c r="RHL5" s="225"/>
      <c r="RHM5" s="223" t="s">
        <v>44</v>
      </c>
      <c r="RHN5" s="224"/>
      <c r="RHO5" s="224"/>
      <c r="RHP5" s="225"/>
      <c r="RHQ5" s="223" t="s">
        <v>44</v>
      </c>
      <c r="RHR5" s="224"/>
      <c r="RHS5" s="224"/>
      <c r="RHT5" s="225"/>
      <c r="RHU5" s="223" t="s">
        <v>44</v>
      </c>
      <c r="RHV5" s="224"/>
      <c r="RHW5" s="224"/>
      <c r="RHX5" s="225"/>
      <c r="RHY5" s="223" t="s">
        <v>44</v>
      </c>
      <c r="RHZ5" s="224"/>
      <c r="RIA5" s="224"/>
      <c r="RIB5" s="225"/>
      <c r="RIC5" s="223" t="s">
        <v>44</v>
      </c>
      <c r="RID5" s="224"/>
      <c r="RIE5" s="224"/>
      <c r="RIF5" s="225"/>
      <c r="RIG5" s="223" t="s">
        <v>44</v>
      </c>
      <c r="RIH5" s="224"/>
      <c r="RII5" s="224"/>
      <c r="RIJ5" s="225"/>
      <c r="RIK5" s="223" t="s">
        <v>44</v>
      </c>
      <c r="RIL5" s="224"/>
      <c r="RIM5" s="224"/>
      <c r="RIN5" s="225"/>
      <c r="RIO5" s="223" t="s">
        <v>44</v>
      </c>
      <c r="RIP5" s="224"/>
      <c r="RIQ5" s="224"/>
      <c r="RIR5" s="225"/>
      <c r="RIS5" s="223" t="s">
        <v>44</v>
      </c>
      <c r="RIT5" s="224"/>
      <c r="RIU5" s="224"/>
      <c r="RIV5" s="225"/>
      <c r="RIW5" s="223" t="s">
        <v>44</v>
      </c>
      <c r="RIX5" s="224"/>
      <c r="RIY5" s="224"/>
      <c r="RIZ5" s="225"/>
      <c r="RJA5" s="223" t="s">
        <v>44</v>
      </c>
      <c r="RJB5" s="224"/>
      <c r="RJC5" s="224"/>
      <c r="RJD5" s="225"/>
      <c r="RJE5" s="223" t="s">
        <v>44</v>
      </c>
      <c r="RJF5" s="224"/>
      <c r="RJG5" s="224"/>
      <c r="RJH5" s="225"/>
      <c r="RJI5" s="223" t="s">
        <v>44</v>
      </c>
      <c r="RJJ5" s="224"/>
      <c r="RJK5" s="224"/>
      <c r="RJL5" s="225"/>
      <c r="RJM5" s="223" t="s">
        <v>44</v>
      </c>
      <c r="RJN5" s="224"/>
      <c r="RJO5" s="224"/>
      <c r="RJP5" s="225"/>
      <c r="RJQ5" s="223" t="s">
        <v>44</v>
      </c>
      <c r="RJR5" s="224"/>
      <c r="RJS5" s="224"/>
      <c r="RJT5" s="225"/>
      <c r="RJU5" s="223" t="s">
        <v>44</v>
      </c>
      <c r="RJV5" s="224"/>
      <c r="RJW5" s="224"/>
      <c r="RJX5" s="225"/>
      <c r="RJY5" s="223" t="s">
        <v>44</v>
      </c>
      <c r="RJZ5" s="224"/>
      <c r="RKA5" s="224"/>
      <c r="RKB5" s="225"/>
      <c r="RKC5" s="223" t="s">
        <v>44</v>
      </c>
      <c r="RKD5" s="224"/>
      <c r="RKE5" s="224"/>
      <c r="RKF5" s="225"/>
      <c r="RKG5" s="223" t="s">
        <v>44</v>
      </c>
      <c r="RKH5" s="224"/>
      <c r="RKI5" s="224"/>
      <c r="RKJ5" s="225"/>
      <c r="RKK5" s="223" t="s">
        <v>44</v>
      </c>
      <c r="RKL5" s="224"/>
      <c r="RKM5" s="224"/>
      <c r="RKN5" s="225"/>
      <c r="RKO5" s="223" t="s">
        <v>44</v>
      </c>
      <c r="RKP5" s="224"/>
      <c r="RKQ5" s="224"/>
      <c r="RKR5" s="225"/>
      <c r="RKS5" s="223" t="s">
        <v>44</v>
      </c>
      <c r="RKT5" s="224"/>
      <c r="RKU5" s="224"/>
      <c r="RKV5" s="225"/>
      <c r="RKW5" s="223" t="s">
        <v>44</v>
      </c>
      <c r="RKX5" s="224"/>
      <c r="RKY5" s="224"/>
      <c r="RKZ5" s="225"/>
      <c r="RLA5" s="223" t="s">
        <v>44</v>
      </c>
      <c r="RLB5" s="224"/>
      <c r="RLC5" s="224"/>
      <c r="RLD5" s="225"/>
      <c r="RLE5" s="223" t="s">
        <v>44</v>
      </c>
      <c r="RLF5" s="224"/>
      <c r="RLG5" s="224"/>
      <c r="RLH5" s="225"/>
      <c r="RLI5" s="223" t="s">
        <v>44</v>
      </c>
      <c r="RLJ5" s="224"/>
      <c r="RLK5" s="224"/>
      <c r="RLL5" s="225"/>
      <c r="RLM5" s="223" t="s">
        <v>44</v>
      </c>
      <c r="RLN5" s="224"/>
      <c r="RLO5" s="224"/>
      <c r="RLP5" s="225"/>
      <c r="RLQ5" s="223" t="s">
        <v>44</v>
      </c>
      <c r="RLR5" s="224"/>
      <c r="RLS5" s="224"/>
      <c r="RLT5" s="225"/>
      <c r="RLU5" s="223" t="s">
        <v>44</v>
      </c>
      <c r="RLV5" s="224"/>
      <c r="RLW5" s="224"/>
      <c r="RLX5" s="225"/>
      <c r="RLY5" s="223" t="s">
        <v>44</v>
      </c>
      <c r="RLZ5" s="224"/>
      <c r="RMA5" s="224"/>
      <c r="RMB5" s="225"/>
      <c r="RMC5" s="223" t="s">
        <v>44</v>
      </c>
      <c r="RMD5" s="224"/>
      <c r="RME5" s="224"/>
      <c r="RMF5" s="225"/>
      <c r="RMG5" s="223" t="s">
        <v>44</v>
      </c>
      <c r="RMH5" s="224"/>
      <c r="RMI5" s="224"/>
      <c r="RMJ5" s="225"/>
      <c r="RMK5" s="223" t="s">
        <v>44</v>
      </c>
      <c r="RML5" s="224"/>
      <c r="RMM5" s="224"/>
      <c r="RMN5" s="225"/>
      <c r="RMO5" s="223" t="s">
        <v>44</v>
      </c>
      <c r="RMP5" s="224"/>
      <c r="RMQ5" s="224"/>
      <c r="RMR5" s="225"/>
      <c r="RMS5" s="223" t="s">
        <v>44</v>
      </c>
      <c r="RMT5" s="224"/>
      <c r="RMU5" s="224"/>
      <c r="RMV5" s="225"/>
      <c r="RMW5" s="223" t="s">
        <v>44</v>
      </c>
      <c r="RMX5" s="224"/>
      <c r="RMY5" s="224"/>
      <c r="RMZ5" s="225"/>
      <c r="RNA5" s="223" t="s">
        <v>44</v>
      </c>
      <c r="RNB5" s="224"/>
      <c r="RNC5" s="224"/>
      <c r="RND5" s="225"/>
      <c r="RNE5" s="223" t="s">
        <v>44</v>
      </c>
      <c r="RNF5" s="224"/>
      <c r="RNG5" s="224"/>
      <c r="RNH5" s="225"/>
      <c r="RNI5" s="223" t="s">
        <v>44</v>
      </c>
      <c r="RNJ5" s="224"/>
      <c r="RNK5" s="224"/>
      <c r="RNL5" s="225"/>
      <c r="RNM5" s="223" t="s">
        <v>44</v>
      </c>
      <c r="RNN5" s="224"/>
      <c r="RNO5" s="224"/>
      <c r="RNP5" s="225"/>
      <c r="RNQ5" s="223" t="s">
        <v>44</v>
      </c>
      <c r="RNR5" s="224"/>
      <c r="RNS5" s="224"/>
      <c r="RNT5" s="225"/>
      <c r="RNU5" s="223" t="s">
        <v>44</v>
      </c>
      <c r="RNV5" s="224"/>
      <c r="RNW5" s="224"/>
      <c r="RNX5" s="225"/>
      <c r="RNY5" s="223" t="s">
        <v>44</v>
      </c>
      <c r="RNZ5" s="224"/>
      <c r="ROA5" s="224"/>
      <c r="ROB5" s="225"/>
      <c r="ROC5" s="223" t="s">
        <v>44</v>
      </c>
      <c r="ROD5" s="224"/>
      <c r="ROE5" s="224"/>
      <c r="ROF5" s="225"/>
      <c r="ROG5" s="223" t="s">
        <v>44</v>
      </c>
      <c r="ROH5" s="224"/>
      <c r="ROI5" s="224"/>
      <c r="ROJ5" s="225"/>
      <c r="ROK5" s="223" t="s">
        <v>44</v>
      </c>
      <c r="ROL5" s="224"/>
      <c r="ROM5" s="224"/>
      <c r="RON5" s="225"/>
      <c r="ROO5" s="223" t="s">
        <v>44</v>
      </c>
      <c r="ROP5" s="224"/>
      <c r="ROQ5" s="224"/>
      <c r="ROR5" s="225"/>
      <c r="ROS5" s="223" t="s">
        <v>44</v>
      </c>
      <c r="ROT5" s="224"/>
      <c r="ROU5" s="224"/>
      <c r="ROV5" s="225"/>
      <c r="ROW5" s="223" t="s">
        <v>44</v>
      </c>
      <c r="ROX5" s="224"/>
      <c r="ROY5" s="224"/>
      <c r="ROZ5" s="225"/>
      <c r="RPA5" s="223" t="s">
        <v>44</v>
      </c>
      <c r="RPB5" s="224"/>
      <c r="RPC5" s="224"/>
      <c r="RPD5" s="225"/>
      <c r="RPE5" s="223" t="s">
        <v>44</v>
      </c>
      <c r="RPF5" s="224"/>
      <c r="RPG5" s="224"/>
      <c r="RPH5" s="225"/>
      <c r="RPI5" s="223" t="s">
        <v>44</v>
      </c>
      <c r="RPJ5" s="224"/>
      <c r="RPK5" s="224"/>
      <c r="RPL5" s="225"/>
      <c r="RPM5" s="223" t="s">
        <v>44</v>
      </c>
      <c r="RPN5" s="224"/>
      <c r="RPO5" s="224"/>
      <c r="RPP5" s="225"/>
      <c r="RPQ5" s="223" t="s">
        <v>44</v>
      </c>
      <c r="RPR5" s="224"/>
      <c r="RPS5" s="224"/>
      <c r="RPT5" s="225"/>
      <c r="RPU5" s="223" t="s">
        <v>44</v>
      </c>
      <c r="RPV5" s="224"/>
      <c r="RPW5" s="224"/>
      <c r="RPX5" s="225"/>
      <c r="RPY5" s="223" t="s">
        <v>44</v>
      </c>
      <c r="RPZ5" s="224"/>
      <c r="RQA5" s="224"/>
      <c r="RQB5" s="225"/>
      <c r="RQC5" s="223" t="s">
        <v>44</v>
      </c>
      <c r="RQD5" s="224"/>
      <c r="RQE5" s="224"/>
      <c r="RQF5" s="225"/>
      <c r="RQG5" s="223" t="s">
        <v>44</v>
      </c>
      <c r="RQH5" s="224"/>
      <c r="RQI5" s="224"/>
      <c r="RQJ5" s="225"/>
      <c r="RQK5" s="223" t="s">
        <v>44</v>
      </c>
      <c r="RQL5" s="224"/>
      <c r="RQM5" s="224"/>
      <c r="RQN5" s="225"/>
      <c r="RQO5" s="223" t="s">
        <v>44</v>
      </c>
      <c r="RQP5" s="224"/>
      <c r="RQQ5" s="224"/>
      <c r="RQR5" s="225"/>
      <c r="RQS5" s="223" t="s">
        <v>44</v>
      </c>
      <c r="RQT5" s="224"/>
      <c r="RQU5" s="224"/>
      <c r="RQV5" s="225"/>
      <c r="RQW5" s="223" t="s">
        <v>44</v>
      </c>
      <c r="RQX5" s="224"/>
      <c r="RQY5" s="224"/>
      <c r="RQZ5" s="225"/>
      <c r="RRA5" s="223" t="s">
        <v>44</v>
      </c>
      <c r="RRB5" s="224"/>
      <c r="RRC5" s="224"/>
      <c r="RRD5" s="225"/>
      <c r="RRE5" s="223" t="s">
        <v>44</v>
      </c>
      <c r="RRF5" s="224"/>
      <c r="RRG5" s="224"/>
      <c r="RRH5" s="225"/>
      <c r="RRI5" s="223" t="s">
        <v>44</v>
      </c>
      <c r="RRJ5" s="224"/>
      <c r="RRK5" s="224"/>
      <c r="RRL5" s="225"/>
      <c r="RRM5" s="223" t="s">
        <v>44</v>
      </c>
      <c r="RRN5" s="224"/>
      <c r="RRO5" s="224"/>
      <c r="RRP5" s="225"/>
      <c r="RRQ5" s="223" t="s">
        <v>44</v>
      </c>
      <c r="RRR5" s="224"/>
      <c r="RRS5" s="224"/>
      <c r="RRT5" s="225"/>
      <c r="RRU5" s="223" t="s">
        <v>44</v>
      </c>
      <c r="RRV5" s="224"/>
      <c r="RRW5" s="224"/>
      <c r="RRX5" s="225"/>
      <c r="RRY5" s="223" t="s">
        <v>44</v>
      </c>
      <c r="RRZ5" s="224"/>
      <c r="RSA5" s="224"/>
      <c r="RSB5" s="225"/>
      <c r="RSC5" s="223" t="s">
        <v>44</v>
      </c>
      <c r="RSD5" s="224"/>
      <c r="RSE5" s="224"/>
      <c r="RSF5" s="225"/>
      <c r="RSG5" s="223" t="s">
        <v>44</v>
      </c>
      <c r="RSH5" s="224"/>
      <c r="RSI5" s="224"/>
      <c r="RSJ5" s="225"/>
      <c r="RSK5" s="223" t="s">
        <v>44</v>
      </c>
      <c r="RSL5" s="224"/>
      <c r="RSM5" s="224"/>
      <c r="RSN5" s="225"/>
      <c r="RSO5" s="223" t="s">
        <v>44</v>
      </c>
      <c r="RSP5" s="224"/>
      <c r="RSQ5" s="224"/>
      <c r="RSR5" s="225"/>
      <c r="RSS5" s="223" t="s">
        <v>44</v>
      </c>
      <c r="RST5" s="224"/>
      <c r="RSU5" s="224"/>
      <c r="RSV5" s="225"/>
      <c r="RSW5" s="223" t="s">
        <v>44</v>
      </c>
      <c r="RSX5" s="224"/>
      <c r="RSY5" s="224"/>
      <c r="RSZ5" s="225"/>
      <c r="RTA5" s="223" t="s">
        <v>44</v>
      </c>
      <c r="RTB5" s="224"/>
      <c r="RTC5" s="224"/>
      <c r="RTD5" s="225"/>
      <c r="RTE5" s="223" t="s">
        <v>44</v>
      </c>
      <c r="RTF5" s="224"/>
      <c r="RTG5" s="224"/>
      <c r="RTH5" s="225"/>
      <c r="RTI5" s="223" t="s">
        <v>44</v>
      </c>
      <c r="RTJ5" s="224"/>
      <c r="RTK5" s="224"/>
      <c r="RTL5" s="225"/>
      <c r="RTM5" s="223" t="s">
        <v>44</v>
      </c>
      <c r="RTN5" s="224"/>
      <c r="RTO5" s="224"/>
      <c r="RTP5" s="225"/>
      <c r="RTQ5" s="223" t="s">
        <v>44</v>
      </c>
      <c r="RTR5" s="224"/>
      <c r="RTS5" s="224"/>
      <c r="RTT5" s="225"/>
      <c r="RTU5" s="223" t="s">
        <v>44</v>
      </c>
      <c r="RTV5" s="224"/>
      <c r="RTW5" s="224"/>
      <c r="RTX5" s="225"/>
      <c r="RTY5" s="223" t="s">
        <v>44</v>
      </c>
      <c r="RTZ5" s="224"/>
      <c r="RUA5" s="224"/>
      <c r="RUB5" s="225"/>
      <c r="RUC5" s="223" t="s">
        <v>44</v>
      </c>
      <c r="RUD5" s="224"/>
      <c r="RUE5" s="224"/>
      <c r="RUF5" s="225"/>
      <c r="RUG5" s="223" t="s">
        <v>44</v>
      </c>
      <c r="RUH5" s="224"/>
      <c r="RUI5" s="224"/>
      <c r="RUJ5" s="225"/>
      <c r="RUK5" s="223" t="s">
        <v>44</v>
      </c>
      <c r="RUL5" s="224"/>
      <c r="RUM5" s="224"/>
      <c r="RUN5" s="225"/>
      <c r="RUO5" s="223" t="s">
        <v>44</v>
      </c>
      <c r="RUP5" s="224"/>
      <c r="RUQ5" s="224"/>
      <c r="RUR5" s="225"/>
      <c r="RUS5" s="223" t="s">
        <v>44</v>
      </c>
      <c r="RUT5" s="224"/>
      <c r="RUU5" s="224"/>
      <c r="RUV5" s="225"/>
      <c r="RUW5" s="223" t="s">
        <v>44</v>
      </c>
      <c r="RUX5" s="224"/>
      <c r="RUY5" s="224"/>
      <c r="RUZ5" s="225"/>
      <c r="RVA5" s="223" t="s">
        <v>44</v>
      </c>
      <c r="RVB5" s="224"/>
      <c r="RVC5" s="224"/>
      <c r="RVD5" s="225"/>
      <c r="RVE5" s="223" t="s">
        <v>44</v>
      </c>
      <c r="RVF5" s="224"/>
      <c r="RVG5" s="224"/>
      <c r="RVH5" s="225"/>
      <c r="RVI5" s="223" t="s">
        <v>44</v>
      </c>
      <c r="RVJ5" s="224"/>
      <c r="RVK5" s="224"/>
      <c r="RVL5" s="225"/>
      <c r="RVM5" s="223" t="s">
        <v>44</v>
      </c>
      <c r="RVN5" s="224"/>
      <c r="RVO5" s="224"/>
      <c r="RVP5" s="225"/>
      <c r="RVQ5" s="223" t="s">
        <v>44</v>
      </c>
      <c r="RVR5" s="224"/>
      <c r="RVS5" s="224"/>
      <c r="RVT5" s="225"/>
      <c r="RVU5" s="223" t="s">
        <v>44</v>
      </c>
      <c r="RVV5" s="224"/>
      <c r="RVW5" s="224"/>
      <c r="RVX5" s="225"/>
      <c r="RVY5" s="223" t="s">
        <v>44</v>
      </c>
      <c r="RVZ5" s="224"/>
      <c r="RWA5" s="224"/>
      <c r="RWB5" s="225"/>
      <c r="RWC5" s="223" t="s">
        <v>44</v>
      </c>
      <c r="RWD5" s="224"/>
      <c r="RWE5" s="224"/>
      <c r="RWF5" s="225"/>
      <c r="RWG5" s="223" t="s">
        <v>44</v>
      </c>
      <c r="RWH5" s="224"/>
      <c r="RWI5" s="224"/>
      <c r="RWJ5" s="225"/>
      <c r="RWK5" s="223" t="s">
        <v>44</v>
      </c>
      <c r="RWL5" s="224"/>
      <c r="RWM5" s="224"/>
      <c r="RWN5" s="225"/>
      <c r="RWO5" s="223" t="s">
        <v>44</v>
      </c>
      <c r="RWP5" s="224"/>
      <c r="RWQ5" s="224"/>
      <c r="RWR5" s="225"/>
      <c r="RWS5" s="223" t="s">
        <v>44</v>
      </c>
      <c r="RWT5" s="224"/>
      <c r="RWU5" s="224"/>
      <c r="RWV5" s="225"/>
      <c r="RWW5" s="223" t="s">
        <v>44</v>
      </c>
      <c r="RWX5" s="224"/>
      <c r="RWY5" s="224"/>
      <c r="RWZ5" s="225"/>
      <c r="RXA5" s="223" t="s">
        <v>44</v>
      </c>
      <c r="RXB5" s="224"/>
      <c r="RXC5" s="224"/>
      <c r="RXD5" s="225"/>
      <c r="RXE5" s="223" t="s">
        <v>44</v>
      </c>
      <c r="RXF5" s="224"/>
      <c r="RXG5" s="224"/>
      <c r="RXH5" s="225"/>
      <c r="RXI5" s="223" t="s">
        <v>44</v>
      </c>
      <c r="RXJ5" s="224"/>
      <c r="RXK5" s="224"/>
      <c r="RXL5" s="225"/>
      <c r="RXM5" s="223" t="s">
        <v>44</v>
      </c>
      <c r="RXN5" s="224"/>
      <c r="RXO5" s="224"/>
      <c r="RXP5" s="225"/>
      <c r="RXQ5" s="223" t="s">
        <v>44</v>
      </c>
      <c r="RXR5" s="224"/>
      <c r="RXS5" s="224"/>
      <c r="RXT5" s="225"/>
      <c r="RXU5" s="223" t="s">
        <v>44</v>
      </c>
      <c r="RXV5" s="224"/>
      <c r="RXW5" s="224"/>
      <c r="RXX5" s="225"/>
      <c r="RXY5" s="223" t="s">
        <v>44</v>
      </c>
      <c r="RXZ5" s="224"/>
      <c r="RYA5" s="224"/>
      <c r="RYB5" s="225"/>
      <c r="RYC5" s="223" t="s">
        <v>44</v>
      </c>
      <c r="RYD5" s="224"/>
      <c r="RYE5" s="224"/>
      <c r="RYF5" s="225"/>
      <c r="RYG5" s="223" t="s">
        <v>44</v>
      </c>
      <c r="RYH5" s="224"/>
      <c r="RYI5" s="224"/>
      <c r="RYJ5" s="225"/>
      <c r="RYK5" s="223" t="s">
        <v>44</v>
      </c>
      <c r="RYL5" s="224"/>
      <c r="RYM5" s="224"/>
      <c r="RYN5" s="225"/>
      <c r="RYO5" s="223" t="s">
        <v>44</v>
      </c>
      <c r="RYP5" s="224"/>
      <c r="RYQ5" s="224"/>
      <c r="RYR5" s="225"/>
      <c r="RYS5" s="223" t="s">
        <v>44</v>
      </c>
      <c r="RYT5" s="224"/>
      <c r="RYU5" s="224"/>
      <c r="RYV5" s="225"/>
      <c r="RYW5" s="223" t="s">
        <v>44</v>
      </c>
      <c r="RYX5" s="224"/>
      <c r="RYY5" s="224"/>
      <c r="RYZ5" s="225"/>
      <c r="RZA5" s="223" t="s">
        <v>44</v>
      </c>
      <c r="RZB5" s="224"/>
      <c r="RZC5" s="224"/>
      <c r="RZD5" s="225"/>
      <c r="RZE5" s="223" t="s">
        <v>44</v>
      </c>
      <c r="RZF5" s="224"/>
      <c r="RZG5" s="224"/>
      <c r="RZH5" s="225"/>
      <c r="RZI5" s="223" t="s">
        <v>44</v>
      </c>
      <c r="RZJ5" s="224"/>
      <c r="RZK5" s="224"/>
      <c r="RZL5" s="225"/>
      <c r="RZM5" s="223" t="s">
        <v>44</v>
      </c>
      <c r="RZN5" s="224"/>
      <c r="RZO5" s="224"/>
      <c r="RZP5" s="225"/>
      <c r="RZQ5" s="223" t="s">
        <v>44</v>
      </c>
      <c r="RZR5" s="224"/>
      <c r="RZS5" s="224"/>
      <c r="RZT5" s="225"/>
      <c r="RZU5" s="223" t="s">
        <v>44</v>
      </c>
      <c r="RZV5" s="224"/>
      <c r="RZW5" s="224"/>
      <c r="RZX5" s="225"/>
      <c r="RZY5" s="223" t="s">
        <v>44</v>
      </c>
      <c r="RZZ5" s="224"/>
      <c r="SAA5" s="224"/>
      <c r="SAB5" s="225"/>
      <c r="SAC5" s="223" t="s">
        <v>44</v>
      </c>
      <c r="SAD5" s="224"/>
      <c r="SAE5" s="224"/>
      <c r="SAF5" s="225"/>
      <c r="SAG5" s="223" t="s">
        <v>44</v>
      </c>
      <c r="SAH5" s="224"/>
      <c r="SAI5" s="224"/>
      <c r="SAJ5" s="225"/>
      <c r="SAK5" s="223" t="s">
        <v>44</v>
      </c>
      <c r="SAL5" s="224"/>
      <c r="SAM5" s="224"/>
      <c r="SAN5" s="225"/>
      <c r="SAO5" s="223" t="s">
        <v>44</v>
      </c>
      <c r="SAP5" s="224"/>
      <c r="SAQ5" s="224"/>
      <c r="SAR5" s="225"/>
      <c r="SAS5" s="223" t="s">
        <v>44</v>
      </c>
      <c r="SAT5" s="224"/>
      <c r="SAU5" s="224"/>
      <c r="SAV5" s="225"/>
      <c r="SAW5" s="223" t="s">
        <v>44</v>
      </c>
      <c r="SAX5" s="224"/>
      <c r="SAY5" s="224"/>
      <c r="SAZ5" s="225"/>
      <c r="SBA5" s="223" t="s">
        <v>44</v>
      </c>
      <c r="SBB5" s="224"/>
      <c r="SBC5" s="224"/>
      <c r="SBD5" s="225"/>
      <c r="SBE5" s="223" t="s">
        <v>44</v>
      </c>
      <c r="SBF5" s="224"/>
      <c r="SBG5" s="224"/>
      <c r="SBH5" s="225"/>
      <c r="SBI5" s="223" t="s">
        <v>44</v>
      </c>
      <c r="SBJ5" s="224"/>
      <c r="SBK5" s="224"/>
      <c r="SBL5" s="225"/>
      <c r="SBM5" s="223" t="s">
        <v>44</v>
      </c>
      <c r="SBN5" s="224"/>
      <c r="SBO5" s="224"/>
      <c r="SBP5" s="225"/>
      <c r="SBQ5" s="223" t="s">
        <v>44</v>
      </c>
      <c r="SBR5" s="224"/>
      <c r="SBS5" s="224"/>
      <c r="SBT5" s="225"/>
      <c r="SBU5" s="223" t="s">
        <v>44</v>
      </c>
      <c r="SBV5" s="224"/>
      <c r="SBW5" s="224"/>
      <c r="SBX5" s="225"/>
      <c r="SBY5" s="223" t="s">
        <v>44</v>
      </c>
      <c r="SBZ5" s="224"/>
      <c r="SCA5" s="224"/>
      <c r="SCB5" s="225"/>
      <c r="SCC5" s="223" t="s">
        <v>44</v>
      </c>
      <c r="SCD5" s="224"/>
      <c r="SCE5" s="224"/>
      <c r="SCF5" s="225"/>
      <c r="SCG5" s="223" t="s">
        <v>44</v>
      </c>
      <c r="SCH5" s="224"/>
      <c r="SCI5" s="224"/>
      <c r="SCJ5" s="225"/>
      <c r="SCK5" s="223" t="s">
        <v>44</v>
      </c>
      <c r="SCL5" s="224"/>
      <c r="SCM5" s="224"/>
      <c r="SCN5" s="225"/>
      <c r="SCO5" s="223" t="s">
        <v>44</v>
      </c>
      <c r="SCP5" s="224"/>
      <c r="SCQ5" s="224"/>
      <c r="SCR5" s="225"/>
      <c r="SCS5" s="223" t="s">
        <v>44</v>
      </c>
      <c r="SCT5" s="224"/>
      <c r="SCU5" s="224"/>
      <c r="SCV5" s="225"/>
      <c r="SCW5" s="223" t="s">
        <v>44</v>
      </c>
      <c r="SCX5" s="224"/>
      <c r="SCY5" s="224"/>
      <c r="SCZ5" s="225"/>
      <c r="SDA5" s="223" t="s">
        <v>44</v>
      </c>
      <c r="SDB5" s="224"/>
      <c r="SDC5" s="224"/>
      <c r="SDD5" s="225"/>
      <c r="SDE5" s="223" t="s">
        <v>44</v>
      </c>
      <c r="SDF5" s="224"/>
      <c r="SDG5" s="224"/>
      <c r="SDH5" s="225"/>
      <c r="SDI5" s="223" t="s">
        <v>44</v>
      </c>
      <c r="SDJ5" s="224"/>
      <c r="SDK5" s="224"/>
      <c r="SDL5" s="225"/>
      <c r="SDM5" s="223" t="s">
        <v>44</v>
      </c>
      <c r="SDN5" s="224"/>
      <c r="SDO5" s="224"/>
      <c r="SDP5" s="225"/>
      <c r="SDQ5" s="223" t="s">
        <v>44</v>
      </c>
      <c r="SDR5" s="224"/>
      <c r="SDS5" s="224"/>
      <c r="SDT5" s="225"/>
      <c r="SDU5" s="223" t="s">
        <v>44</v>
      </c>
      <c r="SDV5" s="224"/>
      <c r="SDW5" s="224"/>
      <c r="SDX5" s="225"/>
      <c r="SDY5" s="223" t="s">
        <v>44</v>
      </c>
      <c r="SDZ5" s="224"/>
      <c r="SEA5" s="224"/>
      <c r="SEB5" s="225"/>
      <c r="SEC5" s="223" t="s">
        <v>44</v>
      </c>
      <c r="SED5" s="224"/>
      <c r="SEE5" s="224"/>
      <c r="SEF5" s="225"/>
      <c r="SEG5" s="223" t="s">
        <v>44</v>
      </c>
      <c r="SEH5" s="224"/>
      <c r="SEI5" s="224"/>
      <c r="SEJ5" s="225"/>
      <c r="SEK5" s="223" t="s">
        <v>44</v>
      </c>
      <c r="SEL5" s="224"/>
      <c r="SEM5" s="224"/>
      <c r="SEN5" s="225"/>
      <c r="SEO5" s="223" t="s">
        <v>44</v>
      </c>
      <c r="SEP5" s="224"/>
      <c r="SEQ5" s="224"/>
      <c r="SER5" s="225"/>
      <c r="SES5" s="223" t="s">
        <v>44</v>
      </c>
      <c r="SET5" s="224"/>
      <c r="SEU5" s="224"/>
      <c r="SEV5" s="225"/>
      <c r="SEW5" s="223" t="s">
        <v>44</v>
      </c>
      <c r="SEX5" s="224"/>
      <c r="SEY5" s="224"/>
      <c r="SEZ5" s="225"/>
      <c r="SFA5" s="223" t="s">
        <v>44</v>
      </c>
      <c r="SFB5" s="224"/>
      <c r="SFC5" s="224"/>
      <c r="SFD5" s="225"/>
      <c r="SFE5" s="223" t="s">
        <v>44</v>
      </c>
      <c r="SFF5" s="224"/>
      <c r="SFG5" s="224"/>
      <c r="SFH5" s="225"/>
      <c r="SFI5" s="223" t="s">
        <v>44</v>
      </c>
      <c r="SFJ5" s="224"/>
      <c r="SFK5" s="224"/>
      <c r="SFL5" s="225"/>
      <c r="SFM5" s="223" t="s">
        <v>44</v>
      </c>
      <c r="SFN5" s="224"/>
      <c r="SFO5" s="224"/>
      <c r="SFP5" s="225"/>
      <c r="SFQ5" s="223" t="s">
        <v>44</v>
      </c>
      <c r="SFR5" s="224"/>
      <c r="SFS5" s="224"/>
      <c r="SFT5" s="225"/>
      <c r="SFU5" s="223" t="s">
        <v>44</v>
      </c>
      <c r="SFV5" s="224"/>
      <c r="SFW5" s="224"/>
      <c r="SFX5" s="225"/>
      <c r="SFY5" s="223" t="s">
        <v>44</v>
      </c>
      <c r="SFZ5" s="224"/>
      <c r="SGA5" s="224"/>
      <c r="SGB5" s="225"/>
      <c r="SGC5" s="223" t="s">
        <v>44</v>
      </c>
      <c r="SGD5" s="224"/>
      <c r="SGE5" s="224"/>
      <c r="SGF5" s="225"/>
      <c r="SGG5" s="223" t="s">
        <v>44</v>
      </c>
      <c r="SGH5" s="224"/>
      <c r="SGI5" s="224"/>
      <c r="SGJ5" s="225"/>
      <c r="SGK5" s="223" t="s">
        <v>44</v>
      </c>
      <c r="SGL5" s="224"/>
      <c r="SGM5" s="224"/>
      <c r="SGN5" s="225"/>
      <c r="SGO5" s="223" t="s">
        <v>44</v>
      </c>
      <c r="SGP5" s="224"/>
      <c r="SGQ5" s="224"/>
      <c r="SGR5" s="225"/>
      <c r="SGS5" s="223" t="s">
        <v>44</v>
      </c>
      <c r="SGT5" s="224"/>
      <c r="SGU5" s="224"/>
      <c r="SGV5" s="225"/>
      <c r="SGW5" s="223" t="s">
        <v>44</v>
      </c>
      <c r="SGX5" s="224"/>
      <c r="SGY5" s="224"/>
      <c r="SGZ5" s="225"/>
      <c r="SHA5" s="223" t="s">
        <v>44</v>
      </c>
      <c r="SHB5" s="224"/>
      <c r="SHC5" s="224"/>
      <c r="SHD5" s="225"/>
      <c r="SHE5" s="223" t="s">
        <v>44</v>
      </c>
      <c r="SHF5" s="224"/>
      <c r="SHG5" s="224"/>
      <c r="SHH5" s="225"/>
      <c r="SHI5" s="223" t="s">
        <v>44</v>
      </c>
      <c r="SHJ5" s="224"/>
      <c r="SHK5" s="224"/>
      <c r="SHL5" s="225"/>
      <c r="SHM5" s="223" t="s">
        <v>44</v>
      </c>
      <c r="SHN5" s="224"/>
      <c r="SHO5" s="224"/>
      <c r="SHP5" s="225"/>
      <c r="SHQ5" s="223" t="s">
        <v>44</v>
      </c>
      <c r="SHR5" s="224"/>
      <c r="SHS5" s="224"/>
      <c r="SHT5" s="225"/>
      <c r="SHU5" s="223" t="s">
        <v>44</v>
      </c>
      <c r="SHV5" s="224"/>
      <c r="SHW5" s="224"/>
      <c r="SHX5" s="225"/>
      <c r="SHY5" s="223" t="s">
        <v>44</v>
      </c>
      <c r="SHZ5" s="224"/>
      <c r="SIA5" s="224"/>
      <c r="SIB5" s="225"/>
      <c r="SIC5" s="223" t="s">
        <v>44</v>
      </c>
      <c r="SID5" s="224"/>
      <c r="SIE5" s="224"/>
      <c r="SIF5" s="225"/>
      <c r="SIG5" s="223" t="s">
        <v>44</v>
      </c>
      <c r="SIH5" s="224"/>
      <c r="SII5" s="224"/>
      <c r="SIJ5" s="225"/>
      <c r="SIK5" s="223" t="s">
        <v>44</v>
      </c>
      <c r="SIL5" s="224"/>
      <c r="SIM5" s="224"/>
      <c r="SIN5" s="225"/>
      <c r="SIO5" s="223" t="s">
        <v>44</v>
      </c>
      <c r="SIP5" s="224"/>
      <c r="SIQ5" s="224"/>
      <c r="SIR5" s="225"/>
      <c r="SIS5" s="223" t="s">
        <v>44</v>
      </c>
      <c r="SIT5" s="224"/>
      <c r="SIU5" s="224"/>
      <c r="SIV5" s="225"/>
      <c r="SIW5" s="223" t="s">
        <v>44</v>
      </c>
      <c r="SIX5" s="224"/>
      <c r="SIY5" s="224"/>
      <c r="SIZ5" s="225"/>
      <c r="SJA5" s="223" t="s">
        <v>44</v>
      </c>
      <c r="SJB5" s="224"/>
      <c r="SJC5" s="224"/>
      <c r="SJD5" s="225"/>
      <c r="SJE5" s="223" t="s">
        <v>44</v>
      </c>
      <c r="SJF5" s="224"/>
      <c r="SJG5" s="224"/>
      <c r="SJH5" s="225"/>
      <c r="SJI5" s="223" t="s">
        <v>44</v>
      </c>
      <c r="SJJ5" s="224"/>
      <c r="SJK5" s="224"/>
      <c r="SJL5" s="225"/>
      <c r="SJM5" s="223" t="s">
        <v>44</v>
      </c>
      <c r="SJN5" s="224"/>
      <c r="SJO5" s="224"/>
      <c r="SJP5" s="225"/>
      <c r="SJQ5" s="223" t="s">
        <v>44</v>
      </c>
      <c r="SJR5" s="224"/>
      <c r="SJS5" s="224"/>
      <c r="SJT5" s="225"/>
      <c r="SJU5" s="223" t="s">
        <v>44</v>
      </c>
      <c r="SJV5" s="224"/>
      <c r="SJW5" s="224"/>
      <c r="SJX5" s="225"/>
      <c r="SJY5" s="223" t="s">
        <v>44</v>
      </c>
      <c r="SJZ5" s="224"/>
      <c r="SKA5" s="224"/>
      <c r="SKB5" s="225"/>
      <c r="SKC5" s="223" t="s">
        <v>44</v>
      </c>
      <c r="SKD5" s="224"/>
      <c r="SKE5" s="224"/>
      <c r="SKF5" s="225"/>
      <c r="SKG5" s="223" t="s">
        <v>44</v>
      </c>
      <c r="SKH5" s="224"/>
      <c r="SKI5" s="224"/>
      <c r="SKJ5" s="225"/>
      <c r="SKK5" s="223" t="s">
        <v>44</v>
      </c>
      <c r="SKL5" s="224"/>
      <c r="SKM5" s="224"/>
      <c r="SKN5" s="225"/>
      <c r="SKO5" s="223" t="s">
        <v>44</v>
      </c>
      <c r="SKP5" s="224"/>
      <c r="SKQ5" s="224"/>
      <c r="SKR5" s="225"/>
      <c r="SKS5" s="223" t="s">
        <v>44</v>
      </c>
      <c r="SKT5" s="224"/>
      <c r="SKU5" s="224"/>
      <c r="SKV5" s="225"/>
      <c r="SKW5" s="223" t="s">
        <v>44</v>
      </c>
      <c r="SKX5" s="224"/>
      <c r="SKY5" s="224"/>
      <c r="SKZ5" s="225"/>
      <c r="SLA5" s="223" t="s">
        <v>44</v>
      </c>
      <c r="SLB5" s="224"/>
      <c r="SLC5" s="224"/>
      <c r="SLD5" s="225"/>
      <c r="SLE5" s="223" t="s">
        <v>44</v>
      </c>
      <c r="SLF5" s="224"/>
      <c r="SLG5" s="224"/>
      <c r="SLH5" s="225"/>
      <c r="SLI5" s="223" t="s">
        <v>44</v>
      </c>
      <c r="SLJ5" s="224"/>
      <c r="SLK5" s="224"/>
      <c r="SLL5" s="225"/>
      <c r="SLM5" s="223" t="s">
        <v>44</v>
      </c>
      <c r="SLN5" s="224"/>
      <c r="SLO5" s="224"/>
      <c r="SLP5" s="225"/>
      <c r="SLQ5" s="223" t="s">
        <v>44</v>
      </c>
      <c r="SLR5" s="224"/>
      <c r="SLS5" s="224"/>
      <c r="SLT5" s="225"/>
      <c r="SLU5" s="223" t="s">
        <v>44</v>
      </c>
      <c r="SLV5" s="224"/>
      <c r="SLW5" s="224"/>
      <c r="SLX5" s="225"/>
      <c r="SLY5" s="223" t="s">
        <v>44</v>
      </c>
      <c r="SLZ5" s="224"/>
      <c r="SMA5" s="224"/>
      <c r="SMB5" s="225"/>
      <c r="SMC5" s="223" t="s">
        <v>44</v>
      </c>
      <c r="SMD5" s="224"/>
      <c r="SME5" s="224"/>
      <c r="SMF5" s="225"/>
      <c r="SMG5" s="223" t="s">
        <v>44</v>
      </c>
      <c r="SMH5" s="224"/>
      <c r="SMI5" s="224"/>
      <c r="SMJ5" s="225"/>
      <c r="SMK5" s="223" t="s">
        <v>44</v>
      </c>
      <c r="SML5" s="224"/>
      <c r="SMM5" s="224"/>
      <c r="SMN5" s="225"/>
      <c r="SMO5" s="223" t="s">
        <v>44</v>
      </c>
      <c r="SMP5" s="224"/>
      <c r="SMQ5" s="224"/>
      <c r="SMR5" s="225"/>
      <c r="SMS5" s="223" t="s">
        <v>44</v>
      </c>
      <c r="SMT5" s="224"/>
      <c r="SMU5" s="224"/>
      <c r="SMV5" s="225"/>
      <c r="SMW5" s="223" t="s">
        <v>44</v>
      </c>
      <c r="SMX5" s="224"/>
      <c r="SMY5" s="224"/>
      <c r="SMZ5" s="225"/>
      <c r="SNA5" s="223" t="s">
        <v>44</v>
      </c>
      <c r="SNB5" s="224"/>
      <c r="SNC5" s="224"/>
      <c r="SND5" s="225"/>
      <c r="SNE5" s="223" t="s">
        <v>44</v>
      </c>
      <c r="SNF5" s="224"/>
      <c r="SNG5" s="224"/>
      <c r="SNH5" s="225"/>
      <c r="SNI5" s="223" t="s">
        <v>44</v>
      </c>
      <c r="SNJ5" s="224"/>
      <c r="SNK5" s="224"/>
      <c r="SNL5" s="225"/>
      <c r="SNM5" s="223" t="s">
        <v>44</v>
      </c>
      <c r="SNN5" s="224"/>
      <c r="SNO5" s="224"/>
      <c r="SNP5" s="225"/>
      <c r="SNQ5" s="223" t="s">
        <v>44</v>
      </c>
      <c r="SNR5" s="224"/>
      <c r="SNS5" s="224"/>
      <c r="SNT5" s="225"/>
      <c r="SNU5" s="223" t="s">
        <v>44</v>
      </c>
      <c r="SNV5" s="224"/>
      <c r="SNW5" s="224"/>
      <c r="SNX5" s="225"/>
      <c r="SNY5" s="223" t="s">
        <v>44</v>
      </c>
      <c r="SNZ5" s="224"/>
      <c r="SOA5" s="224"/>
      <c r="SOB5" s="225"/>
      <c r="SOC5" s="223" t="s">
        <v>44</v>
      </c>
      <c r="SOD5" s="224"/>
      <c r="SOE5" s="224"/>
      <c r="SOF5" s="225"/>
      <c r="SOG5" s="223" t="s">
        <v>44</v>
      </c>
      <c r="SOH5" s="224"/>
      <c r="SOI5" s="224"/>
      <c r="SOJ5" s="225"/>
      <c r="SOK5" s="223" t="s">
        <v>44</v>
      </c>
      <c r="SOL5" s="224"/>
      <c r="SOM5" s="224"/>
      <c r="SON5" s="225"/>
      <c r="SOO5" s="223" t="s">
        <v>44</v>
      </c>
      <c r="SOP5" s="224"/>
      <c r="SOQ5" s="224"/>
      <c r="SOR5" s="225"/>
      <c r="SOS5" s="223" t="s">
        <v>44</v>
      </c>
      <c r="SOT5" s="224"/>
      <c r="SOU5" s="224"/>
      <c r="SOV5" s="225"/>
      <c r="SOW5" s="223" t="s">
        <v>44</v>
      </c>
      <c r="SOX5" s="224"/>
      <c r="SOY5" s="224"/>
      <c r="SOZ5" s="225"/>
      <c r="SPA5" s="223" t="s">
        <v>44</v>
      </c>
      <c r="SPB5" s="224"/>
      <c r="SPC5" s="224"/>
      <c r="SPD5" s="225"/>
      <c r="SPE5" s="223" t="s">
        <v>44</v>
      </c>
      <c r="SPF5" s="224"/>
      <c r="SPG5" s="224"/>
      <c r="SPH5" s="225"/>
      <c r="SPI5" s="223" t="s">
        <v>44</v>
      </c>
      <c r="SPJ5" s="224"/>
      <c r="SPK5" s="224"/>
      <c r="SPL5" s="225"/>
      <c r="SPM5" s="223" t="s">
        <v>44</v>
      </c>
      <c r="SPN5" s="224"/>
      <c r="SPO5" s="224"/>
      <c r="SPP5" s="225"/>
      <c r="SPQ5" s="223" t="s">
        <v>44</v>
      </c>
      <c r="SPR5" s="224"/>
      <c r="SPS5" s="224"/>
      <c r="SPT5" s="225"/>
      <c r="SPU5" s="223" t="s">
        <v>44</v>
      </c>
      <c r="SPV5" s="224"/>
      <c r="SPW5" s="224"/>
      <c r="SPX5" s="225"/>
      <c r="SPY5" s="223" t="s">
        <v>44</v>
      </c>
      <c r="SPZ5" s="224"/>
      <c r="SQA5" s="224"/>
      <c r="SQB5" s="225"/>
      <c r="SQC5" s="223" t="s">
        <v>44</v>
      </c>
      <c r="SQD5" s="224"/>
      <c r="SQE5" s="224"/>
      <c r="SQF5" s="225"/>
      <c r="SQG5" s="223" t="s">
        <v>44</v>
      </c>
      <c r="SQH5" s="224"/>
      <c r="SQI5" s="224"/>
      <c r="SQJ5" s="225"/>
      <c r="SQK5" s="223" t="s">
        <v>44</v>
      </c>
      <c r="SQL5" s="224"/>
      <c r="SQM5" s="224"/>
      <c r="SQN5" s="225"/>
      <c r="SQO5" s="223" t="s">
        <v>44</v>
      </c>
      <c r="SQP5" s="224"/>
      <c r="SQQ5" s="224"/>
      <c r="SQR5" s="225"/>
      <c r="SQS5" s="223" t="s">
        <v>44</v>
      </c>
      <c r="SQT5" s="224"/>
      <c r="SQU5" s="224"/>
      <c r="SQV5" s="225"/>
      <c r="SQW5" s="223" t="s">
        <v>44</v>
      </c>
      <c r="SQX5" s="224"/>
      <c r="SQY5" s="224"/>
      <c r="SQZ5" s="225"/>
      <c r="SRA5" s="223" t="s">
        <v>44</v>
      </c>
      <c r="SRB5" s="224"/>
      <c r="SRC5" s="224"/>
      <c r="SRD5" s="225"/>
      <c r="SRE5" s="223" t="s">
        <v>44</v>
      </c>
      <c r="SRF5" s="224"/>
      <c r="SRG5" s="224"/>
      <c r="SRH5" s="225"/>
      <c r="SRI5" s="223" t="s">
        <v>44</v>
      </c>
      <c r="SRJ5" s="224"/>
      <c r="SRK5" s="224"/>
      <c r="SRL5" s="225"/>
      <c r="SRM5" s="223" t="s">
        <v>44</v>
      </c>
      <c r="SRN5" s="224"/>
      <c r="SRO5" s="224"/>
      <c r="SRP5" s="225"/>
      <c r="SRQ5" s="223" t="s">
        <v>44</v>
      </c>
      <c r="SRR5" s="224"/>
      <c r="SRS5" s="224"/>
      <c r="SRT5" s="225"/>
      <c r="SRU5" s="223" t="s">
        <v>44</v>
      </c>
      <c r="SRV5" s="224"/>
      <c r="SRW5" s="224"/>
      <c r="SRX5" s="225"/>
      <c r="SRY5" s="223" t="s">
        <v>44</v>
      </c>
      <c r="SRZ5" s="224"/>
      <c r="SSA5" s="224"/>
      <c r="SSB5" s="225"/>
      <c r="SSC5" s="223" t="s">
        <v>44</v>
      </c>
      <c r="SSD5" s="224"/>
      <c r="SSE5" s="224"/>
      <c r="SSF5" s="225"/>
      <c r="SSG5" s="223" t="s">
        <v>44</v>
      </c>
      <c r="SSH5" s="224"/>
      <c r="SSI5" s="224"/>
      <c r="SSJ5" s="225"/>
      <c r="SSK5" s="223" t="s">
        <v>44</v>
      </c>
      <c r="SSL5" s="224"/>
      <c r="SSM5" s="224"/>
      <c r="SSN5" s="225"/>
      <c r="SSO5" s="223" t="s">
        <v>44</v>
      </c>
      <c r="SSP5" s="224"/>
      <c r="SSQ5" s="224"/>
      <c r="SSR5" s="225"/>
      <c r="SSS5" s="223" t="s">
        <v>44</v>
      </c>
      <c r="SST5" s="224"/>
      <c r="SSU5" s="224"/>
      <c r="SSV5" s="225"/>
      <c r="SSW5" s="223" t="s">
        <v>44</v>
      </c>
      <c r="SSX5" s="224"/>
      <c r="SSY5" s="224"/>
      <c r="SSZ5" s="225"/>
      <c r="STA5" s="223" t="s">
        <v>44</v>
      </c>
      <c r="STB5" s="224"/>
      <c r="STC5" s="224"/>
      <c r="STD5" s="225"/>
      <c r="STE5" s="223" t="s">
        <v>44</v>
      </c>
      <c r="STF5" s="224"/>
      <c r="STG5" s="224"/>
      <c r="STH5" s="225"/>
      <c r="STI5" s="223" t="s">
        <v>44</v>
      </c>
      <c r="STJ5" s="224"/>
      <c r="STK5" s="224"/>
      <c r="STL5" s="225"/>
      <c r="STM5" s="223" t="s">
        <v>44</v>
      </c>
      <c r="STN5" s="224"/>
      <c r="STO5" s="224"/>
      <c r="STP5" s="225"/>
      <c r="STQ5" s="223" t="s">
        <v>44</v>
      </c>
      <c r="STR5" s="224"/>
      <c r="STS5" s="224"/>
      <c r="STT5" s="225"/>
      <c r="STU5" s="223" t="s">
        <v>44</v>
      </c>
      <c r="STV5" s="224"/>
      <c r="STW5" s="224"/>
      <c r="STX5" s="225"/>
      <c r="STY5" s="223" t="s">
        <v>44</v>
      </c>
      <c r="STZ5" s="224"/>
      <c r="SUA5" s="224"/>
      <c r="SUB5" s="225"/>
      <c r="SUC5" s="223" t="s">
        <v>44</v>
      </c>
      <c r="SUD5" s="224"/>
      <c r="SUE5" s="224"/>
      <c r="SUF5" s="225"/>
      <c r="SUG5" s="223" t="s">
        <v>44</v>
      </c>
      <c r="SUH5" s="224"/>
      <c r="SUI5" s="224"/>
      <c r="SUJ5" s="225"/>
      <c r="SUK5" s="223" t="s">
        <v>44</v>
      </c>
      <c r="SUL5" s="224"/>
      <c r="SUM5" s="224"/>
      <c r="SUN5" s="225"/>
      <c r="SUO5" s="223" t="s">
        <v>44</v>
      </c>
      <c r="SUP5" s="224"/>
      <c r="SUQ5" s="224"/>
      <c r="SUR5" s="225"/>
      <c r="SUS5" s="223" t="s">
        <v>44</v>
      </c>
      <c r="SUT5" s="224"/>
      <c r="SUU5" s="224"/>
      <c r="SUV5" s="225"/>
      <c r="SUW5" s="223" t="s">
        <v>44</v>
      </c>
      <c r="SUX5" s="224"/>
      <c r="SUY5" s="224"/>
      <c r="SUZ5" s="225"/>
      <c r="SVA5" s="223" t="s">
        <v>44</v>
      </c>
      <c r="SVB5" s="224"/>
      <c r="SVC5" s="224"/>
      <c r="SVD5" s="225"/>
      <c r="SVE5" s="223" t="s">
        <v>44</v>
      </c>
      <c r="SVF5" s="224"/>
      <c r="SVG5" s="224"/>
      <c r="SVH5" s="225"/>
      <c r="SVI5" s="223" t="s">
        <v>44</v>
      </c>
      <c r="SVJ5" s="224"/>
      <c r="SVK5" s="224"/>
      <c r="SVL5" s="225"/>
      <c r="SVM5" s="223" t="s">
        <v>44</v>
      </c>
      <c r="SVN5" s="224"/>
      <c r="SVO5" s="224"/>
      <c r="SVP5" s="225"/>
      <c r="SVQ5" s="223" t="s">
        <v>44</v>
      </c>
      <c r="SVR5" s="224"/>
      <c r="SVS5" s="224"/>
      <c r="SVT5" s="225"/>
      <c r="SVU5" s="223" t="s">
        <v>44</v>
      </c>
      <c r="SVV5" s="224"/>
      <c r="SVW5" s="224"/>
      <c r="SVX5" s="225"/>
      <c r="SVY5" s="223" t="s">
        <v>44</v>
      </c>
      <c r="SVZ5" s="224"/>
      <c r="SWA5" s="224"/>
      <c r="SWB5" s="225"/>
      <c r="SWC5" s="223" t="s">
        <v>44</v>
      </c>
      <c r="SWD5" s="224"/>
      <c r="SWE5" s="224"/>
      <c r="SWF5" s="225"/>
      <c r="SWG5" s="223" t="s">
        <v>44</v>
      </c>
      <c r="SWH5" s="224"/>
      <c r="SWI5" s="224"/>
      <c r="SWJ5" s="225"/>
      <c r="SWK5" s="223" t="s">
        <v>44</v>
      </c>
      <c r="SWL5" s="224"/>
      <c r="SWM5" s="224"/>
      <c r="SWN5" s="225"/>
      <c r="SWO5" s="223" t="s">
        <v>44</v>
      </c>
      <c r="SWP5" s="224"/>
      <c r="SWQ5" s="224"/>
      <c r="SWR5" s="225"/>
      <c r="SWS5" s="223" t="s">
        <v>44</v>
      </c>
      <c r="SWT5" s="224"/>
      <c r="SWU5" s="224"/>
      <c r="SWV5" s="225"/>
      <c r="SWW5" s="223" t="s">
        <v>44</v>
      </c>
      <c r="SWX5" s="224"/>
      <c r="SWY5" s="224"/>
      <c r="SWZ5" s="225"/>
      <c r="SXA5" s="223" t="s">
        <v>44</v>
      </c>
      <c r="SXB5" s="224"/>
      <c r="SXC5" s="224"/>
      <c r="SXD5" s="225"/>
      <c r="SXE5" s="223" t="s">
        <v>44</v>
      </c>
      <c r="SXF5" s="224"/>
      <c r="SXG5" s="224"/>
      <c r="SXH5" s="225"/>
      <c r="SXI5" s="223" t="s">
        <v>44</v>
      </c>
      <c r="SXJ5" s="224"/>
      <c r="SXK5" s="224"/>
      <c r="SXL5" s="225"/>
      <c r="SXM5" s="223" t="s">
        <v>44</v>
      </c>
      <c r="SXN5" s="224"/>
      <c r="SXO5" s="224"/>
      <c r="SXP5" s="225"/>
      <c r="SXQ5" s="223" t="s">
        <v>44</v>
      </c>
      <c r="SXR5" s="224"/>
      <c r="SXS5" s="224"/>
      <c r="SXT5" s="225"/>
      <c r="SXU5" s="223" t="s">
        <v>44</v>
      </c>
      <c r="SXV5" s="224"/>
      <c r="SXW5" s="224"/>
      <c r="SXX5" s="225"/>
      <c r="SXY5" s="223" t="s">
        <v>44</v>
      </c>
      <c r="SXZ5" s="224"/>
      <c r="SYA5" s="224"/>
      <c r="SYB5" s="225"/>
      <c r="SYC5" s="223" t="s">
        <v>44</v>
      </c>
      <c r="SYD5" s="224"/>
      <c r="SYE5" s="224"/>
      <c r="SYF5" s="225"/>
      <c r="SYG5" s="223" t="s">
        <v>44</v>
      </c>
      <c r="SYH5" s="224"/>
      <c r="SYI5" s="224"/>
      <c r="SYJ5" s="225"/>
      <c r="SYK5" s="223" t="s">
        <v>44</v>
      </c>
      <c r="SYL5" s="224"/>
      <c r="SYM5" s="224"/>
      <c r="SYN5" s="225"/>
      <c r="SYO5" s="223" t="s">
        <v>44</v>
      </c>
      <c r="SYP5" s="224"/>
      <c r="SYQ5" s="224"/>
      <c r="SYR5" s="225"/>
      <c r="SYS5" s="223" t="s">
        <v>44</v>
      </c>
      <c r="SYT5" s="224"/>
      <c r="SYU5" s="224"/>
      <c r="SYV5" s="225"/>
      <c r="SYW5" s="223" t="s">
        <v>44</v>
      </c>
      <c r="SYX5" s="224"/>
      <c r="SYY5" s="224"/>
      <c r="SYZ5" s="225"/>
      <c r="SZA5" s="223" t="s">
        <v>44</v>
      </c>
      <c r="SZB5" s="224"/>
      <c r="SZC5" s="224"/>
      <c r="SZD5" s="225"/>
      <c r="SZE5" s="223" t="s">
        <v>44</v>
      </c>
      <c r="SZF5" s="224"/>
      <c r="SZG5" s="224"/>
      <c r="SZH5" s="225"/>
      <c r="SZI5" s="223" t="s">
        <v>44</v>
      </c>
      <c r="SZJ5" s="224"/>
      <c r="SZK5" s="224"/>
      <c r="SZL5" s="225"/>
      <c r="SZM5" s="223" t="s">
        <v>44</v>
      </c>
      <c r="SZN5" s="224"/>
      <c r="SZO5" s="224"/>
      <c r="SZP5" s="225"/>
      <c r="SZQ5" s="223" t="s">
        <v>44</v>
      </c>
      <c r="SZR5" s="224"/>
      <c r="SZS5" s="224"/>
      <c r="SZT5" s="225"/>
      <c r="SZU5" s="223" t="s">
        <v>44</v>
      </c>
      <c r="SZV5" s="224"/>
      <c r="SZW5" s="224"/>
      <c r="SZX5" s="225"/>
      <c r="SZY5" s="223" t="s">
        <v>44</v>
      </c>
      <c r="SZZ5" s="224"/>
      <c r="TAA5" s="224"/>
      <c r="TAB5" s="225"/>
      <c r="TAC5" s="223" t="s">
        <v>44</v>
      </c>
      <c r="TAD5" s="224"/>
      <c r="TAE5" s="224"/>
      <c r="TAF5" s="225"/>
      <c r="TAG5" s="223" t="s">
        <v>44</v>
      </c>
      <c r="TAH5" s="224"/>
      <c r="TAI5" s="224"/>
      <c r="TAJ5" s="225"/>
      <c r="TAK5" s="223" t="s">
        <v>44</v>
      </c>
      <c r="TAL5" s="224"/>
      <c r="TAM5" s="224"/>
      <c r="TAN5" s="225"/>
      <c r="TAO5" s="223" t="s">
        <v>44</v>
      </c>
      <c r="TAP5" s="224"/>
      <c r="TAQ5" s="224"/>
      <c r="TAR5" s="225"/>
      <c r="TAS5" s="223" t="s">
        <v>44</v>
      </c>
      <c r="TAT5" s="224"/>
      <c r="TAU5" s="224"/>
      <c r="TAV5" s="225"/>
      <c r="TAW5" s="223" t="s">
        <v>44</v>
      </c>
      <c r="TAX5" s="224"/>
      <c r="TAY5" s="224"/>
      <c r="TAZ5" s="225"/>
      <c r="TBA5" s="223" t="s">
        <v>44</v>
      </c>
      <c r="TBB5" s="224"/>
      <c r="TBC5" s="224"/>
      <c r="TBD5" s="225"/>
      <c r="TBE5" s="223" t="s">
        <v>44</v>
      </c>
      <c r="TBF5" s="224"/>
      <c r="TBG5" s="224"/>
      <c r="TBH5" s="225"/>
      <c r="TBI5" s="223" t="s">
        <v>44</v>
      </c>
      <c r="TBJ5" s="224"/>
      <c r="TBK5" s="224"/>
      <c r="TBL5" s="225"/>
      <c r="TBM5" s="223" t="s">
        <v>44</v>
      </c>
      <c r="TBN5" s="224"/>
      <c r="TBO5" s="224"/>
      <c r="TBP5" s="225"/>
      <c r="TBQ5" s="223" t="s">
        <v>44</v>
      </c>
      <c r="TBR5" s="224"/>
      <c r="TBS5" s="224"/>
      <c r="TBT5" s="225"/>
      <c r="TBU5" s="223" t="s">
        <v>44</v>
      </c>
      <c r="TBV5" s="224"/>
      <c r="TBW5" s="224"/>
      <c r="TBX5" s="225"/>
      <c r="TBY5" s="223" t="s">
        <v>44</v>
      </c>
      <c r="TBZ5" s="224"/>
      <c r="TCA5" s="224"/>
      <c r="TCB5" s="225"/>
      <c r="TCC5" s="223" t="s">
        <v>44</v>
      </c>
      <c r="TCD5" s="224"/>
      <c r="TCE5" s="224"/>
      <c r="TCF5" s="225"/>
      <c r="TCG5" s="223" t="s">
        <v>44</v>
      </c>
      <c r="TCH5" s="224"/>
      <c r="TCI5" s="224"/>
      <c r="TCJ5" s="225"/>
      <c r="TCK5" s="223" t="s">
        <v>44</v>
      </c>
      <c r="TCL5" s="224"/>
      <c r="TCM5" s="224"/>
      <c r="TCN5" s="225"/>
      <c r="TCO5" s="223" t="s">
        <v>44</v>
      </c>
      <c r="TCP5" s="224"/>
      <c r="TCQ5" s="224"/>
      <c r="TCR5" s="225"/>
      <c r="TCS5" s="223" t="s">
        <v>44</v>
      </c>
      <c r="TCT5" s="224"/>
      <c r="TCU5" s="224"/>
      <c r="TCV5" s="225"/>
      <c r="TCW5" s="223" t="s">
        <v>44</v>
      </c>
      <c r="TCX5" s="224"/>
      <c r="TCY5" s="224"/>
      <c r="TCZ5" s="225"/>
      <c r="TDA5" s="223" t="s">
        <v>44</v>
      </c>
      <c r="TDB5" s="224"/>
      <c r="TDC5" s="224"/>
      <c r="TDD5" s="225"/>
      <c r="TDE5" s="223" t="s">
        <v>44</v>
      </c>
      <c r="TDF5" s="224"/>
      <c r="TDG5" s="224"/>
      <c r="TDH5" s="225"/>
      <c r="TDI5" s="223" t="s">
        <v>44</v>
      </c>
      <c r="TDJ5" s="224"/>
      <c r="TDK5" s="224"/>
      <c r="TDL5" s="225"/>
      <c r="TDM5" s="223" t="s">
        <v>44</v>
      </c>
      <c r="TDN5" s="224"/>
      <c r="TDO5" s="224"/>
      <c r="TDP5" s="225"/>
      <c r="TDQ5" s="223" t="s">
        <v>44</v>
      </c>
      <c r="TDR5" s="224"/>
      <c r="TDS5" s="224"/>
      <c r="TDT5" s="225"/>
      <c r="TDU5" s="223" t="s">
        <v>44</v>
      </c>
      <c r="TDV5" s="224"/>
      <c r="TDW5" s="224"/>
      <c r="TDX5" s="225"/>
      <c r="TDY5" s="223" t="s">
        <v>44</v>
      </c>
      <c r="TDZ5" s="224"/>
      <c r="TEA5" s="224"/>
      <c r="TEB5" s="225"/>
      <c r="TEC5" s="223" t="s">
        <v>44</v>
      </c>
      <c r="TED5" s="224"/>
      <c r="TEE5" s="224"/>
      <c r="TEF5" s="225"/>
      <c r="TEG5" s="223" t="s">
        <v>44</v>
      </c>
      <c r="TEH5" s="224"/>
      <c r="TEI5" s="224"/>
      <c r="TEJ5" s="225"/>
      <c r="TEK5" s="223" t="s">
        <v>44</v>
      </c>
      <c r="TEL5" s="224"/>
      <c r="TEM5" s="224"/>
      <c r="TEN5" s="225"/>
      <c r="TEO5" s="223" t="s">
        <v>44</v>
      </c>
      <c r="TEP5" s="224"/>
      <c r="TEQ5" s="224"/>
      <c r="TER5" s="225"/>
      <c r="TES5" s="223" t="s">
        <v>44</v>
      </c>
      <c r="TET5" s="224"/>
      <c r="TEU5" s="224"/>
      <c r="TEV5" s="225"/>
      <c r="TEW5" s="223" t="s">
        <v>44</v>
      </c>
      <c r="TEX5" s="224"/>
      <c r="TEY5" s="224"/>
      <c r="TEZ5" s="225"/>
      <c r="TFA5" s="223" t="s">
        <v>44</v>
      </c>
      <c r="TFB5" s="224"/>
      <c r="TFC5" s="224"/>
      <c r="TFD5" s="225"/>
      <c r="TFE5" s="223" t="s">
        <v>44</v>
      </c>
      <c r="TFF5" s="224"/>
      <c r="TFG5" s="224"/>
      <c r="TFH5" s="225"/>
      <c r="TFI5" s="223" t="s">
        <v>44</v>
      </c>
      <c r="TFJ5" s="224"/>
      <c r="TFK5" s="224"/>
      <c r="TFL5" s="225"/>
      <c r="TFM5" s="223" t="s">
        <v>44</v>
      </c>
      <c r="TFN5" s="224"/>
      <c r="TFO5" s="224"/>
      <c r="TFP5" s="225"/>
      <c r="TFQ5" s="223" t="s">
        <v>44</v>
      </c>
      <c r="TFR5" s="224"/>
      <c r="TFS5" s="224"/>
      <c r="TFT5" s="225"/>
      <c r="TFU5" s="223" t="s">
        <v>44</v>
      </c>
      <c r="TFV5" s="224"/>
      <c r="TFW5" s="224"/>
      <c r="TFX5" s="225"/>
      <c r="TFY5" s="223" t="s">
        <v>44</v>
      </c>
      <c r="TFZ5" s="224"/>
      <c r="TGA5" s="224"/>
      <c r="TGB5" s="225"/>
      <c r="TGC5" s="223" t="s">
        <v>44</v>
      </c>
      <c r="TGD5" s="224"/>
      <c r="TGE5" s="224"/>
      <c r="TGF5" s="225"/>
      <c r="TGG5" s="223" t="s">
        <v>44</v>
      </c>
      <c r="TGH5" s="224"/>
      <c r="TGI5" s="224"/>
      <c r="TGJ5" s="225"/>
      <c r="TGK5" s="223" t="s">
        <v>44</v>
      </c>
      <c r="TGL5" s="224"/>
      <c r="TGM5" s="224"/>
      <c r="TGN5" s="225"/>
      <c r="TGO5" s="223" t="s">
        <v>44</v>
      </c>
      <c r="TGP5" s="224"/>
      <c r="TGQ5" s="224"/>
      <c r="TGR5" s="225"/>
      <c r="TGS5" s="223" t="s">
        <v>44</v>
      </c>
      <c r="TGT5" s="224"/>
      <c r="TGU5" s="224"/>
      <c r="TGV5" s="225"/>
      <c r="TGW5" s="223" t="s">
        <v>44</v>
      </c>
      <c r="TGX5" s="224"/>
      <c r="TGY5" s="224"/>
      <c r="TGZ5" s="225"/>
      <c r="THA5" s="223" t="s">
        <v>44</v>
      </c>
      <c r="THB5" s="224"/>
      <c r="THC5" s="224"/>
      <c r="THD5" s="225"/>
      <c r="THE5" s="223" t="s">
        <v>44</v>
      </c>
      <c r="THF5" s="224"/>
      <c r="THG5" s="224"/>
      <c r="THH5" s="225"/>
      <c r="THI5" s="223" t="s">
        <v>44</v>
      </c>
      <c r="THJ5" s="224"/>
      <c r="THK5" s="224"/>
      <c r="THL5" s="225"/>
      <c r="THM5" s="223" t="s">
        <v>44</v>
      </c>
      <c r="THN5" s="224"/>
      <c r="THO5" s="224"/>
      <c r="THP5" s="225"/>
      <c r="THQ5" s="223" t="s">
        <v>44</v>
      </c>
      <c r="THR5" s="224"/>
      <c r="THS5" s="224"/>
      <c r="THT5" s="225"/>
      <c r="THU5" s="223" t="s">
        <v>44</v>
      </c>
      <c r="THV5" s="224"/>
      <c r="THW5" s="224"/>
      <c r="THX5" s="225"/>
      <c r="THY5" s="223" t="s">
        <v>44</v>
      </c>
      <c r="THZ5" s="224"/>
      <c r="TIA5" s="224"/>
      <c r="TIB5" s="225"/>
      <c r="TIC5" s="223" t="s">
        <v>44</v>
      </c>
      <c r="TID5" s="224"/>
      <c r="TIE5" s="224"/>
      <c r="TIF5" s="225"/>
      <c r="TIG5" s="223" t="s">
        <v>44</v>
      </c>
      <c r="TIH5" s="224"/>
      <c r="TII5" s="224"/>
      <c r="TIJ5" s="225"/>
      <c r="TIK5" s="223" t="s">
        <v>44</v>
      </c>
      <c r="TIL5" s="224"/>
      <c r="TIM5" s="224"/>
      <c r="TIN5" s="225"/>
      <c r="TIO5" s="223" t="s">
        <v>44</v>
      </c>
      <c r="TIP5" s="224"/>
      <c r="TIQ5" s="224"/>
      <c r="TIR5" s="225"/>
      <c r="TIS5" s="223" t="s">
        <v>44</v>
      </c>
      <c r="TIT5" s="224"/>
      <c r="TIU5" s="224"/>
      <c r="TIV5" s="225"/>
      <c r="TIW5" s="223" t="s">
        <v>44</v>
      </c>
      <c r="TIX5" s="224"/>
      <c r="TIY5" s="224"/>
      <c r="TIZ5" s="225"/>
      <c r="TJA5" s="223" t="s">
        <v>44</v>
      </c>
      <c r="TJB5" s="224"/>
      <c r="TJC5" s="224"/>
      <c r="TJD5" s="225"/>
      <c r="TJE5" s="223" t="s">
        <v>44</v>
      </c>
      <c r="TJF5" s="224"/>
      <c r="TJG5" s="224"/>
      <c r="TJH5" s="225"/>
      <c r="TJI5" s="223" t="s">
        <v>44</v>
      </c>
      <c r="TJJ5" s="224"/>
      <c r="TJK5" s="224"/>
      <c r="TJL5" s="225"/>
      <c r="TJM5" s="223" t="s">
        <v>44</v>
      </c>
      <c r="TJN5" s="224"/>
      <c r="TJO5" s="224"/>
      <c r="TJP5" s="225"/>
      <c r="TJQ5" s="223" t="s">
        <v>44</v>
      </c>
      <c r="TJR5" s="224"/>
      <c r="TJS5" s="224"/>
      <c r="TJT5" s="225"/>
      <c r="TJU5" s="223" t="s">
        <v>44</v>
      </c>
      <c r="TJV5" s="224"/>
      <c r="TJW5" s="224"/>
      <c r="TJX5" s="225"/>
      <c r="TJY5" s="223" t="s">
        <v>44</v>
      </c>
      <c r="TJZ5" s="224"/>
      <c r="TKA5" s="224"/>
      <c r="TKB5" s="225"/>
      <c r="TKC5" s="223" t="s">
        <v>44</v>
      </c>
      <c r="TKD5" s="224"/>
      <c r="TKE5" s="224"/>
      <c r="TKF5" s="225"/>
      <c r="TKG5" s="223" t="s">
        <v>44</v>
      </c>
      <c r="TKH5" s="224"/>
      <c r="TKI5" s="224"/>
      <c r="TKJ5" s="225"/>
      <c r="TKK5" s="223" t="s">
        <v>44</v>
      </c>
      <c r="TKL5" s="224"/>
      <c r="TKM5" s="224"/>
      <c r="TKN5" s="225"/>
      <c r="TKO5" s="223" t="s">
        <v>44</v>
      </c>
      <c r="TKP5" s="224"/>
      <c r="TKQ5" s="224"/>
      <c r="TKR5" s="225"/>
      <c r="TKS5" s="223" t="s">
        <v>44</v>
      </c>
      <c r="TKT5" s="224"/>
      <c r="TKU5" s="224"/>
      <c r="TKV5" s="225"/>
      <c r="TKW5" s="223" t="s">
        <v>44</v>
      </c>
      <c r="TKX5" s="224"/>
      <c r="TKY5" s="224"/>
      <c r="TKZ5" s="225"/>
      <c r="TLA5" s="223" t="s">
        <v>44</v>
      </c>
      <c r="TLB5" s="224"/>
      <c r="TLC5" s="224"/>
      <c r="TLD5" s="225"/>
      <c r="TLE5" s="223" t="s">
        <v>44</v>
      </c>
      <c r="TLF5" s="224"/>
      <c r="TLG5" s="224"/>
      <c r="TLH5" s="225"/>
      <c r="TLI5" s="223" t="s">
        <v>44</v>
      </c>
      <c r="TLJ5" s="224"/>
      <c r="TLK5" s="224"/>
      <c r="TLL5" s="225"/>
      <c r="TLM5" s="223" t="s">
        <v>44</v>
      </c>
      <c r="TLN5" s="224"/>
      <c r="TLO5" s="224"/>
      <c r="TLP5" s="225"/>
      <c r="TLQ5" s="223" t="s">
        <v>44</v>
      </c>
      <c r="TLR5" s="224"/>
      <c r="TLS5" s="224"/>
      <c r="TLT5" s="225"/>
      <c r="TLU5" s="223" t="s">
        <v>44</v>
      </c>
      <c r="TLV5" s="224"/>
      <c r="TLW5" s="224"/>
      <c r="TLX5" s="225"/>
      <c r="TLY5" s="223" t="s">
        <v>44</v>
      </c>
      <c r="TLZ5" s="224"/>
      <c r="TMA5" s="224"/>
      <c r="TMB5" s="225"/>
      <c r="TMC5" s="223" t="s">
        <v>44</v>
      </c>
      <c r="TMD5" s="224"/>
      <c r="TME5" s="224"/>
      <c r="TMF5" s="225"/>
      <c r="TMG5" s="223" t="s">
        <v>44</v>
      </c>
      <c r="TMH5" s="224"/>
      <c r="TMI5" s="224"/>
      <c r="TMJ5" s="225"/>
      <c r="TMK5" s="223" t="s">
        <v>44</v>
      </c>
      <c r="TML5" s="224"/>
      <c r="TMM5" s="224"/>
      <c r="TMN5" s="225"/>
      <c r="TMO5" s="223" t="s">
        <v>44</v>
      </c>
      <c r="TMP5" s="224"/>
      <c r="TMQ5" s="224"/>
      <c r="TMR5" s="225"/>
      <c r="TMS5" s="223" t="s">
        <v>44</v>
      </c>
      <c r="TMT5" s="224"/>
      <c r="TMU5" s="224"/>
      <c r="TMV5" s="225"/>
      <c r="TMW5" s="223" t="s">
        <v>44</v>
      </c>
      <c r="TMX5" s="224"/>
      <c r="TMY5" s="224"/>
      <c r="TMZ5" s="225"/>
      <c r="TNA5" s="223" t="s">
        <v>44</v>
      </c>
      <c r="TNB5" s="224"/>
      <c r="TNC5" s="224"/>
      <c r="TND5" s="225"/>
      <c r="TNE5" s="223" t="s">
        <v>44</v>
      </c>
      <c r="TNF5" s="224"/>
      <c r="TNG5" s="224"/>
      <c r="TNH5" s="225"/>
      <c r="TNI5" s="223" t="s">
        <v>44</v>
      </c>
      <c r="TNJ5" s="224"/>
      <c r="TNK5" s="224"/>
      <c r="TNL5" s="225"/>
      <c r="TNM5" s="223" t="s">
        <v>44</v>
      </c>
      <c r="TNN5" s="224"/>
      <c r="TNO5" s="224"/>
      <c r="TNP5" s="225"/>
      <c r="TNQ5" s="223" t="s">
        <v>44</v>
      </c>
      <c r="TNR5" s="224"/>
      <c r="TNS5" s="224"/>
      <c r="TNT5" s="225"/>
      <c r="TNU5" s="223" t="s">
        <v>44</v>
      </c>
      <c r="TNV5" s="224"/>
      <c r="TNW5" s="224"/>
      <c r="TNX5" s="225"/>
      <c r="TNY5" s="223" t="s">
        <v>44</v>
      </c>
      <c r="TNZ5" s="224"/>
      <c r="TOA5" s="224"/>
      <c r="TOB5" s="225"/>
      <c r="TOC5" s="223" t="s">
        <v>44</v>
      </c>
      <c r="TOD5" s="224"/>
      <c r="TOE5" s="224"/>
      <c r="TOF5" s="225"/>
      <c r="TOG5" s="223" t="s">
        <v>44</v>
      </c>
      <c r="TOH5" s="224"/>
      <c r="TOI5" s="224"/>
      <c r="TOJ5" s="225"/>
      <c r="TOK5" s="223" t="s">
        <v>44</v>
      </c>
      <c r="TOL5" s="224"/>
      <c r="TOM5" s="224"/>
      <c r="TON5" s="225"/>
      <c r="TOO5" s="223" t="s">
        <v>44</v>
      </c>
      <c r="TOP5" s="224"/>
      <c r="TOQ5" s="224"/>
      <c r="TOR5" s="225"/>
      <c r="TOS5" s="223" t="s">
        <v>44</v>
      </c>
      <c r="TOT5" s="224"/>
      <c r="TOU5" s="224"/>
      <c r="TOV5" s="225"/>
      <c r="TOW5" s="223" t="s">
        <v>44</v>
      </c>
      <c r="TOX5" s="224"/>
      <c r="TOY5" s="224"/>
      <c r="TOZ5" s="225"/>
      <c r="TPA5" s="223" t="s">
        <v>44</v>
      </c>
      <c r="TPB5" s="224"/>
      <c r="TPC5" s="224"/>
      <c r="TPD5" s="225"/>
      <c r="TPE5" s="223" t="s">
        <v>44</v>
      </c>
      <c r="TPF5" s="224"/>
      <c r="TPG5" s="224"/>
      <c r="TPH5" s="225"/>
      <c r="TPI5" s="223" t="s">
        <v>44</v>
      </c>
      <c r="TPJ5" s="224"/>
      <c r="TPK5" s="224"/>
      <c r="TPL5" s="225"/>
      <c r="TPM5" s="223" t="s">
        <v>44</v>
      </c>
      <c r="TPN5" s="224"/>
      <c r="TPO5" s="224"/>
      <c r="TPP5" s="225"/>
      <c r="TPQ5" s="223" t="s">
        <v>44</v>
      </c>
      <c r="TPR5" s="224"/>
      <c r="TPS5" s="224"/>
      <c r="TPT5" s="225"/>
      <c r="TPU5" s="223" t="s">
        <v>44</v>
      </c>
      <c r="TPV5" s="224"/>
      <c r="TPW5" s="224"/>
      <c r="TPX5" s="225"/>
      <c r="TPY5" s="223" t="s">
        <v>44</v>
      </c>
      <c r="TPZ5" s="224"/>
      <c r="TQA5" s="224"/>
      <c r="TQB5" s="225"/>
      <c r="TQC5" s="223" t="s">
        <v>44</v>
      </c>
      <c r="TQD5" s="224"/>
      <c r="TQE5" s="224"/>
      <c r="TQF5" s="225"/>
      <c r="TQG5" s="223" t="s">
        <v>44</v>
      </c>
      <c r="TQH5" s="224"/>
      <c r="TQI5" s="224"/>
      <c r="TQJ5" s="225"/>
      <c r="TQK5" s="223" t="s">
        <v>44</v>
      </c>
      <c r="TQL5" s="224"/>
      <c r="TQM5" s="224"/>
      <c r="TQN5" s="225"/>
      <c r="TQO5" s="223" t="s">
        <v>44</v>
      </c>
      <c r="TQP5" s="224"/>
      <c r="TQQ5" s="224"/>
      <c r="TQR5" s="225"/>
      <c r="TQS5" s="223" t="s">
        <v>44</v>
      </c>
      <c r="TQT5" s="224"/>
      <c r="TQU5" s="224"/>
      <c r="TQV5" s="225"/>
      <c r="TQW5" s="223" t="s">
        <v>44</v>
      </c>
      <c r="TQX5" s="224"/>
      <c r="TQY5" s="224"/>
      <c r="TQZ5" s="225"/>
      <c r="TRA5" s="223" t="s">
        <v>44</v>
      </c>
      <c r="TRB5" s="224"/>
      <c r="TRC5" s="224"/>
      <c r="TRD5" s="225"/>
      <c r="TRE5" s="223" t="s">
        <v>44</v>
      </c>
      <c r="TRF5" s="224"/>
      <c r="TRG5" s="224"/>
      <c r="TRH5" s="225"/>
      <c r="TRI5" s="223" t="s">
        <v>44</v>
      </c>
      <c r="TRJ5" s="224"/>
      <c r="TRK5" s="224"/>
      <c r="TRL5" s="225"/>
      <c r="TRM5" s="223" t="s">
        <v>44</v>
      </c>
      <c r="TRN5" s="224"/>
      <c r="TRO5" s="224"/>
      <c r="TRP5" s="225"/>
      <c r="TRQ5" s="223" t="s">
        <v>44</v>
      </c>
      <c r="TRR5" s="224"/>
      <c r="TRS5" s="224"/>
      <c r="TRT5" s="225"/>
      <c r="TRU5" s="223" t="s">
        <v>44</v>
      </c>
      <c r="TRV5" s="224"/>
      <c r="TRW5" s="224"/>
      <c r="TRX5" s="225"/>
      <c r="TRY5" s="223" t="s">
        <v>44</v>
      </c>
      <c r="TRZ5" s="224"/>
      <c r="TSA5" s="224"/>
      <c r="TSB5" s="225"/>
      <c r="TSC5" s="223" t="s">
        <v>44</v>
      </c>
      <c r="TSD5" s="224"/>
      <c r="TSE5" s="224"/>
      <c r="TSF5" s="225"/>
      <c r="TSG5" s="223" t="s">
        <v>44</v>
      </c>
      <c r="TSH5" s="224"/>
      <c r="TSI5" s="224"/>
      <c r="TSJ5" s="225"/>
      <c r="TSK5" s="223" t="s">
        <v>44</v>
      </c>
      <c r="TSL5" s="224"/>
      <c r="TSM5" s="224"/>
      <c r="TSN5" s="225"/>
      <c r="TSO5" s="223" t="s">
        <v>44</v>
      </c>
      <c r="TSP5" s="224"/>
      <c r="TSQ5" s="224"/>
      <c r="TSR5" s="225"/>
      <c r="TSS5" s="223" t="s">
        <v>44</v>
      </c>
      <c r="TST5" s="224"/>
      <c r="TSU5" s="224"/>
      <c r="TSV5" s="225"/>
      <c r="TSW5" s="223" t="s">
        <v>44</v>
      </c>
      <c r="TSX5" s="224"/>
      <c r="TSY5" s="224"/>
      <c r="TSZ5" s="225"/>
      <c r="TTA5" s="223" t="s">
        <v>44</v>
      </c>
      <c r="TTB5" s="224"/>
      <c r="TTC5" s="224"/>
      <c r="TTD5" s="225"/>
      <c r="TTE5" s="223" t="s">
        <v>44</v>
      </c>
      <c r="TTF5" s="224"/>
      <c r="TTG5" s="224"/>
      <c r="TTH5" s="225"/>
      <c r="TTI5" s="223" t="s">
        <v>44</v>
      </c>
      <c r="TTJ5" s="224"/>
      <c r="TTK5" s="224"/>
      <c r="TTL5" s="225"/>
      <c r="TTM5" s="223" t="s">
        <v>44</v>
      </c>
      <c r="TTN5" s="224"/>
      <c r="TTO5" s="224"/>
      <c r="TTP5" s="225"/>
      <c r="TTQ5" s="223" t="s">
        <v>44</v>
      </c>
      <c r="TTR5" s="224"/>
      <c r="TTS5" s="224"/>
      <c r="TTT5" s="225"/>
      <c r="TTU5" s="223" t="s">
        <v>44</v>
      </c>
      <c r="TTV5" s="224"/>
      <c r="TTW5" s="224"/>
      <c r="TTX5" s="225"/>
      <c r="TTY5" s="223" t="s">
        <v>44</v>
      </c>
      <c r="TTZ5" s="224"/>
      <c r="TUA5" s="224"/>
      <c r="TUB5" s="225"/>
      <c r="TUC5" s="223" t="s">
        <v>44</v>
      </c>
      <c r="TUD5" s="224"/>
      <c r="TUE5" s="224"/>
      <c r="TUF5" s="225"/>
      <c r="TUG5" s="223" t="s">
        <v>44</v>
      </c>
      <c r="TUH5" s="224"/>
      <c r="TUI5" s="224"/>
      <c r="TUJ5" s="225"/>
      <c r="TUK5" s="223" t="s">
        <v>44</v>
      </c>
      <c r="TUL5" s="224"/>
      <c r="TUM5" s="224"/>
      <c r="TUN5" s="225"/>
      <c r="TUO5" s="223" t="s">
        <v>44</v>
      </c>
      <c r="TUP5" s="224"/>
      <c r="TUQ5" s="224"/>
      <c r="TUR5" s="225"/>
      <c r="TUS5" s="223" t="s">
        <v>44</v>
      </c>
      <c r="TUT5" s="224"/>
      <c r="TUU5" s="224"/>
      <c r="TUV5" s="225"/>
      <c r="TUW5" s="223" t="s">
        <v>44</v>
      </c>
      <c r="TUX5" s="224"/>
      <c r="TUY5" s="224"/>
      <c r="TUZ5" s="225"/>
      <c r="TVA5" s="223" t="s">
        <v>44</v>
      </c>
      <c r="TVB5" s="224"/>
      <c r="TVC5" s="224"/>
      <c r="TVD5" s="225"/>
      <c r="TVE5" s="223" t="s">
        <v>44</v>
      </c>
      <c r="TVF5" s="224"/>
      <c r="TVG5" s="224"/>
      <c r="TVH5" s="225"/>
      <c r="TVI5" s="223" t="s">
        <v>44</v>
      </c>
      <c r="TVJ5" s="224"/>
      <c r="TVK5" s="224"/>
      <c r="TVL5" s="225"/>
      <c r="TVM5" s="223" t="s">
        <v>44</v>
      </c>
      <c r="TVN5" s="224"/>
      <c r="TVO5" s="224"/>
      <c r="TVP5" s="225"/>
      <c r="TVQ5" s="223" t="s">
        <v>44</v>
      </c>
      <c r="TVR5" s="224"/>
      <c r="TVS5" s="224"/>
      <c r="TVT5" s="225"/>
      <c r="TVU5" s="223" t="s">
        <v>44</v>
      </c>
      <c r="TVV5" s="224"/>
      <c r="TVW5" s="224"/>
      <c r="TVX5" s="225"/>
      <c r="TVY5" s="223" t="s">
        <v>44</v>
      </c>
      <c r="TVZ5" s="224"/>
      <c r="TWA5" s="224"/>
      <c r="TWB5" s="225"/>
      <c r="TWC5" s="223" t="s">
        <v>44</v>
      </c>
      <c r="TWD5" s="224"/>
      <c r="TWE5" s="224"/>
      <c r="TWF5" s="225"/>
      <c r="TWG5" s="223" t="s">
        <v>44</v>
      </c>
      <c r="TWH5" s="224"/>
      <c r="TWI5" s="224"/>
      <c r="TWJ5" s="225"/>
      <c r="TWK5" s="223" t="s">
        <v>44</v>
      </c>
      <c r="TWL5" s="224"/>
      <c r="TWM5" s="224"/>
      <c r="TWN5" s="225"/>
      <c r="TWO5" s="223" t="s">
        <v>44</v>
      </c>
      <c r="TWP5" s="224"/>
      <c r="TWQ5" s="224"/>
      <c r="TWR5" s="225"/>
      <c r="TWS5" s="223" t="s">
        <v>44</v>
      </c>
      <c r="TWT5" s="224"/>
      <c r="TWU5" s="224"/>
      <c r="TWV5" s="225"/>
      <c r="TWW5" s="223" t="s">
        <v>44</v>
      </c>
      <c r="TWX5" s="224"/>
      <c r="TWY5" s="224"/>
      <c r="TWZ5" s="225"/>
      <c r="TXA5" s="223" t="s">
        <v>44</v>
      </c>
      <c r="TXB5" s="224"/>
      <c r="TXC5" s="224"/>
      <c r="TXD5" s="225"/>
      <c r="TXE5" s="223" t="s">
        <v>44</v>
      </c>
      <c r="TXF5" s="224"/>
      <c r="TXG5" s="224"/>
      <c r="TXH5" s="225"/>
      <c r="TXI5" s="223" t="s">
        <v>44</v>
      </c>
      <c r="TXJ5" s="224"/>
      <c r="TXK5" s="224"/>
      <c r="TXL5" s="225"/>
      <c r="TXM5" s="223" t="s">
        <v>44</v>
      </c>
      <c r="TXN5" s="224"/>
      <c r="TXO5" s="224"/>
      <c r="TXP5" s="225"/>
      <c r="TXQ5" s="223" t="s">
        <v>44</v>
      </c>
      <c r="TXR5" s="224"/>
      <c r="TXS5" s="224"/>
      <c r="TXT5" s="225"/>
      <c r="TXU5" s="223" t="s">
        <v>44</v>
      </c>
      <c r="TXV5" s="224"/>
      <c r="TXW5" s="224"/>
      <c r="TXX5" s="225"/>
      <c r="TXY5" s="223" t="s">
        <v>44</v>
      </c>
      <c r="TXZ5" s="224"/>
      <c r="TYA5" s="224"/>
      <c r="TYB5" s="225"/>
      <c r="TYC5" s="223" t="s">
        <v>44</v>
      </c>
      <c r="TYD5" s="224"/>
      <c r="TYE5" s="224"/>
      <c r="TYF5" s="225"/>
      <c r="TYG5" s="223" t="s">
        <v>44</v>
      </c>
      <c r="TYH5" s="224"/>
      <c r="TYI5" s="224"/>
      <c r="TYJ5" s="225"/>
      <c r="TYK5" s="223" t="s">
        <v>44</v>
      </c>
      <c r="TYL5" s="224"/>
      <c r="TYM5" s="224"/>
      <c r="TYN5" s="225"/>
      <c r="TYO5" s="223" t="s">
        <v>44</v>
      </c>
      <c r="TYP5" s="224"/>
      <c r="TYQ5" s="224"/>
      <c r="TYR5" s="225"/>
      <c r="TYS5" s="223" t="s">
        <v>44</v>
      </c>
      <c r="TYT5" s="224"/>
      <c r="TYU5" s="224"/>
      <c r="TYV5" s="225"/>
      <c r="TYW5" s="223" t="s">
        <v>44</v>
      </c>
      <c r="TYX5" s="224"/>
      <c r="TYY5" s="224"/>
      <c r="TYZ5" s="225"/>
      <c r="TZA5" s="223" t="s">
        <v>44</v>
      </c>
      <c r="TZB5" s="224"/>
      <c r="TZC5" s="224"/>
      <c r="TZD5" s="225"/>
      <c r="TZE5" s="223" t="s">
        <v>44</v>
      </c>
      <c r="TZF5" s="224"/>
      <c r="TZG5" s="224"/>
      <c r="TZH5" s="225"/>
      <c r="TZI5" s="223" t="s">
        <v>44</v>
      </c>
      <c r="TZJ5" s="224"/>
      <c r="TZK5" s="224"/>
      <c r="TZL5" s="225"/>
      <c r="TZM5" s="223" t="s">
        <v>44</v>
      </c>
      <c r="TZN5" s="224"/>
      <c r="TZO5" s="224"/>
      <c r="TZP5" s="225"/>
      <c r="TZQ5" s="223" t="s">
        <v>44</v>
      </c>
      <c r="TZR5" s="224"/>
      <c r="TZS5" s="224"/>
      <c r="TZT5" s="225"/>
      <c r="TZU5" s="223" t="s">
        <v>44</v>
      </c>
      <c r="TZV5" s="224"/>
      <c r="TZW5" s="224"/>
      <c r="TZX5" s="225"/>
      <c r="TZY5" s="223" t="s">
        <v>44</v>
      </c>
      <c r="TZZ5" s="224"/>
      <c r="UAA5" s="224"/>
      <c r="UAB5" s="225"/>
      <c r="UAC5" s="223" t="s">
        <v>44</v>
      </c>
      <c r="UAD5" s="224"/>
      <c r="UAE5" s="224"/>
      <c r="UAF5" s="225"/>
      <c r="UAG5" s="223" t="s">
        <v>44</v>
      </c>
      <c r="UAH5" s="224"/>
      <c r="UAI5" s="224"/>
      <c r="UAJ5" s="225"/>
      <c r="UAK5" s="223" t="s">
        <v>44</v>
      </c>
      <c r="UAL5" s="224"/>
      <c r="UAM5" s="224"/>
      <c r="UAN5" s="225"/>
      <c r="UAO5" s="223" t="s">
        <v>44</v>
      </c>
      <c r="UAP5" s="224"/>
      <c r="UAQ5" s="224"/>
      <c r="UAR5" s="225"/>
      <c r="UAS5" s="223" t="s">
        <v>44</v>
      </c>
      <c r="UAT5" s="224"/>
      <c r="UAU5" s="224"/>
      <c r="UAV5" s="225"/>
      <c r="UAW5" s="223" t="s">
        <v>44</v>
      </c>
      <c r="UAX5" s="224"/>
      <c r="UAY5" s="224"/>
      <c r="UAZ5" s="225"/>
      <c r="UBA5" s="223" t="s">
        <v>44</v>
      </c>
      <c r="UBB5" s="224"/>
      <c r="UBC5" s="224"/>
      <c r="UBD5" s="225"/>
      <c r="UBE5" s="223" t="s">
        <v>44</v>
      </c>
      <c r="UBF5" s="224"/>
      <c r="UBG5" s="224"/>
      <c r="UBH5" s="225"/>
      <c r="UBI5" s="223" t="s">
        <v>44</v>
      </c>
      <c r="UBJ5" s="224"/>
      <c r="UBK5" s="224"/>
      <c r="UBL5" s="225"/>
      <c r="UBM5" s="223" t="s">
        <v>44</v>
      </c>
      <c r="UBN5" s="224"/>
      <c r="UBO5" s="224"/>
      <c r="UBP5" s="225"/>
      <c r="UBQ5" s="223" t="s">
        <v>44</v>
      </c>
      <c r="UBR5" s="224"/>
      <c r="UBS5" s="224"/>
      <c r="UBT5" s="225"/>
      <c r="UBU5" s="223" t="s">
        <v>44</v>
      </c>
      <c r="UBV5" s="224"/>
      <c r="UBW5" s="224"/>
      <c r="UBX5" s="225"/>
      <c r="UBY5" s="223" t="s">
        <v>44</v>
      </c>
      <c r="UBZ5" s="224"/>
      <c r="UCA5" s="224"/>
      <c r="UCB5" s="225"/>
      <c r="UCC5" s="223" t="s">
        <v>44</v>
      </c>
      <c r="UCD5" s="224"/>
      <c r="UCE5" s="224"/>
      <c r="UCF5" s="225"/>
      <c r="UCG5" s="223" t="s">
        <v>44</v>
      </c>
      <c r="UCH5" s="224"/>
      <c r="UCI5" s="224"/>
      <c r="UCJ5" s="225"/>
      <c r="UCK5" s="223" t="s">
        <v>44</v>
      </c>
      <c r="UCL5" s="224"/>
      <c r="UCM5" s="224"/>
      <c r="UCN5" s="225"/>
      <c r="UCO5" s="223" t="s">
        <v>44</v>
      </c>
      <c r="UCP5" s="224"/>
      <c r="UCQ5" s="224"/>
      <c r="UCR5" s="225"/>
      <c r="UCS5" s="223" t="s">
        <v>44</v>
      </c>
      <c r="UCT5" s="224"/>
      <c r="UCU5" s="224"/>
      <c r="UCV5" s="225"/>
      <c r="UCW5" s="223" t="s">
        <v>44</v>
      </c>
      <c r="UCX5" s="224"/>
      <c r="UCY5" s="224"/>
      <c r="UCZ5" s="225"/>
      <c r="UDA5" s="223" t="s">
        <v>44</v>
      </c>
      <c r="UDB5" s="224"/>
      <c r="UDC5" s="224"/>
      <c r="UDD5" s="225"/>
      <c r="UDE5" s="223" t="s">
        <v>44</v>
      </c>
      <c r="UDF5" s="224"/>
      <c r="UDG5" s="224"/>
      <c r="UDH5" s="225"/>
      <c r="UDI5" s="223" t="s">
        <v>44</v>
      </c>
      <c r="UDJ5" s="224"/>
      <c r="UDK5" s="224"/>
      <c r="UDL5" s="225"/>
      <c r="UDM5" s="223" t="s">
        <v>44</v>
      </c>
      <c r="UDN5" s="224"/>
      <c r="UDO5" s="224"/>
      <c r="UDP5" s="225"/>
      <c r="UDQ5" s="223" t="s">
        <v>44</v>
      </c>
      <c r="UDR5" s="224"/>
      <c r="UDS5" s="224"/>
      <c r="UDT5" s="225"/>
      <c r="UDU5" s="223" t="s">
        <v>44</v>
      </c>
      <c r="UDV5" s="224"/>
      <c r="UDW5" s="224"/>
      <c r="UDX5" s="225"/>
      <c r="UDY5" s="223" t="s">
        <v>44</v>
      </c>
      <c r="UDZ5" s="224"/>
      <c r="UEA5" s="224"/>
      <c r="UEB5" s="225"/>
      <c r="UEC5" s="223" t="s">
        <v>44</v>
      </c>
      <c r="UED5" s="224"/>
      <c r="UEE5" s="224"/>
      <c r="UEF5" s="225"/>
      <c r="UEG5" s="223" t="s">
        <v>44</v>
      </c>
      <c r="UEH5" s="224"/>
      <c r="UEI5" s="224"/>
      <c r="UEJ5" s="225"/>
      <c r="UEK5" s="223" t="s">
        <v>44</v>
      </c>
      <c r="UEL5" s="224"/>
      <c r="UEM5" s="224"/>
      <c r="UEN5" s="225"/>
      <c r="UEO5" s="223" t="s">
        <v>44</v>
      </c>
      <c r="UEP5" s="224"/>
      <c r="UEQ5" s="224"/>
      <c r="UER5" s="225"/>
      <c r="UES5" s="223" t="s">
        <v>44</v>
      </c>
      <c r="UET5" s="224"/>
      <c r="UEU5" s="224"/>
      <c r="UEV5" s="225"/>
      <c r="UEW5" s="223" t="s">
        <v>44</v>
      </c>
      <c r="UEX5" s="224"/>
      <c r="UEY5" s="224"/>
      <c r="UEZ5" s="225"/>
      <c r="UFA5" s="223" t="s">
        <v>44</v>
      </c>
      <c r="UFB5" s="224"/>
      <c r="UFC5" s="224"/>
      <c r="UFD5" s="225"/>
      <c r="UFE5" s="223" t="s">
        <v>44</v>
      </c>
      <c r="UFF5" s="224"/>
      <c r="UFG5" s="224"/>
      <c r="UFH5" s="225"/>
      <c r="UFI5" s="223" t="s">
        <v>44</v>
      </c>
      <c r="UFJ5" s="224"/>
      <c r="UFK5" s="224"/>
      <c r="UFL5" s="225"/>
      <c r="UFM5" s="223" t="s">
        <v>44</v>
      </c>
      <c r="UFN5" s="224"/>
      <c r="UFO5" s="224"/>
      <c r="UFP5" s="225"/>
      <c r="UFQ5" s="223" t="s">
        <v>44</v>
      </c>
      <c r="UFR5" s="224"/>
      <c r="UFS5" s="224"/>
      <c r="UFT5" s="225"/>
      <c r="UFU5" s="223" t="s">
        <v>44</v>
      </c>
      <c r="UFV5" s="224"/>
      <c r="UFW5" s="224"/>
      <c r="UFX5" s="225"/>
      <c r="UFY5" s="223" t="s">
        <v>44</v>
      </c>
      <c r="UFZ5" s="224"/>
      <c r="UGA5" s="224"/>
      <c r="UGB5" s="225"/>
      <c r="UGC5" s="223" t="s">
        <v>44</v>
      </c>
      <c r="UGD5" s="224"/>
      <c r="UGE5" s="224"/>
      <c r="UGF5" s="225"/>
      <c r="UGG5" s="223" t="s">
        <v>44</v>
      </c>
      <c r="UGH5" s="224"/>
      <c r="UGI5" s="224"/>
      <c r="UGJ5" s="225"/>
      <c r="UGK5" s="223" t="s">
        <v>44</v>
      </c>
      <c r="UGL5" s="224"/>
      <c r="UGM5" s="224"/>
      <c r="UGN5" s="225"/>
      <c r="UGO5" s="223" t="s">
        <v>44</v>
      </c>
      <c r="UGP5" s="224"/>
      <c r="UGQ5" s="224"/>
      <c r="UGR5" s="225"/>
      <c r="UGS5" s="223" t="s">
        <v>44</v>
      </c>
      <c r="UGT5" s="224"/>
      <c r="UGU5" s="224"/>
      <c r="UGV5" s="225"/>
      <c r="UGW5" s="223" t="s">
        <v>44</v>
      </c>
      <c r="UGX5" s="224"/>
      <c r="UGY5" s="224"/>
      <c r="UGZ5" s="225"/>
      <c r="UHA5" s="223" t="s">
        <v>44</v>
      </c>
      <c r="UHB5" s="224"/>
      <c r="UHC5" s="224"/>
      <c r="UHD5" s="225"/>
      <c r="UHE5" s="223" t="s">
        <v>44</v>
      </c>
      <c r="UHF5" s="224"/>
      <c r="UHG5" s="224"/>
      <c r="UHH5" s="225"/>
      <c r="UHI5" s="223" t="s">
        <v>44</v>
      </c>
      <c r="UHJ5" s="224"/>
      <c r="UHK5" s="224"/>
      <c r="UHL5" s="225"/>
      <c r="UHM5" s="223" t="s">
        <v>44</v>
      </c>
      <c r="UHN5" s="224"/>
      <c r="UHO5" s="224"/>
      <c r="UHP5" s="225"/>
      <c r="UHQ5" s="223" t="s">
        <v>44</v>
      </c>
      <c r="UHR5" s="224"/>
      <c r="UHS5" s="224"/>
      <c r="UHT5" s="225"/>
      <c r="UHU5" s="223" t="s">
        <v>44</v>
      </c>
      <c r="UHV5" s="224"/>
      <c r="UHW5" s="224"/>
      <c r="UHX5" s="225"/>
      <c r="UHY5" s="223" t="s">
        <v>44</v>
      </c>
      <c r="UHZ5" s="224"/>
      <c r="UIA5" s="224"/>
      <c r="UIB5" s="225"/>
      <c r="UIC5" s="223" t="s">
        <v>44</v>
      </c>
      <c r="UID5" s="224"/>
      <c r="UIE5" s="224"/>
      <c r="UIF5" s="225"/>
      <c r="UIG5" s="223" t="s">
        <v>44</v>
      </c>
      <c r="UIH5" s="224"/>
      <c r="UII5" s="224"/>
      <c r="UIJ5" s="225"/>
      <c r="UIK5" s="223" t="s">
        <v>44</v>
      </c>
      <c r="UIL5" s="224"/>
      <c r="UIM5" s="224"/>
      <c r="UIN5" s="225"/>
      <c r="UIO5" s="223" t="s">
        <v>44</v>
      </c>
      <c r="UIP5" s="224"/>
      <c r="UIQ5" s="224"/>
      <c r="UIR5" s="225"/>
      <c r="UIS5" s="223" t="s">
        <v>44</v>
      </c>
      <c r="UIT5" s="224"/>
      <c r="UIU5" s="224"/>
      <c r="UIV5" s="225"/>
      <c r="UIW5" s="223" t="s">
        <v>44</v>
      </c>
      <c r="UIX5" s="224"/>
      <c r="UIY5" s="224"/>
      <c r="UIZ5" s="225"/>
      <c r="UJA5" s="223" t="s">
        <v>44</v>
      </c>
      <c r="UJB5" s="224"/>
      <c r="UJC5" s="224"/>
      <c r="UJD5" s="225"/>
      <c r="UJE5" s="223" t="s">
        <v>44</v>
      </c>
      <c r="UJF5" s="224"/>
      <c r="UJG5" s="224"/>
      <c r="UJH5" s="225"/>
      <c r="UJI5" s="223" t="s">
        <v>44</v>
      </c>
      <c r="UJJ5" s="224"/>
      <c r="UJK5" s="224"/>
      <c r="UJL5" s="225"/>
      <c r="UJM5" s="223" t="s">
        <v>44</v>
      </c>
      <c r="UJN5" s="224"/>
      <c r="UJO5" s="224"/>
      <c r="UJP5" s="225"/>
      <c r="UJQ5" s="223" t="s">
        <v>44</v>
      </c>
      <c r="UJR5" s="224"/>
      <c r="UJS5" s="224"/>
      <c r="UJT5" s="225"/>
      <c r="UJU5" s="223" t="s">
        <v>44</v>
      </c>
      <c r="UJV5" s="224"/>
      <c r="UJW5" s="224"/>
      <c r="UJX5" s="225"/>
      <c r="UJY5" s="223" t="s">
        <v>44</v>
      </c>
      <c r="UJZ5" s="224"/>
      <c r="UKA5" s="224"/>
      <c r="UKB5" s="225"/>
      <c r="UKC5" s="223" t="s">
        <v>44</v>
      </c>
      <c r="UKD5" s="224"/>
      <c r="UKE5" s="224"/>
      <c r="UKF5" s="225"/>
      <c r="UKG5" s="223" t="s">
        <v>44</v>
      </c>
      <c r="UKH5" s="224"/>
      <c r="UKI5" s="224"/>
      <c r="UKJ5" s="225"/>
      <c r="UKK5" s="223" t="s">
        <v>44</v>
      </c>
      <c r="UKL5" s="224"/>
      <c r="UKM5" s="224"/>
      <c r="UKN5" s="225"/>
      <c r="UKO5" s="223" t="s">
        <v>44</v>
      </c>
      <c r="UKP5" s="224"/>
      <c r="UKQ5" s="224"/>
      <c r="UKR5" s="225"/>
      <c r="UKS5" s="223" t="s">
        <v>44</v>
      </c>
      <c r="UKT5" s="224"/>
      <c r="UKU5" s="224"/>
      <c r="UKV5" s="225"/>
      <c r="UKW5" s="223" t="s">
        <v>44</v>
      </c>
      <c r="UKX5" s="224"/>
      <c r="UKY5" s="224"/>
      <c r="UKZ5" s="225"/>
      <c r="ULA5" s="223" t="s">
        <v>44</v>
      </c>
      <c r="ULB5" s="224"/>
      <c r="ULC5" s="224"/>
      <c r="ULD5" s="225"/>
      <c r="ULE5" s="223" t="s">
        <v>44</v>
      </c>
      <c r="ULF5" s="224"/>
      <c r="ULG5" s="224"/>
      <c r="ULH5" s="225"/>
      <c r="ULI5" s="223" t="s">
        <v>44</v>
      </c>
      <c r="ULJ5" s="224"/>
      <c r="ULK5" s="224"/>
      <c r="ULL5" s="225"/>
      <c r="ULM5" s="223" t="s">
        <v>44</v>
      </c>
      <c r="ULN5" s="224"/>
      <c r="ULO5" s="224"/>
      <c r="ULP5" s="225"/>
      <c r="ULQ5" s="223" t="s">
        <v>44</v>
      </c>
      <c r="ULR5" s="224"/>
      <c r="ULS5" s="224"/>
      <c r="ULT5" s="225"/>
      <c r="ULU5" s="223" t="s">
        <v>44</v>
      </c>
      <c r="ULV5" s="224"/>
      <c r="ULW5" s="224"/>
      <c r="ULX5" s="225"/>
      <c r="ULY5" s="223" t="s">
        <v>44</v>
      </c>
      <c r="ULZ5" s="224"/>
      <c r="UMA5" s="224"/>
      <c r="UMB5" s="225"/>
      <c r="UMC5" s="223" t="s">
        <v>44</v>
      </c>
      <c r="UMD5" s="224"/>
      <c r="UME5" s="224"/>
      <c r="UMF5" s="225"/>
      <c r="UMG5" s="223" t="s">
        <v>44</v>
      </c>
      <c r="UMH5" s="224"/>
      <c r="UMI5" s="224"/>
      <c r="UMJ5" s="225"/>
      <c r="UMK5" s="223" t="s">
        <v>44</v>
      </c>
      <c r="UML5" s="224"/>
      <c r="UMM5" s="224"/>
      <c r="UMN5" s="225"/>
      <c r="UMO5" s="223" t="s">
        <v>44</v>
      </c>
      <c r="UMP5" s="224"/>
      <c r="UMQ5" s="224"/>
      <c r="UMR5" s="225"/>
      <c r="UMS5" s="223" t="s">
        <v>44</v>
      </c>
      <c r="UMT5" s="224"/>
      <c r="UMU5" s="224"/>
      <c r="UMV5" s="225"/>
      <c r="UMW5" s="223" t="s">
        <v>44</v>
      </c>
      <c r="UMX5" s="224"/>
      <c r="UMY5" s="224"/>
      <c r="UMZ5" s="225"/>
      <c r="UNA5" s="223" t="s">
        <v>44</v>
      </c>
      <c r="UNB5" s="224"/>
      <c r="UNC5" s="224"/>
      <c r="UND5" s="225"/>
      <c r="UNE5" s="223" t="s">
        <v>44</v>
      </c>
      <c r="UNF5" s="224"/>
      <c r="UNG5" s="224"/>
      <c r="UNH5" s="225"/>
      <c r="UNI5" s="223" t="s">
        <v>44</v>
      </c>
      <c r="UNJ5" s="224"/>
      <c r="UNK5" s="224"/>
      <c r="UNL5" s="225"/>
      <c r="UNM5" s="223" t="s">
        <v>44</v>
      </c>
      <c r="UNN5" s="224"/>
      <c r="UNO5" s="224"/>
      <c r="UNP5" s="225"/>
      <c r="UNQ5" s="223" t="s">
        <v>44</v>
      </c>
      <c r="UNR5" s="224"/>
      <c r="UNS5" s="224"/>
      <c r="UNT5" s="225"/>
      <c r="UNU5" s="223" t="s">
        <v>44</v>
      </c>
      <c r="UNV5" s="224"/>
      <c r="UNW5" s="224"/>
      <c r="UNX5" s="225"/>
      <c r="UNY5" s="223" t="s">
        <v>44</v>
      </c>
      <c r="UNZ5" s="224"/>
      <c r="UOA5" s="224"/>
      <c r="UOB5" s="225"/>
      <c r="UOC5" s="223" t="s">
        <v>44</v>
      </c>
      <c r="UOD5" s="224"/>
      <c r="UOE5" s="224"/>
      <c r="UOF5" s="225"/>
      <c r="UOG5" s="223" t="s">
        <v>44</v>
      </c>
      <c r="UOH5" s="224"/>
      <c r="UOI5" s="224"/>
      <c r="UOJ5" s="225"/>
      <c r="UOK5" s="223" t="s">
        <v>44</v>
      </c>
      <c r="UOL5" s="224"/>
      <c r="UOM5" s="224"/>
      <c r="UON5" s="225"/>
      <c r="UOO5" s="223" t="s">
        <v>44</v>
      </c>
      <c r="UOP5" s="224"/>
      <c r="UOQ5" s="224"/>
      <c r="UOR5" s="225"/>
      <c r="UOS5" s="223" t="s">
        <v>44</v>
      </c>
      <c r="UOT5" s="224"/>
      <c r="UOU5" s="224"/>
      <c r="UOV5" s="225"/>
      <c r="UOW5" s="223" t="s">
        <v>44</v>
      </c>
      <c r="UOX5" s="224"/>
      <c r="UOY5" s="224"/>
      <c r="UOZ5" s="225"/>
      <c r="UPA5" s="223" t="s">
        <v>44</v>
      </c>
      <c r="UPB5" s="224"/>
      <c r="UPC5" s="224"/>
      <c r="UPD5" s="225"/>
      <c r="UPE5" s="223" t="s">
        <v>44</v>
      </c>
      <c r="UPF5" s="224"/>
      <c r="UPG5" s="224"/>
      <c r="UPH5" s="225"/>
      <c r="UPI5" s="223" t="s">
        <v>44</v>
      </c>
      <c r="UPJ5" s="224"/>
      <c r="UPK5" s="224"/>
      <c r="UPL5" s="225"/>
      <c r="UPM5" s="223" t="s">
        <v>44</v>
      </c>
      <c r="UPN5" s="224"/>
      <c r="UPO5" s="224"/>
      <c r="UPP5" s="225"/>
      <c r="UPQ5" s="223" t="s">
        <v>44</v>
      </c>
      <c r="UPR5" s="224"/>
      <c r="UPS5" s="224"/>
      <c r="UPT5" s="225"/>
      <c r="UPU5" s="223" t="s">
        <v>44</v>
      </c>
      <c r="UPV5" s="224"/>
      <c r="UPW5" s="224"/>
      <c r="UPX5" s="225"/>
      <c r="UPY5" s="223" t="s">
        <v>44</v>
      </c>
      <c r="UPZ5" s="224"/>
      <c r="UQA5" s="224"/>
      <c r="UQB5" s="225"/>
      <c r="UQC5" s="223" t="s">
        <v>44</v>
      </c>
      <c r="UQD5" s="224"/>
      <c r="UQE5" s="224"/>
      <c r="UQF5" s="225"/>
      <c r="UQG5" s="223" t="s">
        <v>44</v>
      </c>
      <c r="UQH5" s="224"/>
      <c r="UQI5" s="224"/>
      <c r="UQJ5" s="225"/>
      <c r="UQK5" s="223" t="s">
        <v>44</v>
      </c>
      <c r="UQL5" s="224"/>
      <c r="UQM5" s="224"/>
      <c r="UQN5" s="225"/>
      <c r="UQO5" s="223" t="s">
        <v>44</v>
      </c>
      <c r="UQP5" s="224"/>
      <c r="UQQ5" s="224"/>
      <c r="UQR5" s="225"/>
      <c r="UQS5" s="223" t="s">
        <v>44</v>
      </c>
      <c r="UQT5" s="224"/>
      <c r="UQU5" s="224"/>
      <c r="UQV5" s="225"/>
      <c r="UQW5" s="223" t="s">
        <v>44</v>
      </c>
      <c r="UQX5" s="224"/>
      <c r="UQY5" s="224"/>
      <c r="UQZ5" s="225"/>
      <c r="URA5" s="223" t="s">
        <v>44</v>
      </c>
      <c r="URB5" s="224"/>
      <c r="URC5" s="224"/>
      <c r="URD5" s="225"/>
      <c r="URE5" s="223" t="s">
        <v>44</v>
      </c>
      <c r="URF5" s="224"/>
      <c r="URG5" s="224"/>
      <c r="URH5" s="225"/>
      <c r="URI5" s="223" t="s">
        <v>44</v>
      </c>
      <c r="URJ5" s="224"/>
      <c r="URK5" s="224"/>
      <c r="URL5" s="225"/>
      <c r="URM5" s="223" t="s">
        <v>44</v>
      </c>
      <c r="URN5" s="224"/>
      <c r="URO5" s="224"/>
      <c r="URP5" s="225"/>
      <c r="URQ5" s="223" t="s">
        <v>44</v>
      </c>
      <c r="URR5" s="224"/>
      <c r="URS5" s="224"/>
      <c r="URT5" s="225"/>
      <c r="URU5" s="223" t="s">
        <v>44</v>
      </c>
      <c r="URV5" s="224"/>
      <c r="URW5" s="224"/>
      <c r="URX5" s="225"/>
      <c r="URY5" s="223" t="s">
        <v>44</v>
      </c>
      <c r="URZ5" s="224"/>
      <c r="USA5" s="224"/>
      <c r="USB5" s="225"/>
      <c r="USC5" s="223" t="s">
        <v>44</v>
      </c>
      <c r="USD5" s="224"/>
      <c r="USE5" s="224"/>
      <c r="USF5" s="225"/>
      <c r="USG5" s="223" t="s">
        <v>44</v>
      </c>
      <c r="USH5" s="224"/>
      <c r="USI5" s="224"/>
      <c r="USJ5" s="225"/>
      <c r="USK5" s="223" t="s">
        <v>44</v>
      </c>
      <c r="USL5" s="224"/>
      <c r="USM5" s="224"/>
      <c r="USN5" s="225"/>
      <c r="USO5" s="223" t="s">
        <v>44</v>
      </c>
      <c r="USP5" s="224"/>
      <c r="USQ5" s="224"/>
      <c r="USR5" s="225"/>
      <c r="USS5" s="223" t="s">
        <v>44</v>
      </c>
      <c r="UST5" s="224"/>
      <c r="USU5" s="224"/>
      <c r="USV5" s="225"/>
      <c r="USW5" s="223" t="s">
        <v>44</v>
      </c>
      <c r="USX5" s="224"/>
      <c r="USY5" s="224"/>
      <c r="USZ5" s="225"/>
      <c r="UTA5" s="223" t="s">
        <v>44</v>
      </c>
      <c r="UTB5" s="224"/>
      <c r="UTC5" s="224"/>
      <c r="UTD5" s="225"/>
      <c r="UTE5" s="223" t="s">
        <v>44</v>
      </c>
      <c r="UTF5" s="224"/>
      <c r="UTG5" s="224"/>
      <c r="UTH5" s="225"/>
      <c r="UTI5" s="223" t="s">
        <v>44</v>
      </c>
      <c r="UTJ5" s="224"/>
      <c r="UTK5" s="224"/>
      <c r="UTL5" s="225"/>
      <c r="UTM5" s="223" t="s">
        <v>44</v>
      </c>
      <c r="UTN5" s="224"/>
      <c r="UTO5" s="224"/>
      <c r="UTP5" s="225"/>
      <c r="UTQ5" s="223" t="s">
        <v>44</v>
      </c>
      <c r="UTR5" s="224"/>
      <c r="UTS5" s="224"/>
      <c r="UTT5" s="225"/>
      <c r="UTU5" s="223" t="s">
        <v>44</v>
      </c>
      <c r="UTV5" s="224"/>
      <c r="UTW5" s="224"/>
      <c r="UTX5" s="225"/>
      <c r="UTY5" s="223" t="s">
        <v>44</v>
      </c>
      <c r="UTZ5" s="224"/>
      <c r="UUA5" s="224"/>
      <c r="UUB5" s="225"/>
      <c r="UUC5" s="223" t="s">
        <v>44</v>
      </c>
      <c r="UUD5" s="224"/>
      <c r="UUE5" s="224"/>
      <c r="UUF5" s="225"/>
      <c r="UUG5" s="223" t="s">
        <v>44</v>
      </c>
      <c r="UUH5" s="224"/>
      <c r="UUI5" s="224"/>
      <c r="UUJ5" s="225"/>
      <c r="UUK5" s="223" t="s">
        <v>44</v>
      </c>
      <c r="UUL5" s="224"/>
      <c r="UUM5" s="224"/>
      <c r="UUN5" s="225"/>
      <c r="UUO5" s="223" t="s">
        <v>44</v>
      </c>
      <c r="UUP5" s="224"/>
      <c r="UUQ5" s="224"/>
      <c r="UUR5" s="225"/>
      <c r="UUS5" s="223" t="s">
        <v>44</v>
      </c>
      <c r="UUT5" s="224"/>
      <c r="UUU5" s="224"/>
      <c r="UUV5" s="225"/>
      <c r="UUW5" s="223" t="s">
        <v>44</v>
      </c>
      <c r="UUX5" s="224"/>
      <c r="UUY5" s="224"/>
      <c r="UUZ5" s="225"/>
      <c r="UVA5" s="223" t="s">
        <v>44</v>
      </c>
      <c r="UVB5" s="224"/>
      <c r="UVC5" s="224"/>
      <c r="UVD5" s="225"/>
      <c r="UVE5" s="223" t="s">
        <v>44</v>
      </c>
      <c r="UVF5" s="224"/>
      <c r="UVG5" s="224"/>
      <c r="UVH5" s="225"/>
      <c r="UVI5" s="223" t="s">
        <v>44</v>
      </c>
      <c r="UVJ5" s="224"/>
      <c r="UVK5" s="224"/>
      <c r="UVL5" s="225"/>
      <c r="UVM5" s="223" t="s">
        <v>44</v>
      </c>
      <c r="UVN5" s="224"/>
      <c r="UVO5" s="224"/>
      <c r="UVP5" s="225"/>
      <c r="UVQ5" s="223" t="s">
        <v>44</v>
      </c>
      <c r="UVR5" s="224"/>
      <c r="UVS5" s="224"/>
      <c r="UVT5" s="225"/>
      <c r="UVU5" s="223" t="s">
        <v>44</v>
      </c>
      <c r="UVV5" s="224"/>
      <c r="UVW5" s="224"/>
      <c r="UVX5" s="225"/>
      <c r="UVY5" s="223" t="s">
        <v>44</v>
      </c>
      <c r="UVZ5" s="224"/>
      <c r="UWA5" s="224"/>
      <c r="UWB5" s="225"/>
      <c r="UWC5" s="223" t="s">
        <v>44</v>
      </c>
      <c r="UWD5" s="224"/>
      <c r="UWE5" s="224"/>
      <c r="UWF5" s="225"/>
      <c r="UWG5" s="223" t="s">
        <v>44</v>
      </c>
      <c r="UWH5" s="224"/>
      <c r="UWI5" s="224"/>
      <c r="UWJ5" s="225"/>
      <c r="UWK5" s="223" t="s">
        <v>44</v>
      </c>
      <c r="UWL5" s="224"/>
      <c r="UWM5" s="224"/>
      <c r="UWN5" s="225"/>
      <c r="UWO5" s="223" t="s">
        <v>44</v>
      </c>
      <c r="UWP5" s="224"/>
      <c r="UWQ5" s="224"/>
      <c r="UWR5" s="225"/>
      <c r="UWS5" s="223" t="s">
        <v>44</v>
      </c>
      <c r="UWT5" s="224"/>
      <c r="UWU5" s="224"/>
      <c r="UWV5" s="225"/>
      <c r="UWW5" s="223" t="s">
        <v>44</v>
      </c>
      <c r="UWX5" s="224"/>
      <c r="UWY5" s="224"/>
      <c r="UWZ5" s="225"/>
      <c r="UXA5" s="223" t="s">
        <v>44</v>
      </c>
      <c r="UXB5" s="224"/>
      <c r="UXC5" s="224"/>
      <c r="UXD5" s="225"/>
      <c r="UXE5" s="223" t="s">
        <v>44</v>
      </c>
      <c r="UXF5" s="224"/>
      <c r="UXG5" s="224"/>
      <c r="UXH5" s="225"/>
      <c r="UXI5" s="223" t="s">
        <v>44</v>
      </c>
      <c r="UXJ5" s="224"/>
      <c r="UXK5" s="224"/>
      <c r="UXL5" s="225"/>
      <c r="UXM5" s="223" t="s">
        <v>44</v>
      </c>
      <c r="UXN5" s="224"/>
      <c r="UXO5" s="224"/>
      <c r="UXP5" s="225"/>
      <c r="UXQ5" s="223" t="s">
        <v>44</v>
      </c>
      <c r="UXR5" s="224"/>
      <c r="UXS5" s="224"/>
      <c r="UXT5" s="225"/>
      <c r="UXU5" s="223" t="s">
        <v>44</v>
      </c>
      <c r="UXV5" s="224"/>
      <c r="UXW5" s="224"/>
      <c r="UXX5" s="225"/>
      <c r="UXY5" s="223" t="s">
        <v>44</v>
      </c>
      <c r="UXZ5" s="224"/>
      <c r="UYA5" s="224"/>
      <c r="UYB5" s="225"/>
      <c r="UYC5" s="223" t="s">
        <v>44</v>
      </c>
      <c r="UYD5" s="224"/>
      <c r="UYE5" s="224"/>
      <c r="UYF5" s="225"/>
      <c r="UYG5" s="223" t="s">
        <v>44</v>
      </c>
      <c r="UYH5" s="224"/>
      <c r="UYI5" s="224"/>
      <c r="UYJ5" s="225"/>
      <c r="UYK5" s="223" t="s">
        <v>44</v>
      </c>
      <c r="UYL5" s="224"/>
      <c r="UYM5" s="224"/>
      <c r="UYN5" s="225"/>
      <c r="UYO5" s="223" t="s">
        <v>44</v>
      </c>
      <c r="UYP5" s="224"/>
      <c r="UYQ5" s="224"/>
      <c r="UYR5" s="225"/>
      <c r="UYS5" s="223" t="s">
        <v>44</v>
      </c>
      <c r="UYT5" s="224"/>
      <c r="UYU5" s="224"/>
      <c r="UYV5" s="225"/>
      <c r="UYW5" s="223" t="s">
        <v>44</v>
      </c>
      <c r="UYX5" s="224"/>
      <c r="UYY5" s="224"/>
      <c r="UYZ5" s="225"/>
      <c r="UZA5" s="223" t="s">
        <v>44</v>
      </c>
      <c r="UZB5" s="224"/>
      <c r="UZC5" s="224"/>
      <c r="UZD5" s="225"/>
      <c r="UZE5" s="223" t="s">
        <v>44</v>
      </c>
      <c r="UZF5" s="224"/>
      <c r="UZG5" s="224"/>
      <c r="UZH5" s="225"/>
      <c r="UZI5" s="223" t="s">
        <v>44</v>
      </c>
      <c r="UZJ5" s="224"/>
      <c r="UZK5" s="224"/>
      <c r="UZL5" s="225"/>
      <c r="UZM5" s="223" t="s">
        <v>44</v>
      </c>
      <c r="UZN5" s="224"/>
      <c r="UZO5" s="224"/>
      <c r="UZP5" s="225"/>
      <c r="UZQ5" s="223" t="s">
        <v>44</v>
      </c>
      <c r="UZR5" s="224"/>
      <c r="UZS5" s="224"/>
      <c r="UZT5" s="225"/>
      <c r="UZU5" s="223" t="s">
        <v>44</v>
      </c>
      <c r="UZV5" s="224"/>
      <c r="UZW5" s="224"/>
      <c r="UZX5" s="225"/>
      <c r="UZY5" s="223" t="s">
        <v>44</v>
      </c>
      <c r="UZZ5" s="224"/>
      <c r="VAA5" s="224"/>
      <c r="VAB5" s="225"/>
      <c r="VAC5" s="223" t="s">
        <v>44</v>
      </c>
      <c r="VAD5" s="224"/>
      <c r="VAE5" s="224"/>
      <c r="VAF5" s="225"/>
      <c r="VAG5" s="223" t="s">
        <v>44</v>
      </c>
      <c r="VAH5" s="224"/>
      <c r="VAI5" s="224"/>
      <c r="VAJ5" s="225"/>
      <c r="VAK5" s="223" t="s">
        <v>44</v>
      </c>
      <c r="VAL5" s="224"/>
      <c r="VAM5" s="224"/>
      <c r="VAN5" s="225"/>
      <c r="VAO5" s="223" t="s">
        <v>44</v>
      </c>
      <c r="VAP5" s="224"/>
      <c r="VAQ5" s="224"/>
      <c r="VAR5" s="225"/>
      <c r="VAS5" s="223" t="s">
        <v>44</v>
      </c>
      <c r="VAT5" s="224"/>
      <c r="VAU5" s="224"/>
      <c r="VAV5" s="225"/>
      <c r="VAW5" s="223" t="s">
        <v>44</v>
      </c>
      <c r="VAX5" s="224"/>
      <c r="VAY5" s="224"/>
      <c r="VAZ5" s="225"/>
      <c r="VBA5" s="223" t="s">
        <v>44</v>
      </c>
      <c r="VBB5" s="224"/>
      <c r="VBC5" s="224"/>
      <c r="VBD5" s="225"/>
      <c r="VBE5" s="223" t="s">
        <v>44</v>
      </c>
      <c r="VBF5" s="224"/>
      <c r="VBG5" s="224"/>
      <c r="VBH5" s="225"/>
      <c r="VBI5" s="223" t="s">
        <v>44</v>
      </c>
      <c r="VBJ5" s="224"/>
      <c r="VBK5" s="224"/>
      <c r="VBL5" s="225"/>
      <c r="VBM5" s="223" t="s">
        <v>44</v>
      </c>
      <c r="VBN5" s="224"/>
      <c r="VBO5" s="224"/>
      <c r="VBP5" s="225"/>
      <c r="VBQ5" s="223" t="s">
        <v>44</v>
      </c>
      <c r="VBR5" s="224"/>
      <c r="VBS5" s="224"/>
      <c r="VBT5" s="225"/>
      <c r="VBU5" s="223" t="s">
        <v>44</v>
      </c>
      <c r="VBV5" s="224"/>
      <c r="VBW5" s="224"/>
      <c r="VBX5" s="225"/>
      <c r="VBY5" s="223" t="s">
        <v>44</v>
      </c>
      <c r="VBZ5" s="224"/>
      <c r="VCA5" s="224"/>
      <c r="VCB5" s="225"/>
      <c r="VCC5" s="223" t="s">
        <v>44</v>
      </c>
      <c r="VCD5" s="224"/>
      <c r="VCE5" s="224"/>
      <c r="VCF5" s="225"/>
      <c r="VCG5" s="223" t="s">
        <v>44</v>
      </c>
      <c r="VCH5" s="224"/>
      <c r="VCI5" s="224"/>
      <c r="VCJ5" s="225"/>
      <c r="VCK5" s="223" t="s">
        <v>44</v>
      </c>
      <c r="VCL5" s="224"/>
      <c r="VCM5" s="224"/>
      <c r="VCN5" s="225"/>
      <c r="VCO5" s="223" t="s">
        <v>44</v>
      </c>
      <c r="VCP5" s="224"/>
      <c r="VCQ5" s="224"/>
      <c r="VCR5" s="225"/>
      <c r="VCS5" s="223" t="s">
        <v>44</v>
      </c>
      <c r="VCT5" s="224"/>
      <c r="VCU5" s="224"/>
      <c r="VCV5" s="225"/>
      <c r="VCW5" s="223" t="s">
        <v>44</v>
      </c>
      <c r="VCX5" s="224"/>
      <c r="VCY5" s="224"/>
      <c r="VCZ5" s="225"/>
      <c r="VDA5" s="223" t="s">
        <v>44</v>
      </c>
      <c r="VDB5" s="224"/>
      <c r="VDC5" s="224"/>
      <c r="VDD5" s="225"/>
      <c r="VDE5" s="223" t="s">
        <v>44</v>
      </c>
      <c r="VDF5" s="224"/>
      <c r="VDG5" s="224"/>
      <c r="VDH5" s="225"/>
      <c r="VDI5" s="223" t="s">
        <v>44</v>
      </c>
      <c r="VDJ5" s="224"/>
      <c r="VDK5" s="224"/>
      <c r="VDL5" s="225"/>
      <c r="VDM5" s="223" t="s">
        <v>44</v>
      </c>
      <c r="VDN5" s="224"/>
      <c r="VDO5" s="224"/>
      <c r="VDP5" s="225"/>
      <c r="VDQ5" s="223" t="s">
        <v>44</v>
      </c>
      <c r="VDR5" s="224"/>
      <c r="VDS5" s="224"/>
      <c r="VDT5" s="225"/>
      <c r="VDU5" s="223" t="s">
        <v>44</v>
      </c>
      <c r="VDV5" s="224"/>
      <c r="VDW5" s="224"/>
      <c r="VDX5" s="225"/>
      <c r="VDY5" s="223" t="s">
        <v>44</v>
      </c>
      <c r="VDZ5" s="224"/>
      <c r="VEA5" s="224"/>
      <c r="VEB5" s="225"/>
      <c r="VEC5" s="223" t="s">
        <v>44</v>
      </c>
      <c r="VED5" s="224"/>
      <c r="VEE5" s="224"/>
      <c r="VEF5" s="225"/>
      <c r="VEG5" s="223" t="s">
        <v>44</v>
      </c>
      <c r="VEH5" s="224"/>
      <c r="VEI5" s="224"/>
      <c r="VEJ5" s="225"/>
      <c r="VEK5" s="223" t="s">
        <v>44</v>
      </c>
      <c r="VEL5" s="224"/>
      <c r="VEM5" s="224"/>
      <c r="VEN5" s="225"/>
      <c r="VEO5" s="223" t="s">
        <v>44</v>
      </c>
      <c r="VEP5" s="224"/>
      <c r="VEQ5" s="224"/>
      <c r="VER5" s="225"/>
      <c r="VES5" s="223" t="s">
        <v>44</v>
      </c>
      <c r="VET5" s="224"/>
      <c r="VEU5" s="224"/>
      <c r="VEV5" s="225"/>
      <c r="VEW5" s="223" t="s">
        <v>44</v>
      </c>
      <c r="VEX5" s="224"/>
      <c r="VEY5" s="224"/>
      <c r="VEZ5" s="225"/>
      <c r="VFA5" s="223" t="s">
        <v>44</v>
      </c>
      <c r="VFB5" s="224"/>
      <c r="VFC5" s="224"/>
      <c r="VFD5" s="225"/>
      <c r="VFE5" s="223" t="s">
        <v>44</v>
      </c>
      <c r="VFF5" s="224"/>
      <c r="VFG5" s="224"/>
      <c r="VFH5" s="225"/>
      <c r="VFI5" s="223" t="s">
        <v>44</v>
      </c>
      <c r="VFJ5" s="224"/>
      <c r="VFK5" s="224"/>
      <c r="VFL5" s="225"/>
      <c r="VFM5" s="223" t="s">
        <v>44</v>
      </c>
      <c r="VFN5" s="224"/>
      <c r="VFO5" s="224"/>
      <c r="VFP5" s="225"/>
      <c r="VFQ5" s="223" t="s">
        <v>44</v>
      </c>
      <c r="VFR5" s="224"/>
      <c r="VFS5" s="224"/>
      <c r="VFT5" s="225"/>
      <c r="VFU5" s="223" t="s">
        <v>44</v>
      </c>
      <c r="VFV5" s="224"/>
      <c r="VFW5" s="224"/>
      <c r="VFX5" s="225"/>
      <c r="VFY5" s="223" t="s">
        <v>44</v>
      </c>
      <c r="VFZ5" s="224"/>
      <c r="VGA5" s="224"/>
      <c r="VGB5" s="225"/>
      <c r="VGC5" s="223" t="s">
        <v>44</v>
      </c>
      <c r="VGD5" s="224"/>
      <c r="VGE5" s="224"/>
      <c r="VGF5" s="225"/>
      <c r="VGG5" s="223" t="s">
        <v>44</v>
      </c>
      <c r="VGH5" s="224"/>
      <c r="VGI5" s="224"/>
      <c r="VGJ5" s="225"/>
      <c r="VGK5" s="223" t="s">
        <v>44</v>
      </c>
      <c r="VGL5" s="224"/>
      <c r="VGM5" s="224"/>
      <c r="VGN5" s="225"/>
      <c r="VGO5" s="223" t="s">
        <v>44</v>
      </c>
      <c r="VGP5" s="224"/>
      <c r="VGQ5" s="224"/>
      <c r="VGR5" s="225"/>
      <c r="VGS5" s="223" t="s">
        <v>44</v>
      </c>
      <c r="VGT5" s="224"/>
      <c r="VGU5" s="224"/>
      <c r="VGV5" s="225"/>
      <c r="VGW5" s="223" t="s">
        <v>44</v>
      </c>
      <c r="VGX5" s="224"/>
      <c r="VGY5" s="224"/>
      <c r="VGZ5" s="225"/>
      <c r="VHA5" s="223" t="s">
        <v>44</v>
      </c>
      <c r="VHB5" s="224"/>
      <c r="VHC5" s="224"/>
      <c r="VHD5" s="225"/>
      <c r="VHE5" s="223" t="s">
        <v>44</v>
      </c>
      <c r="VHF5" s="224"/>
      <c r="VHG5" s="224"/>
      <c r="VHH5" s="225"/>
      <c r="VHI5" s="223" t="s">
        <v>44</v>
      </c>
      <c r="VHJ5" s="224"/>
      <c r="VHK5" s="224"/>
      <c r="VHL5" s="225"/>
      <c r="VHM5" s="223" t="s">
        <v>44</v>
      </c>
      <c r="VHN5" s="224"/>
      <c r="VHO5" s="224"/>
      <c r="VHP5" s="225"/>
      <c r="VHQ5" s="223" t="s">
        <v>44</v>
      </c>
      <c r="VHR5" s="224"/>
      <c r="VHS5" s="224"/>
      <c r="VHT5" s="225"/>
      <c r="VHU5" s="223" t="s">
        <v>44</v>
      </c>
      <c r="VHV5" s="224"/>
      <c r="VHW5" s="224"/>
      <c r="VHX5" s="225"/>
      <c r="VHY5" s="223" t="s">
        <v>44</v>
      </c>
      <c r="VHZ5" s="224"/>
      <c r="VIA5" s="224"/>
      <c r="VIB5" s="225"/>
      <c r="VIC5" s="223" t="s">
        <v>44</v>
      </c>
      <c r="VID5" s="224"/>
      <c r="VIE5" s="224"/>
      <c r="VIF5" s="225"/>
      <c r="VIG5" s="223" t="s">
        <v>44</v>
      </c>
      <c r="VIH5" s="224"/>
      <c r="VII5" s="224"/>
      <c r="VIJ5" s="225"/>
      <c r="VIK5" s="223" t="s">
        <v>44</v>
      </c>
      <c r="VIL5" s="224"/>
      <c r="VIM5" s="224"/>
      <c r="VIN5" s="225"/>
      <c r="VIO5" s="223" t="s">
        <v>44</v>
      </c>
      <c r="VIP5" s="224"/>
      <c r="VIQ5" s="224"/>
      <c r="VIR5" s="225"/>
      <c r="VIS5" s="223" t="s">
        <v>44</v>
      </c>
      <c r="VIT5" s="224"/>
      <c r="VIU5" s="224"/>
      <c r="VIV5" s="225"/>
      <c r="VIW5" s="223" t="s">
        <v>44</v>
      </c>
      <c r="VIX5" s="224"/>
      <c r="VIY5" s="224"/>
      <c r="VIZ5" s="225"/>
      <c r="VJA5" s="223" t="s">
        <v>44</v>
      </c>
      <c r="VJB5" s="224"/>
      <c r="VJC5" s="224"/>
      <c r="VJD5" s="225"/>
      <c r="VJE5" s="223" t="s">
        <v>44</v>
      </c>
      <c r="VJF5" s="224"/>
      <c r="VJG5" s="224"/>
      <c r="VJH5" s="225"/>
      <c r="VJI5" s="223" t="s">
        <v>44</v>
      </c>
      <c r="VJJ5" s="224"/>
      <c r="VJK5" s="224"/>
      <c r="VJL5" s="225"/>
      <c r="VJM5" s="223" t="s">
        <v>44</v>
      </c>
      <c r="VJN5" s="224"/>
      <c r="VJO5" s="224"/>
      <c r="VJP5" s="225"/>
      <c r="VJQ5" s="223" t="s">
        <v>44</v>
      </c>
      <c r="VJR5" s="224"/>
      <c r="VJS5" s="224"/>
      <c r="VJT5" s="225"/>
      <c r="VJU5" s="223" t="s">
        <v>44</v>
      </c>
      <c r="VJV5" s="224"/>
      <c r="VJW5" s="224"/>
      <c r="VJX5" s="225"/>
      <c r="VJY5" s="223" t="s">
        <v>44</v>
      </c>
      <c r="VJZ5" s="224"/>
      <c r="VKA5" s="224"/>
      <c r="VKB5" s="225"/>
      <c r="VKC5" s="223" t="s">
        <v>44</v>
      </c>
      <c r="VKD5" s="224"/>
      <c r="VKE5" s="224"/>
      <c r="VKF5" s="225"/>
      <c r="VKG5" s="223" t="s">
        <v>44</v>
      </c>
      <c r="VKH5" s="224"/>
      <c r="VKI5" s="224"/>
      <c r="VKJ5" s="225"/>
      <c r="VKK5" s="223" t="s">
        <v>44</v>
      </c>
      <c r="VKL5" s="224"/>
      <c r="VKM5" s="224"/>
      <c r="VKN5" s="225"/>
      <c r="VKO5" s="223" t="s">
        <v>44</v>
      </c>
      <c r="VKP5" s="224"/>
      <c r="VKQ5" s="224"/>
      <c r="VKR5" s="225"/>
      <c r="VKS5" s="223" t="s">
        <v>44</v>
      </c>
      <c r="VKT5" s="224"/>
      <c r="VKU5" s="224"/>
      <c r="VKV5" s="225"/>
      <c r="VKW5" s="223" t="s">
        <v>44</v>
      </c>
      <c r="VKX5" s="224"/>
      <c r="VKY5" s="224"/>
      <c r="VKZ5" s="225"/>
      <c r="VLA5" s="223" t="s">
        <v>44</v>
      </c>
      <c r="VLB5" s="224"/>
      <c r="VLC5" s="224"/>
      <c r="VLD5" s="225"/>
      <c r="VLE5" s="223" t="s">
        <v>44</v>
      </c>
      <c r="VLF5" s="224"/>
      <c r="VLG5" s="224"/>
      <c r="VLH5" s="225"/>
      <c r="VLI5" s="223" t="s">
        <v>44</v>
      </c>
      <c r="VLJ5" s="224"/>
      <c r="VLK5" s="224"/>
      <c r="VLL5" s="225"/>
      <c r="VLM5" s="223" t="s">
        <v>44</v>
      </c>
      <c r="VLN5" s="224"/>
      <c r="VLO5" s="224"/>
      <c r="VLP5" s="225"/>
      <c r="VLQ5" s="223" t="s">
        <v>44</v>
      </c>
      <c r="VLR5" s="224"/>
      <c r="VLS5" s="224"/>
      <c r="VLT5" s="225"/>
      <c r="VLU5" s="223" t="s">
        <v>44</v>
      </c>
      <c r="VLV5" s="224"/>
      <c r="VLW5" s="224"/>
      <c r="VLX5" s="225"/>
      <c r="VLY5" s="223" t="s">
        <v>44</v>
      </c>
      <c r="VLZ5" s="224"/>
      <c r="VMA5" s="224"/>
      <c r="VMB5" s="225"/>
      <c r="VMC5" s="223" t="s">
        <v>44</v>
      </c>
      <c r="VMD5" s="224"/>
      <c r="VME5" s="224"/>
      <c r="VMF5" s="225"/>
      <c r="VMG5" s="223" t="s">
        <v>44</v>
      </c>
      <c r="VMH5" s="224"/>
      <c r="VMI5" s="224"/>
      <c r="VMJ5" s="225"/>
      <c r="VMK5" s="223" t="s">
        <v>44</v>
      </c>
      <c r="VML5" s="224"/>
      <c r="VMM5" s="224"/>
      <c r="VMN5" s="225"/>
      <c r="VMO5" s="223" t="s">
        <v>44</v>
      </c>
      <c r="VMP5" s="224"/>
      <c r="VMQ5" s="224"/>
      <c r="VMR5" s="225"/>
      <c r="VMS5" s="223" t="s">
        <v>44</v>
      </c>
      <c r="VMT5" s="224"/>
      <c r="VMU5" s="224"/>
      <c r="VMV5" s="225"/>
      <c r="VMW5" s="223" t="s">
        <v>44</v>
      </c>
      <c r="VMX5" s="224"/>
      <c r="VMY5" s="224"/>
      <c r="VMZ5" s="225"/>
      <c r="VNA5" s="223" t="s">
        <v>44</v>
      </c>
      <c r="VNB5" s="224"/>
      <c r="VNC5" s="224"/>
      <c r="VND5" s="225"/>
      <c r="VNE5" s="223" t="s">
        <v>44</v>
      </c>
      <c r="VNF5" s="224"/>
      <c r="VNG5" s="224"/>
      <c r="VNH5" s="225"/>
      <c r="VNI5" s="223" t="s">
        <v>44</v>
      </c>
      <c r="VNJ5" s="224"/>
      <c r="VNK5" s="224"/>
      <c r="VNL5" s="225"/>
      <c r="VNM5" s="223" t="s">
        <v>44</v>
      </c>
      <c r="VNN5" s="224"/>
      <c r="VNO5" s="224"/>
      <c r="VNP5" s="225"/>
      <c r="VNQ5" s="223" t="s">
        <v>44</v>
      </c>
      <c r="VNR5" s="224"/>
      <c r="VNS5" s="224"/>
      <c r="VNT5" s="225"/>
      <c r="VNU5" s="223" t="s">
        <v>44</v>
      </c>
      <c r="VNV5" s="224"/>
      <c r="VNW5" s="224"/>
      <c r="VNX5" s="225"/>
      <c r="VNY5" s="223" t="s">
        <v>44</v>
      </c>
      <c r="VNZ5" s="224"/>
      <c r="VOA5" s="224"/>
      <c r="VOB5" s="225"/>
      <c r="VOC5" s="223" t="s">
        <v>44</v>
      </c>
      <c r="VOD5" s="224"/>
      <c r="VOE5" s="224"/>
      <c r="VOF5" s="225"/>
      <c r="VOG5" s="223" t="s">
        <v>44</v>
      </c>
      <c r="VOH5" s="224"/>
      <c r="VOI5" s="224"/>
      <c r="VOJ5" s="225"/>
      <c r="VOK5" s="223" t="s">
        <v>44</v>
      </c>
      <c r="VOL5" s="224"/>
      <c r="VOM5" s="224"/>
      <c r="VON5" s="225"/>
      <c r="VOO5" s="223" t="s">
        <v>44</v>
      </c>
      <c r="VOP5" s="224"/>
      <c r="VOQ5" s="224"/>
      <c r="VOR5" s="225"/>
      <c r="VOS5" s="223" t="s">
        <v>44</v>
      </c>
      <c r="VOT5" s="224"/>
      <c r="VOU5" s="224"/>
      <c r="VOV5" s="225"/>
      <c r="VOW5" s="223" t="s">
        <v>44</v>
      </c>
      <c r="VOX5" s="224"/>
      <c r="VOY5" s="224"/>
      <c r="VOZ5" s="225"/>
      <c r="VPA5" s="223" t="s">
        <v>44</v>
      </c>
      <c r="VPB5" s="224"/>
      <c r="VPC5" s="224"/>
      <c r="VPD5" s="225"/>
      <c r="VPE5" s="223" t="s">
        <v>44</v>
      </c>
      <c r="VPF5" s="224"/>
      <c r="VPG5" s="224"/>
      <c r="VPH5" s="225"/>
      <c r="VPI5" s="223" t="s">
        <v>44</v>
      </c>
      <c r="VPJ5" s="224"/>
      <c r="VPK5" s="224"/>
      <c r="VPL5" s="225"/>
      <c r="VPM5" s="223" t="s">
        <v>44</v>
      </c>
      <c r="VPN5" s="224"/>
      <c r="VPO5" s="224"/>
      <c r="VPP5" s="225"/>
      <c r="VPQ5" s="223" t="s">
        <v>44</v>
      </c>
      <c r="VPR5" s="224"/>
      <c r="VPS5" s="224"/>
      <c r="VPT5" s="225"/>
      <c r="VPU5" s="223" t="s">
        <v>44</v>
      </c>
      <c r="VPV5" s="224"/>
      <c r="VPW5" s="224"/>
      <c r="VPX5" s="225"/>
      <c r="VPY5" s="223" t="s">
        <v>44</v>
      </c>
      <c r="VPZ5" s="224"/>
      <c r="VQA5" s="224"/>
      <c r="VQB5" s="225"/>
      <c r="VQC5" s="223" t="s">
        <v>44</v>
      </c>
      <c r="VQD5" s="224"/>
      <c r="VQE5" s="224"/>
      <c r="VQF5" s="225"/>
      <c r="VQG5" s="223" t="s">
        <v>44</v>
      </c>
      <c r="VQH5" s="224"/>
      <c r="VQI5" s="224"/>
      <c r="VQJ5" s="225"/>
      <c r="VQK5" s="223" t="s">
        <v>44</v>
      </c>
      <c r="VQL5" s="224"/>
      <c r="VQM5" s="224"/>
      <c r="VQN5" s="225"/>
      <c r="VQO5" s="223" t="s">
        <v>44</v>
      </c>
      <c r="VQP5" s="224"/>
      <c r="VQQ5" s="224"/>
      <c r="VQR5" s="225"/>
      <c r="VQS5" s="223" t="s">
        <v>44</v>
      </c>
      <c r="VQT5" s="224"/>
      <c r="VQU5" s="224"/>
      <c r="VQV5" s="225"/>
      <c r="VQW5" s="223" t="s">
        <v>44</v>
      </c>
      <c r="VQX5" s="224"/>
      <c r="VQY5" s="224"/>
      <c r="VQZ5" s="225"/>
      <c r="VRA5" s="223" t="s">
        <v>44</v>
      </c>
      <c r="VRB5" s="224"/>
      <c r="VRC5" s="224"/>
      <c r="VRD5" s="225"/>
      <c r="VRE5" s="223" t="s">
        <v>44</v>
      </c>
      <c r="VRF5" s="224"/>
      <c r="VRG5" s="224"/>
      <c r="VRH5" s="225"/>
      <c r="VRI5" s="223" t="s">
        <v>44</v>
      </c>
      <c r="VRJ5" s="224"/>
      <c r="VRK5" s="224"/>
      <c r="VRL5" s="225"/>
      <c r="VRM5" s="223" t="s">
        <v>44</v>
      </c>
      <c r="VRN5" s="224"/>
      <c r="VRO5" s="224"/>
      <c r="VRP5" s="225"/>
      <c r="VRQ5" s="223" t="s">
        <v>44</v>
      </c>
      <c r="VRR5" s="224"/>
      <c r="VRS5" s="224"/>
      <c r="VRT5" s="225"/>
      <c r="VRU5" s="223" t="s">
        <v>44</v>
      </c>
      <c r="VRV5" s="224"/>
      <c r="VRW5" s="224"/>
      <c r="VRX5" s="225"/>
      <c r="VRY5" s="223" t="s">
        <v>44</v>
      </c>
      <c r="VRZ5" s="224"/>
      <c r="VSA5" s="224"/>
      <c r="VSB5" s="225"/>
      <c r="VSC5" s="223" t="s">
        <v>44</v>
      </c>
      <c r="VSD5" s="224"/>
      <c r="VSE5" s="224"/>
      <c r="VSF5" s="225"/>
      <c r="VSG5" s="223" t="s">
        <v>44</v>
      </c>
      <c r="VSH5" s="224"/>
      <c r="VSI5" s="224"/>
      <c r="VSJ5" s="225"/>
      <c r="VSK5" s="223" t="s">
        <v>44</v>
      </c>
      <c r="VSL5" s="224"/>
      <c r="VSM5" s="224"/>
      <c r="VSN5" s="225"/>
      <c r="VSO5" s="223" t="s">
        <v>44</v>
      </c>
      <c r="VSP5" s="224"/>
      <c r="VSQ5" s="224"/>
      <c r="VSR5" s="225"/>
      <c r="VSS5" s="223" t="s">
        <v>44</v>
      </c>
      <c r="VST5" s="224"/>
      <c r="VSU5" s="224"/>
      <c r="VSV5" s="225"/>
      <c r="VSW5" s="223" t="s">
        <v>44</v>
      </c>
      <c r="VSX5" s="224"/>
      <c r="VSY5" s="224"/>
      <c r="VSZ5" s="225"/>
      <c r="VTA5" s="223" t="s">
        <v>44</v>
      </c>
      <c r="VTB5" s="224"/>
      <c r="VTC5" s="224"/>
      <c r="VTD5" s="225"/>
      <c r="VTE5" s="223" t="s">
        <v>44</v>
      </c>
      <c r="VTF5" s="224"/>
      <c r="VTG5" s="224"/>
      <c r="VTH5" s="225"/>
      <c r="VTI5" s="223" t="s">
        <v>44</v>
      </c>
      <c r="VTJ5" s="224"/>
      <c r="VTK5" s="224"/>
      <c r="VTL5" s="225"/>
      <c r="VTM5" s="223" t="s">
        <v>44</v>
      </c>
      <c r="VTN5" s="224"/>
      <c r="VTO5" s="224"/>
      <c r="VTP5" s="225"/>
      <c r="VTQ5" s="223" t="s">
        <v>44</v>
      </c>
      <c r="VTR5" s="224"/>
      <c r="VTS5" s="224"/>
      <c r="VTT5" s="225"/>
      <c r="VTU5" s="223" t="s">
        <v>44</v>
      </c>
      <c r="VTV5" s="224"/>
      <c r="VTW5" s="224"/>
      <c r="VTX5" s="225"/>
      <c r="VTY5" s="223" t="s">
        <v>44</v>
      </c>
      <c r="VTZ5" s="224"/>
      <c r="VUA5" s="224"/>
      <c r="VUB5" s="225"/>
      <c r="VUC5" s="223" t="s">
        <v>44</v>
      </c>
      <c r="VUD5" s="224"/>
      <c r="VUE5" s="224"/>
      <c r="VUF5" s="225"/>
      <c r="VUG5" s="223" t="s">
        <v>44</v>
      </c>
      <c r="VUH5" s="224"/>
      <c r="VUI5" s="224"/>
      <c r="VUJ5" s="225"/>
      <c r="VUK5" s="223" t="s">
        <v>44</v>
      </c>
      <c r="VUL5" s="224"/>
      <c r="VUM5" s="224"/>
      <c r="VUN5" s="225"/>
      <c r="VUO5" s="223" t="s">
        <v>44</v>
      </c>
      <c r="VUP5" s="224"/>
      <c r="VUQ5" s="224"/>
      <c r="VUR5" s="225"/>
      <c r="VUS5" s="223" t="s">
        <v>44</v>
      </c>
      <c r="VUT5" s="224"/>
      <c r="VUU5" s="224"/>
      <c r="VUV5" s="225"/>
      <c r="VUW5" s="223" t="s">
        <v>44</v>
      </c>
      <c r="VUX5" s="224"/>
      <c r="VUY5" s="224"/>
      <c r="VUZ5" s="225"/>
      <c r="VVA5" s="223" t="s">
        <v>44</v>
      </c>
      <c r="VVB5" s="224"/>
      <c r="VVC5" s="224"/>
      <c r="VVD5" s="225"/>
      <c r="VVE5" s="223" t="s">
        <v>44</v>
      </c>
      <c r="VVF5" s="224"/>
      <c r="VVG5" s="224"/>
      <c r="VVH5" s="225"/>
      <c r="VVI5" s="223" t="s">
        <v>44</v>
      </c>
      <c r="VVJ5" s="224"/>
      <c r="VVK5" s="224"/>
      <c r="VVL5" s="225"/>
      <c r="VVM5" s="223" t="s">
        <v>44</v>
      </c>
      <c r="VVN5" s="224"/>
      <c r="VVO5" s="224"/>
      <c r="VVP5" s="225"/>
      <c r="VVQ5" s="223" t="s">
        <v>44</v>
      </c>
      <c r="VVR5" s="224"/>
      <c r="VVS5" s="224"/>
      <c r="VVT5" s="225"/>
      <c r="VVU5" s="223" t="s">
        <v>44</v>
      </c>
      <c r="VVV5" s="224"/>
      <c r="VVW5" s="224"/>
      <c r="VVX5" s="225"/>
      <c r="VVY5" s="223" t="s">
        <v>44</v>
      </c>
      <c r="VVZ5" s="224"/>
      <c r="VWA5" s="224"/>
      <c r="VWB5" s="225"/>
      <c r="VWC5" s="223" t="s">
        <v>44</v>
      </c>
      <c r="VWD5" s="224"/>
      <c r="VWE5" s="224"/>
      <c r="VWF5" s="225"/>
      <c r="VWG5" s="223" t="s">
        <v>44</v>
      </c>
      <c r="VWH5" s="224"/>
      <c r="VWI5" s="224"/>
      <c r="VWJ5" s="225"/>
      <c r="VWK5" s="223" t="s">
        <v>44</v>
      </c>
      <c r="VWL5" s="224"/>
      <c r="VWM5" s="224"/>
      <c r="VWN5" s="225"/>
      <c r="VWO5" s="223" t="s">
        <v>44</v>
      </c>
      <c r="VWP5" s="224"/>
      <c r="VWQ5" s="224"/>
      <c r="VWR5" s="225"/>
      <c r="VWS5" s="223" t="s">
        <v>44</v>
      </c>
      <c r="VWT5" s="224"/>
      <c r="VWU5" s="224"/>
      <c r="VWV5" s="225"/>
      <c r="VWW5" s="223" t="s">
        <v>44</v>
      </c>
      <c r="VWX5" s="224"/>
      <c r="VWY5" s="224"/>
      <c r="VWZ5" s="225"/>
      <c r="VXA5" s="223" t="s">
        <v>44</v>
      </c>
      <c r="VXB5" s="224"/>
      <c r="VXC5" s="224"/>
      <c r="VXD5" s="225"/>
      <c r="VXE5" s="223" t="s">
        <v>44</v>
      </c>
      <c r="VXF5" s="224"/>
      <c r="VXG5" s="224"/>
      <c r="VXH5" s="225"/>
      <c r="VXI5" s="223" t="s">
        <v>44</v>
      </c>
      <c r="VXJ5" s="224"/>
      <c r="VXK5" s="224"/>
      <c r="VXL5" s="225"/>
      <c r="VXM5" s="223" t="s">
        <v>44</v>
      </c>
      <c r="VXN5" s="224"/>
      <c r="VXO5" s="224"/>
      <c r="VXP5" s="225"/>
      <c r="VXQ5" s="223" t="s">
        <v>44</v>
      </c>
      <c r="VXR5" s="224"/>
      <c r="VXS5" s="224"/>
      <c r="VXT5" s="225"/>
      <c r="VXU5" s="223" t="s">
        <v>44</v>
      </c>
      <c r="VXV5" s="224"/>
      <c r="VXW5" s="224"/>
      <c r="VXX5" s="225"/>
      <c r="VXY5" s="223" t="s">
        <v>44</v>
      </c>
      <c r="VXZ5" s="224"/>
      <c r="VYA5" s="224"/>
      <c r="VYB5" s="225"/>
      <c r="VYC5" s="223" t="s">
        <v>44</v>
      </c>
      <c r="VYD5" s="224"/>
      <c r="VYE5" s="224"/>
      <c r="VYF5" s="225"/>
      <c r="VYG5" s="223" t="s">
        <v>44</v>
      </c>
      <c r="VYH5" s="224"/>
      <c r="VYI5" s="224"/>
      <c r="VYJ5" s="225"/>
      <c r="VYK5" s="223" t="s">
        <v>44</v>
      </c>
      <c r="VYL5" s="224"/>
      <c r="VYM5" s="224"/>
      <c r="VYN5" s="225"/>
      <c r="VYO5" s="223" t="s">
        <v>44</v>
      </c>
      <c r="VYP5" s="224"/>
      <c r="VYQ5" s="224"/>
      <c r="VYR5" s="225"/>
      <c r="VYS5" s="223" t="s">
        <v>44</v>
      </c>
      <c r="VYT5" s="224"/>
      <c r="VYU5" s="224"/>
      <c r="VYV5" s="225"/>
      <c r="VYW5" s="223" t="s">
        <v>44</v>
      </c>
      <c r="VYX5" s="224"/>
      <c r="VYY5" s="224"/>
      <c r="VYZ5" s="225"/>
      <c r="VZA5" s="223" t="s">
        <v>44</v>
      </c>
      <c r="VZB5" s="224"/>
      <c r="VZC5" s="224"/>
      <c r="VZD5" s="225"/>
      <c r="VZE5" s="223" t="s">
        <v>44</v>
      </c>
      <c r="VZF5" s="224"/>
      <c r="VZG5" s="224"/>
      <c r="VZH5" s="225"/>
      <c r="VZI5" s="223" t="s">
        <v>44</v>
      </c>
      <c r="VZJ5" s="224"/>
      <c r="VZK5" s="224"/>
      <c r="VZL5" s="225"/>
      <c r="VZM5" s="223" t="s">
        <v>44</v>
      </c>
      <c r="VZN5" s="224"/>
      <c r="VZO5" s="224"/>
      <c r="VZP5" s="225"/>
      <c r="VZQ5" s="223" t="s">
        <v>44</v>
      </c>
      <c r="VZR5" s="224"/>
      <c r="VZS5" s="224"/>
      <c r="VZT5" s="225"/>
      <c r="VZU5" s="223" t="s">
        <v>44</v>
      </c>
      <c r="VZV5" s="224"/>
      <c r="VZW5" s="224"/>
      <c r="VZX5" s="225"/>
      <c r="VZY5" s="223" t="s">
        <v>44</v>
      </c>
      <c r="VZZ5" s="224"/>
      <c r="WAA5" s="224"/>
      <c r="WAB5" s="225"/>
      <c r="WAC5" s="223" t="s">
        <v>44</v>
      </c>
      <c r="WAD5" s="224"/>
      <c r="WAE5" s="224"/>
      <c r="WAF5" s="225"/>
      <c r="WAG5" s="223" t="s">
        <v>44</v>
      </c>
      <c r="WAH5" s="224"/>
      <c r="WAI5" s="224"/>
      <c r="WAJ5" s="225"/>
      <c r="WAK5" s="223" t="s">
        <v>44</v>
      </c>
      <c r="WAL5" s="224"/>
      <c r="WAM5" s="224"/>
      <c r="WAN5" s="225"/>
      <c r="WAO5" s="223" t="s">
        <v>44</v>
      </c>
      <c r="WAP5" s="224"/>
      <c r="WAQ5" s="224"/>
      <c r="WAR5" s="225"/>
      <c r="WAS5" s="223" t="s">
        <v>44</v>
      </c>
      <c r="WAT5" s="224"/>
      <c r="WAU5" s="224"/>
      <c r="WAV5" s="225"/>
      <c r="WAW5" s="223" t="s">
        <v>44</v>
      </c>
      <c r="WAX5" s="224"/>
      <c r="WAY5" s="224"/>
      <c r="WAZ5" s="225"/>
      <c r="WBA5" s="223" t="s">
        <v>44</v>
      </c>
      <c r="WBB5" s="224"/>
      <c r="WBC5" s="224"/>
      <c r="WBD5" s="225"/>
      <c r="WBE5" s="223" t="s">
        <v>44</v>
      </c>
      <c r="WBF5" s="224"/>
      <c r="WBG5" s="224"/>
      <c r="WBH5" s="225"/>
      <c r="WBI5" s="223" t="s">
        <v>44</v>
      </c>
      <c r="WBJ5" s="224"/>
      <c r="WBK5" s="224"/>
      <c r="WBL5" s="225"/>
      <c r="WBM5" s="223" t="s">
        <v>44</v>
      </c>
      <c r="WBN5" s="224"/>
      <c r="WBO5" s="224"/>
      <c r="WBP5" s="225"/>
      <c r="WBQ5" s="223" t="s">
        <v>44</v>
      </c>
      <c r="WBR5" s="224"/>
      <c r="WBS5" s="224"/>
      <c r="WBT5" s="225"/>
      <c r="WBU5" s="223" t="s">
        <v>44</v>
      </c>
      <c r="WBV5" s="224"/>
      <c r="WBW5" s="224"/>
      <c r="WBX5" s="225"/>
      <c r="WBY5" s="223" t="s">
        <v>44</v>
      </c>
      <c r="WBZ5" s="224"/>
      <c r="WCA5" s="224"/>
      <c r="WCB5" s="225"/>
      <c r="WCC5" s="223" t="s">
        <v>44</v>
      </c>
      <c r="WCD5" s="224"/>
      <c r="WCE5" s="224"/>
      <c r="WCF5" s="225"/>
      <c r="WCG5" s="223" t="s">
        <v>44</v>
      </c>
      <c r="WCH5" s="224"/>
      <c r="WCI5" s="224"/>
      <c r="WCJ5" s="225"/>
      <c r="WCK5" s="223" t="s">
        <v>44</v>
      </c>
      <c r="WCL5" s="224"/>
      <c r="WCM5" s="224"/>
      <c r="WCN5" s="225"/>
      <c r="WCO5" s="223" t="s">
        <v>44</v>
      </c>
      <c r="WCP5" s="224"/>
      <c r="WCQ5" s="224"/>
      <c r="WCR5" s="225"/>
      <c r="WCS5" s="223" t="s">
        <v>44</v>
      </c>
      <c r="WCT5" s="224"/>
      <c r="WCU5" s="224"/>
      <c r="WCV5" s="225"/>
      <c r="WCW5" s="223" t="s">
        <v>44</v>
      </c>
      <c r="WCX5" s="224"/>
      <c r="WCY5" s="224"/>
      <c r="WCZ5" s="225"/>
      <c r="WDA5" s="223" t="s">
        <v>44</v>
      </c>
      <c r="WDB5" s="224"/>
      <c r="WDC5" s="224"/>
      <c r="WDD5" s="225"/>
      <c r="WDE5" s="223" t="s">
        <v>44</v>
      </c>
      <c r="WDF5" s="224"/>
      <c r="WDG5" s="224"/>
      <c r="WDH5" s="225"/>
      <c r="WDI5" s="223" t="s">
        <v>44</v>
      </c>
      <c r="WDJ5" s="224"/>
      <c r="WDK5" s="224"/>
      <c r="WDL5" s="225"/>
      <c r="WDM5" s="223" t="s">
        <v>44</v>
      </c>
      <c r="WDN5" s="224"/>
      <c r="WDO5" s="224"/>
      <c r="WDP5" s="225"/>
      <c r="WDQ5" s="223" t="s">
        <v>44</v>
      </c>
      <c r="WDR5" s="224"/>
      <c r="WDS5" s="224"/>
      <c r="WDT5" s="225"/>
      <c r="WDU5" s="223" t="s">
        <v>44</v>
      </c>
      <c r="WDV5" s="224"/>
      <c r="WDW5" s="224"/>
      <c r="WDX5" s="225"/>
      <c r="WDY5" s="223" t="s">
        <v>44</v>
      </c>
      <c r="WDZ5" s="224"/>
      <c r="WEA5" s="224"/>
      <c r="WEB5" s="225"/>
      <c r="WEC5" s="223" t="s">
        <v>44</v>
      </c>
      <c r="WED5" s="224"/>
      <c r="WEE5" s="224"/>
      <c r="WEF5" s="225"/>
      <c r="WEG5" s="223" t="s">
        <v>44</v>
      </c>
      <c r="WEH5" s="224"/>
      <c r="WEI5" s="224"/>
      <c r="WEJ5" s="225"/>
      <c r="WEK5" s="223" t="s">
        <v>44</v>
      </c>
      <c r="WEL5" s="224"/>
      <c r="WEM5" s="224"/>
      <c r="WEN5" s="225"/>
      <c r="WEO5" s="223" t="s">
        <v>44</v>
      </c>
      <c r="WEP5" s="224"/>
      <c r="WEQ5" s="224"/>
      <c r="WER5" s="225"/>
      <c r="WES5" s="223" t="s">
        <v>44</v>
      </c>
      <c r="WET5" s="224"/>
      <c r="WEU5" s="224"/>
      <c r="WEV5" s="225"/>
      <c r="WEW5" s="223" t="s">
        <v>44</v>
      </c>
      <c r="WEX5" s="224"/>
      <c r="WEY5" s="224"/>
      <c r="WEZ5" s="225"/>
      <c r="WFA5" s="223" t="s">
        <v>44</v>
      </c>
      <c r="WFB5" s="224"/>
      <c r="WFC5" s="224"/>
      <c r="WFD5" s="225"/>
      <c r="WFE5" s="223" t="s">
        <v>44</v>
      </c>
      <c r="WFF5" s="224"/>
      <c r="WFG5" s="224"/>
      <c r="WFH5" s="225"/>
      <c r="WFI5" s="223" t="s">
        <v>44</v>
      </c>
      <c r="WFJ5" s="224"/>
      <c r="WFK5" s="224"/>
      <c r="WFL5" s="225"/>
      <c r="WFM5" s="223" t="s">
        <v>44</v>
      </c>
      <c r="WFN5" s="224"/>
      <c r="WFO5" s="224"/>
      <c r="WFP5" s="225"/>
      <c r="WFQ5" s="223" t="s">
        <v>44</v>
      </c>
      <c r="WFR5" s="224"/>
      <c r="WFS5" s="224"/>
      <c r="WFT5" s="225"/>
      <c r="WFU5" s="223" t="s">
        <v>44</v>
      </c>
      <c r="WFV5" s="224"/>
      <c r="WFW5" s="224"/>
      <c r="WFX5" s="225"/>
      <c r="WFY5" s="223" t="s">
        <v>44</v>
      </c>
      <c r="WFZ5" s="224"/>
      <c r="WGA5" s="224"/>
      <c r="WGB5" s="225"/>
      <c r="WGC5" s="223" t="s">
        <v>44</v>
      </c>
      <c r="WGD5" s="224"/>
      <c r="WGE5" s="224"/>
      <c r="WGF5" s="225"/>
      <c r="WGG5" s="223" t="s">
        <v>44</v>
      </c>
      <c r="WGH5" s="224"/>
      <c r="WGI5" s="224"/>
      <c r="WGJ5" s="225"/>
      <c r="WGK5" s="223" t="s">
        <v>44</v>
      </c>
      <c r="WGL5" s="224"/>
      <c r="WGM5" s="224"/>
      <c r="WGN5" s="225"/>
      <c r="WGO5" s="223" t="s">
        <v>44</v>
      </c>
      <c r="WGP5" s="224"/>
      <c r="WGQ5" s="224"/>
      <c r="WGR5" s="225"/>
      <c r="WGS5" s="223" t="s">
        <v>44</v>
      </c>
      <c r="WGT5" s="224"/>
      <c r="WGU5" s="224"/>
      <c r="WGV5" s="225"/>
      <c r="WGW5" s="223" t="s">
        <v>44</v>
      </c>
      <c r="WGX5" s="224"/>
      <c r="WGY5" s="224"/>
      <c r="WGZ5" s="225"/>
      <c r="WHA5" s="223" t="s">
        <v>44</v>
      </c>
      <c r="WHB5" s="224"/>
      <c r="WHC5" s="224"/>
      <c r="WHD5" s="225"/>
      <c r="WHE5" s="223" t="s">
        <v>44</v>
      </c>
      <c r="WHF5" s="224"/>
      <c r="WHG5" s="224"/>
      <c r="WHH5" s="225"/>
      <c r="WHI5" s="223" t="s">
        <v>44</v>
      </c>
      <c r="WHJ5" s="224"/>
      <c r="WHK5" s="224"/>
      <c r="WHL5" s="225"/>
      <c r="WHM5" s="223" t="s">
        <v>44</v>
      </c>
      <c r="WHN5" s="224"/>
      <c r="WHO5" s="224"/>
      <c r="WHP5" s="225"/>
      <c r="WHQ5" s="223" t="s">
        <v>44</v>
      </c>
      <c r="WHR5" s="224"/>
      <c r="WHS5" s="224"/>
      <c r="WHT5" s="225"/>
      <c r="WHU5" s="223" t="s">
        <v>44</v>
      </c>
      <c r="WHV5" s="224"/>
      <c r="WHW5" s="224"/>
      <c r="WHX5" s="225"/>
      <c r="WHY5" s="223" t="s">
        <v>44</v>
      </c>
      <c r="WHZ5" s="224"/>
      <c r="WIA5" s="224"/>
      <c r="WIB5" s="225"/>
      <c r="WIC5" s="223" t="s">
        <v>44</v>
      </c>
      <c r="WID5" s="224"/>
      <c r="WIE5" s="224"/>
      <c r="WIF5" s="225"/>
      <c r="WIG5" s="223" t="s">
        <v>44</v>
      </c>
      <c r="WIH5" s="224"/>
      <c r="WII5" s="224"/>
      <c r="WIJ5" s="225"/>
      <c r="WIK5" s="223" t="s">
        <v>44</v>
      </c>
      <c r="WIL5" s="224"/>
      <c r="WIM5" s="224"/>
      <c r="WIN5" s="225"/>
      <c r="WIO5" s="223" t="s">
        <v>44</v>
      </c>
      <c r="WIP5" s="224"/>
      <c r="WIQ5" s="224"/>
      <c r="WIR5" s="225"/>
      <c r="WIS5" s="223" t="s">
        <v>44</v>
      </c>
      <c r="WIT5" s="224"/>
      <c r="WIU5" s="224"/>
      <c r="WIV5" s="225"/>
      <c r="WIW5" s="223" t="s">
        <v>44</v>
      </c>
      <c r="WIX5" s="224"/>
      <c r="WIY5" s="224"/>
      <c r="WIZ5" s="225"/>
      <c r="WJA5" s="223" t="s">
        <v>44</v>
      </c>
      <c r="WJB5" s="224"/>
      <c r="WJC5" s="224"/>
      <c r="WJD5" s="225"/>
      <c r="WJE5" s="223" t="s">
        <v>44</v>
      </c>
      <c r="WJF5" s="224"/>
      <c r="WJG5" s="224"/>
      <c r="WJH5" s="225"/>
      <c r="WJI5" s="223" t="s">
        <v>44</v>
      </c>
      <c r="WJJ5" s="224"/>
      <c r="WJK5" s="224"/>
      <c r="WJL5" s="225"/>
      <c r="WJM5" s="223" t="s">
        <v>44</v>
      </c>
      <c r="WJN5" s="224"/>
      <c r="WJO5" s="224"/>
      <c r="WJP5" s="225"/>
      <c r="WJQ5" s="223" t="s">
        <v>44</v>
      </c>
      <c r="WJR5" s="224"/>
      <c r="WJS5" s="224"/>
      <c r="WJT5" s="225"/>
      <c r="WJU5" s="223" t="s">
        <v>44</v>
      </c>
      <c r="WJV5" s="224"/>
      <c r="WJW5" s="224"/>
      <c r="WJX5" s="225"/>
      <c r="WJY5" s="223" t="s">
        <v>44</v>
      </c>
      <c r="WJZ5" s="224"/>
      <c r="WKA5" s="224"/>
      <c r="WKB5" s="225"/>
      <c r="WKC5" s="223" t="s">
        <v>44</v>
      </c>
      <c r="WKD5" s="224"/>
      <c r="WKE5" s="224"/>
      <c r="WKF5" s="225"/>
      <c r="WKG5" s="223" t="s">
        <v>44</v>
      </c>
      <c r="WKH5" s="224"/>
      <c r="WKI5" s="224"/>
      <c r="WKJ5" s="225"/>
      <c r="WKK5" s="223" t="s">
        <v>44</v>
      </c>
      <c r="WKL5" s="224"/>
      <c r="WKM5" s="224"/>
      <c r="WKN5" s="225"/>
      <c r="WKO5" s="223" t="s">
        <v>44</v>
      </c>
      <c r="WKP5" s="224"/>
      <c r="WKQ5" s="224"/>
      <c r="WKR5" s="225"/>
      <c r="WKS5" s="223" t="s">
        <v>44</v>
      </c>
      <c r="WKT5" s="224"/>
      <c r="WKU5" s="224"/>
      <c r="WKV5" s="225"/>
      <c r="WKW5" s="223" t="s">
        <v>44</v>
      </c>
      <c r="WKX5" s="224"/>
      <c r="WKY5" s="224"/>
      <c r="WKZ5" s="225"/>
      <c r="WLA5" s="223" t="s">
        <v>44</v>
      </c>
      <c r="WLB5" s="224"/>
      <c r="WLC5" s="224"/>
      <c r="WLD5" s="225"/>
      <c r="WLE5" s="223" t="s">
        <v>44</v>
      </c>
      <c r="WLF5" s="224"/>
      <c r="WLG5" s="224"/>
      <c r="WLH5" s="225"/>
      <c r="WLI5" s="223" t="s">
        <v>44</v>
      </c>
      <c r="WLJ5" s="224"/>
      <c r="WLK5" s="224"/>
      <c r="WLL5" s="225"/>
      <c r="WLM5" s="223" t="s">
        <v>44</v>
      </c>
      <c r="WLN5" s="224"/>
      <c r="WLO5" s="224"/>
      <c r="WLP5" s="225"/>
      <c r="WLQ5" s="223" t="s">
        <v>44</v>
      </c>
      <c r="WLR5" s="224"/>
      <c r="WLS5" s="224"/>
      <c r="WLT5" s="225"/>
      <c r="WLU5" s="223" t="s">
        <v>44</v>
      </c>
      <c r="WLV5" s="224"/>
      <c r="WLW5" s="224"/>
      <c r="WLX5" s="225"/>
      <c r="WLY5" s="223" t="s">
        <v>44</v>
      </c>
      <c r="WLZ5" s="224"/>
      <c r="WMA5" s="224"/>
      <c r="WMB5" s="225"/>
      <c r="WMC5" s="223" t="s">
        <v>44</v>
      </c>
      <c r="WMD5" s="224"/>
      <c r="WME5" s="224"/>
      <c r="WMF5" s="225"/>
      <c r="WMG5" s="223" t="s">
        <v>44</v>
      </c>
      <c r="WMH5" s="224"/>
      <c r="WMI5" s="224"/>
      <c r="WMJ5" s="225"/>
      <c r="WMK5" s="223" t="s">
        <v>44</v>
      </c>
      <c r="WML5" s="224"/>
      <c r="WMM5" s="224"/>
      <c r="WMN5" s="225"/>
      <c r="WMO5" s="223" t="s">
        <v>44</v>
      </c>
      <c r="WMP5" s="224"/>
      <c r="WMQ5" s="224"/>
      <c r="WMR5" s="225"/>
      <c r="WMS5" s="223" t="s">
        <v>44</v>
      </c>
      <c r="WMT5" s="224"/>
      <c r="WMU5" s="224"/>
      <c r="WMV5" s="225"/>
      <c r="WMW5" s="223" t="s">
        <v>44</v>
      </c>
      <c r="WMX5" s="224"/>
      <c r="WMY5" s="224"/>
      <c r="WMZ5" s="225"/>
      <c r="WNA5" s="223" t="s">
        <v>44</v>
      </c>
      <c r="WNB5" s="224"/>
      <c r="WNC5" s="224"/>
      <c r="WND5" s="225"/>
      <c r="WNE5" s="223" t="s">
        <v>44</v>
      </c>
      <c r="WNF5" s="224"/>
      <c r="WNG5" s="224"/>
      <c r="WNH5" s="225"/>
      <c r="WNI5" s="223" t="s">
        <v>44</v>
      </c>
      <c r="WNJ5" s="224"/>
      <c r="WNK5" s="224"/>
      <c r="WNL5" s="225"/>
      <c r="WNM5" s="223" t="s">
        <v>44</v>
      </c>
      <c r="WNN5" s="224"/>
      <c r="WNO5" s="224"/>
      <c r="WNP5" s="225"/>
      <c r="WNQ5" s="223" t="s">
        <v>44</v>
      </c>
      <c r="WNR5" s="224"/>
      <c r="WNS5" s="224"/>
      <c r="WNT5" s="225"/>
      <c r="WNU5" s="223" t="s">
        <v>44</v>
      </c>
      <c r="WNV5" s="224"/>
      <c r="WNW5" s="224"/>
      <c r="WNX5" s="225"/>
      <c r="WNY5" s="223" t="s">
        <v>44</v>
      </c>
      <c r="WNZ5" s="224"/>
      <c r="WOA5" s="224"/>
      <c r="WOB5" s="225"/>
      <c r="WOC5" s="223" t="s">
        <v>44</v>
      </c>
      <c r="WOD5" s="224"/>
      <c r="WOE5" s="224"/>
      <c r="WOF5" s="225"/>
      <c r="WOG5" s="223" t="s">
        <v>44</v>
      </c>
      <c r="WOH5" s="224"/>
      <c r="WOI5" s="224"/>
      <c r="WOJ5" s="225"/>
      <c r="WOK5" s="223" t="s">
        <v>44</v>
      </c>
      <c r="WOL5" s="224"/>
      <c r="WOM5" s="224"/>
      <c r="WON5" s="225"/>
      <c r="WOO5" s="223" t="s">
        <v>44</v>
      </c>
      <c r="WOP5" s="224"/>
      <c r="WOQ5" s="224"/>
      <c r="WOR5" s="225"/>
      <c r="WOS5" s="223" t="s">
        <v>44</v>
      </c>
      <c r="WOT5" s="224"/>
      <c r="WOU5" s="224"/>
      <c r="WOV5" s="225"/>
      <c r="WOW5" s="223" t="s">
        <v>44</v>
      </c>
      <c r="WOX5" s="224"/>
      <c r="WOY5" s="224"/>
      <c r="WOZ5" s="225"/>
      <c r="WPA5" s="223" t="s">
        <v>44</v>
      </c>
      <c r="WPB5" s="224"/>
      <c r="WPC5" s="224"/>
      <c r="WPD5" s="225"/>
      <c r="WPE5" s="223" t="s">
        <v>44</v>
      </c>
      <c r="WPF5" s="224"/>
      <c r="WPG5" s="224"/>
      <c r="WPH5" s="225"/>
      <c r="WPI5" s="223" t="s">
        <v>44</v>
      </c>
      <c r="WPJ5" s="224"/>
      <c r="WPK5" s="224"/>
      <c r="WPL5" s="225"/>
      <c r="WPM5" s="223" t="s">
        <v>44</v>
      </c>
      <c r="WPN5" s="224"/>
      <c r="WPO5" s="224"/>
      <c r="WPP5" s="225"/>
      <c r="WPQ5" s="223" t="s">
        <v>44</v>
      </c>
      <c r="WPR5" s="224"/>
      <c r="WPS5" s="224"/>
      <c r="WPT5" s="225"/>
      <c r="WPU5" s="223" t="s">
        <v>44</v>
      </c>
      <c r="WPV5" s="224"/>
      <c r="WPW5" s="224"/>
      <c r="WPX5" s="225"/>
      <c r="WPY5" s="223" t="s">
        <v>44</v>
      </c>
      <c r="WPZ5" s="224"/>
      <c r="WQA5" s="224"/>
      <c r="WQB5" s="225"/>
      <c r="WQC5" s="223" t="s">
        <v>44</v>
      </c>
      <c r="WQD5" s="224"/>
      <c r="WQE5" s="224"/>
      <c r="WQF5" s="225"/>
      <c r="WQG5" s="223" t="s">
        <v>44</v>
      </c>
      <c r="WQH5" s="224"/>
      <c r="WQI5" s="224"/>
      <c r="WQJ5" s="225"/>
      <c r="WQK5" s="223" t="s">
        <v>44</v>
      </c>
      <c r="WQL5" s="224"/>
      <c r="WQM5" s="224"/>
      <c r="WQN5" s="225"/>
      <c r="WQO5" s="223" t="s">
        <v>44</v>
      </c>
      <c r="WQP5" s="224"/>
      <c r="WQQ5" s="224"/>
      <c r="WQR5" s="225"/>
      <c r="WQS5" s="223" t="s">
        <v>44</v>
      </c>
      <c r="WQT5" s="224"/>
      <c r="WQU5" s="224"/>
      <c r="WQV5" s="225"/>
      <c r="WQW5" s="223" t="s">
        <v>44</v>
      </c>
      <c r="WQX5" s="224"/>
      <c r="WQY5" s="224"/>
      <c r="WQZ5" s="225"/>
      <c r="WRA5" s="223" t="s">
        <v>44</v>
      </c>
      <c r="WRB5" s="224"/>
      <c r="WRC5" s="224"/>
      <c r="WRD5" s="225"/>
      <c r="WRE5" s="223" t="s">
        <v>44</v>
      </c>
      <c r="WRF5" s="224"/>
      <c r="WRG5" s="224"/>
      <c r="WRH5" s="225"/>
      <c r="WRI5" s="223" t="s">
        <v>44</v>
      </c>
      <c r="WRJ5" s="224"/>
      <c r="WRK5" s="224"/>
      <c r="WRL5" s="225"/>
      <c r="WRM5" s="223" t="s">
        <v>44</v>
      </c>
      <c r="WRN5" s="224"/>
      <c r="WRO5" s="224"/>
      <c r="WRP5" s="225"/>
      <c r="WRQ5" s="223" t="s">
        <v>44</v>
      </c>
      <c r="WRR5" s="224"/>
      <c r="WRS5" s="224"/>
      <c r="WRT5" s="225"/>
      <c r="WRU5" s="223" t="s">
        <v>44</v>
      </c>
      <c r="WRV5" s="224"/>
      <c r="WRW5" s="224"/>
      <c r="WRX5" s="225"/>
      <c r="WRY5" s="223" t="s">
        <v>44</v>
      </c>
      <c r="WRZ5" s="224"/>
      <c r="WSA5" s="224"/>
      <c r="WSB5" s="225"/>
      <c r="WSC5" s="223" t="s">
        <v>44</v>
      </c>
      <c r="WSD5" s="224"/>
      <c r="WSE5" s="224"/>
      <c r="WSF5" s="225"/>
      <c r="WSG5" s="223" t="s">
        <v>44</v>
      </c>
      <c r="WSH5" s="224"/>
      <c r="WSI5" s="224"/>
      <c r="WSJ5" s="225"/>
      <c r="WSK5" s="223" t="s">
        <v>44</v>
      </c>
      <c r="WSL5" s="224"/>
      <c r="WSM5" s="224"/>
      <c r="WSN5" s="225"/>
      <c r="WSO5" s="223" t="s">
        <v>44</v>
      </c>
      <c r="WSP5" s="224"/>
      <c r="WSQ5" s="224"/>
      <c r="WSR5" s="225"/>
      <c r="WSS5" s="223" t="s">
        <v>44</v>
      </c>
      <c r="WST5" s="224"/>
      <c r="WSU5" s="224"/>
      <c r="WSV5" s="225"/>
      <c r="WSW5" s="223" t="s">
        <v>44</v>
      </c>
      <c r="WSX5" s="224"/>
      <c r="WSY5" s="224"/>
      <c r="WSZ5" s="225"/>
      <c r="WTA5" s="223" t="s">
        <v>44</v>
      </c>
      <c r="WTB5" s="224"/>
      <c r="WTC5" s="224"/>
      <c r="WTD5" s="225"/>
      <c r="WTE5" s="223" t="s">
        <v>44</v>
      </c>
      <c r="WTF5" s="224"/>
      <c r="WTG5" s="224"/>
      <c r="WTH5" s="225"/>
      <c r="WTI5" s="223" t="s">
        <v>44</v>
      </c>
      <c r="WTJ5" s="224"/>
      <c r="WTK5" s="224"/>
      <c r="WTL5" s="225"/>
      <c r="WTM5" s="223" t="s">
        <v>44</v>
      </c>
      <c r="WTN5" s="224"/>
      <c r="WTO5" s="224"/>
      <c r="WTP5" s="225"/>
      <c r="WTQ5" s="223" t="s">
        <v>44</v>
      </c>
      <c r="WTR5" s="224"/>
      <c r="WTS5" s="224"/>
      <c r="WTT5" s="225"/>
      <c r="WTU5" s="223" t="s">
        <v>44</v>
      </c>
      <c r="WTV5" s="224"/>
      <c r="WTW5" s="224"/>
      <c r="WTX5" s="225"/>
      <c r="WTY5" s="223" t="s">
        <v>44</v>
      </c>
      <c r="WTZ5" s="224"/>
      <c r="WUA5" s="224"/>
      <c r="WUB5" s="225"/>
      <c r="WUC5" s="223" t="s">
        <v>44</v>
      </c>
      <c r="WUD5" s="224"/>
      <c r="WUE5" s="224"/>
      <c r="WUF5" s="225"/>
      <c r="WUG5" s="223" t="s">
        <v>44</v>
      </c>
      <c r="WUH5" s="224"/>
      <c r="WUI5" s="224"/>
      <c r="WUJ5" s="225"/>
      <c r="WUK5" s="223" t="s">
        <v>44</v>
      </c>
      <c r="WUL5" s="224"/>
      <c r="WUM5" s="224"/>
      <c r="WUN5" s="225"/>
      <c r="WUO5" s="223" t="s">
        <v>44</v>
      </c>
      <c r="WUP5" s="224"/>
      <c r="WUQ5" s="224"/>
      <c r="WUR5" s="225"/>
      <c r="WUS5" s="223" t="s">
        <v>44</v>
      </c>
      <c r="WUT5" s="224"/>
      <c r="WUU5" s="224"/>
      <c r="WUV5" s="225"/>
      <c r="WUW5" s="223" t="s">
        <v>44</v>
      </c>
      <c r="WUX5" s="224"/>
      <c r="WUY5" s="224"/>
      <c r="WUZ5" s="225"/>
      <c r="WVA5" s="223" t="s">
        <v>44</v>
      </c>
      <c r="WVB5" s="224"/>
      <c r="WVC5" s="224"/>
      <c r="WVD5" s="225"/>
      <c r="WVE5" s="223" t="s">
        <v>44</v>
      </c>
      <c r="WVF5" s="224"/>
      <c r="WVG5" s="224"/>
      <c r="WVH5" s="225"/>
      <c r="WVI5" s="223" t="s">
        <v>44</v>
      </c>
      <c r="WVJ5" s="224"/>
      <c r="WVK5" s="224"/>
      <c r="WVL5" s="225"/>
      <c r="WVM5" s="223" t="s">
        <v>44</v>
      </c>
      <c r="WVN5" s="224"/>
      <c r="WVO5" s="224"/>
      <c r="WVP5" s="225"/>
      <c r="WVQ5" s="223" t="s">
        <v>44</v>
      </c>
      <c r="WVR5" s="224"/>
      <c r="WVS5" s="224"/>
      <c r="WVT5" s="225"/>
      <c r="WVU5" s="223" t="s">
        <v>44</v>
      </c>
      <c r="WVV5" s="224"/>
      <c r="WVW5" s="224"/>
      <c r="WVX5" s="225"/>
      <c r="WVY5" s="223" t="s">
        <v>44</v>
      </c>
      <c r="WVZ5" s="224"/>
      <c r="WWA5" s="224"/>
      <c r="WWB5" s="225"/>
      <c r="WWC5" s="223" t="s">
        <v>44</v>
      </c>
      <c r="WWD5" s="224"/>
      <c r="WWE5" s="224"/>
      <c r="WWF5" s="225"/>
      <c r="WWG5" s="223" t="s">
        <v>44</v>
      </c>
      <c r="WWH5" s="224"/>
      <c r="WWI5" s="224"/>
      <c r="WWJ5" s="225"/>
      <c r="WWK5" s="223" t="s">
        <v>44</v>
      </c>
      <c r="WWL5" s="224"/>
      <c r="WWM5" s="224"/>
      <c r="WWN5" s="225"/>
      <c r="WWO5" s="223" t="s">
        <v>44</v>
      </c>
      <c r="WWP5" s="224"/>
      <c r="WWQ5" s="224"/>
      <c r="WWR5" s="225"/>
      <c r="WWS5" s="223" t="s">
        <v>44</v>
      </c>
      <c r="WWT5" s="224"/>
      <c r="WWU5" s="224"/>
      <c r="WWV5" s="225"/>
      <c r="WWW5" s="223" t="s">
        <v>44</v>
      </c>
      <c r="WWX5" s="224"/>
      <c r="WWY5" s="224"/>
      <c r="WWZ5" s="225"/>
      <c r="WXA5" s="223" t="s">
        <v>44</v>
      </c>
      <c r="WXB5" s="224"/>
      <c r="WXC5" s="224"/>
      <c r="WXD5" s="225"/>
      <c r="WXE5" s="223" t="s">
        <v>44</v>
      </c>
      <c r="WXF5" s="224"/>
      <c r="WXG5" s="224"/>
      <c r="WXH5" s="225"/>
      <c r="WXI5" s="223" t="s">
        <v>44</v>
      </c>
      <c r="WXJ5" s="224"/>
      <c r="WXK5" s="224"/>
      <c r="WXL5" s="225"/>
      <c r="WXM5" s="223" t="s">
        <v>44</v>
      </c>
      <c r="WXN5" s="224"/>
      <c r="WXO5" s="224"/>
      <c r="WXP5" s="225"/>
      <c r="WXQ5" s="223" t="s">
        <v>44</v>
      </c>
      <c r="WXR5" s="224"/>
      <c r="WXS5" s="224"/>
      <c r="WXT5" s="225"/>
      <c r="WXU5" s="223" t="s">
        <v>44</v>
      </c>
      <c r="WXV5" s="224"/>
      <c r="WXW5" s="224"/>
      <c r="WXX5" s="225"/>
      <c r="WXY5" s="223" t="s">
        <v>44</v>
      </c>
      <c r="WXZ5" s="224"/>
      <c r="WYA5" s="224"/>
      <c r="WYB5" s="225"/>
      <c r="WYC5" s="223" t="s">
        <v>44</v>
      </c>
      <c r="WYD5" s="224"/>
      <c r="WYE5" s="224"/>
      <c r="WYF5" s="225"/>
      <c r="WYG5" s="223" t="s">
        <v>44</v>
      </c>
      <c r="WYH5" s="224"/>
      <c r="WYI5" s="224"/>
      <c r="WYJ5" s="225"/>
      <c r="WYK5" s="223" t="s">
        <v>44</v>
      </c>
      <c r="WYL5" s="224"/>
      <c r="WYM5" s="224"/>
      <c r="WYN5" s="225"/>
      <c r="WYO5" s="223" t="s">
        <v>44</v>
      </c>
      <c r="WYP5" s="224"/>
      <c r="WYQ5" s="224"/>
      <c r="WYR5" s="225"/>
      <c r="WYS5" s="223" t="s">
        <v>44</v>
      </c>
      <c r="WYT5" s="224"/>
      <c r="WYU5" s="224"/>
      <c r="WYV5" s="225"/>
      <c r="WYW5" s="223" t="s">
        <v>44</v>
      </c>
      <c r="WYX5" s="224"/>
      <c r="WYY5" s="224"/>
      <c r="WYZ5" s="225"/>
      <c r="WZA5" s="223" t="s">
        <v>44</v>
      </c>
      <c r="WZB5" s="224"/>
      <c r="WZC5" s="224"/>
      <c r="WZD5" s="225"/>
      <c r="WZE5" s="223" t="s">
        <v>44</v>
      </c>
      <c r="WZF5" s="224"/>
      <c r="WZG5" s="224"/>
      <c r="WZH5" s="225"/>
      <c r="WZI5" s="223" t="s">
        <v>44</v>
      </c>
      <c r="WZJ5" s="224"/>
      <c r="WZK5" s="224"/>
      <c r="WZL5" s="225"/>
      <c r="WZM5" s="223" t="s">
        <v>44</v>
      </c>
      <c r="WZN5" s="224"/>
      <c r="WZO5" s="224"/>
      <c r="WZP5" s="225"/>
      <c r="WZQ5" s="223" t="s">
        <v>44</v>
      </c>
      <c r="WZR5" s="224"/>
      <c r="WZS5" s="224"/>
      <c r="WZT5" s="225"/>
      <c r="WZU5" s="223" t="s">
        <v>44</v>
      </c>
      <c r="WZV5" s="224"/>
      <c r="WZW5" s="224"/>
      <c r="WZX5" s="225"/>
      <c r="WZY5" s="223" t="s">
        <v>44</v>
      </c>
      <c r="WZZ5" s="224"/>
      <c r="XAA5" s="224"/>
      <c r="XAB5" s="225"/>
      <c r="XAC5" s="223" t="s">
        <v>44</v>
      </c>
      <c r="XAD5" s="224"/>
      <c r="XAE5" s="224"/>
      <c r="XAF5" s="225"/>
      <c r="XAG5" s="223" t="s">
        <v>44</v>
      </c>
      <c r="XAH5" s="224"/>
      <c r="XAI5" s="224"/>
      <c r="XAJ5" s="225"/>
      <c r="XAK5" s="223" t="s">
        <v>44</v>
      </c>
      <c r="XAL5" s="224"/>
      <c r="XAM5" s="224"/>
      <c r="XAN5" s="225"/>
      <c r="XAO5" s="223" t="s">
        <v>44</v>
      </c>
      <c r="XAP5" s="224"/>
      <c r="XAQ5" s="224"/>
      <c r="XAR5" s="225"/>
      <c r="XAS5" s="223" t="s">
        <v>44</v>
      </c>
      <c r="XAT5" s="224"/>
      <c r="XAU5" s="224"/>
      <c r="XAV5" s="225"/>
      <c r="XAW5" s="223" t="s">
        <v>44</v>
      </c>
      <c r="XAX5" s="224"/>
      <c r="XAY5" s="224"/>
      <c r="XAZ5" s="225"/>
      <c r="XBA5" s="223" t="s">
        <v>44</v>
      </c>
      <c r="XBB5" s="224"/>
      <c r="XBC5" s="224"/>
      <c r="XBD5" s="225"/>
      <c r="XBE5" s="223" t="s">
        <v>44</v>
      </c>
      <c r="XBF5" s="224"/>
      <c r="XBG5" s="224"/>
      <c r="XBH5" s="225"/>
      <c r="XBI5" s="223" t="s">
        <v>44</v>
      </c>
      <c r="XBJ5" s="224"/>
      <c r="XBK5" s="224"/>
      <c r="XBL5" s="225"/>
      <c r="XBM5" s="223" t="s">
        <v>44</v>
      </c>
      <c r="XBN5" s="224"/>
      <c r="XBO5" s="224"/>
      <c r="XBP5" s="225"/>
      <c r="XBQ5" s="223" t="s">
        <v>44</v>
      </c>
      <c r="XBR5" s="224"/>
      <c r="XBS5" s="224"/>
      <c r="XBT5" s="225"/>
      <c r="XBU5" s="223" t="s">
        <v>44</v>
      </c>
      <c r="XBV5" s="224"/>
      <c r="XBW5" s="224"/>
      <c r="XBX5" s="225"/>
      <c r="XBY5" s="223" t="s">
        <v>44</v>
      </c>
      <c r="XBZ5" s="224"/>
      <c r="XCA5" s="224"/>
      <c r="XCB5" s="225"/>
      <c r="XCC5" s="223" t="s">
        <v>44</v>
      </c>
      <c r="XCD5" s="224"/>
      <c r="XCE5" s="224"/>
      <c r="XCF5" s="225"/>
      <c r="XCG5" s="223" t="s">
        <v>44</v>
      </c>
      <c r="XCH5" s="224"/>
      <c r="XCI5" s="224"/>
      <c r="XCJ5" s="225"/>
      <c r="XCK5" s="223" t="s">
        <v>44</v>
      </c>
      <c r="XCL5" s="224"/>
      <c r="XCM5" s="224"/>
      <c r="XCN5" s="225"/>
      <c r="XCO5" s="223" t="s">
        <v>44</v>
      </c>
      <c r="XCP5" s="224"/>
      <c r="XCQ5" s="224"/>
      <c r="XCR5" s="225"/>
      <c r="XCS5" s="223" t="s">
        <v>44</v>
      </c>
      <c r="XCT5" s="224"/>
      <c r="XCU5" s="224"/>
      <c r="XCV5" s="225"/>
      <c r="XCW5" s="223" t="s">
        <v>44</v>
      </c>
      <c r="XCX5" s="224"/>
      <c r="XCY5" s="224"/>
      <c r="XCZ5" s="225"/>
      <c r="XDA5" s="223" t="s">
        <v>44</v>
      </c>
      <c r="XDB5" s="224"/>
      <c r="XDC5" s="224"/>
      <c r="XDD5" s="225"/>
      <c r="XDE5" s="223" t="s">
        <v>44</v>
      </c>
      <c r="XDF5" s="224"/>
      <c r="XDG5" s="224"/>
      <c r="XDH5" s="225"/>
      <c r="XDI5" s="223" t="s">
        <v>44</v>
      </c>
      <c r="XDJ5" s="224"/>
      <c r="XDK5" s="224"/>
      <c r="XDL5" s="225"/>
      <c r="XDM5" s="223" t="s">
        <v>44</v>
      </c>
      <c r="XDN5" s="224"/>
      <c r="XDO5" s="224"/>
      <c r="XDP5" s="225"/>
      <c r="XDQ5" s="223" t="s">
        <v>44</v>
      </c>
      <c r="XDR5" s="224"/>
      <c r="XDS5" s="224"/>
      <c r="XDT5" s="225"/>
      <c r="XDU5" s="223" t="s">
        <v>44</v>
      </c>
      <c r="XDV5" s="224"/>
      <c r="XDW5" s="224"/>
      <c r="XDX5" s="225"/>
      <c r="XDY5" s="223" t="s">
        <v>44</v>
      </c>
      <c r="XDZ5" s="224"/>
      <c r="XEA5" s="224"/>
      <c r="XEB5" s="225"/>
      <c r="XEC5" s="223" t="s">
        <v>44</v>
      </c>
      <c r="XED5" s="224"/>
      <c r="XEE5" s="224"/>
      <c r="XEF5" s="225"/>
      <c r="XEG5" s="223" t="s">
        <v>44</v>
      </c>
      <c r="XEH5" s="224"/>
      <c r="XEI5" s="224"/>
      <c r="XEJ5" s="225"/>
      <c r="XEK5" s="223" t="s">
        <v>44</v>
      </c>
      <c r="XEL5" s="224"/>
      <c r="XEM5" s="224"/>
      <c r="XEN5" s="225"/>
      <c r="XEO5" s="223" t="s">
        <v>44</v>
      </c>
      <c r="XEP5" s="224"/>
      <c r="XEQ5" s="224"/>
      <c r="XER5" s="225"/>
      <c r="XES5" s="223" t="s">
        <v>44</v>
      </c>
      <c r="XET5" s="224"/>
      <c r="XEU5" s="224"/>
      <c r="XEV5" s="225"/>
      <c r="XEW5" s="223" t="s">
        <v>44</v>
      </c>
      <c r="XEX5" s="224"/>
      <c r="XEY5" s="224"/>
      <c r="XEZ5" s="225"/>
      <c r="XFA5" s="223" t="s">
        <v>44</v>
      </c>
      <c r="XFB5" s="223"/>
      <c r="XFC5" s="223"/>
      <c r="XFD5" s="223"/>
    </row>
    <row r="6" spans="1:16384" s="4" customFormat="1" ht="300" thickBot="1" x14ac:dyDescent="0.25">
      <c r="A6" s="190" t="s">
        <v>13332</v>
      </c>
      <c r="B6" s="7"/>
    </row>
    <row r="7" spans="1:16384" s="7" customFormat="1" ht="29.25" hidden="1" thickBot="1" x14ac:dyDescent="0.25">
      <c r="A7" s="211" t="s">
        <v>13327</v>
      </c>
    </row>
    <row r="8" spans="1:16384" s="4" customFormat="1" ht="15.75" hidden="1" thickBot="1" x14ac:dyDescent="0.3">
      <c r="A8" s="191"/>
      <c r="B8" s="7"/>
    </row>
    <row r="9" spans="1:16384" s="4" customFormat="1" ht="15.75" thickBot="1" x14ac:dyDescent="0.3">
      <c r="A9" s="192" t="s">
        <v>45</v>
      </c>
      <c r="B9" s="7"/>
    </row>
    <row r="10" spans="1:16384" s="4" customFormat="1" ht="28.5" x14ac:dyDescent="0.2">
      <c r="A10" s="193" t="s">
        <v>12771</v>
      </c>
      <c r="B10" s="7"/>
    </row>
    <row r="11" spans="1:16384" s="4" customFormat="1" x14ac:dyDescent="0.2">
      <c r="A11" s="194" t="s">
        <v>43</v>
      </c>
      <c r="B11" s="7"/>
    </row>
    <row r="12" spans="1:16384" s="7" customFormat="1" hidden="1" x14ac:dyDescent="0.2">
      <c r="A12" s="195" t="s">
        <v>12765</v>
      </c>
    </row>
    <row r="13" spans="1:16384" s="7" customFormat="1" ht="27.95" customHeight="1" x14ac:dyDescent="0.2">
      <c r="A13" s="196" t="s">
        <v>12740</v>
      </c>
    </row>
    <row r="14" spans="1:16384" s="7" customFormat="1" ht="27.95" customHeight="1" x14ac:dyDescent="0.2">
      <c r="A14" s="195" t="s">
        <v>12741</v>
      </c>
    </row>
    <row r="15" spans="1:16384" s="7" customFormat="1" ht="27.95" customHeight="1" x14ac:dyDescent="0.2">
      <c r="A15" s="195" t="s">
        <v>12742</v>
      </c>
    </row>
    <row r="16" spans="1:16384" s="7" customFormat="1" ht="27.95" customHeight="1" x14ac:dyDescent="0.2">
      <c r="A16" s="195" t="s">
        <v>12743</v>
      </c>
    </row>
    <row r="17" spans="1:1" s="7" customFormat="1" ht="27.95" customHeight="1" x14ac:dyDescent="0.2">
      <c r="A17" s="195" t="s">
        <v>12744</v>
      </c>
    </row>
    <row r="18" spans="1:1" s="7" customFormat="1" ht="27.95" customHeight="1" x14ac:dyDescent="0.2">
      <c r="A18" s="195" t="s">
        <v>12745</v>
      </c>
    </row>
    <row r="19" spans="1:1" s="7" customFormat="1" ht="27.95" customHeight="1" x14ac:dyDescent="0.2">
      <c r="A19" s="195" t="s">
        <v>12746</v>
      </c>
    </row>
    <row r="20" spans="1:1" s="7" customFormat="1" ht="27.95" customHeight="1" x14ac:dyDescent="0.2">
      <c r="A20" s="195" t="s">
        <v>12747</v>
      </c>
    </row>
    <row r="21" spans="1:1" s="7" customFormat="1" ht="27.95" customHeight="1" x14ac:dyDescent="0.2">
      <c r="A21" s="195" t="s">
        <v>12748</v>
      </c>
    </row>
    <row r="22" spans="1:1" s="7" customFormat="1" ht="27.95" customHeight="1" x14ac:dyDescent="0.2">
      <c r="A22" s="197" t="s">
        <v>12749</v>
      </c>
    </row>
    <row r="23" spans="1:1" s="7" customFormat="1" ht="27.95" customHeight="1" x14ac:dyDescent="0.2">
      <c r="A23" s="197" t="s">
        <v>12750</v>
      </c>
    </row>
    <row r="24" spans="1:1" s="7" customFormat="1" ht="27.95" customHeight="1" x14ac:dyDescent="0.2">
      <c r="A24" s="197" t="s">
        <v>12751</v>
      </c>
    </row>
    <row r="25" spans="1:1" s="7" customFormat="1" ht="27.95" customHeight="1" x14ac:dyDescent="0.2">
      <c r="A25" s="197" t="s">
        <v>12752</v>
      </c>
    </row>
    <row r="26" spans="1:1" s="7" customFormat="1" ht="27.95" customHeight="1" x14ac:dyDescent="0.2">
      <c r="A26" s="197" t="s">
        <v>12753</v>
      </c>
    </row>
    <row r="27" spans="1:1" s="7" customFormat="1" ht="27.95" customHeight="1" x14ac:dyDescent="0.2">
      <c r="A27" s="197" t="s">
        <v>12754</v>
      </c>
    </row>
    <row r="28" spans="1:1" s="7" customFormat="1" ht="27.95" customHeight="1" x14ac:dyDescent="0.2">
      <c r="A28" s="197" t="s">
        <v>12755</v>
      </c>
    </row>
    <row r="29" spans="1:1" s="7" customFormat="1" ht="27.95" customHeight="1" x14ac:dyDescent="0.2">
      <c r="A29" s="197" t="s">
        <v>12756</v>
      </c>
    </row>
    <row r="30" spans="1:1" s="7" customFormat="1" ht="27.95" customHeight="1" x14ac:dyDescent="0.2">
      <c r="A30" s="197" t="s">
        <v>12757</v>
      </c>
    </row>
    <row r="31" spans="1:1" s="7" customFormat="1" ht="27.95" customHeight="1" x14ac:dyDescent="0.2">
      <c r="A31" s="197" t="s">
        <v>12758</v>
      </c>
    </row>
    <row r="32" spans="1:1" s="7" customFormat="1" ht="27.95" customHeight="1" x14ac:dyDescent="0.2">
      <c r="A32" s="197" t="s">
        <v>12759</v>
      </c>
    </row>
    <row r="33" spans="1:2" s="7" customFormat="1" ht="27.95" customHeight="1" x14ac:dyDescent="0.2">
      <c r="A33" s="197" t="s">
        <v>12760</v>
      </c>
    </row>
    <row r="34" spans="1:2" s="7" customFormat="1" ht="27.95" customHeight="1" x14ac:dyDescent="0.2">
      <c r="A34" s="197" t="s">
        <v>12761</v>
      </c>
    </row>
    <row r="35" spans="1:2" s="7" customFormat="1" ht="27.95" customHeight="1" x14ac:dyDescent="0.2">
      <c r="A35" s="197" t="s">
        <v>12762</v>
      </c>
    </row>
    <row r="36" spans="1:2" s="7" customFormat="1" ht="27.95" customHeight="1" x14ac:dyDescent="0.2">
      <c r="A36" s="197" t="s">
        <v>12763</v>
      </c>
    </row>
    <row r="37" spans="1:2" s="7" customFormat="1" ht="27.95" customHeight="1" thickBot="1" x14ac:dyDescent="0.25">
      <c r="A37" s="198" t="s">
        <v>12764</v>
      </c>
    </row>
    <row r="38" spans="1:2" ht="15.75" thickBot="1" x14ac:dyDescent="0.3">
      <c r="A38" s="191"/>
      <c r="B38" s="7"/>
    </row>
    <row r="39" spans="1:2" ht="15.75" thickBot="1" x14ac:dyDescent="0.3">
      <c r="A39" s="199" t="s">
        <v>12489</v>
      </c>
      <c r="B39" s="7"/>
    </row>
    <row r="40" spans="1:2" ht="101.25" customHeight="1" thickBot="1" x14ac:dyDescent="0.25">
      <c r="A40" s="190" t="s">
        <v>12772</v>
      </c>
      <c r="B40" s="7"/>
    </row>
    <row r="41" spans="1:2" s="7" customFormat="1" ht="15.75" thickBot="1" x14ac:dyDescent="0.3">
      <c r="A41" s="191"/>
    </row>
    <row r="42" spans="1:2" s="7" customFormat="1" ht="15.75" thickBot="1" x14ac:dyDescent="0.3">
      <c r="A42" s="200" t="s">
        <v>12490</v>
      </c>
    </row>
    <row r="43" spans="1:2" s="7" customFormat="1" ht="29.25" customHeight="1" x14ac:dyDescent="0.2">
      <c r="A43" s="201" t="s">
        <v>12491</v>
      </c>
      <c r="B43" s="8"/>
    </row>
    <row r="44" spans="1:2" s="7" customFormat="1" ht="31.5" customHeight="1" x14ac:dyDescent="0.2">
      <c r="A44" s="202" t="s">
        <v>12492</v>
      </c>
      <c r="B44" s="15"/>
    </row>
    <row r="45" spans="1:2" s="7" customFormat="1" ht="90" customHeight="1" x14ac:dyDescent="0.2">
      <c r="A45" s="203" t="s">
        <v>12773</v>
      </c>
      <c r="B45" s="9"/>
    </row>
    <row r="46" spans="1:2" s="10" customFormat="1" ht="17.25" customHeight="1" thickBot="1" x14ac:dyDescent="0.25">
      <c r="A46" s="204" t="s">
        <v>12493</v>
      </c>
      <c r="B46" s="23"/>
    </row>
    <row r="47" spans="1:2" s="7" customFormat="1" ht="15.75" thickBot="1" x14ac:dyDescent="0.3">
      <c r="A47" s="191"/>
    </row>
    <row r="48" spans="1:2" s="7" customFormat="1" ht="15.75" thickBot="1" x14ac:dyDescent="0.3">
      <c r="A48" s="199" t="s">
        <v>12494</v>
      </c>
    </row>
    <row r="49" spans="1:2" s="7" customFormat="1" ht="223.5" customHeight="1" thickBot="1" x14ac:dyDescent="0.25">
      <c r="A49" s="205" t="s">
        <v>12495</v>
      </c>
      <c r="B49" s="16"/>
    </row>
    <row r="55" spans="1:2" x14ac:dyDescent="0.2"/>
    <row r="56" spans="1:2" x14ac:dyDescent="0.2"/>
    <row r="57" spans="1:2" x14ac:dyDescent="0.2"/>
    <row r="58" spans="1:2" x14ac:dyDescent="0.2"/>
    <row r="59" spans="1:2" x14ac:dyDescent="0.2"/>
    <row r="60" spans="1:2" x14ac:dyDescent="0.2"/>
    <row r="61" spans="1:2" x14ac:dyDescent="0.2"/>
    <row r="62" spans="1:2" x14ac:dyDescent="0.2"/>
    <row r="63" spans="1:2" x14ac:dyDescent="0.2"/>
    <row r="64" spans="1:2" x14ac:dyDescent="0.2"/>
    <row r="67" spans="21:31" x14ac:dyDescent="0.2"/>
    <row r="68" spans="21:31" x14ac:dyDescent="0.2"/>
    <row r="69" spans="21:31" ht="15" hidden="1" x14ac:dyDescent="0.25">
      <c r="U69" s="5" t="s">
        <v>12481</v>
      </c>
      <c r="V69" s="5"/>
      <c r="W69" s="5"/>
      <c r="X69" s="5"/>
      <c r="Y69" s="5"/>
      <c r="Z69" s="5"/>
      <c r="AA69" s="5"/>
      <c r="AB69" s="5"/>
      <c r="AC69" s="5"/>
      <c r="AD69" s="5"/>
      <c r="AE69" s="5"/>
    </row>
    <row r="71" spans="21:31" ht="15" hidden="1" x14ac:dyDescent="0.25">
      <c r="U71" s="5" t="s">
        <v>32</v>
      </c>
    </row>
    <row r="72" spans="21:31" hidden="1" x14ac:dyDescent="0.2">
      <c r="U72" s="4" t="s">
        <v>12482</v>
      </c>
    </row>
    <row r="73" spans="21:31" ht="15" hidden="1" x14ac:dyDescent="0.25">
      <c r="U73" s="5" t="s">
        <v>29</v>
      </c>
    </row>
    <row r="74" spans="21:31" ht="15" hidden="1" x14ac:dyDescent="0.25">
      <c r="U74" s="5" t="s">
        <v>33</v>
      </c>
    </row>
    <row r="75" spans="21:31" ht="15" hidden="1" x14ac:dyDescent="0.25">
      <c r="U75" s="5" t="s">
        <v>30</v>
      </c>
    </row>
    <row r="76" spans="21:31" ht="15" hidden="1" x14ac:dyDescent="0.25">
      <c r="U76" s="5" t="s">
        <v>31</v>
      </c>
    </row>
    <row r="77" spans="21:31" ht="15" hidden="1" x14ac:dyDescent="0.25">
      <c r="U77" s="5" t="s">
        <v>34</v>
      </c>
    </row>
    <row r="79" spans="21:31" ht="15" hidden="1" x14ac:dyDescent="0.25">
      <c r="U79" s="5" t="s">
        <v>28</v>
      </c>
    </row>
    <row r="80" spans="21:31" x14ac:dyDescent="0.2"/>
    <row r="81" s="4" customFormat="1" x14ac:dyDescent="0.2"/>
    <row r="82" s="4" customFormat="1" x14ac:dyDescent="0.2"/>
    <row r="83" s="4" customFormat="1" x14ac:dyDescent="0.2"/>
    <row r="84" s="4" customFormat="1" x14ac:dyDescent="0.2"/>
    <row r="85" s="4" customFormat="1" x14ac:dyDescent="0.2"/>
    <row r="86" s="4" customFormat="1" x14ac:dyDescent="0.2"/>
    <row r="88" s="4" customFormat="1" x14ac:dyDescent="0.2"/>
    <row r="89" s="4" customFormat="1" x14ac:dyDescent="0.2"/>
  </sheetData>
  <sheetProtection algorithmName="SHA-512" hashValue="I5S7h7WHMMuZQYfpil6SBhy1fUGfQfMFlZrhks8SZgU7+SfeFw2CB39KawgbYzJaBf1qVGBLDUMuO8myDKqO5w==" saltValue="2nMURONi5uJgEOWvurW+GA==" spinCount="100000" sheet="1" objects="1" scenarios="1" formatColumns="0" formatRows="0" autoFilter="0"/>
  <mergeCells count="20480">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2:D2"/>
    <mergeCell ref="E2:H2"/>
    <mergeCell ref="I2:L2"/>
    <mergeCell ref="M2:P2"/>
    <mergeCell ref="Q2:T2"/>
    <mergeCell ref="U2:X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NU2:NX2"/>
    <mergeCell ref="NY2:OB2"/>
    <mergeCell ref="OC2:OF2"/>
    <mergeCell ref="OG2:OJ2"/>
    <mergeCell ref="OK2:ON2"/>
    <mergeCell ref="OO2:OR2"/>
    <mergeCell ref="MW2:MZ2"/>
    <mergeCell ref="NA2:ND2"/>
    <mergeCell ref="NE2:NH2"/>
    <mergeCell ref="NI2:NL2"/>
    <mergeCell ref="NM2:NP2"/>
    <mergeCell ref="NQ2:NT2"/>
    <mergeCell ref="LY2:MB2"/>
    <mergeCell ref="MC2:MF2"/>
    <mergeCell ref="MG2:MJ2"/>
    <mergeCell ref="MK2:MN2"/>
    <mergeCell ref="MO2:MR2"/>
    <mergeCell ref="MS2:MV2"/>
    <mergeCell ref="LA2:LD2"/>
    <mergeCell ref="LE2:LH2"/>
    <mergeCell ref="LI2:LL2"/>
    <mergeCell ref="LM2:LP2"/>
    <mergeCell ref="LQ2:LT2"/>
    <mergeCell ref="LU2:LX2"/>
    <mergeCell ref="KC2:KF2"/>
    <mergeCell ref="KG2:KJ2"/>
    <mergeCell ref="KK2:KN2"/>
    <mergeCell ref="KO2:KR2"/>
    <mergeCell ref="KS2:KV2"/>
    <mergeCell ref="KW2:KZ2"/>
    <mergeCell ref="JE2:JH2"/>
    <mergeCell ref="JI2:JL2"/>
    <mergeCell ref="JM2:JP2"/>
    <mergeCell ref="JQ2:JT2"/>
    <mergeCell ref="JU2:JX2"/>
    <mergeCell ref="JY2:KB2"/>
    <mergeCell ref="TI2:TL2"/>
    <mergeCell ref="TM2:TP2"/>
    <mergeCell ref="TQ2:TT2"/>
    <mergeCell ref="TU2:TX2"/>
    <mergeCell ref="TY2:UB2"/>
    <mergeCell ref="UC2:UF2"/>
    <mergeCell ref="SK2:SN2"/>
    <mergeCell ref="SO2:SR2"/>
    <mergeCell ref="SS2:SV2"/>
    <mergeCell ref="SW2:SZ2"/>
    <mergeCell ref="TA2:TD2"/>
    <mergeCell ref="TE2:TH2"/>
    <mergeCell ref="RM2:RP2"/>
    <mergeCell ref="RQ2:RT2"/>
    <mergeCell ref="RU2:RX2"/>
    <mergeCell ref="RY2:SB2"/>
    <mergeCell ref="SC2:SF2"/>
    <mergeCell ref="SG2:SJ2"/>
    <mergeCell ref="QO2:QR2"/>
    <mergeCell ref="QS2:QV2"/>
    <mergeCell ref="QW2:QZ2"/>
    <mergeCell ref="RA2:RD2"/>
    <mergeCell ref="RE2:RH2"/>
    <mergeCell ref="RI2:RL2"/>
    <mergeCell ref="PQ2:PT2"/>
    <mergeCell ref="PU2:PX2"/>
    <mergeCell ref="PY2:QB2"/>
    <mergeCell ref="QC2:QF2"/>
    <mergeCell ref="QG2:QJ2"/>
    <mergeCell ref="QK2:QN2"/>
    <mergeCell ref="OS2:OV2"/>
    <mergeCell ref="OW2:OZ2"/>
    <mergeCell ref="PA2:PD2"/>
    <mergeCell ref="PE2:PH2"/>
    <mergeCell ref="PI2:PL2"/>
    <mergeCell ref="PM2:PP2"/>
    <mergeCell ref="YW2:YZ2"/>
    <mergeCell ref="ZA2:ZD2"/>
    <mergeCell ref="ZE2:ZH2"/>
    <mergeCell ref="ZI2:ZL2"/>
    <mergeCell ref="ZM2:ZP2"/>
    <mergeCell ref="ZQ2:ZT2"/>
    <mergeCell ref="XY2:YB2"/>
    <mergeCell ref="YC2:YF2"/>
    <mergeCell ref="YG2:YJ2"/>
    <mergeCell ref="YK2:YN2"/>
    <mergeCell ref="YO2:YR2"/>
    <mergeCell ref="YS2:YV2"/>
    <mergeCell ref="XA2:XD2"/>
    <mergeCell ref="XE2:XH2"/>
    <mergeCell ref="XI2:XL2"/>
    <mergeCell ref="XM2:XP2"/>
    <mergeCell ref="XQ2:XT2"/>
    <mergeCell ref="XU2:XX2"/>
    <mergeCell ref="WC2:WF2"/>
    <mergeCell ref="WG2:WJ2"/>
    <mergeCell ref="WK2:WN2"/>
    <mergeCell ref="WO2:WR2"/>
    <mergeCell ref="WS2:WV2"/>
    <mergeCell ref="WW2:WZ2"/>
    <mergeCell ref="VE2:VH2"/>
    <mergeCell ref="VI2:VL2"/>
    <mergeCell ref="VM2:VP2"/>
    <mergeCell ref="VQ2:VT2"/>
    <mergeCell ref="VU2:VX2"/>
    <mergeCell ref="VY2:WB2"/>
    <mergeCell ref="UG2:UJ2"/>
    <mergeCell ref="UK2:UN2"/>
    <mergeCell ref="UO2:UR2"/>
    <mergeCell ref="US2:UV2"/>
    <mergeCell ref="UW2:UZ2"/>
    <mergeCell ref="VA2:VD2"/>
    <mergeCell ref="AEK2:AEN2"/>
    <mergeCell ref="AEO2:AER2"/>
    <mergeCell ref="AES2:AEV2"/>
    <mergeCell ref="AEW2:AEZ2"/>
    <mergeCell ref="AFA2:AFD2"/>
    <mergeCell ref="AFE2:AFH2"/>
    <mergeCell ref="ADM2:ADP2"/>
    <mergeCell ref="ADQ2:ADT2"/>
    <mergeCell ref="ADU2:ADX2"/>
    <mergeCell ref="ADY2:AEB2"/>
    <mergeCell ref="AEC2:AEF2"/>
    <mergeCell ref="AEG2:AEJ2"/>
    <mergeCell ref="ACO2:ACR2"/>
    <mergeCell ref="ACS2:ACV2"/>
    <mergeCell ref="ACW2:ACZ2"/>
    <mergeCell ref="ADA2:ADD2"/>
    <mergeCell ref="ADE2:ADH2"/>
    <mergeCell ref="ADI2:ADL2"/>
    <mergeCell ref="ABQ2:ABT2"/>
    <mergeCell ref="ABU2:ABX2"/>
    <mergeCell ref="ABY2:ACB2"/>
    <mergeCell ref="ACC2:ACF2"/>
    <mergeCell ref="ACG2:ACJ2"/>
    <mergeCell ref="ACK2:ACN2"/>
    <mergeCell ref="AAS2:AAV2"/>
    <mergeCell ref="AAW2:AAZ2"/>
    <mergeCell ref="ABA2:ABD2"/>
    <mergeCell ref="ABE2:ABH2"/>
    <mergeCell ref="ABI2:ABL2"/>
    <mergeCell ref="ABM2:ABP2"/>
    <mergeCell ref="ZU2:ZX2"/>
    <mergeCell ref="ZY2:AAB2"/>
    <mergeCell ref="AAC2:AAF2"/>
    <mergeCell ref="AAG2:AAJ2"/>
    <mergeCell ref="AAK2:AAN2"/>
    <mergeCell ref="AAO2:AAR2"/>
    <mergeCell ref="AJY2:AKB2"/>
    <mergeCell ref="AKC2:AKF2"/>
    <mergeCell ref="AKG2:AKJ2"/>
    <mergeCell ref="AKK2:AKN2"/>
    <mergeCell ref="AKO2:AKR2"/>
    <mergeCell ref="AKS2:AKV2"/>
    <mergeCell ref="AJA2:AJD2"/>
    <mergeCell ref="AJE2:AJH2"/>
    <mergeCell ref="AJI2:AJL2"/>
    <mergeCell ref="AJM2:AJP2"/>
    <mergeCell ref="AJQ2:AJT2"/>
    <mergeCell ref="AJU2:AJX2"/>
    <mergeCell ref="AIC2:AIF2"/>
    <mergeCell ref="AIG2:AIJ2"/>
    <mergeCell ref="AIK2:AIN2"/>
    <mergeCell ref="AIO2:AIR2"/>
    <mergeCell ref="AIS2:AIV2"/>
    <mergeCell ref="AIW2:AIZ2"/>
    <mergeCell ref="AHE2:AHH2"/>
    <mergeCell ref="AHI2:AHL2"/>
    <mergeCell ref="AHM2:AHP2"/>
    <mergeCell ref="AHQ2:AHT2"/>
    <mergeCell ref="AHU2:AHX2"/>
    <mergeCell ref="AHY2:AIB2"/>
    <mergeCell ref="AGG2:AGJ2"/>
    <mergeCell ref="AGK2:AGN2"/>
    <mergeCell ref="AGO2:AGR2"/>
    <mergeCell ref="AGS2:AGV2"/>
    <mergeCell ref="AGW2:AGZ2"/>
    <mergeCell ref="AHA2:AHD2"/>
    <mergeCell ref="AFI2:AFL2"/>
    <mergeCell ref="AFM2:AFP2"/>
    <mergeCell ref="AFQ2:AFT2"/>
    <mergeCell ref="AFU2:AFX2"/>
    <mergeCell ref="AFY2:AGB2"/>
    <mergeCell ref="AGC2:AGF2"/>
    <mergeCell ref="APM2:APP2"/>
    <mergeCell ref="APQ2:APT2"/>
    <mergeCell ref="APU2:APX2"/>
    <mergeCell ref="APY2:AQB2"/>
    <mergeCell ref="AQC2:AQF2"/>
    <mergeCell ref="AQG2:AQJ2"/>
    <mergeCell ref="AOO2:AOR2"/>
    <mergeCell ref="AOS2:AOV2"/>
    <mergeCell ref="AOW2:AOZ2"/>
    <mergeCell ref="APA2:APD2"/>
    <mergeCell ref="APE2:APH2"/>
    <mergeCell ref="API2:APL2"/>
    <mergeCell ref="ANQ2:ANT2"/>
    <mergeCell ref="ANU2:ANX2"/>
    <mergeCell ref="ANY2:AOB2"/>
    <mergeCell ref="AOC2:AOF2"/>
    <mergeCell ref="AOG2:AOJ2"/>
    <mergeCell ref="AOK2:AON2"/>
    <mergeCell ref="AMS2:AMV2"/>
    <mergeCell ref="AMW2:AMZ2"/>
    <mergeCell ref="ANA2:AND2"/>
    <mergeCell ref="ANE2:ANH2"/>
    <mergeCell ref="ANI2:ANL2"/>
    <mergeCell ref="ANM2:ANP2"/>
    <mergeCell ref="ALU2:ALX2"/>
    <mergeCell ref="ALY2:AMB2"/>
    <mergeCell ref="AMC2:AMF2"/>
    <mergeCell ref="AMG2:AMJ2"/>
    <mergeCell ref="AMK2:AMN2"/>
    <mergeCell ref="AMO2:AMR2"/>
    <mergeCell ref="AKW2:AKZ2"/>
    <mergeCell ref="ALA2:ALD2"/>
    <mergeCell ref="ALE2:ALH2"/>
    <mergeCell ref="ALI2:ALL2"/>
    <mergeCell ref="ALM2:ALP2"/>
    <mergeCell ref="ALQ2:ALT2"/>
    <mergeCell ref="AVA2:AVD2"/>
    <mergeCell ref="AVE2:AVH2"/>
    <mergeCell ref="AVI2:AVL2"/>
    <mergeCell ref="AVM2:AVP2"/>
    <mergeCell ref="AVQ2:AVT2"/>
    <mergeCell ref="AVU2:AVX2"/>
    <mergeCell ref="AUC2:AUF2"/>
    <mergeCell ref="AUG2:AUJ2"/>
    <mergeCell ref="AUK2:AUN2"/>
    <mergeCell ref="AUO2:AUR2"/>
    <mergeCell ref="AUS2:AUV2"/>
    <mergeCell ref="AUW2:AUZ2"/>
    <mergeCell ref="ATE2:ATH2"/>
    <mergeCell ref="ATI2:ATL2"/>
    <mergeCell ref="ATM2:ATP2"/>
    <mergeCell ref="ATQ2:ATT2"/>
    <mergeCell ref="ATU2:ATX2"/>
    <mergeCell ref="ATY2:AUB2"/>
    <mergeCell ref="ASG2:ASJ2"/>
    <mergeCell ref="ASK2:ASN2"/>
    <mergeCell ref="ASO2:ASR2"/>
    <mergeCell ref="ASS2:ASV2"/>
    <mergeCell ref="ASW2:ASZ2"/>
    <mergeCell ref="ATA2:ATD2"/>
    <mergeCell ref="ARI2:ARL2"/>
    <mergeCell ref="ARM2:ARP2"/>
    <mergeCell ref="ARQ2:ART2"/>
    <mergeCell ref="ARU2:ARX2"/>
    <mergeCell ref="ARY2:ASB2"/>
    <mergeCell ref="ASC2:ASF2"/>
    <mergeCell ref="AQK2:AQN2"/>
    <mergeCell ref="AQO2:AQR2"/>
    <mergeCell ref="AQS2:AQV2"/>
    <mergeCell ref="AQW2:AQZ2"/>
    <mergeCell ref="ARA2:ARD2"/>
    <mergeCell ref="ARE2:ARH2"/>
    <mergeCell ref="BAO2:BAR2"/>
    <mergeCell ref="BAS2:BAV2"/>
    <mergeCell ref="BAW2:BAZ2"/>
    <mergeCell ref="BBA2:BBD2"/>
    <mergeCell ref="BBE2:BBH2"/>
    <mergeCell ref="BBI2:BBL2"/>
    <mergeCell ref="AZQ2:AZT2"/>
    <mergeCell ref="AZU2:AZX2"/>
    <mergeCell ref="AZY2:BAB2"/>
    <mergeCell ref="BAC2:BAF2"/>
    <mergeCell ref="BAG2:BAJ2"/>
    <mergeCell ref="BAK2:BAN2"/>
    <mergeCell ref="AYS2:AYV2"/>
    <mergeCell ref="AYW2:AYZ2"/>
    <mergeCell ref="AZA2:AZD2"/>
    <mergeCell ref="AZE2:AZH2"/>
    <mergeCell ref="AZI2:AZL2"/>
    <mergeCell ref="AZM2:AZP2"/>
    <mergeCell ref="AXU2:AXX2"/>
    <mergeCell ref="AXY2:AYB2"/>
    <mergeCell ref="AYC2:AYF2"/>
    <mergeCell ref="AYG2:AYJ2"/>
    <mergeCell ref="AYK2:AYN2"/>
    <mergeCell ref="AYO2:AYR2"/>
    <mergeCell ref="AWW2:AWZ2"/>
    <mergeCell ref="AXA2:AXD2"/>
    <mergeCell ref="AXE2:AXH2"/>
    <mergeCell ref="AXI2:AXL2"/>
    <mergeCell ref="AXM2:AXP2"/>
    <mergeCell ref="AXQ2:AXT2"/>
    <mergeCell ref="AVY2:AWB2"/>
    <mergeCell ref="AWC2:AWF2"/>
    <mergeCell ref="AWG2:AWJ2"/>
    <mergeCell ref="AWK2:AWN2"/>
    <mergeCell ref="AWO2:AWR2"/>
    <mergeCell ref="AWS2:AWV2"/>
    <mergeCell ref="BGC2:BGF2"/>
    <mergeCell ref="BGG2:BGJ2"/>
    <mergeCell ref="BGK2:BGN2"/>
    <mergeCell ref="BGO2:BGR2"/>
    <mergeCell ref="BGS2:BGV2"/>
    <mergeCell ref="BGW2:BGZ2"/>
    <mergeCell ref="BFE2:BFH2"/>
    <mergeCell ref="BFI2:BFL2"/>
    <mergeCell ref="BFM2:BFP2"/>
    <mergeCell ref="BFQ2:BFT2"/>
    <mergeCell ref="BFU2:BFX2"/>
    <mergeCell ref="BFY2:BGB2"/>
    <mergeCell ref="BEG2:BEJ2"/>
    <mergeCell ref="BEK2:BEN2"/>
    <mergeCell ref="BEO2:BER2"/>
    <mergeCell ref="BES2:BEV2"/>
    <mergeCell ref="BEW2:BEZ2"/>
    <mergeCell ref="BFA2:BFD2"/>
    <mergeCell ref="BDI2:BDL2"/>
    <mergeCell ref="BDM2:BDP2"/>
    <mergeCell ref="BDQ2:BDT2"/>
    <mergeCell ref="BDU2:BDX2"/>
    <mergeCell ref="BDY2:BEB2"/>
    <mergeCell ref="BEC2:BEF2"/>
    <mergeCell ref="BCK2:BCN2"/>
    <mergeCell ref="BCO2:BCR2"/>
    <mergeCell ref="BCS2:BCV2"/>
    <mergeCell ref="BCW2:BCZ2"/>
    <mergeCell ref="BDA2:BDD2"/>
    <mergeCell ref="BDE2:BDH2"/>
    <mergeCell ref="BBM2:BBP2"/>
    <mergeCell ref="BBQ2:BBT2"/>
    <mergeCell ref="BBU2:BBX2"/>
    <mergeCell ref="BBY2:BCB2"/>
    <mergeCell ref="BCC2:BCF2"/>
    <mergeCell ref="BCG2:BCJ2"/>
    <mergeCell ref="BLQ2:BLT2"/>
    <mergeCell ref="BLU2:BLX2"/>
    <mergeCell ref="BLY2:BMB2"/>
    <mergeCell ref="BMC2:BMF2"/>
    <mergeCell ref="BMG2:BMJ2"/>
    <mergeCell ref="BMK2:BMN2"/>
    <mergeCell ref="BKS2:BKV2"/>
    <mergeCell ref="BKW2:BKZ2"/>
    <mergeCell ref="BLA2:BLD2"/>
    <mergeCell ref="BLE2:BLH2"/>
    <mergeCell ref="BLI2:BLL2"/>
    <mergeCell ref="BLM2:BLP2"/>
    <mergeCell ref="BJU2:BJX2"/>
    <mergeCell ref="BJY2:BKB2"/>
    <mergeCell ref="BKC2:BKF2"/>
    <mergeCell ref="BKG2:BKJ2"/>
    <mergeCell ref="BKK2:BKN2"/>
    <mergeCell ref="BKO2:BKR2"/>
    <mergeCell ref="BIW2:BIZ2"/>
    <mergeCell ref="BJA2:BJD2"/>
    <mergeCell ref="BJE2:BJH2"/>
    <mergeCell ref="BJI2:BJL2"/>
    <mergeCell ref="BJM2:BJP2"/>
    <mergeCell ref="BJQ2:BJT2"/>
    <mergeCell ref="BHY2:BIB2"/>
    <mergeCell ref="BIC2:BIF2"/>
    <mergeCell ref="BIG2:BIJ2"/>
    <mergeCell ref="BIK2:BIN2"/>
    <mergeCell ref="BIO2:BIR2"/>
    <mergeCell ref="BIS2:BIV2"/>
    <mergeCell ref="BHA2:BHD2"/>
    <mergeCell ref="BHE2:BHH2"/>
    <mergeCell ref="BHI2:BHL2"/>
    <mergeCell ref="BHM2:BHP2"/>
    <mergeCell ref="BHQ2:BHT2"/>
    <mergeCell ref="BHU2:BHX2"/>
    <mergeCell ref="BRE2:BRH2"/>
    <mergeCell ref="BRI2:BRL2"/>
    <mergeCell ref="BRM2:BRP2"/>
    <mergeCell ref="BRQ2:BRT2"/>
    <mergeCell ref="BRU2:BRX2"/>
    <mergeCell ref="BRY2:BSB2"/>
    <mergeCell ref="BQG2:BQJ2"/>
    <mergeCell ref="BQK2:BQN2"/>
    <mergeCell ref="BQO2:BQR2"/>
    <mergeCell ref="BQS2:BQV2"/>
    <mergeCell ref="BQW2:BQZ2"/>
    <mergeCell ref="BRA2:BRD2"/>
    <mergeCell ref="BPI2:BPL2"/>
    <mergeCell ref="BPM2:BPP2"/>
    <mergeCell ref="BPQ2:BPT2"/>
    <mergeCell ref="BPU2:BPX2"/>
    <mergeCell ref="BPY2:BQB2"/>
    <mergeCell ref="BQC2:BQF2"/>
    <mergeCell ref="BOK2:BON2"/>
    <mergeCell ref="BOO2:BOR2"/>
    <mergeCell ref="BOS2:BOV2"/>
    <mergeCell ref="BOW2:BOZ2"/>
    <mergeCell ref="BPA2:BPD2"/>
    <mergeCell ref="BPE2:BPH2"/>
    <mergeCell ref="BNM2:BNP2"/>
    <mergeCell ref="BNQ2:BNT2"/>
    <mergeCell ref="BNU2:BNX2"/>
    <mergeCell ref="BNY2:BOB2"/>
    <mergeCell ref="BOC2:BOF2"/>
    <mergeCell ref="BOG2:BOJ2"/>
    <mergeCell ref="BMO2:BMR2"/>
    <mergeCell ref="BMS2:BMV2"/>
    <mergeCell ref="BMW2:BMZ2"/>
    <mergeCell ref="BNA2:BND2"/>
    <mergeCell ref="BNE2:BNH2"/>
    <mergeCell ref="BNI2:BNL2"/>
    <mergeCell ref="BWS2:BWV2"/>
    <mergeCell ref="BWW2:BWZ2"/>
    <mergeCell ref="BXA2:BXD2"/>
    <mergeCell ref="BXE2:BXH2"/>
    <mergeCell ref="BXI2:BXL2"/>
    <mergeCell ref="BXM2:BXP2"/>
    <mergeCell ref="BVU2:BVX2"/>
    <mergeCell ref="BVY2:BWB2"/>
    <mergeCell ref="BWC2:BWF2"/>
    <mergeCell ref="BWG2:BWJ2"/>
    <mergeCell ref="BWK2:BWN2"/>
    <mergeCell ref="BWO2:BWR2"/>
    <mergeCell ref="BUW2:BUZ2"/>
    <mergeCell ref="BVA2:BVD2"/>
    <mergeCell ref="BVE2:BVH2"/>
    <mergeCell ref="BVI2:BVL2"/>
    <mergeCell ref="BVM2:BVP2"/>
    <mergeCell ref="BVQ2:BVT2"/>
    <mergeCell ref="BTY2:BUB2"/>
    <mergeCell ref="BUC2:BUF2"/>
    <mergeCell ref="BUG2:BUJ2"/>
    <mergeCell ref="BUK2:BUN2"/>
    <mergeCell ref="BUO2:BUR2"/>
    <mergeCell ref="BUS2:BUV2"/>
    <mergeCell ref="BTA2:BTD2"/>
    <mergeCell ref="BTE2:BTH2"/>
    <mergeCell ref="BTI2:BTL2"/>
    <mergeCell ref="BTM2:BTP2"/>
    <mergeCell ref="BTQ2:BTT2"/>
    <mergeCell ref="BTU2:BTX2"/>
    <mergeCell ref="BSC2:BSF2"/>
    <mergeCell ref="BSG2:BSJ2"/>
    <mergeCell ref="BSK2:BSN2"/>
    <mergeCell ref="BSO2:BSR2"/>
    <mergeCell ref="BSS2:BSV2"/>
    <mergeCell ref="BSW2:BSZ2"/>
    <mergeCell ref="CCG2:CCJ2"/>
    <mergeCell ref="CCK2:CCN2"/>
    <mergeCell ref="CCO2:CCR2"/>
    <mergeCell ref="CCS2:CCV2"/>
    <mergeCell ref="CCW2:CCZ2"/>
    <mergeCell ref="CDA2:CDD2"/>
    <mergeCell ref="CBI2:CBL2"/>
    <mergeCell ref="CBM2:CBP2"/>
    <mergeCell ref="CBQ2:CBT2"/>
    <mergeCell ref="CBU2:CBX2"/>
    <mergeCell ref="CBY2:CCB2"/>
    <mergeCell ref="CCC2:CCF2"/>
    <mergeCell ref="CAK2:CAN2"/>
    <mergeCell ref="CAO2:CAR2"/>
    <mergeCell ref="CAS2:CAV2"/>
    <mergeCell ref="CAW2:CAZ2"/>
    <mergeCell ref="CBA2:CBD2"/>
    <mergeCell ref="CBE2:CBH2"/>
    <mergeCell ref="BZM2:BZP2"/>
    <mergeCell ref="BZQ2:BZT2"/>
    <mergeCell ref="BZU2:BZX2"/>
    <mergeCell ref="BZY2:CAB2"/>
    <mergeCell ref="CAC2:CAF2"/>
    <mergeCell ref="CAG2:CAJ2"/>
    <mergeCell ref="BYO2:BYR2"/>
    <mergeCell ref="BYS2:BYV2"/>
    <mergeCell ref="BYW2:BYZ2"/>
    <mergeCell ref="BZA2:BZD2"/>
    <mergeCell ref="BZE2:BZH2"/>
    <mergeCell ref="BZI2:BZL2"/>
    <mergeCell ref="BXQ2:BXT2"/>
    <mergeCell ref="BXU2:BXX2"/>
    <mergeCell ref="BXY2:BYB2"/>
    <mergeCell ref="BYC2:BYF2"/>
    <mergeCell ref="BYG2:BYJ2"/>
    <mergeCell ref="BYK2:BYN2"/>
    <mergeCell ref="CHU2:CHX2"/>
    <mergeCell ref="CHY2:CIB2"/>
    <mergeCell ref="CIC2:CIF2"/>
    <mergeCell ref="CIG2:CIJ2"/>
    <mergeCell ref="CIK2:CIN2"/>
    <mergeCell ref="CIO2:CIR2"/>
    <mergeCell ref="CGW2:CGZ2"/>
    <mergeCell ref="CHA2:CHD2"/>
    <mergeCell ref="CHE2:CHH2"/>
    <mergeCell ref="CHI2:CHL2"/>
    <mergeCell ref="CHM2:CHP2"/>
    <mergeCell ref="CHQ2:CHT2"/>
    <mergeCell ref="CFY2:CGB2"/>
    <mergeCell ref="CGC2:CGF2"/>
    <mergeCell ref="CGG2:CGJ2"/>
    <mergeCell ref="CGK2:CGN2"/>
    <mergeCell ref="CGO2:CGR2"/>
    <mergeCell ref="CGS2:CGV2"/>
    <mergeCell ref="CFA2:CFD2"/>
    <mergeCell ref="CFE2:CFH2"/>
    <mergeCell ref="CFI2:CFL2"/>
    <mergeCell ref="CFM2:CFP2"/>
    <mergeCell ref="CFQ2:CFT2"/>
    <mergeCell ref="CFU2:CFX2"/>
    <mergeCell ref="CEC2:CEF2"/>
    <mergeCell ref="CEG2:CEJ2"/>
    <mergeCell ref="CEK2:CEN2"/>
    <mergeCell ref="CEO2:CER2"/>
    <mergeCell ref="CES2:CEV2"/>
    <mergeCell ref="CEW2:CEZ2"/>
    <mergeCell ref="CDE2:CDH2"/>
    <mergeCell ref="CDI2:CDL2"/>
    <mergeCell ref="CDM2:CDP2"/>
    <mergeCell ref="CDQ2:CDT2"/>
    <mergeCell ref="CDU2:CDX2"/>
    <mergeCell ref="CDY2:CEB2"/>
    <mergeCell ref="CNI2:CNL2"/>
    <mergeCell ref="CNM2:CNP2"/>
    <mergeCell ref="CNQ2:CNT2"/>
    <mergeCell ref="CNU2:CNX2"/>
    <mergeCell ref="CNY2:COB2"/>
    <mergeCell ref="COC2:COF2"/>
    <mergeCell ref="CMK2:CMN2"/>
    <mergeCell ref="CMO2:CMR2"/>
    <mergeCell ref="CMS2:CMV2"/>
    <mergeCell ref="CMW2:CMZ2"/>
    <mergeCell ref="CNA2:CND2"/>
    <mergeCell ref="CNE2:CNH2"/>
    <mergeCell ref="CLM2:CLP2"/>
    <mergeCell ref="CLQ2:CLT2"/>
    <mergeCell ref="CLU2:CLX2"/>
    <mergeCell ref="CLY2:CMB2"/>
    <mergeCell ref="CMC2:CMF2"/>
    <mergeCell ref="CMG2:CMJ2"/>
    <mergeCell ref="CKO2:CKR2"/>
    <mergeCell ref="CKS2:CKV2"/>
    <mergeCell ref="CKW2:CKZ2"/>
    <mergeCell ref="CLA2:CLD2"/>
    <mergeCell ref="CLE2:CLH2"/>
    <mergeCell ref="CLI2:CLL2"/>
    <mergeCell ref="CJQ2:CJT2"/>
    <mergeCell ref="CJU2:CJX2"/>
    <mergeCell ref="CJY2:CKB2"/>
    <mergeCell ref="CKC2:CKF2"/>
    <mergeCell ref="CKG2:CKJ2"/>
    <mergeCell ref="CKK2:CKN2"/>
    <mergeCell ref="CIS2:CIV2"/>
    <mergeCell ref="CIW2:CIZ2"/>
    <mergeCell ref="CJA2:CJD2"/>
    <mergeCell ref="CJE2:CJH2"/>
    <mergeCell ref="CJI2:CJL2"/>
    <mergeCell ref="CJM2:CJP2"/>
    <mergeCell ref="CSW2:CSZ2"/>
    <mergeCell ref="CTA2:CTD2"/>
    <mergeCell ref="CTE2:CTH2"/>
    <mergeCell ref="CTI2:CTL2"/>
    <mergeCell ref="CTM2:CTP2"/>
    <mergeCell ref="CTQ2:CTT2"/>
    <mergeCell ref="CRY2:CSB2"/>
    <mergeCell ref="CSC2:CSF2"/>
    <mergeCell ref="CSG2:CSJ2"/>
    <mergeCell ref="CSK2:CSN2"/>
    <mergeCell ref="CSO2:CSR2"/>
    <mergeCell ref="CSS2:CSV2"/>
    <mergeCell ref="CRA2:CRD2"/>
    <mergeCell ref="CRE2:CRH2"/>
    <mergeCell ref="CRI2:CRL2"/>
    <mergeCell ref="CRM2:CRP2"/>
    <mergeCell ref="CRQ2:CRT2"/>
    <mergeCell ref="CRU2:CRX2"/>
    <mergeCell ref="CQC2:CQF2"/>
    <mergeCell ref="CQG2:CQJ2"/>
    <mergeCell ref="CQK2:CQN2"/>
    <mergeCell ref="CQO2:CQR2"/>
    <mergeCell ref="CQS2:CQV2"/>
    <mergeCell ref="CQW2:CQZ2"/>
    <mergeCell ref="CPE2:CPH2"/>
    <mergeCell ref="CPI2:CPL2"/>
    <mergeCell ref="CPM2:CPP2"/>
    <mergeCell ref="CPQ2:CPT2"/>
    <mergeCell ref="CPU2:CPX2"/>
    <mergeCell ref="CPY2:CQB2"/>
    <mergeCell ref="COG2:COJ2"/>
    <mergeCell ref="COK2:CON2"/>
    <mergeCell ref="COO2:COR2"/>
    <mergeCell ref="COS2:COV2"/>
    <mergeCell ref="COW2:COZ2"/>
    <mergeCell ref="CPA2:CPD2"/>
    <mergeCell ref="CYK2:CYN2"/>
    <mergeCell ref="CYO2:CYR2"/>
    <mergeCell ref="CYS2:CYV2"/>
    <mergeCell ref="CYW2:CYZ2"/>
    <mergeCell ref="CZA2:CZD2"/>
    <mergeCell ref="CZE2:CZH2"/>
    <mergeCell ref="CXM2:CXP2"/>
    <mergeCell ref="CXQ2:CXT2"/>
    <mergeCell ref="CXU2:CXX2"/>
    <mergeCell ref="CXY2:CYB2"/>
    <mergeCell ref="CYC2:CYF2"/>
    <mergeCell ref="CYG2:CYJ2"/>
    <mergeCell ref="CWO2:CWR2"/>
    <mergeCell ref="CWS2:CWV2"/>
    <mergeCell ref="CWW2:CWZ2"/>
    <mergeCell ref="CXA2:CXD2"/>
    <mergeCell ref="CXE2:CXH2"/>
    <mergeCell ref="CXI2:CXL2"/>
    <mergeCell ref="CVQ2:CVT2"/>
    <mergeCell ref="CVU2:CVX2"/>
    <mergeCell ref="CVY2:CWB2"/>
    <mergeCell ref="CWC2:CWF2"/>
    <mergeCell ref="CWG2:CWJ2"/>
    <mergeCell ref="CWK2:CWN2"/>
    <mergeCell ref="CUS2:CUV2"/>
    <mergeCell ref="CUW2:CUZ2"/>
    <mergeCell ref="CVA2:CVD2"/>
    <mergeCell ref="CVE2:CVH2"/>
    <mergeCell ref="CVI2:CVL2"/>
    <mergeCell ref="CVM2:CVP2"/>
    <mergeCell ref="CTU2:CTX2"/>
    <mergeCell ref="CTY2:CUB2"/>
    <mergeCell ref="CUC2:CUF2"/>
    <mergeCell ref="CUG2:CUJ2"/>
    <mergeCell ref="CUK2:CUN2"/>
    <mergeCell ref="CUO2:CUR2"/>
    <mergeCell ref="DDY2:DEB2"/>
    <mergeCell ref="DEC2:DEF2"/>
    <mergeCell ref="DEG2:DEJ2"/>
    <mergeCell ref="DEK2:DEN2"/>
    <mergeCell ref="DEO2:DER2"/>
    <mergeCell ref="DES2:DEV2"/>
    <mergeCell ref="DDA2:DDD2"/>
    <mergeCell ref="DDE2:DDH2"/>
    <mergeCell ref="DDI2:DDL2"/>
    <mergeCell ref="DDM2:DDP2"/>
    <mergeCell ref="DDQ2:DDT2"/>
    <mergeCell ref="DDU2:DDX2"/>
    <mergeCell ref="DCC2:DCF2"/>
    <mergeCell ref="DCG2:DCJ2"/>
    <mergeCell ref="DCK2:DCN2"/>
    <mergeCell ref="DCO2:DCR2"/>
    <mergeCell ref="DCS2:DCV2"/>
    <mergeCell ref="DCW2:DCZ2"/>
    <mergeCell ref="DBE2:DBH2"/>
    <mergeCell ref="DBI2:DBL2"/>
    <mergeCell ref="DBM2:DBP2"/>
    <mergeCell ref="DBQ2:DBT2"/>
    <mergeCell ref="DBU2:DBX2"/>
    <mergeCell ref="DBY2:DCB2"/>
    <mergeCell ref="DAG2:DAJ2"/>
    <mergeCell ref="DAK2:DAN2"/>
    <mergeCell ref="DAO2:DAR2"/>
    <mergeCell ref="DAS2:DAV2"/>
    <mergeCell ref="DAW2:DAZ2"/>
    <mergeCell ref="DBA2:DBD2"/>
    <mergeCell ref="CZI2:CZL2"/>
    <mergeCell ref="CZM2:CZP2"/>
    <mergeCell ref="CZQ2:CZT2"/>
    <mergeCell ref="CZU2:CZX2"/>
    <mergeCell ref="CZY2:DAB2"/>
    <mergeCell ref="DAC2:DAF2"/>
    <mergeCell ref="DJM2:DJP2"/>
    <mergeCell ref="DJQ2:DJT2"/>
    <mergeCell ref="DJU2:DJX2"/>
    <mergeCell ref="DJY2:DKB2"/>
    <mergeCell ref="DKC2:DKF2"/>
    <mergeCell ref="DKG2:DKJ2"/>
    <mergeCell ref="DIO2:DIR2"/>
    <mergeCell ref="DIS2:DIV2"/>
    <mergeCell ref="DIW2:DIZ2"/>
    <mergeCell ref="DJA2:DJD2"/>
    <mergeCell ref="DJE2:DJH2"/>
    <mergeCell ref="DJI2:DJL2"/>
    <mergeCell ref="DHQ2:DHT2"/>
    <mergeCell ref="DHU2:DHX2"/>
    <mergeCell ref="DHY2:DIB2"/>
    <mergeCell ref="DIC2:DIF2"/>
    <mergeCell ref="DIG2:DIJ2"/>
    <mergeCell ref="DIK2:DIN2"/>
    <mergeCell ref="DGS2:DGV2"/>
    <mergeCell ref="DGW2:DGZ2"/>
    <mergeCell ref="DHA2:DHD2"/>
    <mergeCell ref="DHE2:DHH2"/>
    <mergeCell ref="DHI2:DHL2"/>
    <mergeCell ref="DHM2:DHP2"/>
    <mergeCell ref="DFU2:DFX2"/>
    <mergeCell ref="DFY2:DGB2"/>
    <mergeCell ref="DGC2:DGF2"/>
    <mergeCell ref="DGG2:DGJ2"/>
    <mergeCell ref="DGK2:DGN2"/>
    <mergeCell ref="DGO2:DGR2"/>
    <mergeCell ref="DEW2:DEZ2"/>
    <mergeCell ref="DFA2:DFD2"/>
    <mergeCell ref="DFE2:DFH2"/>
    <mergeCell ref="DFI2:DFL2"/>
    <mergeCell ref="DFM2:DFP2"/>
    <mergeCell ref="DFQ2:DFT2"/>
    <mergeCell ref="DPA2:DPD2"/>
    <mergeCell ref="DPE2:DPH2"/>
    <mergeCell ref="DPI2:DPL2"/>
    <mergeCell ref="DPM2:DPP2"/>
    <mergeCell ref="DPQ2:DPT2"/>
    <mergeCell ref="DPU2:DPX2"/>
    <mergeCell ref="DOC2:DOF2"/>
    <mergeCell ref="DOG2:DOJ2"/>
    <mergeCell ref="DOK2:DON2"/>
    <mergeCell ref="DOO2:DOR2"/>
    <mergeCell ref="DOS2:DOV2"/>
    <mergeCell ref="DOW2:DOZ2"/>
    <mergeCell ref="DNE2:DNH2"/>
    <mergeCell ref="DNI2:DNL2"/>
    <mergeCell ref="DNM2:DNP2"/>
    <mergeCell ref="DNQ2:DNT2"/>
    <mergeCell ref="DNU2:DNX2"/>
    <mergeCell ref="DNY2:DOB2"/>
    <mergeCell ref="DMG2:DMJ2"/>
    <mergeCell ref="DMK2:DMN2"/>
    <mergeCell ref="DMO2:DMR2"/>
    <mergeCell ref="DMS2:DMV2"/>
    <mergeCell ref="DMW2:DMZ2"/>
    <mergeCell ref="DNA2:DND2"/>
    <mergeCell ref="DLI2:DLL2"/>
    <mergeCell ref="DLM2:DLP2"/>
    <mergeCell ref="DLQ2:DLT2"/>
    <mergeCell ref="DLU2:DLX2"/>
    <mergeCell ref="DLY2:DMB2"/>
    <mergeCell ref="DMC2:DMF2"/>
    <mergeCell ref="DKK2:DKN2"/>
    <mergeCell ref="DKO2:DKR2"/>
    <mergeCell ref="DKS2:DKV2"/>
    <mergeCell ref="DKW2:DKZ2"/>
    <mergeCell ref="DLA2:DLD2"/>
    <mergeCell ref="DLE2:DLH2"/>
    <mergeCell ref="DUO2:DUR2"/>
    <mergeCell ref="DUS2:DUV2"/>
    <mergeCell ref="DUW2:DUZ2"/>
    <mergeCell ref="DVA2:DVD2"/>
    <mergeCell ref="DVE2:DVH2"/>
    <mergeCell ref="DVI2:DVL2"/>
    <mergeCell ref="DTQ2:DTT2"/>
    <mergeCell ref="DTU2:DTX2"/>
    <mergeCell ref="DTY2:DUB2"/>
    <mergeCell ref="DUC2:DUF2"/>
    <mergeCell ref="DUG2:DUJ2"/>
    <mergeCell ref="DUK2:DUN2"/>
    <mergeCell ref="DSS2:DSV2"/>
    <mergeCell ref="DSW2:DSZ2"/>
    <mergeCell ref="DTA2:DTD2"/>
    <mergeCell ref="DTE2:DTH2"/>
    <mergeCell ref="DTI2:DTL2"/>
    <mergeCell ref="DTM2:DTP2"/>
    <mergeCell ref="DRU2:DRX2"/>
    <mergeCell ref="DRY2:DSB2"/>
    <mergeCell ref="DSC2:DSF2"/>
    <mergeCell ref="DSG2:DSJ2"/>
    <mergeCell ref="DSK2:DSN2"/>
    <mergeCell ref="DSO2:DSR2"/>
    <mergeCell ref="DQW2:DQZ2"/>
    <mergeCell ref="DRA2:DRD2"/>
    <mergeCell ref="DRE2:DRH2"/>
    <mergeCell ref="DRI2:DRL2"/>
    <mergeCell ref="DRM2:DRP2"/>
    <mergeCell ref="DRQ2:DRT2"/>
    <mergeCell ref="DPY2:DQB2"/>
    <mergeCell ref="DQC2:DQF2"/>
    <mergeCell ref="DQG2:DQJ2"/>
    <mergeCell ref="DQK2:DQN2"/>
    <mergeCell ref="DQO2:DQR2"/>
    <mergeCell ref="DQS2:DQV2"/>
    <mergeCell ref="EAC2:EAF2"/>
    <mergeCell ref="EAG2:EAJ2"/>
    <mergeCell ref="EAK2:EAN2"/>
    <mergeCell ref="EAO2:EAR2"/>
    <mergeCell ref="EAS2:EAV2"/>
    <mergeCell ref="EAW2:EAZ2"/>
    <mergeCell ref="DZE2:DZH2"/>
    <mergeCell ref="DZI2:DZL2"/>
    <mergeCell ref="DZM2:DZP2"/>
    <mergeCell ref="DZQ2:DZT2"/>
    <mergeCell ref="DZU2:DZX2"/>
    <mergeCell ref="DZY2:EAB2"/>
    <mergeCell ref="DYG2:DYJ2"/>
    <mergeCell ref="DYK2:DYN2"/>
    <mergeCell ref="DYO2:DYR2"/>
    <mergeCell ref="DYS2:DYV2"/>
    <mergeCell ref="DYW2:DYZ2"/>
    <mergeCell ref="DZA2:DZD2"/>
    <mergeCell ref="DXI2:DXL2"/>
    <mergeCell ref="DXM2:DXP2"/>
    <mergeCell ref="DXQ2:DXT2"/>
    <mergeCell ref="DXU2:DXX2"/>
    <mergeCell ref="DXY2:DYB2"/>
    <mergeCell ref="DYC2:DYF2"/>
    <mergeCell ref="DWK2:DWN2"/>
    <mergeCell ref="DWO2:DWR2"/>
    <mergeCell ref="DWS2:DWV2"/>
    <mergeCell ref="DWW2:DWZ2"/>
    <mergeCell ref="DXA2:DXD2"/>
    <mergeCell ref="DXE2:DXH2"/>
    <mergeCell ref="DVM2:DVP2"/>
    <mergeCell ref="DVQ2:DVT2"/>
    <mergeCell ref="DVU2:DVX2"/>
    <mergeCell ref="DVY2:DWB2"/>
    <mergeCell ref="DWC2:DWF2"/>
    <mergeCell ref="DWG2:DWJ2"/>
    <mergeCell ref="EFQ2:EFT2"/>
    <mergeCell ref="EFU2:EFX2"/>
    <mergeCell ref="EFY2:EGB2"/>
    <mergeCell ref="EGC2:EGF2"/>
    <mergeCell ref="EGG2:EGJ2"/>
    <mergeCell ref="EGK2:EGN2"/>
    <mergeCell ref="EES2:EEV2"/>
    <mergeCell ref="EEW2:EEZ2"/>
    <mergeCell ref="EFA2:EFD2"/>
    <mergeCell ref="EFE2:EFH2"/>
    <mergeCell ref="EFI2:EFL2"/>
    <mergeCell ref="EFM2:EFP2"/>
    <mergeCell ref="EDU2:EDX2"/>
    <mergeCell ref="EDY2:EEB2"/>
    <mergeCell ref="EEC2:EEF2"/>
    <mergeCell ref="EEG2:EEJ2"/>
    <mergeCell ref="EEK2:EEN2"/>
    <mergeCell ref="EEO2:EER2"/>
    <mergeCell ref="ECW2:ECZ2"/>
    <mergeCell ref="EDA2:EDD2"/>
    <mergeCell ref="EDE2:EDH2"/>
    <mergeCell ref="EDI2:EDL2"/>
    <mergeCell ref="EDM2:EDP2"/>
    <mergeCell ref="EDQ2:EDT2"/>
    <mergeCell ref="EBY2:ECB2"/>
    <mergeCell ref="ECC2:ECF2"/>
    <mergeCell ref="ECG2:ECJ2"/>
    <mergeCell ref="ECK2:ECN2"/>
    <mergeCell ref="ECO2:ECR2"/>
    <mergeCell ref="ECS2:ECV2"/>
    <mergeCell ref="EBA2:EBD2"/>
    <mergeCell ref="EBE2:EBH2"/>
    <mergeCell ref="EBI2:EBL2"/>
    <mergeCell ref="EBM2:EBP2"/>
    <mergeCell ref="EBQ2:EBT2"/>
    <mergeCell ref="EBU2:EBX2"/>
    <mergeCell ref="ELE2:ELH2"/>
    <mergeCell ref="ELI2:ELL2"/>
    <mergeCell ref="ELM2:ELP2"/>
    <mergeCell ref="ELQ2:ELT2"/>
    <mergeCell ref="ELU2:ELX2"/>
    <mergeCell ref="ELY2:EMB2"/>
    <mergeCell ref="EKG2:EKJ2"/>
    <mergeCell ref="EKK2:EKN2"/>
    <mergeCell ref="EKO2:EKR2"/>
    <mergeCell ref="EKS2:EKV2"/>
    <mergeCell ref="EKW2:EKZ2"/>
    <mergeCell ref="ELA2:ELD2"/>
    <mergeCell ref="EJI2:EJL2"/>
    <mergeCell ref="EJM2:EJP2"/>
    <mergeCell ref="EJQ2:EJT2"/>
    <mergeCell ref="EJU2:EJX2"/>
    <mergeCell ref="EJY2:EKB2"/>
    <mergeCell ref="EKC2:EKF2"/>
    <mergeCell ref="EIK2:EIN2"/>
    <mergeCell ref="EIO2:EIR2"/>
    <mergeCell ref="EIS2:EIV2"/>
    <mergeCell ref="EIW2:EIZ2"/>
    <mergeCell ref="EJA2:EJD2"/>
    <mergeCell ref="EJE2:EJH2"/>
    <mergeCell ref="EHM2:EHP2"/>
    <mergeCell ref="EHQ2:EHT2"/>
    <mergeCell ref="EHU2:EHX2"/>
    <mergeCell ref="EHY2:EIB2"/>
    <mergeCell ref="EIC2:EIF2"/>
    <mergeCell ref="EIG2:EIJ2"/>
    <mergeCell ref="EGO2:EGR2"/>
    <mergeCell ref="EGS2:EGV2"/>
    <mergeCell ref="EGW2:EGZ2"/>
    <mergeCell ref="EHA2:EHD2"/>
    <mergeCell ref="EHE2:EHH2"/>
    <mergeCell ref="EHI2:EHL2"/>
    <mergeCell ref="EQS2:EQV2"/>
    <mergeCell ref="EQW2:EQZ2"/>
    <mergeCell ref="ERA2:ERD2"/>
    <mergeCell ref="ERE2:ERH2"/>
    <mergeCell ref="ERI2:ERL2"/>
    <mergeCell ref="ERM2:ERP2"/>
    <mergeCell ref="EPU2:EPX2"/>
    <mergeCell ref="EPY2:EQB2"/>
    <mergeCell ref="EQC2:EQF2"/>
    <mergeCell ref="EQG2:EQJ2"/>
    <mergeCell ref="EQK2:EQN2"/>
    <mergeCell ref="EQO2:EQR2"/>
    <mergeCell ref="EOW2:EOZ2"/>
    <mergeCell ref="EPA2:EPD2"/>
    <mergeCell ref="EPE2:EPH2"/>
    <mergeCell ref="EPI2:EPL2"/>
    <mergeCell ref="EPM2:EPP2"/>
    <mergeCell ref="EPQ2:EPT2"/>
    <mergeCell ref="ENY2:EOB2"/>
    <mergeCell ref="EOC2:EOF2"/>
    <mergeCell ref="EOG2:EOJ2"/>
    <mergeCell ref="EOK2:EON2"/>
    <mergeCell ref="EOO2:EOR2"/>
    <mergeCell ref="EOS2:EOV2"/>
    <mergeCell ref="ENA2:END2"/>
    <mergeCell ref="ENE2:ENH2"/>
    <mergeCell ref="ENI2:ENL2"/>
    <mergeCell ref="ENM2:ENP2"/>
    <mergeCell ref="ENQ2:ENT2"/>
    <mergeCell ref="ENU2:ENX2"/>
    <mergeCell ref="EMC2:EMF2"/>
    <mergeCell ref="EMG2:EMJ2"/>
    <mergeCell ref="EMK2:EMN2"/>
    <mergeCell ref="EMO2:EMR2"/>
    <mergeCell ref="EMS2:EMV2"/>
    <mergeCell ref="EMW2:EMZ2"/>
    <mergeCell ref="EWG2:EWJ2"/>
    <mergeCell ref="EWK2:EWN2"/>
    <mergeCell ref="EWO2:EWR2"/>
    <mergeCell ref="EWS2:EWV2"/>
    <mergeCell ref="EWW2:EWZ2"/>
    <mergeCell ref="EXA2:EXD2"/>
    <mergeCell ref="EVI2:EVL2"/>
    <mergeCell ref="EVM2:EVP2"/>
    <mergeCell ref="EVQ2:EVT2"/>
    <mergeCell ref="EVU2:EVX2"/>
    <mergeCell ref="EVY2:EWB2"/>
    <mergeCell ref="EWC2:EWF2"/>
    <mergeCell ref="EUK2:EUN2"/>
    <mergeCell ref="EUO2:EUR2"/>
    <mergeCell ref="EUS2:EUV2"/>
    <mergeCell ref="EUW2:EUZ2"/>
    <mergeCell ref="EVA2:EVD2"/>
    <mergeCell ref="EVE2:EVH2"/>
    <mergeCell ref="ETM2:ETP2"/>
    <mergeCell ref="ETQ2:ETT2"/>
    <mergeCell ref="ETU2:ETX2"/>
    <mergeCell ref="ETY2:EUB2"/>
    <mergeCell ref="EUC2:EUF2"/>
    <mergeCell ref="EUG2:EUJ2"/>
    <mergeCell ref="ESO2:ESR2"/>
    <mergeCell ref="ESS2:ESV2"/>
    <mergeCell ref="ESW2:ESZ2"/>
    <mergeCell ref="ETA2:ETD2"/>
    <mergeCell ref="ETE2:ETH2"/>
    <mergeCell ref="ETI2:ETL2"/>
    <mergeCell ref="ERQ2:ERT2"/>
    <mergeCell ref="ERU2:ERX2"/>
    <mergeCell ref="ERY2:ESB2"/>
    <mergeCell ref="ESC2:ESF2"/>
    <mergeCell ref="ESG2:ESJ2"/>
    <mergeCell ref="ESK2:ESN2"/>
    <mergeCell ref="FBU2:FBX2"/>
    <mergeCell ref="FBY2:FCB2"/>
    <mergeCell ref="FCC2:FCF2"/>
    <mergeCell ref="FCG2:FCJ2"/>
    <mergeCell ref="FCK2:FCN2"/>
    <mergeCell ref="FCO2:FCR2"/>
    <mergeCell ref="FAW2:FAZ2"/>
    <mergeCell ref="FBA2:FBD2"/>
    <mergeCell ref="FBE2:FBH2"/>
    <mergeCell ref="FBI2:FBL2"/>
    <mergeCell ref="FBM2:FBP2"/>
    <mergeCell ref="FBQ2:FBT2"/>
    <mergeCell ref="EZY2:FAB2"/>
    <mergeCell ref="FAC2:FAF2"/>
    <mergeCell ref="FAG2:FAJ2"/>
    <mergeCell ref="FAK2:FAN2"/>
    <mergeCell ref="FAO2:FAR2"/>
    <mergeCell ref="FAS2:FAV2"/>
    <mergeCell ref="EZA2:EZD2"/>
    <mergeCell ref="EZE2:EZH2"/>
    <mergeCell ref="EZI2:EZL2"/>
    <mergeCell ref="EZM2:EZP2"/>
    <mergeCell ref="EZQ2:EZT2"/>
    <mergeCell ref="EZU2:EZX2"/>
    <mergeCell ref="EYC2:EYF2"/>
    <mergeCell ref="EYG2:EYJ2"/>
    <mergeCell ref="EYK2:EYN2"/>
    <mergeCell ref="EYO2:EYR2"/>
    <mergeCell ref="EYS2:EYV2"/>
    <mergeCell ref="EYW2:EYZ2"/>
    <mergeCell ref="EXE2:EXH2"/>
    <mergeCell ref="EXI2:EXL2"/>
    <mergeCell ref="EXM2:EXP2"/>
    <mergeCell ref="EXQ2:EXT2"/>
    <mergeCell ref="EXU2:EXX2"/>
    <mergeCell ref="EXY2:EYB2"/>
    <mergeCell ref="FHI2:FHL2"/>
    <mergeCell ref="FHM2:FHP2"/>
    <mergeCell ref="FHQ2:FHT2"/>
    <mergeCell ref="FHU2:FHX2"/>
    <mergeCell ref="FHY2:FIB2"/>
    <mergeCell ref="FIC2:FIF2"/>
    <mergeCell ref="FGK2:FGN2"/>
    <mergeCell ref="FGO2:FGR2"/>
    <mergeCell ref="FGS2:FGV2"/>
    <mergeCell ref="FGW2:FGZ2"/>
    <mergeCell ref="FHA2:FHD2"/>
    <mergeCell ref="FHE2:FHH2"/>
    <mergeCell ref="FFM2:FFP2"/>
    <mergeCell ref="FFQ2:FFT2"/>
    <mergeCell ref="FFU2:FFX2"/>
    <mergeCell ref="FFY2:FGB2"/>
    <mergeCell ref="FGC2:FGF2"/>
    <mergeCell ref="FGG2:FGJ2"/>
    <mergeCell ref="FEO2:FER2"/>
    <mergeCell ref="FES2:FEV2"/>
    <mergeCell ref="FEW2:FEZ2"/>
    <mergeCell ref="FFA2:FFD2"/>
    <mergeCell ref="FFE2:FFH2"/>
    <mergeCell ref="FFI2:FFL2"/>
    <mergeCell ref="FDQ2:FDT2"/>
    <mergeCell ref="FDU2:FDX2"/>
    <mergeCell ref="FDY2:FEB2"/>
    <mergeCell ref="FEC2:FEF2"/>
    <mergeCell ref="FEG2:FEJ2"/>
    <mergeCell ref="FEK2:FEN2"/>
    <mergeCell ref="FCS2:FCV2"/>
    <mergeCell ref="FCW2:FCZ2"/>
    <mergeCell ref="FDA2:FDD2"/>
    <mergeCell ref="FDE2:FDH2"/>
    <mergeCell ref="FDI2:FDL2"/>
    <mergeCell ref="FDM2:FDP2"/>
    <mergeCell ref="FMW2:FMZ2"/>
    <mergeCell ref="FNA2:FND2"/>
    <mergeCell ref="FNE2:FNH2"/>
    <mergeCell ref="FNI2:FNL2"/>
    <mergeCell ref="FNM2:FNP2"/>
    <mergeCell ref="FNQ2:FNT2"/>
    <mergeCell ref="FLY2:FMB2"/>
    <mergeCell ref="FMC2:FMF2"/>
    <mergeCell ref="FMG2:FMJ2"/>
    <mergeCell ref="FMK2:FMN2"/>
    <mergeCell ref="FMO2:FMR2"/>
    <mergeCell ref="FMS2:FMV2"/>
    <mergeCell ref="FLA2:FLD2"/>
    <mergeCell ref="FLE2:FLH2"/>
    <mergeCell ref="FLI2:FLL2"/>
    <mergeCell ref="FLM2:FLP2"/>
    <mergeCell ref="FLQ2:FLT2"/>
    <mergeCell ref="FLU2:FLX2"/>
    <mergeCell ref="FKC2:FKF2"/>
    <mergeCell ref="FKG2:FKJ2"/>
    <mergeCell ref="FKK2:FKN2"/>
    <mergeCell ref="FKO2:FKR2"/>
    <mergeCell ref="FKS2:FKV2"/>
    <mergeCell ref="FKW2:FKZ2"/>
    <mergeCell ref="FJE2:FJH2"/>
    <mergeCell ref="FJI2:FJL2"/>
    <mergeCell ref="FJM2:FJP2"/>
    <mergeCell ref="FJQ2:FJT2"/>
    <mergeCell ref="FJU2:FJX2"/>
    <mergeCell ref="FJY2:FKB2"/>
    <mergeCell ref="FIG2:FIJ2"/>
    <mergeCell ref="FIK2:FIN2"/>
    <mergeCell ref="FIO2:FIR2"/>
    <mergeCell ref="FIS2:FIV2"/>
    <mergeCell ref="FIW2:FIZ2"/>
    <mergeCell ref="FJA2:FJD2"/>
    <mergeCell ref="FSK2:FSN2"/>
    <mergeCell ref="FSO2:FSR2"/>
    <mergeCell ref="FSS2:FSV2"/>
    <mergeCell ref="FSW2:FSZ2"/>
    <mergeCell ref="FTA2:FTD2"/>
    <mergeCell ref="FTE2:FTH2"/>
    <mergeCell ref="FRM2:FRP2"/>
    <mergeCell ref="FRQ2:FRT2"/>
    <mergeCell ref="FRU2:FRX2"/>
    <mergeCell ref="FRY2:FSB2"/>
    <mergeCell ref="FSC2:FSF2"/>
    <mergeCell ref="FSG2:FSJ2"/>
    <mergeCell ref="FQO2:FQR2"/>
    <mergeCell ref="FQS2:FQV2"/>
    <mergeCell ref="FQW2:FQZ2"/>
    <mergeCell ref="FRA2:FRD2"/>
    <mergeCell ref="FRE2:FRH2"/>
    <mergeCell ref="FRI2:FRL2"/>
    <mergeCell ref="FPQ2:FPT2"/>
    <mergeCell ref="FPU2:FPX2"/>
    <mergeCell ref="FPY2:FQB2"/>
    <mergeCell ref="FQC2:FQF2"/>
    <mergeCell ref="FQG2:FQJ2"/>
    <mergeCell ref="FQK2:FQN2"/>
    <mergeCell ref="FOS2:FOV2"/>
    <mergeCell ref="FOW2:FOZ2"/>
    <mergeCell ref="FPA2:FPD2"/>
    <mergeCell ref="FPE2:FPH2"/>
    <mergeCell ref="FPI2:FPL2"/>
    <mergeCell ref="FPM2:FPP2"/>
    <mergeCell ref="FNU2:FNX2"/>
    <mergeCell ref="FNY2:FOB2"/>
    <mergeCell ref="FOC2:FOF2"/>
    <mergeCell ref="FOG2:FOJ2"/>
    <mergeCell ref="FOK2:FON2"/>
    <mergeCell ref="FOO2:FOR2"/>
    <mergeCell ref="FXY2:FYB2"/>
    <mergeCell ref="FYC2:FYF2"/>
    <mergeCell ref="FYG2:FYJ2"/>
    <mergeCell ref="FYK2:FYN2"/>
    <mergeCell ref="FYO2:FYR2"/>
    <mergeCell ref="FYS2:FYV2"/>
    <mergeCell ref="FXA2:FXD2"/>
    <mergeCell ref="FXE2:FXH2"/>
    <mergeCell ref="FXI2:FXL2"/>
    <mergeCell ref="FXM2:FXP2"/>
    <mergeCell ref="FXQ2:FXT2"/>
    <mergeCell ref="FXU2:FXX2"/>
    <mergeCell ref="FWC2:FWF2"/>
    <mergeCell ref="FWG2:FWJ2"/>
    <mergeCell ref="FWK2:FWN2"/>
    <mergeCell ref="FWO2:FWR2"/>
    <mergeCell ref="FWS2:FWV2"/>
    <mergeCell ref="FWW2:FWZ2"/>
    <mergeCell ref="FVE2:FVH2"/>
    <mergeCell ref="FVI2:FVL2"/>
    <mergeCell ref="FVM2:FVP2"/>
    <mergeCell ref="FVQ2:FVT2"/>
    <mergeCell ref="FVU2:FVX2"/>
    <mergeCell ref="FVY2:FWB2"/>
    <mergeCell ref="FUG2:FUJ2"/>
    <mergeCell ref="FUK2:FUN2"/>
    <mergeCell ref="FUO2:FUR2"/>
    <mergeCell ref="FUS2:FUV2"/>
    <mergeCell ref="FUW2:FUZ2"/>
    <mergeCell ref="FVA2:FVD2"/>
    <mergeCell ref="FTI2:FTL2"/>
    <mergeCell ref="FTM2:FTP2"/>
    <mergeCell ref="FTQ2:FTT2"/>
    <mergeCell ref="FTU2:FTX2"/>
    <mergeCell ref="FTY2:FUB2"/>
    <mergeCell ref="FUC2:FUF2"/>
    <mergeCell ref="GDM2:GDP2"/>
    <mergeCell ref="GDQ2:GDT2"/>
    <mergeCell ref="GDU2:GDX2"/>
    <mergeCell ref="GDY2:GEB2"/>
    <mergeCell ref="GEC2:GEF2"/>
    <mergeCell ref="GEG2:GEJ2"/>
    <mergeCell ref="GCO2:GCR2"/>
    <mergeCell ref="GCS2:GCV2"/>
    <mergeCell ref="GCW2:GCZ2"/>
    <mergeCell ref="GDA2:GDD2"/>
    <mergeCell ref="GDE2:GDH2"/>
    <mergeCell ref="GDI2:GDL2"/>
    <mergeCell ref="GBQ2:GBT2"/>
    <mergeCell ref="GBU2:GBX2"/>
    <mergeCell ref="GBY2:GCB2"/>
    <mergeCell ref="GCC2:GCF2"/>
    <mergeCell ref="GCG2:GCJ2"/>
    <mergeCell ref="GCK2:GCN2"/>
    <mergeCell ref="GAS2:GAV2"/>
    <mergeCell ref="GAW2:GAZ2"/>
    <mergeCell ref="GBA2:GBD2"/>
    <mergeCell ref="GBE2:GBH2"/>
    <mergeCell ref="GBI2:GBL2"/>
    <mergeCell ref="GBM2:GBP2"/>
    <mergeCell ref="FZU2:FZX2"/>
    <mergeCell ref="FZY2:GAB2"/>
    <mergeCell ref="GAC2:GAF2"/>
    <mergeCell ref="GAG2:GAJ2"/>
    <mergeCell ref="GAK2:GAN2"/>
    <mergeCell ref="GAO2:GAR2"/>
    <mergeCell ref="FYW2:FYZ2"/>
    <mergeCell ref="FZA2:FZD2"/>
    <mergeCell ref="FZE2:FZH2"/>
    <mergeCell ref="FZI2:FZL2"/>
    <mergeCell ref="FZM2:FZP2"/>
    <mergeCell ref="FZQ2:FZT2"/>
    <mergeCell ref="GJA2:GJD2"/>
    <mergeCell ref="GJE2:GJH2"/>
    <mergeCell ref="GJI2:GJL2"/>
    <mergeCell ref="GJM2:GJP2"/>
    <mergeCell ref="GJQ2:GJT2"/>
    <mergeCell ref="GJU2:GJX2"/>
    <mergeCell ref="GIC2:GIF2"/>
    <mergeCell ref="GIG2:GIJ2"/>
    <mergeCell ref="GIK2:GIN2"/>
    <mergeCell ref="GIO2:GIR2"/>
    <mergeCell ref="GIS2:GIV2"/>
    <mergeCell ref="GIW2:GIZ2"/>
    <mergeCell ref="GHE2:GHH2"/>
    <mergeCell ref="GHI2:GHL2"/>
    <mergeCell ref="GHM2:GHP2"/>
    <mergeCell ref="GHQ2:GHT2"/>
    <mergeCell ref="GHU2:GHX2"/>
    <mergeCell ref="GHY2:GIB2"/>
    <mergeCell ref="GGG2:GGJ2"/>
    <mergeCell ref="GGK2:GGN2"/>
    <mergeCell ref="GGO2:GGR2"/>
    <mergeCell ref="GGS2:GGV2"/>
    <mergeCell ref="GGW2:GGZ2"/>
    <mergeCell ref="GHA2:GHD2"/>
    <mergeCell ref="GFI2:GFL2"/>
    <mergeCell ref="GFM2:GFP2"/>
    <mergeCell ref="GFQ2:GFT2"/>
    <mergeCell ref="GFU2:GFX2"/>
    <mergeCell ref="GFY2:GGB2"/>
    <mergeCell ref="GGC2:GGF2"/>
    <mergeCell ref="GEK2:GEN2"/>
    <mergeCell ref="GEO2:GER2"/>
    <mergeCell ref="GES2:GEV2"/>
    <mergeCell ref="GEW2:GEZ2"/>
    <mergeCell ref="GFA2:GFD2"/>
    <mergeCell ref="GFE2:GFH2"/>
    <mergeCell ref="GOO2:GOR2"/>
    <mergeCell ref="GOS2:GOV2"/>
    <mergeCell ref="GOW2:GOZ2"/>
    <mergeCell ref="GPA2:GPD2"/>
    <mergeCell ref="GPE2:GPH2"/>
    <mergeCell ref="GPI2:GPL2"/>
    <mergeCell ref="GNQ2:GNT2"/>
    <mergeCell ref="GNU2:GNX2"/>
    <mergeCell ref="GNY2:GOB2"/>
    <mergeCell ref="GOC2:GOF2"/>
    <mergeCell ref="GOG2:GOJ2"/>
    <mergeCell ref="GOK2:GON2"/>
    <mergeCell ref="GMS2:GMV2"/>
    <mergeCell ref="GMW2:GMZ2"/>
    <mergeCell ref="GNA2:GND2"/>
    <mergeCell ref="GNE2:GNH2"/>
    <mergeCell ref="GNI2:GNL2"/>
    <mergeCell ref="GNM2:GNP2"/>
    <mergeCell ref="GLU2:GLX2"/>
    <mergeCell ref="GLY2:GMB2"/>
    <mergeCell ref="GMC2:GMF2"/>
    <mergeCell ref="GMG2:GMJ2"/>
    <mergeCell ref="GMK2:GMN2"/>
    <mergeCell ref="GMO2:GMR2"/>
    <mergeCell ref="GKW2:GKZ2"/>
    <mergeCell ref="GLA2:GLD2"/>
    <mergeCell ref="GLE2:GLH2"/>
    <mergeCell ref="GLI2:GLL2"/>
    <mergeCell ref="GLM2:GLP2"/>
    <mergeCell ref="GLQ2:GLT2"/>
    <mergeCell ref="GJY2:GKB2"/>
    <mergeCell ref="GKC2:GKF2"/>
    <mergeCell ref="GKG2:GKJ2"/>
    <mergeCell ref="GKK2:GKN2"/>
    <mergeCell ref="GKO2:GKR2"/>
    <mergeCell ref="GKS2:GKV2"/>
    <mergeCell ref="GUC2:GUF2"/>
    <mergeCell ref="GUG2:GUJ2"/>
    <mergeCell ref="GUK2:GUN2"/>
    <mergeCell ref="GUO2:GUR2"/>
    <mergeCell ref="GUS2:GUV2"/>
    <mergeCell ref="GUW2:GUZ2"/>
    <mergeCell ref="GTE2:GTH2"/>
    <mergeCell ref="GTI2:GTL2"/>
    <mergeCell ref="GTM2:GTP2"/>
    <mergeCell ref="GTQ2:GTT2"/>
    <mergeCell ref="GTU2:GTX2"/>
    <mergeCell ref="GTY2:GUB2"/>
    <mergeCell ref="GSG2:GSJ2"/>
    <mergeCell ref="GSK2:GSN2"/>
    <mergeCell ref="GSO2:GSR2"/>
    <mergeCell ref="GSS2:GSV2"/>
    <mergeCell ref="GSW2:GSZ2"/>
    <mergeCell ref="GTA2:GTD2"/>
    <mergeCell ref="GRI2:GRL2"/>
    <mergeCell ref="GRM2:GRP2"/>
    <mergeCell ref="GRQ2:GRT2"/>
    <mergeCell ref="GRU2:GRX2"/>
    <mergeCell ref="GRY2:GSB2"/>
    <mergeCell ref="GSC2:GSF2"/>
    <mergeCell ref="GQK2:GQN2"/>
    <mergeCell ref="GQO2:GQR2"/>
    <mergeCell ref="GQS2:GQV2"/>
    <mergeCell ref="GQW2:GQZ2"/>
    <mergeCell ref="GRA2:GRD2"/>
    <mergeCell ref="GRE2:GRH2"/>
    <mergeCell ref="GPM2:GPP2"/>
    <mergeCell ref="GPQ2:GPT2"/>
    <mergeCell ref="GPU2:GPX2"/>
    <mergeCell ref="GPY2:GQB2"/>
    <mergeCell ref="GQC2:GQF2"/>
    <mergeCell ref="GQG2:GQJ2"/>
    <mergeCell ref="GZQ2:GZT2"/>
    <mergeCell ref="GZU2:GZX2"/>
    <mergeCell ref="GZY2:HAB2"/>
    <mergeCell ref="HAC2:HAF2"/>
    <mergeCell ref="HAG2:HAJ2"/>
    <mergeCell ref="HAK2:HAN2"/>
    <mergeCell ref="GYS2:GYV2"/>
    <mergeCell ref="GYW2:GYZ2"/>
    <mergeCell ref="GZA2:GZD2"/>
    <mergeCell ref="GZE2:GZH2"/>
    <mergeCell ref="GZI2:GZL2"/>
    <mergeCell ref="GZM2:GZP2"/>
    <mergeCell ref="GXU2:GXX2"/>
    <mergeCell ref="GXY2:GYB2"/>
    <mergeCell ref="GYC2:GYF2"/>
    <mergeCell ref="GYG2:GYJ2"/>
    <mergeCell ref="GYK2:GYN2"/>
    <mergeCell ref="GYO2:GYR2"/>
    <mergeCell ref="GWW2:GWZ2"/>
    <mergeCell ref="GXA2:GXD2"/>
    <mergeCell ref="GXE2:GXH2"/>
    <mergeCell ref="GXI2:GXL2"/>
    <mergeCell ref="GXM2:GXP2"/>
    <mergeCell ref="GXQ2:GXT2"/>
    <mergeCell ref="GVY2:GWB2"/>
    <mergeCell ref="GWC2:GWF2"/>
    <mergeCell ref="GWG2:GWJ2"/>
    <mergeCell ref="GWK2:GWN2"/>
    <mergeCell ref="GWO2:GWR2"/>
    <mergeCell ref="GWS2:GWV2"/>
    <mergeCell ref="GVA2:GVD2"/>
    <mergeCell ref="GVE2:GVH2"/>
    <mergeCell ref="GVI2:GVL2"/>
    <mergeCell ref="GVM2:GVP2"/>
    <mergeCell ref="GVQ2:GVT2"/>
    <mergeCell ref="GVU2:GVX2"/>
    <mergeCell ref="HFE2:HFH2"/>
    <mergeCell ref="HFI2:HFL2"/>
    <mergeCell ref="HFM2:HFP2"/>
    <mergeCell ref="HFQ2:HFT2"/>
    <mergeCell ref="HFU2:HFX2"/>
    <mergeCell ref="HFY2:HGB2"/>
    <mergeCell ref="HEG2:HEJ2"/>
    <mergeCell ref="HEK2:HEN2"/>
    <mergeCell ref="HEO2:HER2"/>
    <mergeCell ref="HES2:HEV2"/>
    <mergeCell ref="HEW2:HEZ2"/>
    <mergeCell ref="HFA2:HFD2"/>
    <mergeCell ref="HDI2:HDL2"/>
    <mergeCell ref="HDM2:HDP2"/>
    <mergeCell ref="HDQ2:HDT2"/>
    <mergeCell ref="HDU2:HDX2"/>
    <mergeCell ref="HDY2:HEB2"/>
    <mergeCell ref="HEC2:HEF2"/>
    <mergeCell ref="HCK2:HCN2"/>
    <mergeCell ref="HCO2:HCR2"/>
    <mergeCell ref="HCS2:HCV2"/>
    <mergeCell ref="HCW2:HCZ2"/>
    <mergeCell ref="HDA2:HDD2"/>
    <mergeCell ref="HDE2:HDH2"/>
    <mergeCell ref="HBM2:HBP2"/>
    <mergeCell ref="HBQ2:HBT2"/>
    <mergeCell ref="HBU2:HBX2"/>
    <mergeCell ref="HBY2:HCB2"/>
    <mergeCell ref="HCC2:HCF2"/>
    <mergeCell ref="HCG2:HCJ2"/>
    <mergeCell ref="HAO2:HAR2"/>
    <mergeCell ref="HAS2:HAV2"/>
    <mergeCell ref="HAW2:HAZ2"/>
    <mergeCell ref="HBA2:HBD2"/>
    <mergeCell ref="HBE2:HBH2"/>
    <mergeCell ref="HBI2:HBL2"/>
    <mergeCell ref="HKS2:HKV2"/>
    <mergeCell ref="HKW2:HKZ2"/>
    <mergeCell ref="HLA2:HLD2"/>
    <mergeCell ref="HLE2:HLH2"/>
    <mergeCell ref="HLI2:HLL2"/>
    <mergeCell ref="HLM2:HLP2"/>
    <mergeCell ref="HJU2:HJX2"/>
    <mergeCell ref="HJY2:HKB2"/>
    <mergeCell ref="HKC2:HKF2"/>
    <mergeCell ref="HKG2:HKJ2"/>
    <mergeCell ref="HKK2:HKN2"/>
    <mergeCell ref="HKO2:HKR2"/>
    <mergeCell ref="HIW2:HIZ2"/>
    <mergeCell ref="HJA2:HJD2"/>
    <mergeCell ref="HJE2:HJH2"/>
    <mergeCell ref="HJI2:HJL2"/>
    <mergeCell ref="HJM2:HJP2"/>
    <mergeCell ref="HJQ2:HJT2"/>
    <mergeCell ref="HHY2:HIB2"/>
    <mergeCell ref="HIC2:HIF2"/>
    <mergeCell ref="HIG2:HIJ2"/>
    <mergeCell ref="HIK2:HIN2"/>
    <mergeCell ref="HIO2:HIR2"/>
    <mergeCell ref="HIS2:HIV2"/>
    <mergeCell ref="HHA2:HHD2"/>
    <mergeCell ref="HHE2:HHH2"/>
    <mergeCell ref="HHI2:HHL2"/>
    <mergeCell ref="HHM2:HHP2"/>
    <mergeCell ref="HHQ2:HHT2"/>
    <mergeCell ref="HHU2:HHX2"/>
    <mergeCell ref="HGC2:HGF2"/>
    <mergeCell ref="HGG2:HGJ2"/>
    <mergeCell ref="HGK2:HGN2"/>
    <mergeCell ref="HGO2:HGR2"/>
    <mergeCell ref="HGS2:HGV2"/>
    <mergeCell ref="HGW2:HGZ2"/>
    <mergeCell ref="HQG2:HQJ2"/>
    <mergeCell ref="HQK2:HQN2"/>
    <mergeCell ref="HQO2:HQR2"/>
    <mergeCell ref="HQS2:HQV2"/>
    <mergeCell ref="HQW2:HQZ2"/>
    <mergeCell ref="HRA2:HRD2"/>
    <mergeCell ref="HPI2:HPL2"/>
    <mergeCell ref="HPM2:HPP2"/>
    <mergeCell ref="HPQ2:HPT2"/>
    <mergeCell ref="HPU2:HPX2"/>
    <mergeCell ref="HPY2:HQB2"/>
    <mergeCell ref="HQC2:HQF2"/>
    <mergeCell ref="HOK2:HON2"/>
    <mergeCell ref="HOO2:HOR2"/>
    <mergeCell ref="HOS2:HOV2"/>
    <mergeCell ref="HOW2:HOZ2"/>
    <mergeCell ref="HPA2:HPD2"/>
    <mergeCell ref="HPE2:HPH2"/>
    <mergeCell ref="HNM2:HNP2"/>
    <mergeCell ref="HNQ2:HNT2"/>
    <mergeCell ref="HNU2:HNX2"/>
    <mergeCell ref="HNY2:HOB2"/>
    <mergeCell ref="HOC2:HOF2"/>
    <mergeCell ref="HOG2:HOJ2"/>
    <mergeCell ref="HMO2:HMR2"/>
    <mergeCell ref="HMS2:HMV2"/>
    <mergeCell ref="HMW2:HMZ2"/>
    <mergeCell ref="HNA2:HND2"/>
    <mergeCell ref="HNE2:HNH2"/>
    <mergeCell ref="HNI2:HNL2"/>
    <mergeCell ref="HLQ2:HLT2"/>
    <mergeCell ref="HLU2:HLX2"/>
    <mergeCell ref="HLY2:HMB2"/>
    <mergeCell ref="HMC2:HMF2"/>
    <mergeCell ref="HMG2:HMJ2"/>
    <mergeCell ref="HMK2:HMN2"/>
    <mergeCell ref="HVU2:HVX2"/>
    <mergeCell ref="HVY2:HWB2"/>
    <mergeCell ref="HWC2:HWF2"/>
    <mergeCell ref="HWG2:HWJ2"/>
    <mergeCell ref="HWK2:HWN2"/>
    <mergeCell ref="HWO2:HWR2"/>
    <mergeCell ref="HUW2:HUZ2"/>
    <mergeCell ref="HVA2:HVD2"/>
    <mergeCell ref="HVE2:HVH2"/>
    <mergeCell ref="HVI2:HVL2"/>
    <mergeCell ref="HVM2:HVP2"/>
    <mergeCell ref="HVQ2:HVT2"/>
    <mergeCell ref="HTY2:HUB2"/>
    <mergeCell ref="HUC2:HUF2"/>
    <mergeCell ref="HUG2:HUJ2"/>
    <mergeCell ref="HUK2:HUN2"/>
    <mergeCell ref="HUO2:HUR2"/>
    <mergeCell ref="HUS2:HUV2"/>
    <mergeCell ref="HTA2:HTD2"/>
    <mergeCell ref="HTE2:HTH2"/>
    <mergeCell ref="HTI2:HTL2"/>
    <mergeCell ref="HTM2:HTP2"/>
    <mergeCell ref="HTQ2:HTT2"/>
    <mergeCell ref="HTU2:HTX2"/>
    <mergeCell ref="HSC2:HSF2"/>
    <mergeCell ref="HSG2:HSJ2"/>
    <mergeCell ref="HSK2:HSN2"/>
    <mergeCell ref="HSO2:HSR2"/>
    <mergeCell ref="HSS2:HSV2"/>
    <mergeCell ref="HSW2:HSZ2"/>
    <mergeCell ref="HRE2:HRH2"/>
    <mergeCell ref="HRI2:HRL2"/>
    <mergeCell ref="HRM2:HRP2"/>
    <mergeCell ref="HRQ2:HRT2"/>
    <mergeCell ref="HRU2:HRX2"/>
    <mergeCell ref="HRY2:HSB2"/>
    <mergeCell ref="IBI2:IBL2"/>
    <mergeCell ref="IBM2:IBP2"/>
    <mergeCell ref="IBQ2:IBT2"/>
    <mergeCell ref="IBU2:IBX2"/>
    <mergeCell ref="IBY2:ICB2"/>
    <mergeCell ref="ICC2:ICF2"/>
    <mergeCell ref="IAK2:IAN2"/>
    <mergeCell ref="IAO2:IAR2"/>
    <mergeCell ref="IAS2:IAV2"/>
    <mergeCell ref="IAW2:IAZ2"/>
    <mergeCell ref="IBA2:IBD2"/>
    <mergeCell ref="IBE2:IBH2"/>
    <mergeCell ref="HZM2:HZP2"/>
    <mergeCell ref="HZQ2:HZT2"/>
    <mergeCell ref="HZU2:HZX2"/>
    <mergeCell ref="HZY2:IAB2"/>
    <mergeCell ref="IAC2:IAF2"/>
    <mergeCell ref="IAG2:IAJ2"/>
    <mergeCell ref="HYO2:HYR2"/>
    <mergeCell ref="HYS2:HYV2"/>
    <mergeCell ref="HYW2:HYZ2"/>
    <mergeCell ref="HZA2:HZD2"/>
    <mergeCell ref="HZE2:HZH2"/>
    <mergeCell ref="HZI2:HZL2"/>
    <mergeCell ref="HXQ2:HXT2"/>
    <mergeCell ref="HXU2:HXX2"/>
    <mergeCell ref="HXY2:HYB2"/>
    <mergeCell ref="HYC2:HYF2"/>
    <mergeCell ref="HYG2:HYJ2"/>
    <mergeCell ref="HYK2:HYN2"/>
    <mergeCell ref="HWS2:HWV2"/>
    <mergeCell ref="HWW2:HWZ2"/>
    <mergeCell ref="HXA2:HXD2"/>
    <mergeCell ref="HXE2:HXH2"/>
    <mergeCell ref="HXI2:HXL2"/>
    <mergeCell ref="HXM2:HXP2"/>
    <mergeCell ref="IGW2:IGZ2"/>
    <mergeCell ref="IHA2:IHD2"/>
    <mergeCell ref="IHE2:IHH2"/>
    <mergeCell ref="IHI2:IHL2"/>
    <mergeCell ref="IHM2:IHP2"/>
    <mergeCell ref="IHQ2:IHT2"/>
    <mergeCell ref="IFY2:IGB2"/>
    <mergeCell ref="IGC2:IGF2"/>
    <mergeCell ref="IGG2:IGJ2"/>
    <mergeCell ref="IGK2:IGN2"/>
    <mergeCell ref="IGO2:IGR2"/>
    <mergeCell ref="IGS2:IGV2"/>
    <mergeCell ref="IFA2:IFD2"/>
    <mergeCell ref="IFE2:IFH2"/>
    <mergeCell ref="IFI2:IFL2"/>
    <mergeCell ref="IFM2:IFP2"/>
    <mergeCell ref="IFQ2:IFT2"/>
    <mergeCell ref="IFU2:IFX2"/>
    <mergeCell ref="IEC2:IEF2"/>
    <mergeCell ref="IEG2:IEJ2"/>
    <mergeCell ref="IEK2:IEN2"/>
    <mergeCell ref="IEO2:IER2"/>
    <mergeCell ref="IES2:IEV2"/>
    <mergeCell ref="IEW2:IEZ2"/>
    <mergeCell ref="IDE2:IDH2"/>
    <mergeCell ref="IDI2:IDL2"/>
    <mergeCell ref="IDM2:IDP2"/>
    <mergeCell ref="IDQ2:IDT2"/>
    <mergeCell ref="IDU2:IDX2"/>
    <mergeCell ref="IDY2:IEB2"/>
    <mergeCell ref="ICG2:ICJ2"/>
    <mergeCell ref="ICK2:ICN2"/>
    <mergeCell ref="ICO2:ICR2"/>
    <mergeCell ref="ICS2:ICV2"/>
    <mergeCell ref="ICW2:ICZ2"/>
    <mergeCell ref="IDA2:IDD2"/>
    <mergeCell ref="IMK2:IMN2"/>
    <mergeCell ref="IMO2:IMR2"/>
    <mergeCell ref="IMS2:IMV2"/>
    <mergeCell ref="IMW2:IMZ2"/>
    <mergeCell ref="INA2:IND2"/>
    <mergeCell ref="INE2:INH2"/>
    <mergeCell ref="ILM2:ILP2"/>
    <mergeCell ref="ILQ2:ILT2"/>
    <mergeCell ref="ILU2:ILX2"/>
    <mergeCell ref="ILY2:IMB2"/>
    <mergeCell ref="IMC2:IMF2"/>
    <mergeCell ref="IMG2:IMJ2"/>
    <mergeCell ref="IKO2:IKR2"/>
    <mergeCell ref="IKS2:IKV2"/>
    <mergeCell ref="IKW2:IKZ2"/>
    <mergeCell ref="ILA2:ILD2"/>
    <mergeCell ref="ILE2:ILH2"/>
    <mergeCell ref="ILI2:ILL2"/>
    <mergeCell ref="IJQ2:IJT2"/>
    <mergeCell ref="IJU2:IJX2"/>
    <mergeCell ref="IJY2:IKB2"/>
    <mergeCell ref="IKC2:IKF2"/>
    <mergeCell ref="IKG2:IKJ2"/>
    <mergeCell ref="IKK2:IKN2"/>
    <mergeCell ref="IIS2:IIV2"/>
    <mergeCell ref="IIW2:IIZ2"/>
    <mergeCell ref="IJA2:IJD2"/>
    <mergeCell ref="IJE2:IJH2"/>
    <mergeCell ref="IJI2:IJL2"/>
    <mergeCell ref="IJM2:IJP2"/>
    <mergeCell ref="IHU2:IHX2"/>
    <mergeCell ref="IHY2:IIB2"/>
    <mergeCell ref="IIC2:IIF2"/>
    <mergeCell ref="IIG2:IIJ2"/>
    <mergeCell ref="IIK2:IIN2"/>
    <mergeCell ref="IIO2:IIR2"/>
    <mergeCell ref="IRY2:ISB2"/>
    <mergeCell ref="ISC2:ISF2"/>
    <mergeCell ref="ISG2:ISJ2"/>
    <mergeCell ref="ISK2:ISN2"/>
    <mergeCell ref="ISO2:ISR2"/>
    <mergeCell ref="ISS2:ISV2"/>
    <mergeCell ref="IRA2:IRD2"/>
    <mergeCell ref="IRE2:IRH2"/>
    <mergeCell ref="IRI2:IRL2"/>
    <mergeCell ref="IRM2:IRP2"/>
    <mergeCell ref="IRQ2:IRT2"/>
    <mergeCell ref="IRU2:IRX2"/>
    <mergeCell ref="IQC2:IQF2"/>
    <mergeCell ref="IQG2:IQJ2"/>
    <mergeCell ref="IQK2:IQN2"/>
    <mergeCell ref="IQO2:IQR2"/>
    <mergeCell ref="IQS2:IQV2"/>
    <mergeCell ref="IQW2:IQZ2"/>
    <mergeCell ref="IPE2:IPH2"/>
    <mergeCell ref="IPI2:IPL2"/>
    <mergeCell ref="IPM2:IPP2"/>
    <mergeCell ref="IPQ2:IPT2"/>
    <mergeCell ref="IPU2:IPX2"/>
    <mergeCell ref="IPY2:IQB2"/>
    <mergeCell ref="IOG2:IOJ2"/>
    <mergeCell ref="IOK2:ION2"/>
    <mergeCell ref="IOO2:IOR2"/>
    <mergeCell ref="IOS2:IOV2"/>
    <mergeCell ref="IOW2:IOZ2"/>
    <mergeCell ref="IPA2:IPD2"/>
    <mergeCell ref="INI2:INL2"/>
    <mergeCell ref="INM2:INP2"/>
    <mergeCell ref="INQ2:INT2"/>
    <mergeCell ref="INU2:INX2"/>
    <mergeCell ref="INY2:IOB2"/>
    <mergeCell ref="IOC2:IOF2"/>
    <mergeCell ref="IXM2:IXP2"/>
    <mergeCell ref="IXQ2:IXT2"/>
    <mergeCell ref="IXU2:IXX2"/>
    <mergeCell ref="IXY2:IYB2"/>
    <mergeCell ref="IYC2:IYF2"/>
    <mergeCell ref="IYG2:IYJ2"/>
    <mergeCell ref="IWO2:IWR2"/>
    <mergeCell ref="IWS2:IWV2"/>
    <mergeCell ref="IWW2:IWZ2"/>
    <mergeCell ref="IXA2:IXD2"/>
    <mergeCell ref="IXE2:IXH2"/>
    <mergeCell ref="IXI2:IXL2"/>
    <mergeCell ref="IVQ2:IVT2"/>
    <mergeCell ref="IVU2:IVX2"/>
    <mergeCell ref="IVY2:IWB2"/>
    <mergeCell ref="IWC2:IWF2"/>
    <mergeCell ref="IWG2:IWJ2"/>
    <mergeCell ref="IWK2:IWN2"/>
    <mergeCell ref="IUS2:IUV2"/>
    <mergeCell ref="IUW2:IUZ2"/>
    <mergeCell ref="IVA2:IVD2"/>
    <mergeCell ref="IVE2:IVH2"/>
    <mergeCell ref="IVI2:IVL2"/>
    <mergeCell ref="IVM2:IVP2"/>
    <mergeCell ref="ITU2:ITX2"/>
    <mergeCell ref="ITY2:IUB2"/>
    <mergeCell ref="IUC2:IUF2"/>
    <mergeCell ref="IUG2:IUJ2"/>
    <mergeCell ref="IUK2:IUN2"/>
    <mergeCell ref="IUO2:IUR2"/>
    <mergeCell ref="ISW2:ISZ2"/>
    <mergeCell ref="ITA2:ITD2"/>
    <mergeCell ref="ITE2:ITH2"/>
    <mergeCell ref="ITI2:ITL2"/>
    <mergeCell ref="ITM2:ITP2"/>
    <mergeCell ref="ITQ2:ITT2"/>
    <mergeCell ref="JDA2:JDD2"/>
    <mergeCell ref="JDE2:JDH2"/>
    <mergeCell ref="JDI2:JDL2"/>
    <mergeCell ref="JDM2:JDP2"/>
    <mergeCell ref="JDQ2:JDT2"/>
    <mergeCell ref="JDU2:JDX2"/>
    <mergeCell ref="JCC2:JCF2"/>
    <mergeCell ref="JCG2:JCJ2"/>
    <mergeCell ref="JCK2:JCN2"/>
    <mergeCell ref="JCO2:JCR2"/>
    <mergeCell ref="JCS2:JCV2"/>
    <mergeCell ref="JCW2:JCZ2"/>
    <mergeCell ref="JBE2:JBH2"/>
    <mergeCell ref="JBI2:JBL2"/>
    <mergeCell ref="JBM2:JBP2"/>
    <mergeCell ref="JBQ2:JBT2"/>
    <mergeCell ref="JBU2:JBX2"/>
    <mergeCell ref="JBY2:JCB2"/>
    <mergeCell ref="JAG2:JAJ2"/>
    <mergeCell ref="JAK2:JAN2"/>
    <mergeCell ref="JAO2:JAR2"/>
    <mergeCell ref="JAS2:JAV2"/>
    <mergeCell ref="JAW2:JAZ2"/>
    <mergeCell ref="JBA2:JBD2"/>
    <mergeCell ref="IZI2:IZL2"/>
    <mergeCell ref="IZM2:IZP2"/>
    <mergeCell ref="IZQ2:IZT2"/>
    <mergeCell ref="IZU2:IZX2"/>
    <mergeCell ref="IZY2:JAB2"/>
    <mergeCell ref="JAC2:JAF2"/>
    <mergeCell ref="IYK2:IYN2"/>
    <mergeCell ref="IYO2:IYR2"/>
    <mergeCell ref="IYS2:IYV2"/>
    <mergeCell ref="IYW2:IYZ2"/>
    <mergeCell ref="IZA2:IZD2"/>
    <mergeCell ref="IZE2:IZH2"/>
    <mergeCell ref="JIO2:JIR2"/>
    <mergeCell ref="JIS2:JIV2"/>
    <mergeCell ref="JIW2:JIZ2"/>
    <mergeCell ref="JJA2:JJD2"/>
    <mergeCell ref="JJE2:JJH2"/>
    <mergeCell ref="JJI2:JJL2"/>
    <mergeCell ref="JHQ2:JHT2"/>
    <mergeCell ref="JHU2:JHX2"/>
    <mergeCell ref="JHY2:JIB2"/>
    <mergeCell ref="JIC2:JIF2"/>
    <mergeCell ref="JIG2:JIJ2"/>
    <mergeCell ref="JIK2:JIN2"/>
    <mergeCell ref="JGS2:JGV2"/>
    <mergeCell ref="JGW2:JGZ2"/>
    <mergeCell ref="JHA2:JHD2"/>
    <mergeCell ref="JHE2:JHH2"/>
    <mergeCell ref="JHI2:JHL2"/>
    <mergeCell ref="JHM2:JHP2"/>
    <mergeCell ref="JFU2:JFX2"/>
    <mergeCell ref="JFY2:JGB2"/>
    <mergeCell ref="JGC2:JGF2"/>
    <mergeCell ref="JGG2:JGJ2"/>
    <mergeCell ref="JGK2:JGN2"/>
    <mergeCell ref="JGO2:JGR2"/>
    <mergeCell ref="JEW2:JEZ2"/>
    <mergeCell ref="JFA2:JFD2"/>
    <mergeCell ref="JFE2:JFH2"/>
    <mergeCell ref="JFI2:JFL2"/>
    <mergeCell ref="JFM2:JFP2"/>
    <mergeCell ref="JFQ2:JFT2"/>
    <mergeCell ref="JDY2:JEB2"/>
    <mergeCell ref="JEC2:JEF2"/>
    <mergeCell ref="JEG2:JEJ2"/>
    <mergeCell ref="JEK2:JEN2"/>
    <mergeCell ref="JEO2:JER2"/>
    <mergeCell ref="JES2:JEV2"/>
    <mergeCell ref="JOC2:JOF2"/>
    <mergeCell ref="JOG2:JOJ2"/>
    <mergeCell ref="JOK2:JON2"/>
    <mergeCell ref="JOO2:JOR2"/>
    <mergeCell ref="JOS2:JOV2"/>
    <mergeCell ref="JOW2:JOZ2"/>
    <mergeCell ref="JNE2:JNH2"/>
    <mergeCell ref="JNI2:JNL2"/>
    <mergeCell ref="JNM2:JNP2"/>
    <mergeCell ref="JNQ2:JNT2"/>
    <mergeCell ref="JNU2:JNX2"/>
    <mergeCell ref="JNY2:JOB2"/>
    <mergeCell ref="JMG2:JMJ2"/>
    <mergeCell ref="JMK2:JMN2"/>
    <mergeCell ref="JMO2:JMR2"/>
    <mergeCell ref="JMS2:JMV2"/>
    <mergeCell ref="JMW2:JMZ2"/>
    <mergeCell ref="JNA2:JND2"/>
    <mergeCell ref="JLI2:JLL2"/>
    <mergeCell ref="JLM2:JLP2"/>
    <mergeCell ref="JLQ2:JLT2"/>
    <mergeCell ref="JLU2:JLX2"/>
    <mergeCell ref="JLY2:JMB2"/>
    <mergeCell ref="JMC2:JMF2"/>
    <mergeCell ref="JKK2:JKN2"/>
    <mergeCell ref="JKO2:JKR2"/>
    <mergeCell ref="JKS2:JKV2"/>
    <mergeCell ref="JKW2:JKZ2"/>
    <mergeCell ref="JLA2:JLD2"/>
    <mergeCell ref="JLE2:JLH2"/>
    <mergeCell ref="JJM2:JJP2"/>
    <mergeCell ref="JJQ2:JJT2"/>
    <mergeCell ref="JJU2:JJX2"/>
    <mergeCell ref="JJY2:JKB2"/>
    <mergeCell ref="JKC2:JKF2"/>
    <mergeCell ref="JKG2:JKJ2"/>
    <mergeCell ref="JTQ2:JTT2"/>
    <mergeCell ref="JTU2:JTX2"/>
    <mergeCell ref="JTY2:JUB2"/>
    <mergeCell ref="JUC2:JUF2"/>
    <mergeCell ref="JUG2:JUJ2"/>
    <mergeCell ref="JUK2:JUN2"/>
    <mergeCell ref="JSS2:JSV2"/>
    <mergeCell ref="JSW2:JSZ2"/>
    <mergeCell ref="JTA2:JTD2"/>
    <mergeCell ref="JTE2:JTH2"/>
    <mergeCell ref="JTI2:JTL2"/>
    <mergeCell ref="JTM2:JTP2"/>
    <mergeCell ref="JRU2:JRX2"/>
    <mergeCell ref="JRY2:JSB2"/>
    <mergeCell ref="JSC2:JSF2"/>
    <mergeCell ref="JSG2:JSJ2"/>
    <mergeCell ref="JSK2:JSN2"/>
    <mergeCell ref="JSO2:JSR2"/>
    <mergeCell ref="JQW2:JQZ2"/>
    <mergeCell ref="JRA2:JRD2"/>
    <mergeCell ref="JRE2:JRH2"/>
    <mergeCell ref="JRI2:JRL2"/>
    <mergeCell ref="JRM2:JRP2"/>
    <mergeCell ref="JRQ2:JRT2"/>
    <mergeCell ref="JPY2:JQB2"/>
    <mergeCell ref="JQC2:JQF2"/>
    <mergeCell ref="JQG2:JQJ2"/>
    <mergeCell ref="JQK2:JQN2"/>
    <mergeCell ref="JQO2:JQR2"/>
    <mergeCell ref="JQS2:JQV2"/>
    <mergeCell ref="JPA2:JPD2"/>
    <mergeCell ref="JPE2:JPH2"/>
    <mergeCell ref="JPI2:JPL2"/>
    <mergeCell ref="JPM2:JPP2"/>
    <mergeCell ref="JPQ2:JPT2"/>
    <mergeCell ref="JPU2:JPX2"/>
    <mergeCell ref="JZE2:JZH2"/>
    <mergeCell ref="JZI2:JZL2"/>
    <mergeCell ref="JZM2:JZP2"/>
    <mergeCell ref="JZQ2:JZT2"/>
    <mergeCell ref="JZU2:JZX2"/>
    <mergeCell ref="JZY2:KAB2"/>
    <mergeCell ref="JYG2:JYJ2"/>
    <mergeCell ref="JYK2:JYN2"/>
    <mergeCell ref="JYO2:JYR2"/>
    <mergeCell ref="JYS2:JYV2"/>
    <mergeCell ref="JYW2:JYZ2"/>
    <mergeCell ref="JZA2:JZD2"/>
    <mergeCell ref="JXI2:JXL2"/>
    <mergeCell ref="JXM2:JXP2"/>
    <mergeCell ref="JXQ2:JXT2"/>
    <mergeCell ref="JXU2:JXX2"/>
    <mergeCell ref="JXY2:JYB2"/>
    <mergeCell ref="JYC2:JYF2"/>
    <mergeCell ref="JWK2:JWN2"/>
    <mergeCell ref="JWO2:JWR2"/>
    <mergeCell ref="JWS2:JWV2"/>
    <mergeCell ref="JWW2:JWZ2"/>
    <mergeCell ref="JXA2:JXD2"/>
    <mergeCell ref="JXE2:JXH2"/>
    <mergeCell ref="JVM2:JVP2"/>
    <mergeCell ref="JVQ2:JVT2"/>
    <mergeCell ref="JVU2:JVX2"/>
    <mergeCell ref="JVY2:JWB2"/>
    <mergeCell ref="JWC2:JWF2"/>
    <mergeCell ref="JWG2:JWJ2"/>
    <mergeCell ref="JUO2:JUR2"/>
    <mergeCell ref="JUS2:JUV2"/>
    <mergeCell ref="JUW2:JUZ2"/>
    <mergeCell ref="JVA2:JVD2"/>
    <mergeCell ref="JVE2:JVH2"/>
    <mergeCell ref="JVI2:JVL2"/>
    <mergeCell ref="KES2:KEV2"/>
    <mergeCell ref="KEW2:KEZ2"/>
    <mergeCell ref="KFA2:KFD2"/>
    <mergeCell ref="KFE2:KFH2"/>
    <mergeCell ref="KFI2:KFL2"/>
    <mergeCell ref="KFM2:KFP2"/>
    <mergeCell ref="KDU2:KDX2"/>
    <mergeCell ref="KDY2:KEB2"/>
    <mergeCell ref="KEC2:KEF2"/>
    <mergeCell ref="KEG2:KEJ2"/>
    <mergeCell ref="KEK2:KEN2"/>
    <mergeCell ref="KEO2:KER2"/>
    <mergeCell ref="KCW2:KCZ2"/>
    <mergeCell ref="KDA2:KDD2"/>
    <mergeCell ref="KDE2:KDH2"/>
    <mergeCell ref="KDI2:KDL2"/>
    <mergeCell ref="KDM2:KDP2"/>
    <mergeCell ref="KDQ2:KDT2"/>
    <mergeCell ref="KBY2:KCB2"/>
    <mergeCell ref="KCC2:KCF2"/>
    <mergeCell ref="KCG2:KCJ2"/>
    <mergeCell ref="KCK2:KCN2"/>
    <mergeCell ref="KCO2:KCR2"/>
    <mergeCell ref="KCS2:KCV2"/>
    <mergeCell ref="KBA2:KBD2"/>
    <mergeCell ref="KBE2:KBH2"/>
    <mergeCell ref="KBI2:KBL2"/>
    <mergeCell ref="KBM2:KBP2"/>
    <mergeCell ref="KBQ2:KBT2"/>
    <mergeCell ref="KBU2:KBX2"/>
    <mergeCell ref="KAC2:KAF2"/>
    <mergeCell ref="KAG2:KAJ2"/>
    <mergeCell ref="KAK2:KAN2"/>
    <mergeCell ref="KAO2:KAR2"/>
    <mergeCell ref="KAS2:KAV2"/>
    <mergeCell ref="KAW2:KAZ2"/>
    <mergeCell ref="KKG2:KKJ2"/>
    <mergeCell ref="KKK2:KKN2"/>
    <mergeCell ref="KKO2:KKR2"/>
    <mergeCell ref="KKS2:KKV2"/>
    <mergeCell ref="KKW2:KKZ2"/>
    <mergeCell ref="KLA2:KLD2"/>
    <mergeCell ref="KJI2:KJL2"/>
    <mergeCell ref="KJM2:KJP2"/>
    <mergeCell ref="KJQ2:KJT2"/>
    <mergeCell ref="KJU2:KJX2"/>
    <mergeCell ref="KJY2:KKB2"/>
    <mergeCell ref="KKC2:KKF2"/>
    <mergeCell ref="KIK2:KIN2"/>
    <mergeCell ref="KIO2:KIR2"/>
    <mergeCell ref="KIS2:KIV2"/>
    <mergeCell ref="KIW2:KIZ2"/>
    <mergeCell ref="KJA2:KJD2"/>
    <mergeCell ref="KJE2:KJH2"/>
    <mergeCell ref="KHM2:KHP2"/>
    <mergeCell ref="KHQ2:KHT2"/>
    <mergeCell ref="KHU2:KHX2"/>
    <mergeCell ref="KHY2:KIB2"/>
    <mergeCell ref="KIC2:KIF2"/>
    <mergeCell ref="KIG2:KIJ2"/>
    <mergeCell ref="KGO2:KGR2"/>
    <mergeCell ref="KGS2:KGV2"/>
    <mergeCell ref="KGW2:KGZ2"/>
    <mergeCell ref="KHA2:KHD2"/>
    <mergeCell ref="KHE2:KHH2"/>
    <mergeCell ref="KHI2:KHL2"/>
    <mergeCell ref="KFQ2:KFT2"/>
    <mergeCell ref="KFU2:KFX2"/>
    <mergeCell ref="KFY2:KGB2"/>
    <mergeCell ref="KGC2:KGF2"/>
    <mergeCell ref="KGG2:KGJ2"/>
    <mergeCell ref="KGK2:KGN2"/>
    <mergeCell ref="KPU2:KPX2"/>
    <mergeCell ref="KPY2:KQB2"/>
    <mergeCell ref="KQC2:KQF2"/>
    <mergeCell ref="KQG2:KQJ2"/>
    <mergeCell ref="KQK2:KQN2"/>
    <mergeCell ref="KQO2:KQR2"/>
    <mergeCell ref="KOW2:KOZ2"/>
    <mergeCell ref="KPA2:KPD2"/>
    <mergeCell ref="KPE2:KPH2"/>
    <mergeCell ref="KPI2:KPL2"/>
    <mergeCell ref="KPM2:KPP2"/>
    <mergeCell ref="KPQ2:KPT2"/>
    <mergeCell ref="KNY2:KOB2"/>
    <mergeCell ref="KOC2:KOF2"/>
    <mergeCell ref="KOG2:KOJ2"/>
    <mergeCell ref="KOK2:KON2"/>
    <mergeCell ref="KOO2:KOR2"/>
    <mergeCell ref="KOS2:KOV2"/>
    <mergeCell ref="KNA2:KND2"/>
    <mergeCell ref="KNE2:KNH2"/>
    <mergeCell ref="KNI2:KNL2"/>
    <mergeCell ref="KNM2:KNP2"/>
    <mergeCell ref="KNQ2:KNT2"/>
    <mergeCell ref="KNU2:KNX2"/>
    <mergeCell ref="KMC2:KMF2"/>
    <mergeCell ref="KMG2:KMJ2"/>
    <mergeCell ref="KMK2:KMN2"/>
    <mergeCell ref="KMO2:KMR2"/>
    <mergeCell ref="KMS2:KMV2"/>
    <mergeCell ref="KMW2:KMZ2"/>
    <mergeCell ref="KLE2:KLH2"/>
    <mergeCell ref="KLI2:KLL2"/>
    <mergeCell ref="KLM2:KLP2"/>
    <mergeCell ref="KLQ2:KLT2"/>
    <mergeCell ref="KLU2:KLX2"/>
    <mergeCell ref="KLY2:KMB2"/>
    <mergeCell ref="KVI2:KVL2"/>
    <mergeCell ref="KVM2:KVP2"/>
    <mergeCell ref="KVQ2:KVT2"/>
    <mergeCell ref="KVU2:KVX2"/>
    <mergeCell ref="KVY2:KWB2"/>
    <mergeCell ref="KWC2:KWF2"/>
    <mergeCell ref="KUK2:KUN2"/>
    <mergeCell ref="KUO2:KUR2"/>
    <mergeCell ref="KUS2:KUV2"/>
    <mergeCell ref="KUW2:KUZ2"/>
    <mergeCell ref="KVA2:KVD2"/>
    <mergeCell ref="KVE2:KVH2"/>
    <mergeCell ref="KTM2:KTP2"/>
    <mergeCell ref="KTQ2:KTT2"/>
    <mergeCell ref="KTU2:KTX2"/>
    <mergeCell ref="KTY2:KUB2"/>
    <mergeCell ref="KUC2:KUF2"/>
    <mergeCell ref="KUG2:KUJ2"/>
    <mergeCell ref="KSO2:KSR2"/>
    <mergeCell ref="KSS2:KSV2"/>
    <mergeCell ref="KSW2:KSZ2"/>
    <mergeCell ref="KTA2:KTD2"/>
    <mergeCell ref="KTE2:KTH2"/>
    <mergeCell ref="KTI2:KTL2"/>
    <mergeCell ref="KRQ2:KRT2"/>
    <mergeCell ref="KRU2:KRX2"/>
    <mergeCell ref="KRY2:KSB2"/>
    <mergeCell ref="KSC2:KSF2"/>
    <mergeCell ref="KSG2:KSJ2"/>
    <mergeCell ref="KSK2:KSN2"/>
    <mergeCell ref="KQS2:KQV2"/>
    <mergeCell ref="KQW2:KQZ2"/>
    <mergeCell ref="KRA2:KRD2"/>
    <mergeCell ref="KRE2:KRH2"/>
    <mergeCell ref="KRI2:KRL2"/>
    <mergeCell ref="KRM2:KRP2"/>
    <mergeCell ref="LAW2:LAZ2"/>
    <mergeCell ref="LBA2:LBD2"/>
    <mergeCell ref="LBE2:LBH2"/>
    <mergeCell ref="LBI2:LBL2"/>
    <mergeCell ref="LBM2:LBP2"/>
    <mergeCell ref="LBQ2:LBT2"/>
    <mergeCell ref="KZY2:LAB2"/>
    <mergeCell ref="LAC2:LAF2"/>
    <mergeCell ref="LAG2:LAJ2"/>
    <mergeCell ref="LAK2:LAN2"/>
    <mergeCell ref="LAO2:LAR2"/>
    <mergeCell ref="LAS2:LAV2"/>
    <mergeCell ref="KZA2:KZD2"/>
    <mergeCell ref="KZE2:KZH2"/>
    <mergeCell ref="KZI2:KZL2"/>
    <mergeCell ref="KZM2:KZP2"/>
    <mergeCell ref="KZQ2:KZT2"/>
    <mergeCell ref="KZU2:KZX2"/>
    <mergeCell ref="KYC2:KYF2"/>
    <mergeCell ref="KYG2:KYJ2"/>
    <mergeCell ref="KYK2:KYN2"/>
    <mergeCell ref="KYO2:KYR2"/>
    <mergeCell ref="KYS2:KYV2"/>
    <mergeCell ref="KYW2:KYZ2"/>
    <mergeCell ref="KXE2:KXH2"/>
    <mergeCell ref="KXI2:KXL2"/>
    <mergeCell ref="KXM2:KXP2"/>
    <mergeCell ref="KXQ2:KXT2"/>
    <mergeCell ref="KXU2:KXX2"/>
    <mergeCell ref="KXY2:KYB2"/>
    <mergeCell ref="KWG2:KWJ2"/>
    <mergeCell ref="KWK2:KWN2"/>
    <mergeCell ref="KWO2:KWR2"/>
    <mergeCell ref="KWS2:KWV2"/>
    <mergeCell ref="KWW2:KWZ2"/>
    <mergeCell ref="KXA2:KXD2"/>
    <mergeCell ref="LGK2:LGN2"/>
    <mergeCell ref="LGO2:LGR2"/>
    <mergeCell ref="LGS2:LGV2"/>
    <mergeCell ref="LGW2:LGZ2"/>
    <mergeCell ref="LHA2:LHD2"/>
    <mergeCell ref="LHE2:LHH2"/>
    <mergeCell ref="LFM2:LFP2"/>
    <mergeCell ref="LFQ2:LFT2"/>
    <mergeCell ref="LFU2:LFX2"/>
    <mergeCell ref="LFY2:LGB2"/>
    <mergeCell ref="LGC2:LGF2"/>
    <mergeCell ref="LGG2:LGJ2"/>
    <mergeCell ref="LEO2:LER2"/>
    <mergeCell ref="LES2:LEV2"/>
    <mergeCell ref="LEW2:LEZ2"/>
    <mergeCell ref="LFA2:LFD2"/>
    <mergeCell ref="LFE2:LFH2"/>
    <mergeCell ref="LFI2:LFL2"/>
    <mergeCell ref="LDQ2:LDT2"/>
    <mergeCell ref="LDU2:LDX2"/>
    <mergeCell ref="LDY2:LEB2"/>
    <mergeCell ref="LEC2:LEF2"/>
    <mergeCell ref="LEG2:LEJ2"/>
    <mergeCell ref="LEK2:LEN2"/>
    <mergeCell ref="LCS2:LCV2"/>
    <mergeCell ref="LCW2:LCZ2"/>
    <mergeCell ref="LDA2:LDD2"/>
    <mergeCell ref="LDE2:LDH2"/>
    <mergeCell ref="LDI2:LDL2"/>
    <mergeCell ref="LDM2:LDP2"/>
    <mergeCell ref="LBU2:LBX2"/>
    <mergeCell ref="LBY2:LCB2"/>
    <mergeCell ref="LCC2:LCF2"/>
    <mergeCell ref="LCG2:LCJ2"/>
    <mergeCell ref="LCK2:LCN2"/>
    <mergeCell ref="LCO2:LCR2"/>
    <mergeCell ref="LLY2:LMB2"/>
    <mergeCell ref="LMC2:LMF2"/>
    <mergeCell ref="LMG2:LMJ2"/>
    <mergeCell ref="LMK2:LMN2"/>
    <mergeCell ref="LMO2:LMR2"/>
    <mergeCell ref="LMS2:LMV2"/>
    <mergeCell ref="LLA2:LLD2"/>
    <mergeCell ref="LLE2:LLH2"/>
    <mergeCell ref="LLI2:LLL2"/>
    <mergeCell ref="LLM2:LLP2"/>
    <mergeCell ref="LLQ2:LLT2"/>
    <mergeCell ref="LLU2:LLX2"/>
    <mergeCell ref="LKC2:LKF2"/>
    <mergeCell ref="LKG2:LKJ2"/>
    <mergeCell ref="LKK2:LKN2"/>
    <mergeCell ref="LKO2:LKR2"/>
    <mergeCell ref="LKS2:LKV2"/>
    <mergeCell ref="LKW2:LKZ2"/>
    <mergeCell ref="LJE2:LJH2"/>
    <mergeCell ref="LJI2:LJL2"/>
    <mergeCell ref="LJM2:LJP2"/>
    <mergeCell ref="LJQ2:LJT2"/>
    <mergeCell ref="LJU2:LJX2"/>
    <mergeCell ref="LJY2:LKB2"/>
    <mergeCell ref="LIG2:LIJ2"/>
    <mergeCell ref="LIK2:LIN2"/>
    <mergeCell ref="LIO2:LIR2"/>
    <mergeCell ref="LIS2:LIV2"/>
    <mergeCell ref="LIW2:LIZ2"/>
    <mergeCell ref="LJA2:LJD2"/>
    <mergeCell ref="LHI2:LHL2"/>
    <mergeCell ref="LHM2:LHP2"/>
    <mergeCell ref="LHQ2:LHT2"/>
    <mergeCell ref="LHU2:LHX2"/>
    <mergeCell ref="LHY2:LIB2"/>
    <mergeCell ref="LIC2:LIF2"/>
    <mergeCell ref="LRM2:LRP2"/>
    <mergeCell ref="LRQ2:LRT2"/>
    <mergeCell ref="LRU2:LRX2"/>
    <mergeCell ref="LRY2:LSB2"/>
    <mergeCell ref="LSC2:LSF2"/>
    <mergeCell ref="LSG2:LSJ2"/>
    <mergeCell ref="LQO2:LQR2"/>
    <mergeCell ref="LQS2:LQV2"/>
    <mergeCell ref="LQW2:LQZ2"/>
    <mergeCell ref="LRA2:LRD2"/>
    <mergeCell ref="LRE2:LRH2"/>
    <mergeCell ref="LRI2:LRL2"/>
    <mergeCell ref="LPQ2:LPT2"/>
    <mergeCell ref="LPU2:LPX2"/>
    <mergeCell ref="LPY2:LQB2"/>
    <mergeCell ref="LQC2:LQF2"/>
    <mergeCell ref="LQG2:LQJ2"/>
    <mergeCell ref="LQK2:LQN2"/>
    <mergeCell ref="LOS2:LOV2"/>
    <mergeCell ref="LOW2:LOZ2"/>
    <mergeCell ref="LPA2:LPD2"/>
    <mergeCell ref="LPE2:LPH2"/>
    <mergeCell ref="LPI2:LPL2"/>
    <mergeCell ref="LPM2:LPP2"/>
    <mergeCell ref="LNU2:LNX2"/>
    <mergeCell ref="LNY2:LOB2"/>
    <mergeCell ref="LOC2:LOF2"/>
    <mergeCell ref="LOG2:LOJ2"/>
    <mergeCell ref="LOK2:LON2"/>
    <mergeCell ref="LOO2:LOR2"/>
    <mergeCell ref="LMW2:LMZ2"/>
    <mergeCell ref="LNA2:LND2"/>
    <mergeCell ref="LNE2:LNH2"/>
    <mergeCell ref="LNI2:LNL2"/>
    <mergeCell ref="LNM2:LNP2"/>
    <mergeCell ref="LNQ2:LNT2"/>
    <mergeCell ref="LXA2:LXD2"/>
    <mergeCell ref="LXE2:LXH2"/>
    <mergeCell ref="LXI2:LXL2"/>
    <mergeCell ref="LXM2:LXP2"/>
    <mergeCell ref="LXQ2:LXT2"/>
    <mergeCell ref="LXU2:LXX2"/>
    <mergeCell ref="LWC2:LWF2"/>
    <mergeCell ref="LWG2:LWJ2"/>
    <mergeCell ref="LWK2:LWN2"/>
    <mergeCell ref="LWO2:LWR2"/>
    <mergeCell ref="LWS2:LWV2"/>
    <mergeCell ref="LWW2:LWZ2"/>
    <mergeCell ref="LVE2:LVH2"/>
    <mergeCell ref="LVI2:LVL2"/>
    <mergeCell ref="LVM2:LVP2"/>
    <mergeCell ref="LVQ2:LVT2"/>
    <mergeCell ref="LVU2:LVX2"/>
    <mergeCell ref="LVY2:LWB2"/>
    <mergeCell ref="LUG2:LUJ2"/>
    <mergeCell ref="LUK2:LUN2"/>
    <mergeCell ref="LUO2:LUR2"/>
    <mergeCell ref="LUS2:LUV2"/>
    <mergeCell ref="LUW2:LUZ2"/>
    <mergeCell ref="LVA2:LVD2"/>
    <mergeCell ref="LTI2:LTL2"/>
    <mergeCell ref="LTM2:LTP2"/>
    <mergeCell ref="LTQ2:LTT2"/>
    <mergeCell ref="LTU2:LTX2"/>
    <mergeCell ref="LTY2:LUB2"/>
    <mergeCell ref="LUC2:LUF2"/>
    <mergeCell ref="LSK2:LSN2"/>
    <mergeCell ref="LSO2:LSR2"/>
    <mergeCell ref="LSS2:LSV2"/>
    <mergeCell ref="LSW2:LSZ2"/>
    <mergeCell ref="LTA2:LTD2"/>
    <mergeCell ref="LTE2:LTH2"/>
    <mergeCell ref="MCO2:MCR2"/>
    <mergeCell ref="MCS2:MCV2"/>
    <mergeCell ref="MCW2:MCZ2"/>
    <mergeCell ref="MDA2:MDD2"/>
    <mergeCell ref="MDE2:MDH2"/>
    <mergeCell ref="MDI2:MDL2"/>
    <mergeCell ref="MBQ2:MBT2"/>
    <mergeCell ref="MBU2:MBX2"/>
    <mergeCell ref="MBY2:MCB2"/>
    <mergeCell ref="MCC2:MCF2"/>
    <mergeCell ref="MCG2:MCJ2"/>
    <mergeCell ref="MCK2:MCN2"/>
    <mergeCell ref="MAS2:MAV2"/>
    <mergeCell ref="MAW2:MAZ2"/>
    <mergeCell ref="MBA2:MBD2"/>
    <mergeCell ref="MBE2:MBH2"/>
    <mergeCell ref="MBI2:MBL2"/>
    <mergeCell ref="MBM2:MBP2"/>
    <mergeCell ref="LZU2:LZX2"/>
    <mergeCell ref="LZY2:MAB2"/>
    <mergeCell ref="MAC2:MAF2"/>
    <mergeCell ref="MAG2:MAJ2"/>
    <mergeCell ref="MAK2:MAN2"/>
    <mergeCell ref="MAO2:MAR2"/>
    <mergeCell ref="LYW2:LYZ2"/>
    <mergeCell ref="LZA2:LZD2"/>
    <mergeCell ref="LZE2:LZH2"/>
    <mergeCell ref="LZI2:LZL2"/>
    <mergeCell ref="LZM2:LZP2"/>
    <mergeCell ref="LZQ2:LZT2"/>
    <mergeCell ref="LXY2:LYB2"/>
    <mergeCell ref="LYC2:LYF2"/>
    <mergeCell ref="LYG2:LYJ2"/>
    <mergeCell ref="LYK2:LYN2"/>
    <mergeCell ref="LYO2:LYR2"/>
    <mergeCell ref="LYS2:LYV2"/>
    <mergeCell ref="MIC2:MIF2"/>
    <mergeCell ref="MIG2:MIJ2"/>
    <mergeCell ref="MIK2:MIN2"/>
    <mergeCell ref="MIO2:MIR2"/>
    <mergeCell ref="MIS2:MIV2"/>
    <mergeCell ref="MIW2:MIZ2"/>
    <mergeCell ref="MHE2:MHH2"/>
    <mergeCell ref="MHI2:MHL2"/>
    <mergeCell ref="MHM2:MHP2"/>
    <mergeCell ref="MHQ2:MHT2"/>
    <mergeCell ref="MHU2:MHX2"/>
    <mergeCell ref="MHY2:MIB2"/>
    <mergeCell ref="MGG2:MGJ2"/>
    <mergeCell ref="MGK2:MGN2"/>
    <mergeCell ref="MGO2:MGR2"/>
    <mergeCell ref="MGS2:MGV2"/>
    <mergeCell ref="MGW2:MGZ2"/>
    <mergeCell ref="MHA2:MHD2"/>
    <mergeCell ref="MFI2:MFL2"/>
    <mergeCell ref="MFM2:MFP2"/>
    <mergeCell ref="MFQ2:MFT2"/>
    <mergeCell ref="MFU2:MFX2"/>
    <mergeCell ref="MFY2:MGB2"/>
    <mergeCell ref="MGC2:MGF2"/>
    <mergeCell ref="MEK2:MEN2"/>
    <mergeCell ref="MEO2:MER2"/>
    <mergeCell ref="MES2:MEV2"/>
    <mergeCell ref="MEW2:MEZ2"/>
    <mergeCell ref="MFA2:MFD2"/>
    <mergeCell ref="MFE2:MFH2"/>
    <mergeCell ref="MDM2:MDP2"/>
    <mergeCell ref="MDQ2:MDT2"/>
    <mergeCell ref="MDU2:MDX2"/>
    <mergeCell ref="MDY2:MEB2"/>
    <mergeCell ref="MEC2:MEF2"/>
    <mergeCell ref="MEG2:MEJ2"/>
    <mergeCell ref="MNQ2:MNT2"/>
    <mergeCell ref="MNU2:MNX2"/>
    <mergeCell ref="MNY2:MOB2"/>
    <mergeCell ref="MOC2:MOF2"/>
    <mergeCell ref="MOG2:MOJ2"/>
    <mergeCell ref="MOK2:MON2"/>
    <mergeCell ref="MMS2:MMV2"/>
    <mergeCell ref="MMW2:MMZ2"/>
    <mergeCell ref="MNA2:MND2"/>
    <mergeCell ref="MNE2:MNH2"/>
    <mergeCell ref="MNI2:MNL2"/>
    <mergeCell ref="MNM2:MNP2"/>
    <mergeCell ref="MLU2:MLX2"/>
    <mergeCell ref="MLY2:MMB2"/>
    <mergeCell ref="MMC2:MMF2"/>
    <mergeCell ref="MMG2:MMJ2"/>
    <mergeCell ref="MMK2:MMN2"/>
    <mergeCell ref="MMO2:MMR2"/>
    <mergeCell ref="MKW2:MKZ2"/>
    <mergeCell ref="MLA2:MLD2"/>
    <mergeCell ref="MLE2:MLH2"/>
    <mergeCell ref="MLI2:MLL2"/>
    <mergeCell ref="MLM2:MLP2"/>
    <mergeCell ref="MLQ2:MLT2"/>
    <mergeCell ref="MJY2:MKB2"/>
    <mergeCell ref="MKC2:MKF2"/>
    <mergeCell ref="MKG2:MKJ2"/>
    <mergeCell ref="MKK2:MKN2"/>
    <mergeCell ref="MKO2:MKR2"/>
    <mergeCell ref="MKS2:MKV2"/>
    <mergeCell ref="MJA2:MJD2"/>
    <mergeCell ref="MJE2:MJH2"/>
    <mergeCell ref="MJI2:MJL2"/>
    <mergeCell ref="MJM2:MJP2"/>
    <mergeCell ref="MJQ2:MJT2"/>
    <mergeCell ref="MJU2:MJX2"/>
    <mergeCell ref="MTE2:MTH2"/>
    <mergeCell ref="MTI2:MTL2"/>
    <mergeCell ref="MTM2:MTP2"/>
    <mergeCell ref="MTQ2:MTT2"/>
    <mergeCell ref="MTU2:MTX2"/>
    <mergeCell ref="MTY2:MUB2"/>
    <mergeCell ref="MSG2:MSJ2"/>
    <mergeCell ref="MSK2:MSN2"/>
    <mergeCell ref="MSO2:MSR2"/>
    <mergeCell ref="MSS2:MSV2"/>
    <mergeCell ref="MSW2:MSZ2"/>
    <mergeCell ref="MTA2:MTD2"/>
    <mergeCell ref="MRI2:MRL2"/>
    <mergeCell ref="MRM2:MRP2"/>
    <mergeCell ref="MRQ2:MRT2"/>
    <mergeCell ref="MRU2:MRX2"/>
    <mergeCell ref="MRY2:MSB2"/>
    <mergeCell ref="MSC2:MSF2"/>
    <mergeCell ref="MQK2:MQN2"/>
    <mergeCell ref="MQO2:MQR2"/>
    <mergeCell ref="MQS2:MQV2"/>
    <mergeCell ref="MQW2:MQZ2"/>
    <mergeCell ref="MRA2:MRD2"/>
    <mergeCell ref="MRE2:MRH2"/>
    <mergeCell ref="MPM2:MPP2"/>
    <mergeCell ref="MPQ2:MPT2"/>
    <mergeCell ref="MPU2:MPX2"/>
    <mergeCell ref="MPY2:MQB2"/>
    <mergeCell ref="MQC2:MQF2"/>
    <mergeCell ref="MQG2:MQJ2"/>
    <mergeCell ref="MOO2:MOR2"/>
    <mergeCell ref="MOS2:MOV2"/>
    <mergeCell ref="MOW2:MOZ2"/>
    <mergeCell ref="MPA2:MPD2"/>
    <mergeCell ref="MPE2:MPH2"/>
    <mergeCell ref="MPI2:MPL2"/>
    <mergeCell ref="MYS2:MYV2"/>
    <mergeCell ref="MYW2:MYZ2"/>
    <mergeCell ref="MZA2:MZD2"/>
    <mergeCell ref="MZE2:MZH2"/>
    <mergeCell ref="MZI2:MZL2"/>
    <mergeCell ref="MZM2:MZP2"/>
    <mergeCell ref="MXU2:MXX2"/>
    <mergeCell ref="MXY2:MYB2"/>
    <mergeCell ref="MYC2:MYF2"/>
    <mergeCell ref="MYG2:MYJ2"/>
    <mergeCell ref="MYK2:MYN2"/>
    <mergeCell ref="MYO2:MYR2"/>
    <mergeCell ref="MWW2:MWZ2"/>
    <mergeCell ref="MXA2:MXD2"/>
    <mergeCell ref="MXE2:MXH2"/>
    <mergeCell ref="MXI2:MXL2"/>
    <mergeCell ref="MXM2:MXP2"/>
    <mergeCell ref="MXQ2:MXT2"/>
    <mergeCell ref="MVY2:MWB2"/>
    <mergeCell ref="MWC2:MWF2"/>
    <mergeCell ref="MWG2:MWJ2"/>
    <mergeCell ref="MWK2:MWN2"/>
    <mergeCell ref="MWO2:MWR2"/>
    <mergeCell ref="MWS2:MWV2"/>
    <mergeCell ref="MVA2:MVD2"/>
    <mergeCell ref="MVE2:MVH2"/>
    <mergeCell ref="MVI2:MVL2"/>
    <mergeCell ref="MVM2:MVP2"/>
    <mergeCell ref="MVQ2:MVT2"/>
    <mergeCell ref="MVU2:MVX2"/>
    <mergeCell ref="MUC2:MUF2"/>
    <mergeCell ref="MUG2:MUJ2"/>
    <mergeCell ref="MUK2:MUN2"/>
    <mergeCell ref="MUO2:MUR2"/>
    <mergeCell ref="MUS2:MUV2"/>
    <mergeCell ref="MUW2:MUZ2"/>
    <mergeCell ref="NEG2:NEJ2"/>
    <mergeCell ref="NEK2:NEN2"/>
    <mergeCell ref="NEO2:NER2"/>
    <mergeCell ref="NES2:NEV2"/>
    <mergeCell ref="NEW2:NEZ2"/>
    <mergeCell ref="NFA2:NFD2"/>
    <mergeCell ref="NDI2:NDL2"/>
    <mergeCell ref="NDM2:NDP2"/>
    <mergeCell ref="NDQ2:NDT2"/>
    <mergeCell ref="NDU2:NDX2"/>
    <mergeCell ref="NDY2:NEB2"/>
    <mergeCell ref="NEC2:NEF2"/>
    <mergeCell ref="NCK2:NCN2"/>
    <mergeCell ref="NCO2:NCR2"/>
    <mergeCell ref="NCS2:NCV2"/>
    <mergeCell ref="NCW2:NCZ2"/>
    <mergeCell ref="NDA2:NDD2"/>
    <mergeCell ref="NDE2:NDH2"/>
    <mergeCell ref="NBM2:NBP2"/>
    <mergeCell ref="NBQ2:NBT2"/>
    <mergeCell ref="NBU2:NBX2"/>
    <mergeCell ref="NBY2:NCB2"/>
    <mergeCell ref="NCC2:NCF2"/>
    <mergeCell ref="NCG2:NCJ2"/>
    <mergeCell ref="NAO2:NAR2"/>
    <mergeCell ref="NAS2:NAV2"/>
    <mergeCell ref="NAW2:NAZ2"/>
    <mergeCell ref="NBA2:NBD2"/>
    <mergeCell ref="NBE2:NBH2"/>
    <mergeCell ref="NBI2:NBL2"/>
    <mergeCell ref="MZQ2:MZT2"/>
    <mergeCell ref="MZU2:MZX2"/>
    <mergeCell ref="MZY2:NAB2"/>
    <mergeCell ref="NAC2:NAF2"/>
    <mergeCell ref="NAG2:NAJ2"/>
    <mergeCell ref="NAK2:NAN2"/>
    <mergeCell ref="NJU2:NJX2"/>
    <mergeCell ref="NJY2:NKB2"/>
    <mergeCell ref="NKC2:NKF2"/>
    <mergeCell ref="NKG2:NKJ2"/>
    <mergeCell ref="NKK2:NKN2"/>
    <mergeCell ref="NKO2:NKR2"/>
    <mergeCell ref="NIW2:NIZ2"/>
    <mergeCell ref="NJA2:NJD2"/>
    <mergeCell ref="NJE2:NJH2"/>
    <mergeCell ref="NJI2:NJL2"/>
    <mergeCell ref="NJM2:NJP2"/>
    <mergeCell ref="NJQ2:NJT2"/>
    <mergeCell ref="NHY2:NIB2"/>
    <mergeCell ref="NIC2:NIF2"/>
    <mergeCell ref="NIG2:NIJ2"/>
    <mergeCell ref="NIK2:NIN2"/>
    <mergeCell ref="NIO2:NIR2"/>
    <mergeCell ref="NIS2:NIV2"/>
    <mergeCell ref="NHA2:NHD2"/>
    <mergeCell ref="NHE2:NHH2"/>
    <mergeCell ref="NHI2:NHL2"/>
    <mergeCell ref="NHM2:NHP2"/>
    <mergeCell ref="NHQ2:NHT2"/>
    <mergeCell ref="NHU2:NHX2"/>
    <mergeCell ref="NGC2:NGF2"/>
    <mergeCell ref="NGG2:NGJ2"/>
    <mergeCell ref="NGK2:NGN2"/>
    <mergeCell ref="NGO2:NGR2"/>
    <mergeCell ref="NGS2:NGV2"/>
    <mergeCell ref="NGW2:NGZ2"/>
    <mergeCell ref="NFE2:NFH2"/>
    <mergeCell ref="NFI2:NFL2"/>
    <mergeCell ref="NFM2:NFP2"/>
    <mergeCell ref="NFQ2:NFT2"/>
    <mergeCell ref="NFU2:NFX2"/>
    <mergeCell ref="NFY2:NGB2"/>
    <mergeCell ref="NPI2:NPL2"/>
    <mergeCell ref="NPM2:NPP2"/>
    <mergeCell ref="NPQ2:NPT2"/>
    <mergeCell ref="NPU2:NPX2"/>
    <mergeCell ref="NPY2:NQB2"/>
    <mergeCell ref="NQC2:NQF2"/>
    <mergeCell ref="NOK2:NON2"/>
    <mergeCell ref="NOO2:NOR2"/>
    <mergeCell ref="NOS2:NOV2"/>
    <mergeCell ref="NOW2:NOZ2"/>
    <mergeCell ref="NPA2:NPD2"/>
    <mergeCell ref="NPE2:NPH2"/>
    <mergeCell ref="NNM2:NNP2"/>
    <mergeCell ref="NNQ2:NNT2"/>
    <mergeCell ref="NNU2:NNX2"/>
    <mergeCell ref="NNY2:NOB2"/>
    <mergeCell ref="NOC2:NOF2"/>
    <mergeCell ref="NOG2:NOJ2"/>
    <mergeCell ref="NMO2:NMR2"/>
    <mergeCell ref="NMS2:NMV2"/>
    <mergeCell ref="NMW2:NMZ2"/>
    <mergeCell ref="NNA2:NND2"/>
    <mergeCell ref="NNE2:NNH2"/>
    <mergeCell ref="NNI2:NNL2"/>
    <mergeCell ref="NLQ2:NLT2"/>
    <mergeCell ref="NLU2:NLX2"/>
    <mergeCell ref="NLY2:NMB2"/>
    <mergeCell ref="NMC2:NMF2"/>
    <mergeCell ref="NMG2:NMJ2"/>
    <mergeCell ref="NMK2:NMN2"/>
    <mergeCell ref="NKS2:NKV2"/>
    <mergeCell ref="NKW2:NKZ2"/>
    <mergeCell ref="NLA2:NLD2"/>
    <mergeCell ref="NLE2:NLH2"/>
    <mergeCell ref="NLI2:NLL2"/>
    <mergeCell ref="NLM2:NLP2"/>
    <mergeCell ref="NUW2:NUZ2"/>
    <mergeCell ref="NVA2:NVD2"/>
    <mergeCell ref="NVE2:NVH2"/>
    <mergeCell ref="NVI2:NVL2"/>
    <mergeCell ref="NVM2:NVP2"/>
    <mergeCell ref="NVQ2:NVT2"/>
    <mergeCell ref="NTY2:NUB2"/>
    <mergeCell ref="NUC2:NUF2"/>
    <mergeCell ref="NUG2:NUJ2"/>
    <mergeCell ref="NUK2:NUN2"/>
    <mergeCell ref="NUO2:NUR2"/>
    <mergeCell ref="NUS2:NUV2"/>
    <mergeCell ref="NTA2:NTD2"/>
    <mergeCell ref="NTE2:NTH2"/>
    <mergeCell ref="NTI2:NTL2"/>
    <mergeCell ref="NTM2:NTP2"/>
    <mergeCell ref="NTQ2:NTT2"/>
    <mergeCell ref="NTU2:NTX2"/>
    <mergeCell ref="NSC2:NSF2"/>
    <mergeCell ref="NSG2:NSJ2"/>
    <mergeCell ref="NSK2:NSN2"/>
    <mergeCell ref="NSO2:NSR2"/>
    <mergeCell ref="NSS2:NSV2"/>
    <mergeCell ref="NSW2:NSZ2"/>
    <mergeCell ref="NRE2:NRH2"/>
    <mergeCell ref="NRI2:NRL2"/>
    <mergeCell ref="NRM2:NRP2"/>
    <mergeCell ref="NRQ2:NRT2"/>
    <mergeCell ref="NRU2:NRX2"/>
    <mergeCell ref="NRY2:NSB2"/>
    <mergeCell ref="NQG2:NQJ2"/>
    <mergeCell ref="NQK2:NQN2"/>
    <mergeCell ref="NQO2:NQR2"/>
    <mergeCell ref="NQS2:NQV2"/>
    <mergeCell ref="NQW2:NQZ2"/>
    <mergeCell ref="NRA2:NRD2"/>
    <mergeCell ref="OAK2:OAN2"/>
    <mergeCell ref="OAO2:OAR2"/>
    <mergeCell ref="OAS2:OAV2"/>
    <mergeCell ref="OAW2:OAZ2"/>
    <mergeCell ref="OBA2:OBD2"/>
    <mergeCell ref="OBE2:OBH2"/>
    <mergeCell ref="NZM2:NZP2"/>
    <mergeCell ref="NZQ2:NZT2"/>
    <mergeCell ref="NZU2:NZX2"/>
    <mergeCell ref="NZY2:OAB2"/>
    <mergeCell ref="OAC2:OAF2"/>
    <mergeCell ref="OAG2:OAJ2"/>
    <mergeCell ref="NYO2:NYR2"/>
    <mergeCell ref="NYS2:NYV2"/>
    <mergeCell ref="NYW2:NYZ2"/>
    <mergeCell ref="NZA2:NZD2"/>
    <mergeCell ref="NZE2:NZH2"/>
    <mergeCell ref="NZI2:NZL2"/>
    <mergeCell ref="NXQ2:NXT2"/>
    <mergeCell ref="NXU2:NXX2"/>
    <mergeCell ref="NXY2:NYB2"/>
    <mergeCell ref="NYC2:NYF2"/>
    <mergeCell ref="NYG2:NYJ2"/>
    <mergeCell ref="NYK2:NYN2"/>
    <mergeCell ref="NWS2:NWV2"/>
    <mergeCell ref="NWW2:NWZ2"/>
    <mergeCell ref="NXA2:NXD2"/>
    <mergeCell ref="NXE2:NXH2"/>
    <mergeCell ref="NXI2:NXL2"/>
    <mergeCell ref="NXM2:NXP2"/>
    <mergeCell ref="NVU2:NVX2"/>
    <mergeCell ref="NVY2:NWB2"/>
    <mergeCell ref="NWC2:NWF2"/>
    <mergeCell ref="NWG2:NWJ2"/>
    <mergeCell ref="NWK2:NWN2"/>
    <mergeCell ref="NWO2:NWR2"/>
    <mergeCell ref="OFY2:OGB2"/>
    <mergeCell ref="OGC2:OGF2"/>
    <mergeCell ref="OGG2:OGJ2"/>
    <mergeCell ref="OGK2:OGN2"/>
    <mergeCell ref="OGO2:OGR2"/>
    <mergeCell ref="OGS2:OGV2"/>
    <mergeCell ref="OFA2:OFD2"/>
    <mergeCell ref="OFE2:OFH2"/>
    <mergeCell ref="OFI2:OFL2"/>
    <mergeCell ref="OFM2:OFP2"/>
    <mergeCell ref="OFQ2:OFT2"/>
    <mergeCell ref="OFU2:OFX2"/>
    <mergeCell ref="OEC2:OEF2"/>
    <mergeCell ref="OEG2:OEJ2"/>
    <mergeCell ref="OEK2:OEN2"/>
    <mergeCell ref="OEO2:OER2"/>
    <mergeCell ref="OES2:OEV2"/>
    <mergeCell ref="OEW2:OEZ2"/>
    <mergeCell ref="ODE2:ODH2"/>
    <mergeCell ref="ODI2:ODL2"/>
    <mergeCell ref="ODM2:ODP2"/>
    <mergeCell ref="ODQ2:ODT2"/>
    <mergeCell ref="ODU2:ODX2"/>
    <mergeCell ref="ODY2:OEB2"/>
    <mergeCell ref="OCG2:OCJ2"/>
    <mergeCell ref="OCK2:OCN2"/>
    <mergeCell ref="OCO2:OCR2"/>
    <mergeCell ref="OCS2:OCV2"/>
    <mergeCell ref="OCW2:OCZ2"/>
    <mergeCell ref="ODA2:ODD2"/>
    <mergeCell ref="OBI2:OBL2"/>
    <mergeCell ref="OBM2:OBP2"/>
    <mergeCell ref="OBQ2:OBT2"/>
    <mergeCell ref="OBU2:OBX2"/>
    <mergeCell ref="OBY2:OCB2"/>
    <mergeCell ref="OCC2:OCF2"/>
    <mergeCell ref="OLM2:OLP2"/>
    <mergeCell ref="OLQ2:OLT2"/>
    <mergeCell ref="OLU2:OLX2"/>
    <mergeCell ref="OLY2:OMB2"/>
    <mergeCell ref="OMC2:OMF2"/>
    <mergeCell ref="OMG2:OMJ2"/>
    <mergeCell ref="OKO2:OKR2"/>
    <mergeCell ref="OKS2:OKV2"/>
    <mergeCell ref="OKW2:OKZ2"/>
    <mergeCell ref="OLA2:OLD2"/>
    <mergeCell ref="OLE2:OLH2"/>
    <mergeCell ref="OLI2:OLL2"/>
    <mergeCell ref="OJQ2:OJT2"/>
    <mergeCell ref="OJU2:OJX2"/>
    <mergeCell ref="OJY2:OKB2"/>
    <mergeCell ref="OKC2:OKF2"/>
    <mergeCell ref="OKG2:OKJ2"/>
    <mergeCell ref="OKK2:OKN2"/>
    <mergeCell ref="OIS2:OIV2"/>
    <mergeCell ref="OIW2:OIZ2"/>
    <mergeCell ref="OJA2:OJD2"/>
    <mergeCell ref="OJE2:OJH2"/>
    <mergeCell ref="OJI2:OJL2"/>
    <mergeCell ref="OJM2:OJP2"/>
    <mergeCell ref="OHU2:OHX2"/>
    <mergeCell ref="OHY2:OIB2"/>
    <mergeCell ref="OIC2:OIF2"/>
    <mergeCell ref="OIG2:OIJ2"/>
    <mergeCell ref="OIK2:OIN2"/>
    <mergeCell ref="OIO2:OIR2"/>
    <mergeCell ref="OGW2:OGZ2"/>
    <mergeCell ref="OHA2:OHD2"/>
    <mergeCell ref="OHE2:OHH2"/>
    <mergeCell ref="OHI2:OHL2"/>
    <mergeCell ref="OHM2:OHP2"/>
    <mergeCell ref="OHQ2:OHT2"/>
    <mergeCell ref="ORA2:ORD2"/>
    <mergeCell ref="ORE2:ORH2"/>
    <mergeCell ref="ORI2:ORL2"/>
    <mergeCell ref="ORM2:ORP2"/>
    <mergeCell ref="ORQ2:ORT2"/>
    <mergeCell ref="ORU2:ORX2"/>
    <mergeCell ref="OQC2:OQF2"/>
    <mergeCell ref="OQG2:OQJ2"/>
    <mergeCell ref="OQK2:OQN2"/>
    <mergeCell ref="OQO2:OQR2"/>
    <mergeCell ref="OQS2:OQV2"/>
    <mergeCell ref="OQW2:OQZ2"/>
    <mergeCell ref="OPE2:OPH2"/>
    <mergeCell ref="OPI2:OPL2"/>
    <mergeCell ref="OPM2:OPP2"/>
    <mergeCell ref="OPQ2:OPT2"/>
    <mergeCell ref="OPU2:OPX2"/>
    <mergeCell ref="OPY2:OQB2"/>
    <mergeCell ref="OOG2:OOJ2"/>
    <mergeCell ref="OOK2:OON2"/>
    <mergeCell ref="OOO2:OOR2"/>
    <mergeCell ref="OOS2:OOV2"/>
    <mergeCell ref="OOW2:OOZ2"/>
    <mergeCell ref="OPA2:OPD2"/>
    <mergeCell ref="ONI2:ONL2"/>
    <mergeCell ref="ONM2:ONP2"/>
    <mergeCell ref="ONQ2:ONT2"/>
    <mergeCell ref="ONU2:ONX2"/>
    <mergeCell ref="ONY2:OOB2"/>
    <mergeCell ref="OOC2:OOF2"/>
    <mergeCell ref="OMK2:OMN2"/>
    <mergeCell ref="OMO2:OMR2"/>
    <mergeCell ref="OMS2:OMV2"/>
    <mergeCell ref="OMW2:OMZ2"/>
    <mergeCell ref="ONA2:OND2"/>
    <mergeCell ref="ONE2:ONH2"/>
    <mergeCell ref="OWO2:OWR2"/>
    <mergeCell ref="OWS2:OWV2"/>
    <mergeCell ref="OWW2:OWZ2"/>
    <mergeCell ref="OXA2:OXD2"/>
    <mergeCell ref="OXE2:OXH2"/>
    <mergeCell ref="OXI2:OXL2"/>
    <mergeCell ref="OVQ2:OVT2"/>
    <mergeCell ref="OVU2:OVX2"/>
    <mergeCell ref="OVY2:OWB2"/>
    <mergeCell ref="OWC2:OWF2"/>
    <mergeCell ref="OWG2:OWJ2"/>
    <mergeCell ref="OWK2:OWN2"/>
    <mergeCell ref="OUS2:OUV2"/>
    <mergeCell ref="OUW2:OUZ2"/>
    <mergeCell ref="OVA2:OVD2"/>
    <mergeCell ref="OVE2:OVH2"/>
    <mergeCell ref="OVI2:OVL2"/>
    <mergeCell ref="OVM2:OVP2"/>
    <mergeCell ref="OTU2:OTX2"/>
    <mergeCell ref="OTY2:OUB2"/>
    <mergeCell ref="OUC2:OUF2"/>
    <mergeCell ref="OUG2:OUJ2"/>
    <mergeCell ref="OUK2:OUN2"/>
    <mergeCell ref="OUO2:OUR2"/>
    <mergeCell ref="OSW2:OSZ2"/>
    <mergeCell ref="OTA2:OTD2"/>
    <mergeCell ref="OTE2:OTH2"/>
    <mergeCell ref="OTI2:OTL2"/>
    <mergeCell ref="OTM2:OTP2"/>
    <mergeCell ref="OTQ2:OTT2"/>
    <mergeCell ref="ORY2:OSB2"/>
    <mergeCell ref="OSC2:OSF2"/>
    <mergeCell ref="OSG2:OSJ2"/>
    <mergeCell ref="OSK2:OSN2"/>
    <mergeCell ref="OSO2:OSR2"/>
    <mergeCell ref="OSS2:OSV2"/>
    <mergeCell ref="PCC2:PCF2"/>
    <mergeCell ref="PCG2:PCJ2"/>
    <mergeCell ref="PCK2:PCN2"/>
    <mergeCell ref="PCO2:PCR2"/>
    <mergeCell ref="PCS2:PCV2"/>
    <mergeCell ref="PCW2:PCZ2"/>
    <mergeCell ref="PBE2:PBH2"/>
    <mergeCell ref="PBI2:PBL2"/>
    <mergeCell ref="PBM2:PBP2"/>
    <mergeCell ref="PBQ2:PBT2"/>
    <mergeCell ref="PBU2:PBX2"/>
    <mergeCell ref="PBY2:PCB2"/>
    <mergeCell ref="PAG2:PAJ2"/>
    <mergeCell ref="PAK2:PAN2"/>
    <mergeCell ref="PAO2:PAR2"/>
    <mergeCell ref="PAS2:PAV2"/>
    <mergeCell ref="PAW2:PAZ2"/>
    <mergeCell ref="PBA2:PBD2"/>
    <mergeCell ref="OZI2:OZL2"/>
    <mergeCell ref="OZM2:OZP2"/>
    <mergeCell ref="OZQ2:OZT2"/>
    <mergeCell ref="OZU2:OZX2"/>
    <mergeCell ref="OZY2:PAB2"/>
    <mergeCell ref="PAC2:PAF2"/>
    <mergeCell ref="OYK2:OYN2"/>
    <mergeCell ref="OYO2:OYR2"/>
    <mergeCell ref="OYS2:OYV2"/>
    <mergeCell ref="OYW2:OYZ2"/>
    <mergeCell ref="OZA2:OZD2"/>
    <mergeCell ref="OZE2:OZH2"/>
    <mergeCell ref="OXM2:OXP2"/>
    <mergeCell ref="OXQ2:OXT2"/>
    <mergeCell ref="OXU2:OXX2"/>
    <mergeCell ref="OXY2:OYB2"/>
    <mergeCell ref="OYC2:OYF2"/>
    <mergeCell ref="OYG2:OYJ2"/>
    <mergeCell ref="PHQ2:PHT2"/>
    <mergeCell ref="PHU2:PHX2"/>
    <mergeCell ref="PHY2:PIB2"/>
    <mergeCell ref="PIC2:PIF2"/>
    <mergeCell ref="PIG2:PIJ2"/>
    <mergeCell ref="PIK2:PIN2"/>
    <mergeCell ref="PGS2:PGV2"/>
    <mergeCell ref="PGW2:PGZ2"/>
    <mergeCell ref="PHA2:PHD2"/>
    <mergeCell ref="PHE2:PHH2"/>
    <mergeCell ref="PHI2:PHL2"/>
    <mergeCell ref="PHM2:PHP2"/>
    <mergeCell ref="PFU2:PFX2"/>
    <mergeCell ref="PFY2:PGB2"/>
    <mergeCell ref="PGC2:PGF2"/>
    <mergeCell ref="PGG2:PGJ2"/>
    <mergeCell ref="PGK2:PGN2"/>
    <mergeCell ref="PGO2:PGR2"/>
    <mergeCell ref="PEW2:PEZ2"/>
    <mergeCell ref="PFA2:PFD2"/>
    <mergeCell ref="PFE2:PFH2"/>
    <mergeCell ref="PFI2:PFL2"/>
    <mergeCell ref="PFM2:PFP2"/>
    <mergeCell ref="PFQ2:PFT2"/>
    <mergeCell ref="PDY2:PEB2"/>
    <mergeCell ref="PEC2:PEF2"/>
    <mergeCell ref="PEG2:PEJ2"/>
    <mergeCell ref="PEK2:PEN2"/>
    <mergeCell ref="PEO2:PER2"/>
    <mergeCell ref="PES2:PEV2"/>
    <mergeCell ref="PDA2:PDD2"/>
    <mergeCell ref="PDE2:PDH2"/>
    <mergeCell ref="PDI2:PDL2"/>
    <mergeCell ref="PDM2:PDP2"/>
    <mergeCell ref="PDQ2:PDT2"/>
    <mergeCell ref="PDU2:PDX2"/>
    <mergeCell ref="PNE2:PNH2"/>
    <mergeCell ref="PNI2:PNL2"/>
    <mergeCell ref="PNM2:PNP2"/>
    <mergeCell ref="PNQ2:PNT2"/>
    <mergeCell ref="PNU2:PNX2"/>
    <mergeCell ref="PNY2:POB2"/>
    <mergeCell ref="PMG2:PMJ2"/>
    <mergeCell ref="PMK2:PMN2"/>
    <mergeCell ref="PMO2:PMR2"/>
    <mergeCell ref="PMS2:PMV2"/>
    <mergeCell ref="PMW2:PMZ2"/>
    <mergeCell ref="PNA2:PND2"/>
    <mergeCell ref="PLI2:PLL2"/>
    <mergeCell ref="PLM2:PLP2"/>
    <mergeCell ref="PLQ2:PLT2"/>
    <mergeCell ref="PLU2:PLX2"/>
    <mergeCell ref="PLY2:PMB2"/>
    <mergeCell ref="PMC2:PMF2"/>
    <mergeCell ref="PKK2:PKN2"/>
    <mergeCell ref="PKO2:PKR2"/>
    <mergeCell ref="PKS2:PKV2"/>
    <mergeCell ref="PKW2:PKZ2"/>
    <mergeCell ref="PLA2:PLD2"/>
    <mergeCell ref="PLE2:PLH2"/>
    <mergeCell ref="PJM2:PJP2"/>
    <mergeCell ref="PJQ2:PJT2"/>
    <mergeCell ref="PJU2:PJX2"/>
    <mergeCell ref="PJY2:PKB2"/>
    <mergeCell ref="PKC2:PKF2"/>
    <mergeCell ref="PKG2:PKJ2"/>
    <mergeCell ref="PIO2:PIR2"/>
    <mergeCell ref="PIS2:PIV2"/>
    <mergeCell ref="PIW2:PIZ2"/>
    <mergeCell ref="PJA2:PJD2"/>
    <mergeCell ref="PJE2:PJH2"/>
    <mergeCell ref="PJI2:PJL2"/>
    <mergeCell ref="PSS2:PSV2"/>
    <mergeCell ref="PSW2:PSZ2"/>
    <mergeCell ref="PTA2:PTD2"/>
    <mergeCell ref="PTE2:PTH2"/>
    <mergeCell ref="PTI2:PTL2"/>
    <mergeCell ref="PTM2:PTP2"/>
    <mergeCell ref="PRU2:PRX2"/>
    <mergeCell ref="PRY2:PSB2"/>
    <mergeCell ref="PSC2:PSF2"/>
    <mergeCell ref="PSG2:PSJ2"/>
    <mergeCell ref="PSK2:PSN2"/>
    <mergeCell ref="PSO2:PSR2"/>
    <mergeCell ref="PQW2:PQZ2"/>
    <mergeCell ref="PRA2:PRD2"/>
    <mergeCell ref="PRE2:PRH2"/>
    <mergeCell ref="PRI2:PRL2"/>
    <mergeCell ref="PRM2:PRP2"/>
    <mergeCell ref="PRQ2:PRT2"/>
    <mergeCell ref="PPY2:PQB2"/>
    <mergeCell ref="PQC2:PQF2"/>
    <mergeCell ref="PQG2:PQJ2"/>
    <mergeCell ref="PQK2:PQN2"/>
    <mergeCell ref="PQO2:PQR2"/>
    <mergeCell ref="PQS2:PQV2"/>
    <mergeCell ref="PPA2:PPD2"/>
    <mergeCell ref="PPE2:PPH2"/>
    <mergeCell ref="PPI2:PPL2"/>
    <mergeCell ref="PPM2:PPP2"/>
    <mergeCell ref="PPQ2:PPT2"/>
    <mergeCell ref="PPU2:PPX2"/>
    <mergeCell ref="POC2:POF2"/>
    <mergeCell ref="POG2:POJ2"/>
    <mergeCell ref="POK2:PON2"/>
    <mergeCell ref="POO2:POR2"/>
    <mergeCell ref="POS2:POV2"/>
    <mergeCell ref="POW2:POZ2"/>
    <mergeCell ref="PYG2:PYJ2"/>
    <mergeCell ref="PYK2:PYN2"/>
    <mergeCell ref="PYO2:PYR2"/>
    <mergeCell ref="PYS2:PYV2"/>
    <mergeCell ref="PYW2:PYZ2"/>
    <mergeCell ref="PZA2:PZD2"/>
    <mergeCell ref="PXI2:PXL2"/>
    <mergeCell ref="PXM2:PXP2"/>
    <mergeCell ref="PXQ2:PXT2"/>
    <mergeCell ref="PXU2:PXX2"/>
    <mergeCell ref="PXY2:PYB2"/>
    <mergeCell ref="PYC2:PYF2"/>
    <mergeCell ref="PWK2:PWN2"/>
    <mergeCell ref="PWO2:PWR2"/>
    <mergeCell ref="PWS2:PWV2"/>
    <mergeCell ref="PWW2:PWZ2"/>
    <mergeCell ref="PXA2:PXD2"/>
    <mergeCell ref="PXE2:PXH2"/>
    <mergeCell ref="PVM2:PVP2"/>
    <mergeCell ref="PVQ2:PVT2"/>
    <mergeCell ref="PVU2:PVX2"/>
    <mergeCell ref="PVY2:PWB2"/>
    <mergeCell ref="PWC2:PWF2"/>
    <mergeCell ref="PWG2:PWJ2"/>
    <mergeCell ref="PUO2:PUR2"/>
    <mergeCell ref="PUS2:PUV2"/>
    <mergeCell ref="PUW2:PUZ2"/>
    <mergeCell ref="PVA2:PVD2"/>
    <mergeCell ref="PVE2:PVH2"/>
    <mergeCell ref="PVI2:PVL2"/>
    <mergeCell ref="PTQ2:PTT2"/>
    <mergeCell ref="PTU2:PTX2"/>
    <mergeCell ref="PTY2:PUB2"/>
    <mergeCell ref="PUC2:PUF2"/>
    <mergeCell ref="PUG2:PUJ2"/>
    <mergeCell ref="PUK2:PUN2"/>
    <mergeCell ref="QDU2:QDX2"/>
    <mergeCell ref="QDY2:QEB2"/>
    <mergeCell ref="QEC2:QEF2"/>
    <mergeCell ref="QEG2:QEJ2"/>
    <mergeCell ref="QEK2:QEN2"/>
    <mergeCell ref="QEO2:QER2"/>
    <mergeCell ref="QCW2:QCZ2"/>
    <mergeCell ref="QDA2:QDD2"/>
    <mergeCell ref="QDE2:QDH2"/>
    <mergeCell ref="QDI2:QDL2"/>
    <mergeCell ref="QDM2:QDP2"/>
    <mergeCell ref="QDQ2:QDT2"/>
    <mergeCell ref="QBY2:QCB2"/>
    <mergeCell ref="QCC2:QCF2"/>
    <mergeCell ref="QCG2:QCJ2"/>
    <mergeCell ref="QCK2:QCN2"/>
    <mergeCell ref="QCO2:QCR2"/>
    <mergeCell ref="QCS2:QCV2"/>
    <mergeCell ref="QBA2:QBD2"/>
    <mergeCell ref="QBE2:QBH2"/>
    <mergeCell ref="QBI2:QBL2"/>
    <mergeCell ref="QBM2:QBP2"/>
    <mergeCell ref="QBQ2:QBT2"/>
    <mergeCell ref="QBU2:QBX2"/>
    <mergeCell ref="QAC2:QAF2"/>
    <mergeCell ref="QAG2:QAJ2"/>
    <mergeCell ref="QAK2:QAN2"/>
    <mergeCell ref="QAO2:QAR2"/>
    <mergeCell ref="QAS2:QAV2"/>
    <mergeCell ref="QAW2:QAZ2"/>
    <mergeCell ref="PZE2:PZH2"/>
    <mergeCell ref="PZI2:PZL2"/>
    <mergeCell ref="PZM2:PZP2"/>
    <mergeCell ref="PZQ2:PZT2"/>
    <mergeCell ref="PZU2:PZX2"/>
    <mergeCell ref="PZY2:QAB2"/>
    <mergeCell ref="QJI2:QJL2"/>
    <mergeCell ref="QJM2:QJP2"/>
    <mergeCell ref="QJQ2:QJT2"/>
    <mergeCell ref="QJU2:QJX2"/>
    <mergeCell ref="QJY2:QKB2"/>
    <mergeCell ref="QKC2:QKF2"/>
    <mergeCell ref="QIK2:QIN2"/>
    <mergeCell ref="QIO2:QIR2"/>
    <mergeCell ref="QIS2:QIV2"/>
    <mergeCell ref="QIW2:QIZ2"/>
    <mergeCell ref="QJA2:QJD2"/>
    <mergeCell ref="QJE2:QJH2"/>
    <mergeCell ref="QHM2:QHP2"/>
    <mergeCell ref="QHQ2:QHT2"/>
    <mergeCell ref="QHU2:QHX2"/>
    <mergeCell ref="QHY2:QIB2"/>
    <mergeCell ref="QIC2:QIF2"/>
    <mergeCell ref="QIG2:QIJ2"/>
    <mergeCell ref="QGO2:QGR2"/>
    <mergeCell ref="QGS2:QGV2"/>
    <mergeCell ref="QGW2:QGZ2"/>
    <mergeCell ref="QHA2:QHD2"/>
    <mergeCell ref="QHE2:QHH2"/>
    <mergeCell ref="QHI2:QHL2"/>
    <mergeCell ref="QFQ2:QFT2"/>
    <mergeCell ref="QFU2:QFX2"/>
    <mergeCell ref="QFY2:QGB2"/>
    <mergeCell ref="QGC2:QGF2"/>
    <mergeCell ref="QGG2:QGJ2"/>
    <mergeCell ref="QGK2:QGN2"/>
    <mergeCell ref="QES2:QEV2"/>
    <mergeCell ref="QEW2:QEZ2"/>
    <mergeCell ref="QFA2:QFD2"/>
    <mergeCell ref="QFE2:QFH2"/>
    <mergeCell ref="QFI2:QFL2"/>
    <mergeCell ref="QFM2:QFP2"/>
    <mergeCell ref="QOW2:QOZ2"/>
    <mergeCell ref="QPA2:QPD2"/>
    <mergeCell ref="QPE2:QPH2"/>
    <mergeCell ref="QPI2:QPL2"/>
    <mergeCell ref="QPM2:QPP2"/>
    <mergeCell ref="QPQ2:QPT2"/>
    <mergeCell ref="QNY2:QOB2"/>
    <mergeCell ref="QOC2:QOF2"/>
    <mergeCell ref="QOG2:QOJ2"/>
    <mergeCell ref="QOK2:QON2"/>
    <mergeCell ref="QOO2:QOR2"/>
    <mergeCell ref="QOS2:QOV2"/>
    <mergeCell ref="QNA2:QND2"/>
    <mergeCell ref="QNE2:QNH2"/>
    <mergeCell ref="QNI2:QNL2"/>
    <mergeCell ref="QNM2:QNP2"/>
    <mergeCell ref="QNQ2:QNT2"/>
    <mergeCell ref="QNU2:QNX2"/>
    <mergeCell ref="QMC2:QMF2"/>
    <mergeCell ref="QMG2:QMJ2"/>
    <mergeCell ref="QMK2:QMN2"/>
    <mergeCell ref="QMO2:QMR2"/>
    <mergeCell ref="QMS2:QMV2"/>
    <mergeCell ref="QMW2:QMZ2"/>
    <mergeCell ref="QLE2:QLH2"/>
    <mergeCell ref="QLI2:QLL2"/>
    <mergeCell ref="QLM2:QLP2"/>
    <mergeCell ref="QLQ2:QLT2"/>
    <mergeCell ref="QLU2:QLX2"/>
    <mergeCell ref="QLY2:QMB2"/>
    <mergeCell ref="QKG2:QKJ2"/>
    <mergeCell ref="QKK2:QKN2"/>
    <mergeCell ref="QKO2:QKR2"/>
    <mergeCell ref="QKS2:QKV2"/>
    <mergeCell ref="QKW2:QKZ2"/>
    <mergeCell ref="QLA2:QLD2"/>
    <mergeCell ref="QUK2:QUN2"/>
    <mergeCell ref="QUO2:QUR2"/>
    <mergeCell ref="QUS2:QUV2"/>
    <mergeCell ref="QUW2:QUZ2"/>
    <mergeCell ref="QVA2:QVD2"/>
    <mergeCell ref="QVE2:QVH2"/>
    <mergeCell ref="QTM2:QTP2"/>
    <mergeCell ref="QTQ2:QTT2"/>
    <mergeCell ref="QTU2:QTX2"/>
    <mergeCell ref="QTY2:QUB2"/>
    <mergeCell ref="QUC2:QUF2"/>
    <mergeCell ref="QUG2:QUJ2"/>
    <mergeCell ref="QSO2:QSR2"/>
    <mergeCell ref="QSS2:QSV2"/>
    <mergeCell ref="QSW2:QSZ2"/>
    <mergeCell ref="QTA2:QTD2"/>
    <mergeCell ref="QTE2:QTH2"/>
    <mergeCell ref="QTI2:QTL2"/>
    <mergeCell ref="QRQ2:QRT2"/>
    <mergeCell ref="QRU2:QRX2"/>
    <mergeCell ref="QRY2:QSB2"/>
    <mergeCell ref="QSC2:QSF2"/>
    <mergeCell ref="QSG2:QSJ2"/>
    <mergeCell ref="QSK2:QSN2"/>
    <mergeCell ref="QQS2:QQV2"/>
    <mergeCell ref="QQW2:QQZ2"/>
    <mergeCell ref="QRA2:QRD2"/>
    <mergeCell ref="QRE2:QRH2"/>
    <mergeCell ref="QRI2:QRL2"/>
    <mergeCell ref="QRM2:QRP2"/>
    <mergeCell ref="QPU2:QPX2"/>
    <mergeCell ref="QPY2:QQB2"/>
    <mergeCell ref="QQC2:QQF2"/>
    <mergeCell ref="QQG2:QQJ2"/>
    <mergeCell ref="QQK2:QQN2"/>
    <mergeCell ref="QQO2:QQR2"/>
    <mergeCell ref="QZY2:RAB2"/>
    <mergeCell ref="RAC2:RAF2"/>
    <mergeCell ref="RAG2:RAJ2"/>
    <mergeCell ref="RAK2:RAN2"/>
    <mergeCell ref="RAO2:RAR2"/>
    <mergeCell ref="RAS2:RAV2"/>
    <mergeCell ref="QZA2:QZD2"/>
    <mergeCell ref="QZE2:QZH2"/>
    <mergeCell ref="QZI2:QZL2"/>
    <mergeCell ref="QZM2:QZP2"/>
    <mergeCell ref="QZQ2:QZT2"/>
    <mergeCell ref="QZU2:QZX2"/>
    <mergeCell ref="QYC2:QYF2"/>
    <mergeCell ref="QYG2:QYJ2"/>
    <mergeCell ref="QYK2:QYN2"/>
    <mergeCell ref="QYO2:QYR2"/>
    <mergeCell ref="QYS2:QYV2"/>
    <mergeCell ref="QYW2:QYZ2"/>
    <mergeCell ref="QXE2:QXH2"/>
    <mergeCell ref="QXI2:QXL2"/>
    <mergeCell ref="QXM2:QXP2"/>
    <mergeCell ref="QXQ2:QXT2"/>
    <mergeCell ref="QXU2:QXX2"/>
    <mergeCell ref="QXY2:QYB2"/>
    <mergeCell ref="QWG2:QWJ2"/>
    <mergeCell ref="QWK2:QWN2"/>
    <mergeCell ref="QWO2:QWR2"/>
    <mergeCell ref="QWS2:QWV2"/>
    <mergeCell ref="QWW2:QWZ2"/>
    <mergeCell ref="QXA2:QXD2"/>
    <mergeCell ref="QVI2:QVL2"/>
    <mergeCell ref="QVM2:QVP2"/>
    <mergeCell ref="QVQ2:QVT2"/>
    <mergeCell ref="QVU2:QVX2"/>
    <mergeCell ref="QVY2:QWB2"/>
    <mergeCell ref="QWC2:QWF2"/>
    <mergeCell ref="RFM2:RFP2"/>
    <mergeCell ref="RFQ2:RFT2"/>
    <mergeCell ref="RFU2:RFX2"/>
    <mergeCell ref="RFY2:RGB2"/>
    <mergeCell ref="RGC2:RGF2"/>
    <mergeCell ref="RGG2:RGJ2"/>
    <mergeCell ref="REO2:RER2"/>
    <mergeCell ref="RES2:REV2"/>
    <mergeCell ref="REW2:REZ2"/>
    <mergeCell ref="RFA2:RFD2"/>
    <mergeCell ref="RFE2:RFH2"/>
    <mergeCell ref="RFI2:RFL2"/>
    <mergeCell ref="RDQ2:RDT2"/>
    <mergeCell ref="RDU2:RDX2"/>
    <mergeCell ref="RDY2:REB2"/>
    <mergeCell ref="REC2:REF2"/>
    <mergeCell ref="REG2:REJ2"/>
    <mergeCell ref="REK2:REN2"/>
    <mergeCell ref="RCS2:RCV2"/>
    <mergeCell ref="RCW2:RCZ2"/>
    <mergeCell ref="RDA2:RDD2"/>
    <mergeCell ref="RDE2:RDH2"/>
    <mergeCell ref="RDI2:RDL2"/>
    <mergeCell ref="RDM2:RDP2"/>
    <mergeCell ref="RBU2:RBX2"/>
    <mergeCell ref="RBY2:RCB2"/>
    <mergeCell ref="RCC2:RCF2"/>
    <mergeCell ref="RCG2:RCJ2"/>
    <mergeCell ref="RCK2:RCN2"/>
    <mergeCell ref="RCO2:RCR2"/>
    <mergeCell ref="RAW2:RAZ2"/>
    <mergeCell ref="RBA2:RBD2"/>
    <mergeCell ref="RBE2:RBH2"/>
    <mergeCell ref="RBI2:RBL2"/>
    <mergeCell ref="RBM2:RBP2"/>
    <mergeCell ref="RBQ2:RBT2"/>
    <mergeCell ref="RLA2:RLD2"/>
    <mergeCell ref="RLE2:RLH2"/>
    <mergeCell ref="RLI2:RLL2"/>
    <mergeCell ref="RLM2:RLP2"/>
    <mergeCell ref="RLQ2:RLT2"/>
    <mergeCell ref="RLU2:RLX2"/>
    <mergeCell ref="RKC2:RKF2"/>
    <mergeCell ref="RKG2:RKJ2"/>
    <mergeCell ref="RKK2:RKN2"/>
    <mergeCell ref="RKO2:RKR2"/>
    <mergeCell ref="RKS2:RKV2"/>
    <mergeCell ref="RKW2:RKZ2"/>
    <mergeCell ref="RJE2:RJH2"/>
    <mergeCell ref="RJI2:RJL2"/>
    <mergeCell ref="RJM2:RJP2"/>
    <mergeCell ref="RJQ2:RJT2"/>
    <mergeCell ref="RJU2:RJX2"/>
    <mergeCell ref="RJY2:RKB2"/>
    <mergeCell ref="RIG2:RIJ2"/>
    <mergeCell ref="RIK2:RIN2"/>
    <mergeCell ref="RIO2:RIR2"/>
    <mergeCell ref="RIS2:RIV2"/>
    <mergeCell ref="RIW2:RIZ2"/>
    <mergeCell ref="RJA2:RJD2"/>
    <mergeCell ref="RHI2:RHL2"/>
    <mergeCell ref="RHM2:RHP2"/>
    <mergeCell ref="RHQ2:RHT2"/>
    <mergeCell ref="RHU2:RHX2"/>
    <mergeCell ref="RHY2:RIB2"/>
    <mergeCell ref="RIC2:RIF2"/>
    <mergeCell ref="RGK2:RGN2"/>
    <mergeCell ref="RGO2:RGR2"/>
    <mergeCell ref="RGS2:RGV2"/>
    <mergeCell ref="RGW2:RGZ2"/>
    <mergeCell ref="RHA2:RHD2"/>
    <mergeCell ref="RHE2:RHH2"/>
    <mergeCell ref="RQO2:RQR2"/>
    <mergeCell ref="RQS2:RQV2"/>
    <mergeCell ref="RQW2:RQZ2"/>
    <mergeCell ref="RRA2:RRD2"/>
    <mergeCell ref="RRE2:RRH2"/>
    <mergeCell ref="RRI2:RRL2"/>
    <mergeCell ref="RPQ2:RPT2"/>
    <mergeCell ref="RPU2:RPX2"/>
    <mergeCell ref="RPY2:RQB2"/>
    <mergeCell ref="RQC2:RQF2"/>
    <mergeCell ref="RQG2:RQJ2"/>
    <mergeCell ref="RQK2:RQN2"/>
    <mergeCell ref="ROS2:ROV2"/>
    <mergeCell ref="ROW2:ROZ2"/>
    <mergeCell ref="RPA2:RPD2"/>
    <mergeCell ref="RPE2:RPH2"/>
    <mergeCell ref="RPI2:RPL2"/>
    <mergeCell ref="RPM2:RPP2"/>
    <mergeCell ref="RNU2:RNX2"/>
    <mergeCell ref="RNY2:ROB2"/>
    <mergeCell ref="ROC2:ROF2"/>
    <mergeCell ref="ROG2:ROJ2"/>
    <mergeCell ref="ROK2:RON2"/>
    <mergeCell ref="ROO2:ROR2"/>
    <mergeCell ref="RMW2:RMZ2"/>
    <mergeCell ref="RNA2:RND2"/>
    <mergeCell ref="RNE2:RNH2"/>
    <mergeCell ref="RNI2:RNL2"/>
    <mergeCell ref="RNM2:RNP2"/>
    <mergeCell ref="RNQ2:RNT2"/>
    <mergeCell ref="RLY2:RMB2"/>
    <mergeCell ref="RMC2:RMF2"/>
    <mergeCell ref="RMG2:RMJ2"/>
    <mergeCell ref="RMK2:RMN2"/>
    <mergeCell ref="RMO2:RMR2"/>
    <mergeCell ref="RMS2:RMV2"/>
    <mergeCell ref="RWC2:RWF2"/>
    <mergeCell ref="RWG2:RWJ2"/>
    <mergeCell ref="RWK2:RWN2"/>
    <mergeCell ref="RWO2:RWR2"/>
    <mergeCell ref="RWS2:RWV2"/>
    <mergeCell ref="RWW2:RWZ2"/>
    <mergeCell ref="RVE2:RVH2"/>
    <mergeCell ref="RVI2:RVL2"/>
    <mergeCell ref="RVM2:RVP2"/>
    <mergeCell ref="RVQ2:RVT2"/>
    <mergeCell ref="RVU2:RVX2"/>
    <mergeCell ref="RVY2:RWB2"/>
    <mergeCell ref="RUG2:RUJ2"/>
    <mergeCell ref="RUK2:RUN2"/>
    <mergeCell ref="RUO2:RUR2"/>
    <mergeCell ref="RUS2:RUV2"/>
    <mergeCell ref="RUW2:RUZ2"/>
    <mergeCell ref="RVA2:RVD2"/>
    <mergeCell ref="RTI2:RTL2"/>
    <mergeCell ref="RTM2:RTP2"/>
    <mergeCell ref="RTQ2:RTT2"/>
    <mergeCell ref="RTU2:RTX2"/>
    <mergeCell ref="RTY2:RUB2"/>
    <mergeCell ref="RUC2:RUF2"/>
    <mergeCell ref="RSK2:RSN2"/>
    <mergeCell ref="RSO2:RSR2"/>
    <mergeCell ref="RSS2:RSV2"/>
    <mergeCell ref="RSW2:RSZ2"/>
    <mergeCell ref="RTA2:RTD2"/>
    <mergeCell ref="RTE2:RTH2"/>
    <mergeCell ref="RRM2:RRP2"/>
    <mergeCell ref="RRQ2:RRT2"/>
    <mergeCell ref="RRU2:RRX2"/>
    <mergeCell ref="RRY2:RSB2"/>
    <mergeCell ref="RSC2:RSF2"/>
    <mergeCell ref="RSG2:RSJ2"/>
    <mergeCell ref="SBQ2:SBT2"/>
    <mergeCell ref="SBU2:SBX2"/>
    <mergeCell ref="SBY2:SCB2"/>
    <mergeCell ref="SCC2:SCF2"/>
    <mergeCell ref="SCG2:SCJ2"/>
    <mergeCell ref="SCK2:SCN2"/>
    <mergeCell ref="SAS2:SAV2"/>
    <mergeCell ref="SAW2:SAZ2"/>
    <mergeCell ref="SBA2:SBD2"/>
    <mergeCell ref="SBE2:SBH2"/>
    <mergeCell ref="SBI2:SBL2"/>
    <mergeCell ref="SBM2:SBP2"/>
    <mergeCell ref="RZU2:RZX2"/>
    <mergeCell ref="RZY2:SAB2"/>
    <mergeCell ref="SAC2:SAF2"/>
    <mergeCell ref="SAG2:SAJ2"/>
    <mergeCell ref="SAK2:SAN2"/>
    <mergeCell ref="SAO2:SAR2"/>
    <mergeCell ref="RYW2:RYZ2"/>
    <mergeCell ref="RZA2:RZD2"/>
    <mergeCell ref="RZE2:RZH2"/>
    <mergeCell ref="RZI2:RZL2"/>
    <mergeCell ref="RZM2:RZP2"/>
    <mergeCell ref="RZQ2:RZT2"/>
    <mergeCell ref="RXY2:RYB2"/>
    <mergeCell ref="RYC2:RYF2"/>
    <mergeCell ref="RYG2:RYJ2"/>
    <mergeCell ref="RYK2:RYN2"/>
    <mergeCell ref="RYO2:RYR2"/>
    <mergeCell ref="RYS2:RYV2"/>
    <mergeCell ref="RXA2:RXD2"/>
    <mergeCell ref="RXE2:RXH2"/>
    <mergeCell ref="RXI2:RXL2"/>
    <mergeCell ref="RXM2:RXP2"/>
    <mergeCell ref="RXQ2:RXT2"/>
    <mergeCell ref="RXU2:RXX2"/>
    <mergeCell ref="SHE2:SHH2"/>
    <mergeCell ref="SHI2:SHL2"/>
    <mergeCell ref="SHM2:SHP2"/>
    <mergeCell ref="SHQ2:SHT2"/>
    <mergeCell ref="SHU2:SHX2"/>
    <mergeCell ref="SHY2:SIB2"/>
    <mergeCell ref="SGG2:SGJ2"/>
    <mergeCell ref="SGK2:SGN2"/>
    <mergeCell ref="SGO2:SGR2"/>
    <mergeCell ref="SGS2:SGV2"/>
    <mergeCell ref="SGW2:SGZ2"/>
    <mergeCell ref="SHA2:SHD2"/>
    <mergeCell ref="SFI2:SFL2"/>
    <mergeCell ref="SFM2:SFP2"/>
    <mergeCell ref="SFQ2:SFT2"/>
    <mergeCell ref="SFU2:SFX2"/>
    <mergeCell ref="SFY2:SGB2"/>
    <mergeCell ref="SGC2:SGF2"/>
    <mergeCell ref="SEK2:SEN2"/>
    <mergeCell ref="SEO2:SER2"/>
    <mergeCell ref="SES2:SEV2"/>
    <mergeCell ref="SEW2:SEZ2"/>
    <mergeCell ref="SFA2:SFD2"/>
    <mergeCell ref="SFE2:SFH2"/>
    <mergeCell ref="SDM2:SDP2"/>
    <mergeCell ref="SDQ2:SDT2"/>
    <mergeCell ref="SDU2:SDX2"/>
    <mergeCell ref="SDY2:SEB2"/>
    <mergeCell ref="SEC2:SEF2"/>
    <mergeCell ref="SEG2:SEJ2"/>
    <mergeCell ref="SCO2:SCR2"/>
    <mergeCell ref="SCS2:SCV2"/>
    <mergeCell ref="SCW2:SCZ2"/>
    <mergeCell ref="SDA2:SDD2"/>
    <mergeCell ref="SDE2:SDH2"/>
    <mergeCell ref="SDI2:SDL2"/>
    <mergeCell ref="SMS2:SMV2"/>
    <mergeCell ref="SMW2:SMZ2"/>
    <mergeCell ref="SNA2:SND2"/>
    <mergeCell ref="SNE2:SNH2"/>
    <mergeCell ref="SNI2:SNL2"/>
    <mergeCell ref="SNM2:SNP2"/>
    <mergeCell ref="SLU2:SLX2"/>
    <mergeCell ref="SLY2:SMB2"/>
    <mergeCell ref="SMC2:SMF2"/>
    <mergeCell ref="SMG2:SMJ2"/>
    <mergeCell ref="SMK2:SMN2"/>
    <mergeCell ref="SMO2:SMR2"/>
    <mergeCell ref="SKW2:SKZ2"/>
    <mergeCell ref="SLA2:SLD2"/>
    <mergeCell ref="SLE2:SLH2"/>
    <mergeCell ref="SLI2:SLL2"/>
    <mergeCell ref="SLM2:SLP2"/>
    <mergeCell ref="SLQ2:SLT2"/>
    <mergeCell ref="SJY2:SKB2"/>
    <mergeCell ref="SKC2:SKF2"/>
    <mergeCell ref="SKG2:SKJ2"/>
    <mergeCell ref="SKK2:SKN2"/>
    <mergeCell ref="SKO2:SKR2"/>
    <mergeCell ref="SKS2:SKV2"/>
    <mergeCell ref="SJA2:SJD2"/>
    <mergeCell ref="SJE2:SJH2"/>
    <mergeCell ref="SJI2:SJL2"/>
    <mergeCell ref="SJM2:SJP2"/>
    <mergeCell ref="SJQ2:SJT2"/>
    <mergeCell ref="SJU2:SJX2"/>
    <mergeCell ref="SIC2:SIF2"/>
    <mergeCell ref="SIG2:SIJ2"/>
    <mergeCell ref="SIK2:SIN2"/>
    <mergeCell ref="SIO2:SIR2"/>
    <mergeCell ref="SIS2:SIV2"/>
    <mergeCell ref="SIW2:SIZ2"/>
    <mergeCell ref="SSG2:SSJ2"/>
    <mergeCell ref="SSK2:SSN2"/>
    <mergeCell ref="SSO2:SSR2"/>
    <mergeCell ref="SSS2:SSV2"/>
    <mergeCell ref="SSW2:SSZ2"/>
    <mergeCell ref="STA2:STD2"/>
    <mergeCell ref="SRI2:SRL2"/>
    <mergeCell ref="SRM2:SRP2"/>
    <mergeCell ref="SRQ2:SRT2"/>
    <mergeCell ref="SRU2:SRX2"/>
    <mergeCell ref="SRY2:SSB2"/>
    <mergeCell ref="SSC2:SSF2"/>
    <mergeCell ref="SQK2:SQN2"/>
    <mergeCell ref="SQO2:SQR2"/>
    <mergeCell ref="SQS2:SQV2"/>
    <mergeCell ref="SQW2:SQZ2"/>
    <mergeCell ref="SRA2:SRD2"/>
    <mergeCell ref="SRE2:SRH2"/>
    <mergeCell ref="SPM2:SPP2"/>
    <mergeCell ref="SPQ2:SPT2"/>
    <mergeCell ref="SPU2:SPX2"/>
    <mergeCell ref="SPY2:SQB2"/>
    <mergeCell ref="SQC2:SQF2"/>
    <mergeCell ref="SQG2:SQJ2"/>
    <mergeCell ref="SOO2:SOR2"/>
    <mergeCell ref="SOS2:SOV2"/>
    <mergeCell ref="SOW2:SOZ2"/>
    <mergeCell ref="SPA2:SPD2"/>
    <mergeCell ref="SPE2:SPH2"/>
    <mergeCell ref="SPI2:SPL2"/>
    <mergeCell ref="SNQ2:SNT2"/>
    <mergeCell ref="SNU2:SNX2"/>
    <mergeCell ref="SNY2:SOB2"/>
    <mergeCell ref="SOC2:SOF2"/>
    <mergeCell ref="SOG2:SOJ2"/>
    <mergeCell ref="SOK2:SON2"/>
    <mergeCell ref="SXU2:SXX2"/>
    <mergeCell ref="SXY2:SYB2"/>
    <mergeCell ref="SYC2:SYF2"/>
    <mergeCell ref="SYG2:SYJ2"/>
    <mergeCell ref="SYK2:SYN2"/>
    <mergeCell ref="SYO2:SYR2"/>
    <mergeCell ref="SWW2:SWZ2"/>
    <mergeCell ref="SXA2:SXD2"/>
    <mergeCell ref="SXE2:SXH2"/>
    <mergeCell ref="SXI2:SXL2"/>
    <mergeCell ref="SXM2:SXP2"/>
    <mergeCell ref="SXQ2:SXT2"/>
    <mergeCell ref="SVY2:SWB2"/>
    <mergeCell ref="SWC2:SWF2"/>
    <mergeCell ref="SWG2:SWJ2"/>
    <mergeCell ref="SWK2:SWN2"/>
    <mergeCell ref="SWO2:SWR2"/>
    <mergeCell ref="SWS2:SWV2"/>
    <mergeCell ref="SVA2:SVD2"/>
    <mergeCell ref="SVE2:SVH2"/>
    <mergeCell ref="SVI2:SVL2"/>
    <mergeCell ref="SVM2:SVP2"/>
    <mergeCell ref="SVQ2:SVT2"/>
    <mergeCell ref="SVU2:SVX2"/>
    <mergeCell ref="SUC2:SUF2"/>
    <mergeCell ref="SUG2:SUJ2"/>
    <mergeCell ref="SUK2:SUN2"/>
    <mergeCell ref="SUO2:SUR2"/>
    <mergeCell ref="SUS2:SUV2"/>
    <mergeCell ref="SUW2:SUZ2"/>
    <mergeCell ref="STE2:STH2"/>
    <mergeCell ref="STI2:STL2"/>
    <mergeCell ref="STM2:STP2"/>
    <mergeCell ref="STQ2:STT2"/>
    <mergeCell ref="STU2:STX2"/>
    <mergeCell ref="STY2:SUB2"/>
    <mergeCell ref="TDI2:TDL2"/>
    <mergeCell ref="TDM2:TDP2"/>
    <mergeCell ref="TDQ2:TDT2"/>
    <mergeCell ref="TDU2:TDX2"/>
    <mergeCell ref="TDY2:TEB2"/>
    <mergeCell ref="TEC2:TEF2"/>
    <mergeCell ref="TCK2:TCN2"/>
    <mergeCell ref="TCO2:TCR2"/>
    <mergeCell ref="TCS2:TCV2"/>
    <mergeCell ref="TCW2:TCZ2"/>
    <mergeCell ref="TDA2:TDD2"/>
    <mergeCell ref="TDE2:TDH2"/>
    <mergeCell ref="TBM2:TBP2"/>
    <mergeCell ref="TBQ2:TBT2"/>
    <mergeCell ref="TBU2:TBX2"/>
    <mergeCell ref="TBY2:TCB2"/>
    <mergeCell ref="TCC2:TCF2"/>
    <mergeCell ref="TCG2:TCJ2"/>
    <mergeCell ref="TAO2:TAR2"/>
    <mergeCell ref="TAS2:TAV2"/>
    <mergeCell ref="TAW2:TAZ2"/>
    <mergeCell ref="TBA2:TBD2"/>
    <mergeCell ref="TBE2:TBH2"/>
    <mergeCell ref="TBI2:TBL2"/>
    <mergeCell ref="SZQ2:SZT2"/>
    <mergeCell ref="SZU2:SZX2"/>
    <mergeCell ref="SZY2:TAB2"/>
    <mergeCell ref="TAC2:TAF2"/>
    <mergeCell ref="TAG2:TAJ2"/>
    <mergeCell ref="TAK2:TAN2"/>
    <mergeCell ref="SYS2:SYV2"/>
    <mergeCell ref="SYW2:SYZ2"/>
    <mergeCell ref="SZA2:SZD2"/>
    <mergeCell ref="SZE2:SZH2"/>
    <mergeCell ref="SZI2:SZL2"/>
    <mergeCell ref="SZM2:SZP2"/>
    <mergeCell ref="TIW2:TIZ2"/>
    <mergeCell ref="TJA2:TJD2"/>
    <mergeCell ref="TJE2:TJH2"/>
    <mergeCell ref="TJI2:TJL2"/>
    <mergeCell ref="TJM2:TJP2"/>
    <mergeCell ref="TJQ2:TJT2"/>
    <mergeCell ref="THY2:TIB2"/>
    <mergeCell ref="TIC2:TIF2"/>
    <mergeCell ref="TIG2:TIJ2"/>
    <mergeCell ref="TIK2:TIN2"/>
    <mergeCell ref="TIO2:TIR2"/>
    <mergeCell ref="TIS2:TIV2"/>
    <mergeCell ref="THA2:THD2"/>
    <mergeCell ref="THE2:THH2"/>
    <mergeCell ref="THI2:THL2"/>
    <mergeCell ref="THM2:THP2"/>
    <mergeCell ref="THQ2:THT2"/>
    <mergeCell ref="THU2:THX2"/>
    <mergeCell ref="TGC2:TGF2"/>
    <mergeCell ref="TGG2:TGJ2"/>
    <mergeCell ref="TGK2:TGN2"/>
    <mergeCell ref="TGO2:TGR2"/>
    <mergeCell ref="TGS2:TGV2"/>
    <mergeCell ref="TGW2:TGZ2"/>
    <mergeCell ref="TFE2:TFH2"/>
    <mergeCell ref="TFI2:TFL2"/>
    <mergeCell ref="TFM2:TFP2"/>
    <mergeCell ref="TFQ2:TFT2"/>
    <mergeCell ref="TFU2:TFX2"/>
    <mergeCell ref="TFY2:TGB2"/>
    <mergeCell ref="TEG2:TEJ2"/>
    <mergeCell ref="TEK2:TEN2"/>
    <mergeCell ref="TEO2:TER2"/>
    <mergeCell ref="TES2:TEV2"/>
    <mergeCell ref="TEW2:TEZ2"/>
    <mergeCell ref="TFA2:TFD2"/>
    <mergeCell ref="TOK2:TON2"/>
    <mergeCell ref="TOO2:TOR2"/>
    <mergeCell ref="TOS2:TOV2"/>
    <mergeCell ref="TOW2:TOZ2"/>
    <mergeCell ref="TPA2:TPD2"/>
    <mergeCell ref="TPE2:TPH2"/>
    <mergeCell ref="TNM2:TNP2"/>
    <mergeCell ref="TNQ2:TNT2"/>
    <mergeCell ref="TNU2:TNX2"/>
    <mergeCell ref="TNY2:TOB2"/>
    <mergeCell ref="TOC2:TOF2"/>
    <mergeCell ref="TOG2:TOJ2"/>
    <mergeCell ref="TMO2:TMR2"/>
    <mergeCell ref="TMS2:TMV2"/>
    <mergeCell ref="TMW2:TMZ2"/>
    <mergeCell ref="TNA2:TND2"/>
    <mergeCell ref="TNE2:TNH2"/>
    <mergeCell ref="TNI2:TNL2"/>
    <mergeCell ref="TLQ2:TLT2"/>
    <mergeCell ref="TLU2:TLX2"/>
    <mergeCell ref="TLY2:TMB2"/>
    <mergeCell ref="TMC2:TMF2"/>
    <mergeCell ref="TMG2:TMJ2"/>
    <mergeCell ref="TMK2:TMN2"/>
    <mergeCell ref="TKS2:TKV2"/>
    <mergeCell ref="TKW2:TKZ2"/>
    <mergeCell ref="TLA2:TLD2"/>
    <mergeCell ref="TLE2:TLH2"/>
    <mergeCell ref="TLI2:TLL2"/>
    <mergeCell ref="TLM2:TLP2"/>
    <mergeCell ref="TJU2:TJX2"/>
    <mergeCell ref="TJY2:TKB2"/>
    <mergeCell ref="TKC2:TKF2"/>
    <mergeCell ref="TKG2:TKJ2"/>
    <mergeCell ref="TKK2:TKN2"/>
    <mergeCell ref="TKO2:TKR2"/>
    <mergeCell ref="TTY2:TUB2"/>
    <mergeCell ref="TUC2:TUF2"/>
    <mergeCell ref="TUG2:TUJ2"/>
    <mergeCell ref="TUK2:TUN2"/>
    <mergeCell ref="TUO2:TUR2"/>
    <mergeCell ref="TUS2:TUV2"/>
    <mergeCell ref="TTA2:TTD2"/>
    <mergeCell ref="TTE2:TTH2"/>
    <mergeCell ref="TTI2:TTL2"/>
    <mergeCell ref="TTM2:TTP2"/>
    <mergeCell ref="TTQ2:TTT2"/>
    <mergeCell ref="TTU2:TTX2"/>
    <mergeCell ref="TSC2:TSF2"/>
    <mergeCell ref="TSG2:TSJ2"/>
    <mergeCell ref="TSK2:TSN2"/>
    <mergeCell ref="TSO2:TSR2"/>
    <mergeCell ref="TSS2:TSV2"/>
    <mergeCell ref="TSW2:TSZ2"/>
    <mergeCell ref="TRE2:TRH2"/>
    <mergeCell ref="TRI2:TRL2"/>
    <mergeCell ref="TRM2:TRP2"/>
    <mergeCell ref="TRQ2:TRT2"/>
    <mergeCell ref="TRU2:TRX2"/>
    <mergeCell ref="TRY2:TSB2"/>
    <mergeCell ref="TQG2:TQJ2"/>
    <mergeCell ref="TQK2:TQN2"/>
    <mergeCell ref="TQO2:TQR2"/>
    <mergeCell ref="TQS2:TQV2"/>
    <mergeCell ref="TQW2:TQZ2"/>
    <mergeCell ref="TRA2:TRD2"/>
    <mergeCell ref="TPI2:TPL2"/>
    <mergeCell ref="TPM2:TPP2"/>
    <mergeCell ref="TPQ2:TPT2"/>
    <mergeCell ref="TPU2:TPX2"/>
    <mergeCell ref="TPY2:TQB2"/>
    <mergeCell ref="TQC2:TQF2"/>
    <mergeCell ref="TZM2:TZP2"/>
    <mergeCell ref="TZQ2:TZT2"/>
    <mergeCell ref="TZU2:TZX2"/>
    <mergeCell ref="TZY2:UAB2"/>
    <mergeCell ref="UAC2:UAF2"/>
    <mergeCell ref="UAG2:UAJ2"/>
    <mergeCell ref="TYO2:TYR2"/>
    <mergeCell ref="TYS2:TYV2"/>
    <mergeCell ref="TYW2:TYZ2"/>
    <mergeCell ref="TZA2:TZD2"/>
    <mergeCell ref="TZE2:TZH2"/>
    <mergeCell ref="TZI2:TZL2"/>
    <mergeCell ref="TXQ2:TXT2"/>
    <mergeCell ref="TXU2:TXX2"/>
    <mergeCell ref="TXY2:TYB2"/>
    <mergeCell ref="TYC2:TYF2"/>
    <mergeCell ref="TYG2:TYJ2"/>
    <mergeCell ref="TYK2:TYN2"/>
    <mergeCell ref="TWS2:TWV2"/>
    <mergeCell ref="TWW2:TWZ2"/>
    <mergeCell ref="TXA2:TXD2"/>
    <mergeCell ref="TXE2:TXH2"/>
    <mergeCell ref="TXI2:TXL2"/>
    <mergeCell ref="TXM2:TXP2"/>
    <mergeCell ref="TVU2:TVX2"/>
    <mergeCell ref="TVY2:TWB2"/>
    <mergeCell ref="TWC2:TWF2"/>
    <mergeCell ref="TWG2:TWJ2"/>
    <mergeCell ref="TWK2:TWN2"/>
    <mergeCell ref="TWO2:TWR2"/>
    <mergeCell ref="TUW2:TUZ2"/>
    <mergeCell ref="TVA2:TVD2"/>
    <mergeCell ref="TVE2:TVH2"/>
    <mergeCell ref="TVI2:TVL2"/>
    <mergeCell ref="TVM2:TVP2"/>
    <mergeCell ref="TVQ2:TVT2"/>
    <mergeCell ref="UFA2:UFD2"/>
    <mergeCell ref="UFE2:UFH2"/>
    <mergeCell ref="UFI2:UFL2"/>
    <mergeCell ref="UFM2:UFP2"/>
    <mergeCell ref="UFQ2:UFT2"/>
    <mergeCell ref="UFU2:UFX2"/>
    <mergeCell ref="UEC2:UEF2"/>
    <mergeCell ref="UEG2:UEJ2"/>
    <mergeCell ref="UEK2:UEN2"/>
    <mergeCell ref="UEO2:UER2"/>
    <mergeCell ref="UES2:UEV2"/>
    <mergeCell ref="UEW2:UEZ2"/>
    <mergeCell ref="UDE2:UDH2"/>
    <mergeCell ref="UDI2:UDL2"/>
    <mergeCell ref="UDM2:UDP2"/>
    <mergeCell ref="UDQ2:UDT2"/>
    <mergeCell ref="UDU2:UDX2"/>
    <mergeCell ref="UDY2:UEB2"/>
    <mergeCell ref="UCG2:UCJ2"/>
    <mergeCell ref="UCK2:UCN2"/>
    <mergeCell ref="UCO2:UCR2"/>
    <mergeCell ref="UCS2:UCV2"/>
    <mergeCell ref="UCW2:UCZ2"/>
    <mergeCell ref="UDA2:UDD2"/>
    <mergeCell ref="UBI2:UBL2"/>
    <mergeCell ref="UBM2:UBP2"/>
    <mergeCell ref="UBQ2:UBT2"/>
    <mergeCell ref="UBU2:UBX2"/>
    <mergeCell ref="UBY2:UCB2"/>
    <mergeCell ref="UCC2:UCF2"/>
    <mergeCell ref="UAK2:UAN2"/>
    <mergeCell ref="UAO2:UAR2"/>
    <mergeCell ref="UAS2:UAV2"/>
    <mergeCell ref="UAW2:UAZ2"/>
    <mergeCell ref="UBA2:UBD2"/>
    <mergeCell ref="UBE2:UBH2"/>
    <mergeCell ref="UKO2:UKR2"/>
    <mergeCell ref="UKS2:UKV2"/>
    <mergeCell ref="UKW2:UKZ2"/>
    <mergeCell ref="ULA2:ULD2"/>
    <mergeCell ref="ULE2:ULH2"/>
    <mergeCell ref="ULI2:ULL2"/>
    <mergeCell ref="UJQ2:UJT2"/>
    <mergeCell ref="UJU2:UJX2"/>
    <mergeCell ref="UJY2:UKB2"/>
    <mergeCell ref="UKC2:UKF2"/>
    <mergeCell ref="UKG2:UKJ2"/>
    <mergeCell ref="UKK2:UKN2"/>
    <mergeCell ref="UIS2:UIV2"/>
    <mergeCell ref="UIW2:UIZ2"/>
    <mergeCell ref="UJA2:UJD2"/>
    <mergeCell ref="UJE2:UJH2"/>
    <mergeCell ref="UJI2:UJL2"/>
    <mergeCell ref="UJM2:UJP2"/>
    <mergeCell ref="UHU2:UHX2"/>
    <mergeCell ref="UHY2:UIB2"/>
    <mergeCell ref="UIC2:UIF2"/>
    <mergeCell ref="UIG2:UIJ2"/>
    <mergeCell ref="UIK2:UIN2"/>
    <mergeCell ref="UIO2:UIR2"/>
    <mergeCell ref="UGW2:UGZ2"/>
    <mergeCell ref="UHA2:UHD2"/>
    <mergeCell ref="UHE2:UHH2"/>
    <mergeCell ref="UHI2:UHL2"/>
    <mergeCell ref="UHM2:UHP2"/>
    <mergeCell ref="UHQ2:UHT2"/>
    <mergeCell ref="UFY2:UGB2"/>
    <mergeCell ref="UGC2:UGF2"/>
    <mergeCell ref="UGG2:UGJ2"/>
    <mergeCell ref="UGK2:UGN2"/>
    <mergeCell ref="UGO2:UGR2"/>
    <mergeCell ref="UGS2:UGV2"/>
    <mergeCell ref="UQC2:UQF2"/>
    <mergeCell ref="UQG2:UQJ2"/>
    <mergeCell ref="UQK2:UQN2"/>
    <mergeCell ref="UQO2:UQR2"/>
    <mergeCell ref="UQS2:UQV2"/>
    <mergeCell ref="UQW2:UQZ2"/>
    <mergeCell ref="UPE2:UPH2"/>
    <mergeCell ref="UPI2:UPL2"/>
    <mergeCell ref="UPM2:UPP2"/>
    <mergeCell ref="UPQ2:UPT2"/>
    <mergeCell ref="UPU2:UPX2"/>
    <mergeCell ref="UPY2:UQB2"/>
    <mergeCell ref="UOG2:UOJ2"/>
    <mergeCell ref="UOK2:UON2"/>
    <mergeCell ref="UOO2:UOR2"/>
    <mergeCell ref="UOS2:UOV2"/>
    <mergeCell ref="UOW2:UOZ2"/>
    <mergeCell ref="UPA2:UPD2"/>
    <mergeCell ref="UNI2:UNL2"/>
    <mergeCell ref="UNM2:UNP2"/>
    <mergeCell ref="UNQ2:UNT2"/>
    <mergeCell ref="UNU2:UNX2"/>
    <mergeCell ref="UNY2:UOB2"/>
    <mergeCell ref="UOC2:UOF2"/>
    <mergeCell ref="UMK2:UMN2"/>
    <mergeCell ref="UMO2:UMR2"/>
    <mergeCell ref="UMS2:UMV2"/>
    <mergeCell ref="UMW2:UMZ2"/>
    <mergeCell ref="UNA2:UND2"/>
    <mergeCell ref="UNE2:UNH2"/>
    <mergeCell ref="ULM2:ULP2"/>
    <mergeCell ref="ULQ2:ULT2"/>
    <mergeCell ref="ULU2:ULX2"/>
    <mergeCell ref="ULY2:UMB2"/>
    <mergeCell ref="UMC2:UMF2"/>
    <mergeCell ref="UMG2:UMJ2"/>
    <mergeCell ref="UVQ2:UVT2"/>
    <mergeCell ref="UVU2:UVX2"/>
    <mergeCell ref="UVY2:UWB2"/>
    <mergeCell ref="UWC2:UWF2"/>
    <mergeCell ref="UWG2:UWJ2"/>
    <mergeCell ref="UWK2:UWN2"/>
    <mergeCell ref="UUS2:UUV2"/>
    <mergeCell ref="UUW2:UUZ2"/>
    <mergeCell ref="UVA2:UVD2"/>
    <mergeCell ref="UVE2:UVH2"/>
    <mergeCell ref="UVI2:UVL2"/>
    <mergeCell ref="UVM2:UVP2"/>
    <mergeCell ref="UTU2:UTX2"/>
    <mergeCell ref="UTY2:UUB2"/>
    <mergeCell ref="UUC2:UUF2"/>
    <mergeCell ref="UUG2:UUJ2"/>
    <mergeCell ref="UUK2:UUN2"/>
    <mergeCell ref="UUO2:UUR2"/>
    <mergeCell ref="USW2:USZ2"/>
    <mergeCell ref="UTA2:UTD2"/>
    <mergeCell ref="UTE2:UTH2"/>
    <mergeCell ref="UTI2:UTL2"/>
    <mergeCell ref="UTM2:UTP2"/>
    <mergeCell ref="UTQ2:UTT2"/>
    <mergeCell ref="URY2:USB2"/>
    <mergeCell ref="USC2:USF2"/>
    <mergeCell ref="USG2:USJ2"/>
    <mergeCell ref="USK2:USN2"/>
    <mergeCell ref="USO2:USR2"/>
    <mergeCell ref="USS2:USV2"/>
    <mergeCell ref="URA2:URD2"/>
    <mergeCell ref="URE2:URH2"/>
    <mergeCell ref="URI2:URL2"/>
    <mergeCell ref="URM2:URP2"/>
    <mergeCell ref="URQ2:URT2"/>
    <mergeCell ref="URU2:URX2"/>
    <mergeCell ref="VBE2:VBH2"/>
    <mergeCell ref="VBI2:VBL2"/>
    <mergeCell ref="VBM2:VBP2"/>
    <mergeCell ref="VBQ2:VBT2"/>
    <mergeCell ref="VBU2:VBX2"/>
    <mergeCell ref="VBY2:VCB2"/>
    <mergeCell ref="VAG2:VAJ2"/>
    <mergeCell ref="VAK2:VAN2"/>
    <mergeCell ref="VAO2:VAR2"/>
    <mergeCell ref="VAS2:VAV2"/>
    <mergeCell ref="VAW2:VAZ2"/>
    <mergeCell ref="VBA2:VBD2"/>
    <mergeCell ref="UZI2:UZL2"/>
    <mergeCell ref="UZM2:UZP2"/>
    <mergeCell ref="UZQ2:UZT2"/>
    <mergeCell ref="UZU2:UZX2"/>
    <mergeCell ref="UZY2:VAB2"/>
    <mergeCell ref="VAC2:VAF2"/>
    <mergeCell ref="UYK2:UYN2"/>
    <mergeCell ref="UYO2:UYR2"/>
    <mergeCell ref="UYS2:UYV2"/>
    <mergeCell ref="UYW2:UYZ2"/>
    <mergeCell ref="UZA2:UZD2"/>
    <mergeCell ref="UZE2:UZH2"/>
    <mergeCell ref="UXM2:UXP2"/>
    <mergeCell ref="UXQ2:UXT2"/>
    <mergeCell ref="UXU2:UXX2"/>
    <mergeCell ref="UXY2:UYB2"/>
    <mergeCell ref="UYC2:UYF2"/>
    <mergeCell ref="UYG2:UYJ2"/>
    <mergeCell ref="UWO2:UWR2"/>
    <mergeCell ref="UWS2:UWV2"/>
    <mergeCell ref="UWW2:UWZ2"/>
    <mergeCell ref="UXA2:UXD2"/>
    <mergeCell ref="UXE2:UXH2"/>
    <mergeCell ref="UXI2:UXL2"/>
    <mergeCell ref="VGS2:VGV2"/>
    <mergeCell ref="VGW2:VGZ2"/>
    <mergeCell ref="VHA2:VHD2"/>
    <mergeCell ref="VHE2:VHH2"/>
    <mergeCell ref="VHI2:VHL2"/>
    <mergeCell ref="VHM2:VHP2"/>
    <mergeCell ref="VFU2:VFX2"/>
    <mergeCell ref="VFY2:VGB2"/>
    <mergeCell ref="VGC2:VGF2"/>
    <mergeCell ref="VGG2:VGJ2"/>
    <mergeCell ref="VGK2:VGN2"/>
    <mergeCell ref="VGO2:VGR2"/>
    <mergeCell ref="VEW2:VEZ2"/>
    <mergeCell ref="VFA2:VFD2"/>
    <mergeCell ref="VFE2:VFH2"/>
    <mergeCell ref="VFI2:VFL2"/>
    <mergeCell ref="VFM2:VFP2"/>
    <mergeCell ref="VFQ2:VFT2"/>
    <mergeCell ref="VDY2:VEB2"/>
    <mergeCell ref="VEC2:VEF2"/>
    <mergeCell ref="VEG2:VEJ2"/>
    <mergeCell ref="VEK2:VEN2"/>
    <mergeCell ref="VEO2:VER2"/>
    <mergeCell ref="VES2:VEV2"/>
    <mergeCell ref="VDA2:VDD2"/>
    <mergeCell ref="VDE2:VDH2"/>
    <mergeCell ref="VDI2:VDL2"/>
    <mergeCell ref="VDM2:VDP2"/>
    <mergeCell ref="VDQ2:VDT2"/>
    <mergeCell ref="VDU2:VDX2"/>
    <mergeCell ref="VCC2:VCF2"/>
    <mergeCell ref="VCG2:VCJ2"/>
    <mergeCell ref="VCK2:VCN2"/>
    <mergeCell ref="VCO2:VCR2"/>
    <mergeCell ref="VCS2:VCV2"/>
    <mergeCell ref="VCW2:VCZ2"/>
    <mergeCell ref="VMG2:VMJ2"/>
    <mergeCell ref="VMK2:VMN2"/>
    <mergeCell ref="VMO2:VMR2"/>
    <mergeCell ref="VMS2:VMV2"/>
    <mergeCell ref="VMW2:VMZ2"/>
    <mergeCell ref="VNA2:VND2"/>
    <mergeCell ref="VLI2:VLL2"/>
    <mergeCell ref="VLM2:VLP2"/>
    <mergeCell ref="VLQ2:VLT2"/>
    <mergeCell ref="VLU2:VLX2"/>
    <mergeCell ref="VLY2:VMB2"/>
    <mergeCell ref="VMC2:VMF2"/>
    <mergeCell ref="VKK2:VKN2"/>
    <mergeCell ref="VKO2:VKR2"/>
    <mergeCell ref="VKS2:VKV2"/>
    <mergeCell ref="VKW2:VKZ2"/>
    <mergeCell ref="VLA2:VLD2"/>
    <mergeCell ref="VLE2:VLH2"/>
    <mergeCell ref="VJM2:VJP2"/>
    <mergeCell ref="VJQ2:VJT2"/>
    <mergeCell ref="VJU2:VJX2"/>
    <mergeCell ref="VJY2:VKB2"/>
    <mergeCell ref="VKC2:VKF2"/>
    <mergeCell ref="VKG2:VKJ2"/>
    <mergeCell ref="VIO2:VIR2"/>
    <mergeCell ref="VIS2:VIV2"/>
    <mergeCell ref="VIW2:VIZ2"/>
    <mergeCell ref="VJA2:VJD2"/>
    <mergeCell ref="VJE2:VJH2"/>
    <mergeCell ref="VJI2:VJL2"/>
    <mergeCell ref="VHQ2:VHT2"/>
    <mergeCell ref="VHU2:VHX2"/>
    <mergeCell ref="VHY2:VIB2"/>
    <mergeCell ref="VIC2:VIF2"/>
    <mergeCell ref="VIG2:VIJ2"/>
    <mergeCell ref="VIK2:VIN2"/>
    <mergeCell ref="VRU2:VRX2"/>
    <mergeCell ref="VRY2:VSB2"/>
    <mergeCell ref="VSC2:VSF2"/>
    <mergeCell ref="VSG2:VSJ2"/>
    <mergeCell ref="VSK2:VSN2"/>
    <mergeCell ref="VSO2:VSR2"/>
    <mergeCell ref="VQW2:VQZ2"/>
    <mergeCell ref="VRA2:VRD2"/>
    <mergeCell ref="VRE2:VRH2"/>
    <mergeCell ref="VRI2:VRL2"/>
    <mergeCell ref="VRM2:VRP2"/>
    <mergeCell ref="VRQ2:VRT2"/>
    <mergeCell ref="VPY2:VQB2"/>
    <mergeCell ref="VQC2:VQF2"/>
    <mergeCell ref="VQG2:VQJ2"/>
    <mergeCell ref="VQK2:VQN2"/>
    <mergeCell ref="VQO2:VQR2"/>
    <mergeCell ref="VQS2:VQV2"/>
    <mergeCell ref="VPA2:VPD2"/>
    <mergeCell ref="VPE2:VPH2"/>
    <mergeCell ref="VPI2:VPL2"/>
    <mergeCell ref="VPM2:VPP2"/>
    <mergeCell ref="VPQ2:VPT2"/>
    <mergeCell ref="VPU2:VPX2"/>
    <mergeCell ref="VOC2:VOF2"/>
    <mergeCell ref="VOG2:VOJ2"/>
    <mergeCell ref="VOK2:VON2"/>
    <mergeCell ref="VOO2:VOR2"/>
    <mergeCell ref="VOS2:VOV2"/>
    <mergeCell ref="VOW2:VOZ2"/>
    <mergeCell ref="VNE2:VNH2"/>
    <mergeCell ref="VNI2:VNL2"/>
    <mergeCell ref="VNM2:VNP2"/>
    <mergeCell ref="VNQ2:VNT2"/>
    <mergeCell ref="VNU2:VNX2"/>
    <mergeCell ref="VNY2:VOB2"/>
    <mergeCell ref="VXI2:VXL2"/>
    <mergeCell ref="VXM2:VXP2"/>
    <mergeCell ref="VXQ2:VXT2"/>
    <mergeCell ref="VXU2:VXX2"/>
    <mergeCell ref="VXY2:VYB2"/>
    <mergeCell ref="VYC2:VYF2"/>
    <mergeCell ref="VWK2:VWN2"/>
    <mergeCell ref="VWO2:VWR2"/>
    <mergeCell ref="VWS2:VWV2"/>
    <mergeCell ref="VWW2:VWZ2"/>
    <mergeCell ref="VXA2:VXD2"/>
    <mergeCell ref="VXE2:VXH2"/>
    <mergeCell ref="VVM2:VVP2"/>
    <mergeCell ref="VVQ2:VVT2"/>
    <mergeCell ref="VVU2:VVX2"/>
    <mergeCell ref="VVY2:VWB2"/>
    <mergeCell ref="VWC2:VWF2"/>
    <mergeCell ref="VWG2:VWJ2"/>
    <mergeCell ref="VUO2:VUR2"/>
    <mergeCell ref="VUS2:VUV2"/>
    <mergeCell ref="VUW2:VUZ2"/>
    <mergeCell ref="VVA2:VVD2"/>
    <mergeCell ref="VVE2:VVH2"/>
    <mergeCell ref="VVI2:VVL2"/>
    <mergeCell ref="VTQ2:VTT2"/>
    <mergeCell ref="VTU2:VTX2"/>
    <mergeCell ref="VTY2:VUB2"/>
    <mergeCell ref="VUC2:VUF2"/>
    <mergeCell ref="VUG2:VUJ2"/>
    <mergeCell ref="VUK2:VUN2"/>
    <mergeCell ref="VSS2:VSV2"/>
    <mergeCell ref="VSW2:VSZ2"/>
    <mergeCell ref="VTA2:VTD2"/>
    <mergeCell ref="VTE2:VTH2"/>
    <mergeCell ref="VTI2:VTL2"/>
    <mergeCell ref="VTM2:VTP2"/>
    <mergeCell ref="WCW2:WCZ2"/>
    <mergeCell ref="WDA2:WDD2"/>
    <mergeCell ref="WDE2:WDH2"/>
    <mergeCell ref="WDI2:WDL2"/>
    <mergeCell ref="WDM2:WDP2"/>
    <mergeCell ref="WDQ2:WDT2"/>
    <mergeCell ref="WBY2:WCB2"/>
    <mergeCell ref="WCC2:WCF2"/>
    <mergeCell ref="WCG2:WCJ2"/>
    <mergeCell ref="WCK2:WCN2"/>
    <mergeCell ref="WCO2:WCR2"/>
    <mergeCell ref="WCS2:WCV2"/>
    <mergeCell ref="WBA2:WBD2"/>
    <mergeCell ref="WBE2:WBH2"/>
    <mergeCell ref="WBI2:WBL2"/>
    <mergeCell ref="WBM2:WBP2"/>
    <mergeCell ref="WBQ2:WBT2"/>
    <mergeCell ref="WBU2:WBX2"/>
    <mergeCell ref="WAC2:WAF2"/>
    <mergeCell ref="WAG2:WAJ2"/>
    <mergeCell ref="WAK2:WAN2"/>
    <mergeCell ref="WAO2:WAR2"/>
    <mergeCell ref="WAS2:WAV2"/>
    <mergeCell ref="WAW2:WAZ2"/>
    <mergeCell ref="VZE2:VZH2"/>
    <mergeCell ref="VZI2:VZL2"/>
    <mergeCell ref="VZM2:VZP2"/>
    <mergeCell ref="VZQ2:VZT2"/>
    <mergeCell ref="VZU2:VZX2"/>
    <mergeCell ref="VZY2:WAB2"/>
    <mergeCell ref="VYG2:VYJ2"/>
    <mergeCell ref="VYK2:VYN2"/>
    <mergeCell ref="VYO2:VYR2"/>
    <mergeCell ref="VYS2:VYV2"/>
    <mergeCell ref="VYW2:VYZ2"/>
    <mergeCell ref="VZA2:VZD2"/>
    <mergeCell ref="WIK2:WIN2"/>
    <mergeCell ref="WIO2:WIR2"/>
    <mergeCell ref="WIS2:WIV2"/>
    <mergeCell ref="WIW2:WIZ2"/>
    <mergeCell ref="WJA2:WJD2"/>
    <mergeCell ref="WJE2:WJH2"/>
    <mergeCell ref="WHM2:WHP2"/>
    <mergeCell ref="WHQ2:WHT2"/>
    <mergeCell ref="WHU2:WHX2"/>
    <mergeCell ref="WHY2:WIB2"/>
    <mergeCell ref="WIC2:WIF2"/>
    <mergeCell ref="WIG2:WIJ2"/>
    <mergeCell ref="WGO2:WGR2"/>
    <mergeCell ref="WGS2:WGV2"/>
    <mergeCell ref="WGW2:WGZ2"/>
    <mergeCell ref="WHA2:WHD2"/>
    <mergeCell ref="WHE2:WHH2"/>
    <mergeCell ref="WHI2:WHL2"/>
    <mergeCell ref="WFQ2:WFT2"/>
    <mergeCell ref="WFU2:WFX2"/>
    <mergeCell ref="WFY2:WGB2"/>
    <mergeCell ref="WGC2:WGF2"/>
    <mergeCell ref="WGG2:WGJ2"/>
    <mergeCell ref="WGK2:WGN2"/>
    <mergeCell ref="WES2:WEV2"/>
    <mergeCell ref="WEW2:WEZ2"/>
    <mergeCell ref="WFA2:WFD2"/>
    <mergeCell ref="WFE2:WFH2"/>
    <mergeCell ref="WFI2:WFL2"/>
    <mergeCell ref="WFM2:WFP2"/>
    <mergeCell ref="WDU2:WDX2"/>
    <mergeCell ref="WDY2:WEB2"/>
    <mergeCell ref="WEC2:WEF2"/>
    <mergeCell ref="WEG2:WEJ2"/>
    <mergeCell ref="WEK2:WEN2"/>
    <mergeCell ref="WEO2:WER2"/>
    <mergeCell ref="WNY2:WOB2"/>
    <mergeCell ref="WOC2:WOF2"/>
    <mergeCell ref="WOG2:WOJ2"/>
    <mergeCell ref="WOK2:WON2"/>
    <mergeCell ref="WOO2:WOR2"/>
    <mergeCell ref="WOS2:WOV2"/>
    <mergeCell ref="WNA2:WND2"/>
    <mergeCell ref="WNE2:WNH2"/>
    <mergeCell ref="WNI2:WNL2"/>
    <mergeCell ref="WNM2:WNP2"/>
    <mergeCell ref="WNQ2:WNT2"/>
    <mergeCell ref="WNU2:WNX2"/>
    <mergeCell ref="WMC2:WMF2"/>
    <mergeCell ref="WMG2:WMJ2"/>
    <mergeCell ref="WMK2:WMN2"/>
    <mergeCell ref="WMO2:WMR2"/>
    <mergeCell ref="WMS2:WMV2"/>
    <mergeCell ref="WMW2:WMZ2"/>
    <mergeCell ref="WLE2:WLH2"/>
    <mergeCell ref="WLI2:WLL2"/>
    <mergeCell ref="WLM2:WLP2"/>
    <mergeCell ref="WLQ2:WLT2"/>
    <mergeCell ref="WLU2:WLX2"/>
    <mergeCell ref="WLY2:WMB2"/>
    <mergeCell ref="WKG2:WKJ2"/>
    <mergeCell ref="WKK2:WKN2"/>
    <mergeCell ref="WKO2:WKR2"/>
    <mergeCell ref="WKS2:WKV2"/>
    <mergeCell ref="WKW2:WKZ2"/>
    <mergeCell ref="WLA2:WLD2"/>
    <mergeCell ref="WJI2:WJL2"/>
    <mergeCell ref="WJM2:WJP2"/>
    <mergeCell ref="WJQ2:WJT2"/>
    <mergeCell ref="WJU2:WJX2"/>
    <mergeCell ref="WJY2:WKB2"/>
    <mergeCell ref="WKC2:WKF2"/>
    <mergeCell ref="WTM2:WTP2"/>
    <mergeCell ref="WTQ2:WTT2"/>
    <mergeCell ref="WTU2:WTX2"/>
    <mergeCell ref="WTY2:WUB2"/>
    <mergeCell ref="WUC2:WUF2"/>
    <mergeCell ref="WUG2:WUJ2"/>
    <mergeCell ref="WSO2:WSR2"/>
    <mergeCell ref="WSS2:WSV2"/>
    <mergeCell ref="WSW2:WSZ2"/>
    <mergeCell ref="WTA2:WTD2"/>
    <mergeCell ref="WTE2:WTH2"/>
    <mergeCell ref="WTI2:WTL2"/>
    <mergeCell ref="WRQ2:WRT2"/>
    <mergeCell ref="WRU2:WRX2"/>
    <mergeCell ref="WRY2:WSB2"/>
    <mergeCell ref="WSC2:WSF2"/>
    <mergeCell ref="WSG2:WSJ2"/>
    <mergeCell ref="WSK2:WSN2"/>
    <mergeCell ref="WQS2:WQV2"/>
    <mergeCell ref="WQW2:WQZ2"/>
    <mergeCell ref="WRA2:WRD2"/>
    <mergeCell ref="WRE2:WRH2"/>
    <mergeCell ref="WRI2:WRL2"/>
    <mergeCell ref="WRM2:WRP2"/>
    <mergeCell ref="WPU2:WPX2"/>
    <mergeCell ref="WPY2:WQB2"/>
    <mergeCell ref="WQC2:WQF2"/>
    <mergeCell ref="WQG2:WQJ2"/>
    <mergeCell ref="WQK2:WQN2"/>
    <mergeCell ref="WQO2:WQR2"/>
    <mergeCell ref="WOW2:WOZ2"/>
    <mergeCell ref="WPA2:WPD2"/>
    <mergeCell ref="WPE2:WPH2"/>
    <mergeCell ref="WPI2:WPL2"/>
    <mergeCell ref="WPM2:WPP2"/>
    <mergeCell ref="WPQ2:WPT2"/>
    <mergeCell ref="WZA2:WZD2"/>
    <mergeCell ref="WZE2:WZH2"/>
    <mergeCell ref="WZI2:WZL2"/>
    <mergeCell ref="WZM2:WZP2"/>
    <mergeCell ref="WZQ2:WZT2"/>
    <mergeCell ref="WZU2:WZX2"/>
    <mergeCell ref="WYC2:WYF2"/>
    <mergeCell ref="WYG2:WYJ2"/>
    <mergeCell ref="WYK2:WYN2"/>
    <mergeCell ref="WYO2:WYR2"/>
    <mergeCell ref="WYS2:WYV2"/>
    <mergeCell ref="WYW2:WYZ2"/>
    <mergeCell ref="WXE2:WXH2"/>
    <mergeCell ref="WXI2:WXL2"/>
    <mergeCell ref="WXM2:WXP2"/>
    <mergeCell ref="WXQ2:WXT2"/>
    <mergeCell ref="WXU2:WXX2"/>
    <mergeCell ref="WXY2:WYB2"/>
    <mergeCell ref="WWG2:WWJ2"/>
    <mergeCell ref="WWK2:WWN2"/>
    <mergeCell ref="WWO2:WWR2"/>
    <mergeCell ref="WWS2:WWV2"/>
    <mergeCell ref="WWW2:WWZ2"/>
    <mergeCell ref="WXA2:WXD2"/>
    <mergeCell ref="WVI2:WVL2"/>
    <mergeCell ref="WVM2:WVP2"/>
    <mergeCell ref="WVQ2:WVT2"/>
    <mergeCell ref="WVU2:WVX2"/>
    <mergeCell ref="WVY2:WWB2"/>
    <mergeCell ref="WWC2:WWF2"/>
    <mergeCell ref="WUK2:WUN2"/>
    <mergeCell ref="WUO2:WUR2"/>
    <mergeCell ref="WUS2:WUV2"/>
    <mergeCell ref="WUW2:WUZ2"/>
    <mergeCell ref="WVA2:WVD2"/>
    <mergeCell ref="WVE2:WVH2"/>
    <mergeCell ref="CS3:CV3"/>
    <mergeCell ref="CW3:CZ3"/>
    <mergeCell ref="DA3:DD3"/>
    <mergeCell ref="DE3:DH3"/>
    <mergeCell ref="DI3:DL3"/>
    <mergeCell ref="DM3:DP3"/>
    <mergeCell ref="BU3:BX3"/>
    <mergeCell ref="BY3:CB3"/>
    <mergeCell ref="CC3:CF3"/>
    <mergeCell ref="CG3:CJ3"/>
    <mergeCell ref="CK3:CN3"/>
    <mergeCell ref="CO3:CR3"/>
    <mergeCell ref="AW3:AZ3"/>
    <mergeCell ref="BA3:BD3"/>
    <mergeCell ref="BE3:BH3"/>
    <mergeCell ref="BI3:BL3"/>
    <mergeCell ref="BM3:BP3"/>
    <mergeCell ref="BQ3:BT3"/>
    <mergeCell ref="Y3:AB3"/>
    <mergeCell ref="AC3:AF3"/>
    <mergeCell ref="AG3:AJ3"/>
    <mergeCell ref="AK3:AN3"/>
    <mergeCell ref="AO3:AR3"/>
    <mergeCell ref="AS3:AV3"/>
    <mergeCell ref="XEO2:XER2"/>
    <mergeCell ref="XES2:XEV2"/>
    <mergeCell ref="XEW2:XEZ2"/>
    <mergeCell ref="XFA2:XFD2"/>
    <mergeCell ref="A3:D3"/>
    <mergeCell ref="E3:H3"/>
    <mergeCell ref="I3:L3"/>
    <mergeCell ref="M3:P3"/>
    <mergeCell ref="Q3:T3"/>
    <mergeCell ref="U3:X3"/>
    <mergeCell ref="XDQ2:XDT2"/>
    <mergeCell ref="XDU2:XDX2"/>
    <mergeCell ref="XDY2:XEB2"/>
    <mergeCell ref="XEC2:XEF2"/>
    <mergeCell ref="XEG2:XEJ2"/>
    <mergeCell ref="XEK2:XEN2"/>
    <mergeCell ref="XCS2:XCV2"/>
    <mergeCell ref="XCW2:XCZ2"/>
    <mergeCell ref="XDA2:XDD2"/>
    <mergeCell ref="XDE2:XDH2"/>
    <mergeCell ref="XDI2:XDL2"/>
    <mergeCell ref="XDM2:XDP2"/>
    <mergeCell ref="XBU2:XBX2"/>
    <mergeCell ref="XBY2:XCB2"/>
    <mergeCell ref="XCC2:XCF2"/>
    <mergeCell ref="XCG2:XCJ2"/>
    <mergeCell ref="XCK2:XCN2"/>
    <mergeCell ref="XCO2:XCR2"/>
    <mergeCell ref="XAW2:XAZ2"/>
    <mergeCell ref="XBA2:XBD2"/>
    <mergeCell ref="XBE2:XBH2"/>
    <mergeCell ref="XBI2:XBL2"/>
    <mergeCell ref="XBM2:XBP2"/>
    <mergeCell ref="XBQ2:XBT2"/>
    <mergeCell ref="WZY2:XAB2"/>
    <mergeCell ref="XAC2:XAF2"/>
    <mergeCell ref="XAG2:XAJ2"/>
    <mergeCell ref="XAK2:XAN2"/>
    <mergeCell ref="XAO2:XAR2"/>
    <mergeCell ref="XAS2:XAV2"/>
    <mergeCell ref="IG3:IJ3"/>
    <mergeCell ref="IK3:IN3"/>
    <mergeCell ref="IO3:IR3"/>
    <mergeCell ref="IS3:IV3"/>
    <mergeCell ref="IW3:IZ3"/>
    <mergeCell ref="JA3:JD3"/>
    <mergeCell ref="HI3:HL3"/>
    <mergeCell ref="HM3:HP3"/>
    <mergeCell ref="HQ3:HT3"/>
    <mergeCell ref="HU3:HX3"/>
    <mergeCell ref="HY3:IB3"/>
    <mergeCell ref="IC3:IF3"/>
    <mergeCell ref="GK3:GN3"/>
    <mergeCell ref="GO3:GR3"/>
    <mergeCell ref="GS3:GV3"/>
    <mergeCell ref="GW3:GZ3"/>
    <mergeCell ref="HA3:HD3"/>
    <mergeCell ref="HE3:HH3"/>
    <mergeCell ref="FM3:FP3"/>
    <mergeCell ref="FQ3:FT3"/>
    <mergeCell ref="FU3:FX3"/>
    <mergeCell ref="FY3:GB3"/>
    <mergeCell ref="GC3:GF3"/>
    <mergeCell ref="GG3:GJ3"/>
    <mergeCell ref="EO3:ER3"/>
    <mergeCell ref="ES3:EV3"/>
    <mergeCell ref="EW3:EZ3"/>
    <mergeCell ref="FA3:FD3"/>
    <mergeCell ref="FE3:FH3"/>
    <mergeCell ref="FI3:FL3"/>
    <mergeCell ref="DQ3:DT3"/>
    <mergeCell ref="DU3:DX3"/>
    <mergeCell ref="DY3:EB3"/>
    <mergeCell ref="EC3:EF3"/>
    <mergeCell ref="EG3:EJ3"/>
    <mergeCell ref="EK3:EN3"/>
    <mergeCell ref="NU3:NX3"/>
    <mergeCell ref="NY3:OB3"/>
    <mergeCell ref="OC3:OF3"/>
    <mergeCell ref="OG3:OJ3"/>
    <mergeCell ref="OK3:ON3"/>
    <mergeCell ref="OO3:OR3"/>
    <mergeCell ref="MW3:MZ3"/>
    <mergeCell ref="NA3:ND3"/>
    <mergeCell ref="NE3:NH3"/>
    <mergeCell ref="NI3:NL3"/>
    <mergeCell ref="NM3:NP3"/>
    <mergeCell ref="NQ3:NT3"/>
    <mergeCell ref="LY3:MB3"/>
    <mergeCell ref="MC3:MF3"/>
    <mergeCell ref="MG3:MJ3"/>
    <mergeCell ref="MK3:MN3"/>
    <mergeCell ref="MO3:MR3"/>
    <mergeCell ref="MS3:MV3"/>
    <mergeCell ref="LA3:LD3"/>
    <mergeCell ref="LE3:LH3"/>
    <mergeCell ref="LI3:LL3"/>
    <mergeCell ref="LM3:LP3"/>
    <mergeCell ref="LQ3:LT3"/>
    <mergeCell ref="LU3:LX3"/>
    <mergeCell ref="KC3:KF3"/>
    <mergeCell ref="KG3:KJ3"/>
    <mergeCell ref="KK3:KN3"/>
    <mergeCell ref="KO3:KR3"/>
    <mergeCell ref="KS3:KV3"/>
    <mergeCell ref="KW3:KZ3"/>
    <mergeCell ref="JE3:JH3"/>
    <mergeCell ref="JI3:JL3"/>
    <mergeCell ref="JM3:JP3"/>
    <mergeCell ref="JQ3:JT3"/>
    <mergeCell ref="JU3:JX3"/>
    <mergeCell ref="JY3:KB3"/>
    <mergeCell ref="TI3:TL3"/>
    <mergeCell ref="TM3:TP3"/>
    <mergeCell ref="TQ3:TT3"/>
    <mergeCell ref="TU3:TX3"/>
    <mergeCell ref="TY3:UB3"/>
    <mergeCell ref="UC3:UF3"/>
    <mergeCell ref="SK3:SN3"/>
    <mergeCell ref="SO3:SR3"/>
    <mergeCell ref="SS3:SV3"/>
    <mergeCell ref="SW3:SZ3"/>
    <mergeCell ref="TA3:TD3"/>
    <mergeCell ref="TE3:TH3"/>
    <mergeCell ref="RM3:RP3"/>
    <mergeCell ref="RQ3:RT3"/>
    <mergeCell ref="RU3:RX3"/>
    <mergeCell ref="RY3:SB3"/>
    <mergeCell ref="SC3:SF3"/>
    <mergeCell ref="SG3:SJ3"/>
    <mergeCell ref="QO3:QR3"/>
    <mergeCell ref="QS3:QV3"/>
    <mergeCell ref="QW3:QZ3"/>
    <mergeCell ref="RA3:RD3"/>
    <mergeCell ref="RE3:RH3"/>
    <mergeCell ref="RI3:RL3"/>
    <mergeCell ref="PQ3:PT3"/>
    <mergeCell ref="PU3:PX3"/>
    <mergeCell ref="PY3:QB3"/>
    <mergeCell ref="QC3:QF3"/>
    <mergeCell ref="QG3:QJ3"/>
    <mergeCell ref="QK3:QN3"/>
    <mergeCell ref="OS3:OV3"/>
    <mergeCell ref="OW3:OZ3"/>
    <mergeCell ref="PA3:PD3"/>
    <mergeCell ref="PE3:PH3"/>
    <mergeCell ref="PI3:PL3"/>
    <mergeCell ref="PM3:PP3"/>
    <mergeCell ref="YW3:YZ3"/>
    <mergeCell ref="ZA3:ZD3"/>
    <mergeCell ref="ZE3:ZH3"/>
    <mergeCell ref="ZI3:ZL3"/>
    <mergeCell ref="ZM3:ZP3"/>
    <mergeCell ref="ZQ3:ZT3"/>
    <mergeCell ref="XY3:YB3"/>
    <mergeCell ref="YC3:YF3"/>
    <mergeCell ref="YG3:YJ3"/>
    <mergeCell ref="YK3:YN3"/>
    <mergeCell ref="YO3:YR3"/>
    <mergeCell ref="YS3:YV3"/>
    <mergeCell ref="XA3:XD3"/>
    <mergeCell ref="XE3:XH3"/>
    <mergeCell ref="XI3:XL3"/>
    <mergeCell ref="XM3:XP3"/>
    <mergeCell ref="XQ3:XT3"/>
    <mergeCell ref="XU3:XX3"/>
    <mergeCell ref="WC3:WF3"/>
    <mergeCell ref="WG3:WJ3"/>
    <mergeCell ref="WK3:WN3"/>
    <mergeCell ref="WO3:WR3"/>
    <mergeCell ref="WS3:WV3"/>
    <mergeCell ref="WW3:WZ3"/>
    <mergeCell ref="VE3:VH3"/>
    <mergeCell ref="VI3:VL3"/>
    <mergeCell ref="VM3:VP3"/>
    <mergeCell ref="VQ3:VT3"/>
    <mergeCell ref="VU3:VX3"/>
    <mergeCell ref="VY3:WB3"/>
    <mergeCell ref="UG3:UJ3"/>
    <mergeCell ref="UK3:UN3"/>
    <mergeCell ref="UO3:UR3"/>
    <mergeCell ref="US3:UV3"/>
    <mergeCell ref="UW3:UZ3"/>
    <mergeCell ref="VA3:VD3"/>
    <mergeCell ref="AEK3:AEN3"/>
    <mergeCell ref="AEO3:AER3"/>
    <mergeCell ref="AES3:AEV3"/>
    <mergeCell ref="AEW3:AEZ3"/>
    <mergeCell ref="AFA3:AFD3"/>
    <mergeCell ref="AFE3:AFH3"/>
    <mergeCell ref="ADM3:ADP3"/>
    <mergeCell ref="ADQ3:ADT3"/>
    <mergeCell ref="ADU3:ADX3"/>
    <mergeCell ref="ADY3:AEB3"/>
    <mergeCell ref="AEC3:AEF3"/>
    <mergeCell ref="AEG3:AEJ3"/>
    <mergeCell ref="ACO3:ACR3"/>
    <mergeCell ref="ACS3:ACV3"/>
    <mergeCell ref="ACW3:ACZ3"/>
    <mergeCell ref="ADA3:ADD3"/>
    <mergeCell ref="ADE3:ADH3"/>
    <mergeCell ref="ADI3:ADL3"/>
    <mergeCell ref="ABQ3:ABT3"/>
    <mergeCell ref="ABU3:ABX3"/>
    <mergeCell ref="ABY3:ACB3"/>
    <mergeCell ref="ACC3:ACF3"/>
    <mergeCell ref="ACG3:ACJ3"/>
    <mergeCell ref="ACK3:ACN3"/>
    <mergeCell ref="AAS3:AAV3"/>
    <mergeCell ref="AAW3:AAZ3"/>
    <mergeCell ref="ABA3:ABD3"/>
    <mergeCell ref="ABE3:ABH3"/>
    <mergeCell ref="ABI3:ABL3"/>
    <mergeCell ref="ABM3:ABP3"/>
    <mergeCell ref="ZU3:ZX3"/>
    <mergeCell ref="ZY3:AAB3"/>
    <mergeCell ref="AAC3:AAF3"/>
    <mergeCell ref="AAG3:AAJ3"/>
    <mergeCell ref="AAK3:AAN3"/>
    <mergeCell ref="AAO3:AAR3"/>
    <mergeCell ref="AJY3:AKB3"/>
    <mergeCell ref="AKC3:AKF3"/>
    <mergeCell ref="AKG3:AKJ3"/>
    <mergeCell ref="AKK3:AKN3"/>
    <mergeCell ref="AKO3:AKR3"/>
    <mergeCell ref="AKS3:AKV3"/>
    <mergeCell ref="AJA3:AJD3"/>
    <mergeCell ref="AJE3:AJH3"/>
    <mergeCell ref="AJI3:AJL3"/>
    <mergeCell ref="AJM3:AJP3"/>
    <mergeCell ref="AJQ3:AJT3"/>
    <mergeCell ref="AJU3:AJX3"/>
    <mergeCell ref="AIC3:AIF3"/>
    <mergeCell ref="AIG3:AIJ3"/>
    <mergeCell ref="AIK3:AIN3"/>
    <mergeCell ref="AIO3:AIR3"/>
    <mergeCell ref="AIS3:AIV3"/>
    <mergeCell ref="AIW3:AIZ3"/>
    <mergeCell ref="AHE3:AHH3"/>
    <mergeCell ref="AHI3:AHL3"/>
    <mergeCell ref="AHM3:AHP3"/>
    <mergeCell ref="AHQ3:AHT3"/>
    <mergeCell ref="AHU3:AHX3"/>
    <mergeCell ref="AHY3:AIB3"/>
    <mergeCell ref="AGG3:AGJ3"/>
    <mergeCell ref="AGK3:AGN3"/>
    <mergeCell ref="AGO3:AGR3"/>
    <mergeCell ref="AGS3:AGV3"/>
    <mergeCell ref="AGW3:AGZ3"/>
    <mergeCell ref="AHA3:AHD3"/>
    <mergeCell ref="AFI3:AFL3"/>
    <mergeCell ref="AFM3:AFP3"/>
    <mergeCell ref="AFQ3:AFT3"/>
    <mergeCell ref="AFU3:AFX3"/>
    <mergeCell ref="AFY3:AGB3"/>
    <mergeCell ref="AGC3:AGF3"/>
    <mergeCell ref="APM3:APP3"/>
    <mergeCell ref="APQ3:APT3"/>
    <mergeCell ref="APU3:APX3"/>
    <mergeCell ref="APY3:AQB3"/>
    <mergeCell ref="AQC3:AQF3"/>
    <mergeCell ref="AQG3:AQJ3"/>
    <mergeCell ref="AOO3:AOR3"/>
    <mergeCell ref="AOS3:AOV3"/>
    <mergeCell ref="AOW3:AOZ3"/>
    <mergeCell ref="APA3:APD3"/>
    <mergeCell ref="APE3:APH3"/>
    <mergeCell ref="API3:APL3"/>
    <mergeCell ref="ANQ3:ANT3"/>
    <mergeCell ref="ANU3:ANX3"/>
    <mergeCell ref="ANY3:AOB3"/>
    <mergeCell ref="AOC3:AOF3"/>
    <mergeCell ref="AOG3:AOJ3"/>
    <mergeCell ref="AOK3:AON3"/>
    <mergeCell ref="AMS3:AMV3"/>
    <mergeCell ref="AMW3:AMZ3"/>
    <mergeCell ref="ANA3:AND3"/>
    <mergeCell ref="ANE3:ANH3"/>
    <mergeCell ref="ANI3:ANL3"/>
    <mergeCell ref="ANM3:ANP3"/>
    <mergeCell ref="ALU3:ALX3"/>
    <mergeCell ref="ALY3:AMB3"/>
    <mergeCell ref="AMC3:AMF3"/>
    <mergeCell ref="AMG3:AMJ3"/>
    <mergeCell ref="AMK3:AMN3"/>
    <mergeCell ref="AMO3:AMR3"/>
    <mergeCell ref="AKW3:AKZ3"/>
    <mergeCell ref="ALA3:ALD3"/>
    <mergeCell ref="ALE3:ALH3"/>
    <mergeCell ref="ALI3:ALL3"/>
    <mergeCell ref="ALM3:ALP3"/>
    <mergeCell ref="ALQ3:ALT3"/>
    <mergeCell ref="AVA3:AVD3"/>
    <mergeCell ref="AVE3:AVH3"/>
    <mergeCell ref="AVI3:AVL3"/>
    <mergeCell ref="AVM3:AVP3"/>
    <mergeCell ref="AVQ3:AVT3"/>
    <mergeCell ref="AVU3:AVX3"/>
    <mergeCell ref="AUC3:AUF3"/>
    <mergeCell ref="AUG3:AUJ3"/>
    <mergeCell ref="AUK3:AUN3"/>
    <mergeCell ref="AUO3:AUR3"/>
    <mergeCell ref="AUS3:AUV3"/>
    <mergeCell ref="AUW3:AUZ3"/>
    <mergeCell ref="ATE3:ATH3"/>
    <mergeCell ref="ATI3:ATL3"/>
    <mergeCell ref="ATM3:ATP3"/>
    <mergeCell ref="ATQ3:ATT3"/>
    <mergeCell ref="ATU3:ATX3"/>
    <mergeCell ref="ATY3:AUB3"/>
    <mergeCell ref="ASG3:ASJ3"/>
    <mergeCell ref="ASK3:ASN3"/>
    <mergeCell ref="ASO3:ASR3"/>
    <mergeCell ref="ASS3:ASV3"/>
    <mergeCell ref="ASW3:ASZ3"/>
    <mergeCell ref="ATA3:ATD3"/>
    <mergeCell ref="ARI3:ARL3"/>
    <mergeCell ref="ARM3:ARP3"/>
    <mergeCell ref="ARQ3:ART3"/>
    <mergeCell ref="ARU3:ARX3"/>
    <mergeCell ref="ARY3:ASB3"/>
    <mergeCell ref="ASC3:ASF3"/>
    <mergeCell ref="AQK3:AQN3"/>
    <mergeCell ref="AQO3:AQR3"/>
    <mergeCell ref="AQS3:AQV3"/>
    <mergeCell ref="AQW3:AQZ3"/>
    <mergeCell ref="ARA3:ARD3"/>
    <mergeCell ref="ARE3:ARH3"/>
    <mergeCell ref="BAO3:BAR3"/>
    <mergeCell ref="BAS3:BAV3"/>
    <mergeCell ref="BAW3:BAZ3"/>
    <mergeCell ref="BBA3:BBD3"/>
    <mergeCell ref="BBE3:BBH3"/>
    <mergeCell ref="BBI3:BBL3"/>
    <mergeCell ref="AZQ3:AZT3"/>
    <mergeCell ref="AZU3:AZX3"/>
    <mergeCell ref="AZY3:BAB3"/>
    <mergeCell ref="BAC3:BAF3"/>
    <mergeCell ref="BAG3:BAJ3"/>
    <mergeCell ref="BAK3:BAN3"/>
    <mergeCell ref="AYS3:AYV3"/>
    <mergeCell ref="AYW3:AYZ3"/>
    <mergeCell ref="AZA3:AZD3"/>
    <mergeCell ref="AZE3:AZH3"/>
    <mergeCell ref="AZI3:AZL3"/>
    <mergeCell ref="AZM3:AZP3"/>
    <mergeCell ref="AXU3:AXX3"/>
    <mergeCell ref="AXY3:AYB3"/>
    <mergeCell ref="AYC3:AYF3"/>
    <mergeCell ref="AYG3:AYJ3"/>
    <mergeCell ref="AYK3:AYN3"/>
    <mergeCell ref="AYO3:AYR3"/>
    <mergeCell ref="AWW3:AWZ3"/>
    <mergeCell ref="AXA3:AXD3"/>
    <mergeCell ref="AXE3:AXH3"/>
    <mergeCell ref="AXI3:AXL3"/>
    <mergeCell ref="AXM3:AXP3"/>
    <mergeCell ref="AXQ3:AXT3"/>
    <mergeCell ref="AVY3:AWB3"/>
    <mergeCell ref="AWC3:AWF3"/>
    <mergeCell ref="AWG3:AWJ3"/>
    <mergeCell ref="AWK3:AWN3"/>
    <mergeCell ref="AWO3:AWR3"/>
    <mergeCell ref="AWS3:AWV3"/>
    <mergeCell ref="BGC3:BGF3"/>
    <mergeCell ref="BGG3:BGJ3"/>
    <mergeCell ref="BGK3:BGN3"/>
    <mergeCell ref="BGO3:BGR3"/>
    <mergeCell ref="BGS3:BGV3"/>
    <mergeCell ref="BGW3:BGZ3"/>
    <mergeCell ref="BFE3:BFH3"/>
    <mergeCell ref="BFI3:BFL3"/>
    <mergeCell ref="BFM3:BFP3"/>
    <mergeCell ref="BFQ3:BFT3"/>
    <mergeCell ref="BFU3:BFX3"/>
    <mergeCell ref="BFY3:BGB3"/>
    <mergeCell ref="BEG3:BEJ3"/>
    <mergeCell ref="BEK3:BEN3"/>
    <mergeCell ref="BEO3:BER3"/>
    <mergeCell ref="BES3:BEV3"/>
    <mergeCell ref="BEW3:BEZ3"/>
    <mergeCell ref="BFA3:BFD3"/>
    <mergeCell ref="BDI3:BDL3"/>
    <mergeCell ref="BDM3:BDP3"/>
    <mergeCell ref="BDQ3:BDT3"/>
    <mergeCell ref="BDU3:BDX3"/>
    <mergeCell ref="BDY3:BEB3"/>
    <mergeCell ref="BEC3:BEF3"/>
    <mergeCell ref="BCK3:BCN3"/>
    <mergeCell ref="BCO3:BCR3"/>
    <mergeCell ref="BCS3:BCV3"/>
    <mergeCell ref="BCW3:BCZ3"/>
    <mergeCell ref="BDA3:BDD3"/>
    <mergeCell ref="BDE3:BDH3"/>
    <mergeCell ref="BBM3:BBP3"/>
    <mergeCell ref="BBQ3:BBT3"/>
    <mergeCell ref="BBU3:BBX3"/>
    <mergeCell ref="BBY3:BCB3"/>
    <mergeCell ref="BCC3:BCF3"/>
    <mergeCell ref="BCG3:BCJ3"/>
    <mergeCell ref="BLQ3:BLT3"/>
    <mergeCell ref="BLU3:BLX3"/>
    <mergeCell ref="BLY3:BMB3"/>
    <mergeCell ref="BMC3:BMF3"/>
    <mergeCell ref="BMG3:BMJ3"/>
    <mergeCell ref="BMK3:BMN3"/>
    <mergeCell ref="BKS3:BKV3"/>
    <mergeCell ref="BKW3:BKZ3"/>
    <mergeCell ref="BLA3:BLD3"/>
    <mergeCell ref="BLE3:BLH3"/>
    <mergeCell ref="BLI3:BLL3"/>
    <mergeCell ref="BLM3:BLP3"/>
    <mergeCell ref="BJU3:BJX3"/>
    <mergeCell ref="BJY3:BKB3"/>
    <mergeCell ref="BKC3:BKF3"/>
    <mergeCell ref="BKG3:BKJ3"/>
    <mergeCell ref="BKK3:BKN3"/>
    <mergeCell ref="BKO3:BKR3"/>
    <mergeCell ref="BIW3:BIZ3"/>
    <mergeCell ref="BJA3:BJD3"/>
    <mergeCell ref="BJE3:BJH3"/>
    <mergeCell ref="BJI3:BJL3"/>
    <mergeCell ref="BJM3:BJP3"/>
    <mergeCell ref="BJQ3:BJT3"/>
    <mergeCell ref="BHY3:BIB3"/>
    <mergeCell ref="BIC3:BIF3"/>
    <mergeCell ref="BIG3:BIJ3"/>
    <mergeCell ref="BIK3:BIN3"/>
    <mergeCell ref="BIO3:BIR3"/>
    <mergeCell ref="BIS3:BIV3"/>
    <mergeCell ref="BHA3:BHD3"/>
    <mergeCell ref="BHE3:BHH3"/>
    <mergeCell ref="BHI3:BHL3"/>
    <mergeCell ref="BHM3:BHP3"/>
    <mergeCell ref="BHQ3:BHT3"/>
    <mergeCell ref="BHU3:BHX3"/>
    <mergeCell ref="BRE3:BRH3"/>
    <mergeCell ref="BRI3:BRL3"/>
    <mergeCell ref="BRM3:BRP3"/>
    <mergeCell ref="BRQ3:BRT3"/>
    <mergeCell ref="BRU3:BRX3"/>
    <mergeCell ref="BRY3:BSB3"/>
    <mergeCell ref="BQG3:BQJ3"/>
    <mergeCell ref="BQK3:BQN3"/>
    <mergeCell ref="BQO3:BQR3"/>
    <mergeCell ref="BQS3:BQV3"/>
    <mergeCell ref="BQW3:BQZ3"/>
    <mergeCell ref="BRA3:BRD3"/>
    <mergeCell ref="BPI3:BPL3"/>
    <mergeCell ref="BPM3:BPP3"/>
    <mergeCell ref="BPQ3:BPT3"/>
    <mergeCell ref="BPU3:BPX3"/>
    <mergeCell ref="BPY3:BQB3"/>
    <mergeCell ref="BQC3:BQF3"/>
    <mergeCell ref="BOK3:BON3"/>
    <mergeCell ref="BOO3:BOR3"/>
    <mergeCell ref="BOS3:BOV3"/>
    <mergeCell ref="BOW3:BOZ3"/>
    <mergeCell ref="BPA3:BPD3"/>
    <mergeCell ref="BPE3:BPH3"/>
    <mergeCell ref="BNM3:BNP3"/>
    <mergeCell ref="BNQ3:BNT3"/>
    <mergeCell ref="BNU3:BNX3"/>
    <mergeCell ref="BNY3:BOB3"/>
    <mergeCell ref="BOC3:BOF3"/>
    <mergeCell ref="BOG3:BOJ3"/>
    <mergeCell ref="BMO3:BMR3"/>
    <mergeCell ref="BMS3:BMV3"/>
    <mergeCell ref="BMW3:BMZ3"/>
    <mergeCell ref="BNA3:BND3"/>
    <mergeCell ref="BNE3:BNH3"/>
    <mergeCell ref="BNI3:BNL3"/>
    <mergeCell ref="BWS3:BWV3"/>
    <mergeCell ref="BWW3:BWZ3"/>
    <mergeCell ref="BXA3:BXD3"/>
    <mergeCell ref="BXE3:BXH3"/>
    <mergeCell ref="BXI3:BXL3"/>
    <mergeCell ref="BXM3:BXP3"/>
    <mergeCell ref="BVU3:BVX3"/>
    <mergeCell ref="BVY3:BWB3"/>
    <mergeCell ref="BWC3:BWF3"/>
    <mergeCell ref="BWG3:BWJ3"/>
    <mergeCell ref="BWK3:BWN3"/>
    <mergeCell ref="BWO3:BWR3"/>
    <mergeCell ref="BUW3:BUZ3"/>
    <mergeCell ref="BVA3:BVD3"/>
    <mergeCell ref="BVE3:BVH3"/>
    <mergeCell ref="BVI3:BVL3"/>
    <mergeCell ref="BVM3:BVP3"/>
    <mergeCell ref="BVQ3:BVT3"/>
    <mergeCell ref="BTY3:BUB3"/>
    <mergeCell ref="BUC3:BUF3"/>
    <mergeCell ref="BUG3:BUJ3"/>
    <mergeCell ref="BUK3:BUN3"/>
    <mergeCell ref="BUO3:BUR3"/>
    <mergeCell ref="BUS3:BUV3"/>
    <mergeCell ref="BTA3:BTD3"/>
    <mergeCell ref="BTE3:BTH3"/>
    <mergeCell ref="BTI3:BTL3"/>
    <mergeCell ref="BTM3:BTP3"/>
    <mergeCell ref="BTQ3:BTT3"/>
    <mergeCell ref="BTU3:BTX3"/>
    <mergeCell ref="BSC3:BSF3"/>
    <mergeCell ref="BSG3:BSJ3"/>
    <mergeCell ref="BSK3:BSN3"/>
    <mergeCell ref="BSO3:BSR3"/>
    <mergeCell ref="BSS3:BSV3"/>
    <mergeCell ref="BSW3:BSZ3"/>
    <mergeCell ref="CCG3:CCJ3"/>
    <mergeCell ref="CCK3:CCN3"/>
    <mergeCell ref="CCO3:CCR3"/>
    <mergeCell ref="CCS3:CCV3"/>
    <mergeCell ref="CCW3:CCZ3"/>
    <mergeCell ref="CDA3:CDD3"/>
    <mergeCell ref="CBI3:CBL3"/>
    <mergeCell ref="CBM3:CBP3"/>
    <mergeCell ref="CBQ3:CBT3"/>
    <mergeCell ref="CBU3:CBX3"/>
    <mergeCell ref="CBY3:CCB3"/>
    <mergeCell ref="CCC3:CCF3"/>
    <mergeCell ref="CAK3:CAN3"/>
    <mergeCell ref="CAO3:CAR3"/>
    <mergeCell ref="CAS3:CAV3"/>
    <mergeCell ref="CAW3:CAZ3"/>
    <mergeCell ref="CBA3:CBD3"/>
    <mergeCell ref="CBE3:CBH3"/>
    <mergeCell ref="BZM3:BZP3"/>
    <mergeCell ref="BZQ3:BZT3"/>
    <mergeCell ref="BZU3:BZX3"/>
    <mergeCell ref="BZY3:CAB3"/>
    <mergeCell ref="CAC3:CAF3"/>
    <mergeCell ref="CAG3:CAJ3"/>
    <mergeCell ref="BYO3:BYR3"/>
    <mergeCell ref="BYS3:BYV3"/>
    <mergeCell ref="BYW3:BYZ3"/>
    <mergeCell ref="BZA3:BZD3"/>
    <mergeCell ref="BZE3:BZH3"/>
    <mergeCell ref="BZI3:BZL3"/>
    <mergeCell ref="BXQ3:BXT3"/>
    <mergeCell ref="BXU3:BXX3"/>
    <mergeCell ref="BXY3:BYB3"/>
    <mergeCell ref="BYC3:BYF3"/>
    <mergeCell ref="BYG3:BYJ3"/>
    <mergeCell ref="BYK3:BYN3"/>
    <mergeCell ref="CHU3:CHX3"/>
    <mergeCell ref="CHY3:CIB3"/>
    <mergeCell ref="CIC3:CIF3"/>
    <mergeCell ref="CIG3:CIJ3"/>
    <mergeCell ref="CIK3:CIN3"/>
    <mergeCell ref="CIO3:CIR3"/>
    <mergeCell ref="CGW3:CGZ3"/>
    <mergeCell ref="CHA3:CHD3"/>
    <mergeCell ref="CHE3:CHH3"/>
    <mergeCell ref="CHI3:CHL3"/>
    <mergeCell ref="CHM3:CHP3"/>
    <mergeCell ref="CHQ3:CHT3"/>
    <mergeCell ref="CFY3:CGB3"/>
    <mergeCell ref="CGC3:CGF3"/>
    <mergeCell ref="CGG3:CGJ3"/>
    <mergeCell ref="CGK3:CGN3"/>
    <mergeCell ref="CGO3:CGR3"/>
    <mergeCell ref="CGS3:CGV3"/>
    <mergeCell ref="CFA3:CFD3"/>
    <mergeCell ref="CFE3:CFH3"/>
    <mergeCell ref="CFI3:CFL3"/>
    <mergeCell ref="CFM3:CFP3"/>
    <mergeCell ref="CFQ3:CFT3"/>
    <mergeCell ref="CFU3:CFX3"/>
    <mergeCell ref="CEC3:CEF3"/>
    <mergeCell ref="CEG3:CEJ3"/>
    <mergeCell ref="CEK3:CEN3"/>
    <mergeCell ref="CEO3:CER3"/>
    <mergeCell ref="CES3:CEV3"/>
    <mergeCell ref="CEW3:CEZ3"/>
    <mergeCell ref="CDE3:CDH3"/>
    <mergeCell ref="CDI3:CDL3"/>
    <mergeCell ref="CDM3:CDP3"/>
    <mergeCell ref="CDQ3:CDT3"/>
    <mergeCell ref="CDU3:CDX3"/>
    <mergeCell ref="CDY3:CEB3"/>
    <mergeCell ref="CNI3:CNL3"/>
    <mergeCell ref="CNM3:CNP3"/>
    <mergeCell ref="CNQ3:CNT3"/>
    <mergeCell ref="CNU3:CNX3"/>
    <mergeCell ref="CNY3:COB3"/>
    <mergeCell ref="COC3:COF3"/>
    <mergeCell ref="CMK3:CMN3"/>
    <mergeCell ref="CMO3:CMR3"/>
    <mergeCell ref="CMS3:CMV3"/>
    <mergeCell ref="CMW3:CMZ3"/>
    <mergeCell ref="CNA3:CND3"/>
    <mergeCell ref="CNE3:CNH3"/>
    <mergeCell ref="CLM3:CLP3"/>
    <mergeCell ref="CLQ3:CLT3"/>
    <mergeCell ref="CLU3:CLX3"/>
    <mergeCell ref="CLY3:CMB3"/>
    <mergeCell ref="CMC3:CMF3"/>
    <mergeCell ref="CMG3:CMJ3"/>
    <mergeCell ref="CKO3:CKR3"/>
    <mergeCell ref="CKS3:CKV3"/>
    <mergeCell ref="CKW3:CKZ3"/>
    <mergeCell ref="CLA3:CLD3"/>
    <mergeCell ref="CLE3:CLH3"/>
    <mergeCell ref="CLI3:CLL3"/>
    <mergeCell ref="CJQ3:CJT3"/>
    <mergeCell ref="CJU3:CJX3"/>
    <mergeCell ref="CJY3:CKB3"/>
    <mergeCell ref="CKC3:CKF3"/>
    <mergeCell ref="CKG3:CKJ3"/>
    <mergeCell ref="CKK3:CKN3"/>
    <mergeCell ref="CIS3:CIV3"/>
    <mergeCell ref="CIW3:CIZ3"/>
    <mergeCell ref="CJA3:CJD3"/>
    <mergeCell ref="CJE3:CJH3"/>
    <mergeCell ref="CJI3:CJL3"/>
    <mergeCell ref="CJM3:CJP3"/>
    <mergeCell ref="CSW3:CSZ3"/>
    <mergeCell ref="CTA3:CTD3"/>
    <mergeCell ref="CTE3:CTH3"/>
    <mergeCell ref="CTI3:CTL3"/>
    <mergeCell ref="CTM3:CTP3"/>
    <mergeCell ref="CTQ3:CTT3"/>
    <mergeCell ref="CRY3:CSB3"/>
    <mergeCell ref="CSC3:CSF3"/>
    <mergeCell ref="CSG3:CSJ3"/>
    <mergeCell ref="CSK3:CSN3"/>
    <mergeCell ref="CSO3:CSR3"/>
    <mergeCell ref="CSS3:CSV3"/>
    <mergeCell ref="CRA3:CRD3"/>
    <mergeCell ref="CRE3:CRH3"/>
    <mergeCell ref="CRI3:CRL3"/>
    <mergeCell ref="CRM3:CRP3"/>
    <mergeCell ref="CRQ3:CRT3"/>
    <mergeCell ref="CRU3:CRX3"/>
    <mergeCell ref="CQC3:CQF3"/>
    <mergeCell ref="CQG3:CQJ3"/>
    <mergeCell ref="CQK3:CQN3"/>
    <mergeCell ref="CQO3:CQR3"/>
    <mergeCell ref="CQS3:CQV3"/>
    <mergeCell ref="CQW3:CQZ3"/>
    <mergeCell ref="CPE3:CPH3"/>
    <mergeCell ref="CPI3:CPL3"/>
    <mergeCell ref="CPM3:CPP3"/>
    <mergeCell ref="CPQ3:CPT3"/>
    <mergeCell ref="CPU3:CPX3"/>
    <mergeCell ref="CPY3:CQB3"/>
    <mergeCell ref="COG3:COJ3"/>
    <mergeCell ref="COK3:CON3"/>
    <mergeCell ref="COO3:COR3"/>
    <mergeCell ref="COS3:COV3"/>
    <mergeCell ref="COW3:COZ3"/>
    <mergeCell ref="CPA3:CPD3"/>
    <mergeCell ref="CYK3:CYN3"/>
    <mergeCell ref="CYO3:CYR3"/>
    <mergeCell ref="CYS3:CYV3"/>
    <mergeCell ref="CYW3:CYZ3"/>
    <mergeCell ref="CZA3:CZD3"/>
    <mergeCell ref="CZE3:CZH3"/>
    <mergeCell ref="CXM3:CXP3"/>
    <mergeCell ref="CXQ3:CXT3"/>
    <mergeCell ref="CXU3:CXX3"/>
    <mergeCell ref="CXY3:CYB3"/>
    <mergeCell ref="CYC3:CYF3"/>
    <mergeCell ref="CYG3:CYJ3"/>
    <mergeCell ref="CWO3:CWR3"/>
    <mergeCell ref="CWS3:CWV3"/>
    <mergeCell ref="CWW3:CWZ3"/>
    <mergeCell ref="CXA3:CXD3"/>
    <mergeCell ref="CXE3:CXH3"/>
    <mergeCell ref="CXI3:CXL3"/>
    <mergeCell ref="CVQ3:CVT3"/>
    <mergeCell ref="CVU3:CVX3"/>
    <mergeCell ref="CVY3:CWB3"/>
    <mergeCell ref="CWC3:CWF3"/>
    <mergeCell ref="CWG3:CWJ3"/>
    <mergeCell ref="CWK3:CWN3"/>
    <mergeCell ref="CUS3:CUV3"/>
    <mergeCell ref="CUW3:CUZ3"/>
    <mergeCell ref="CVA3:CVD3"/>
    <mergeCell ref="CVE3:CVH3"/>
    <mergeCell ref="CVI3:CVL3"/>
    <mergeCell ref="CVM3:CVP3"/>
    <mergeCell ref="CTU3:CTX3"/>
    <mergeCell ref="CTY3:CUB3"/>
    <mergeCell ref="CUC3:CUF3"/>
    <mergeCell ref="CUG3:CUJ3"/>
    <mergeCell ref="CUK3:CUN3"/>
    <mergeCell ref="CUO3:CUR3"/>
    <mergeCell ref="DDY3:DEB3"/>
    <mergeCell ref="DEC3:DEF3"/>
    <mergeCell ref="DEG3:DEJ3"/>
    <mergeCell ref="DEK3:DEN3"/>
    <mergeCell ref="DEO3:DER3"/>
    <mergeCell ref="DES3:DEV3"/>
    <mergeCell ref="DDA3:DDD3"/>
    <mergeCell ref="DDE3:DDH3"/>
    <mergeCell ref="DDI3:DDL3"/>
    <mergeCell ref="DDM3:DDP3"/>
    <mergeCell ref="DDQ3:DDT3"/>
    <mergeCell ref="DDU3:DDX3"/>
    <mergeCell ref="DCC3:DCF3"/>
    <mergeCell ref="DCG3:DCJ3"/>
    <mergeCell ref="DCK3:DCN3"/>
    <mergeCell ref="DCO3:DCR3"/>
    <mergeCell ref="DCS3:DCV3"/>
    <mergeCell ref="DCW3:DCZ3"/>
    <mergeCell ref="DBE3:DBH3"/>
    <mergeCell ref="DBI3:DBL3"/>
    <mergeCell ref="DBM3:DBP3"/>
    <mergeCell ref="DBQ3:DBT3"/>
    <mergeCell ref="DBU3:DBX3"/>
    <mergeCell ref="DBY3:DCB3"/>
    <mergeCell ref="DAG3:DAJ3"/>
    <mergeCell ref="DAK3:DAN3"/>
    <mergeCell ref="DAO3:DAR3"/>
    <mergeCell ref="DAS3:DAV3"/>
    <mergeCell ref="DAW3:DAZ3"/>
    <mergeCell ref="DBA3:DBD3"/>
    <mergeCell ref="CZI3:CZL3"/>
    <mergeCell ref="CZM3:CZP3"/>
    <mergeCell ref="CZQ3:CZT3"/>
    <mergeCell ref="CZU3:CZX3"/>
    <mergeCell ref="CZY3:DAB3"/>
    <mergeCell ref="DAC3:DAF3"/>
    <mergeCell ref="DJM3:DJP3"/>
    <mergeCell ref="DJQ3:DJT3"/>
    <mergeCell ref="DJU3:DJX3"/>
    <mergeCell ref="DJY3:DKB3"/>
    <mergeCell ref="DKC3:DKF3"/>
    <mergeCell ref="DKG3:DKJ3"/>
    <mergeCell ref="DIO3:DIR3"/>
    <mergeCell ref="DIS3:DIV3"/>
    <mergeCell ref="DIW3:DIZ3"/>
    <mergeCell ref="DJA3:DJD3"/>
    <mergeCell ref="DJE3:DJH3"/>
    <mergeCell ref="DJI3:DJL3"/>
    <mergeCell ref="DHQ3:DHT3"/>
    <mergeCell ref="DHU3:DHX3"/>
    <mergeCell ref="DHY3:DIB3"/>
    <mergeCell ref="DIC3:DIF3"/>
    <mergeCell ref="DIG3:DIJ3"/>
    <mergeCell ref="DIK3:DIN3"/>
    <mergeCell ref="DGS3:DGV3"/>
    <mergeCell ref="DGW3:DGZ3"/>
    <mergeCell ref="DHA3:DHD3"/>
    <mergeCell ref="DHE3:DHH3"/>
    <mergeCell ref="DHI3:DHL3"/>
    <mergeCell ref="DHM3:DHP3"/>
    <mergeCell ref="DFU3:DFX3"/>
    <mergeCell ref="DFY3:DGB3"/>
    <mergeCell ref="DGC3:DGF3"/>
    <mergeCell ref="DGG3:DGJ3"/>
    <mergeCell ref="DGK3:DGN3"/>
    <mergeCell ref="DGO3:DGR3"/>
    <mergeCell ref="DEW3:DEZ3"/>
    <mergeCell ref="DFA3:DFD3"/>
    <mergeCell ref="DFE3:DFH3"/>
    <mergeCell ref="DFI3:DFL3"/>
    <mergeCell ref="DFM3:DFP3"/>
    <mergeCell ref="DFQ3:DFT3"/>
    <mergeCell ref="DPA3:DPD3"/>
    <mergeCell ref="DPE3:DPH3"/>
    <mergeCell ref="DPI3:DPL3"/>
    <mergeCell ref="DPM3:DPP3"/>
    <mergeCell ref="DPQ3:DPT3"/>
    <mergeCell ref="DPU3:DPX3"/>
    <mergeCell ref="DOC3:DOF3"/>
    <mergeCell ref="DOG3:DOJ3"/>
    <mergeCell ref="DOK3:DON3"/>
    <mergeCell ref="DOO3:DOR3"/>
    <mergeCell ref="DOS3:DOV3"/>
    <mergeCell ref="DOW3:DOZ3"/>
    <mergeCell ref="DNE3:DNH3"/>
    <mergeCell ref="DNI3:DNL3"/>
    <mergeCell ref="DNM3:DNP3"/>
    <mergeCell ref="DNQ3:DNT3"/>
    <mergeCell ref="DNU3:DNX3"/>
    <mergeCell ref="DNY3:DOB3"/>
    <mergeCell ref="DMG3:DMJ3"/>
    <mergeCell ref="DMK3:DMN3"/>
    <mergeCell ref="DMO3:DMR3"/>
    <mergeCell ref="DMS3:DMV3"/>
    <mergeCell ref="DMW3:DMZ3"/>
    <mergeCell ref="DNA3:DND3"/>
    <mergeCell ref="DLI3:DLL3"/>
    <mergeCell ref="DLM3:DLP3"/>
    <mergeCell ref="DLQ3:DLT3"/>
    <mergeCell ref="DLU3:DLX3"/>
    <mergeCell ref="DLY3:DMB3"/>
    <mergeCell ref="DMC3:DMF3"/>
    <mergeCell ref="DKK3:DKN3"/>
    <mergeCell ref="DKO3:DKR3"/>
    <mergeCell ref="DKS3:DKV3"/>
    <mergeCell ref="DKW3:DKZ3"/>
    <mergeCell ref="DLA3:DLD3"/>
    <mergeCell ref="DLE3:DLH3"/>
    <mergeCell ref="DUO3:DUR3"/>
    <mergeCell ref="DUS3:DUV3"/>
    <mergeCell ref="DUW3:DUZ3"/>
    <mergeCell ref="DVA3:DVD3"/>
    <mergeCell ref="DVE3:DVH3"/>
    <mergeCell ref="DVI3:DVL3"/>
    <mergeCell ref="DTQ3:DTT3"/>
    <mergeCell ref="DTU3:DTX3"/>
    <mergeCell ref="DTY3:DUB3"/>
    <mergeCell ref="DUC3:DUF3"/>
    <mergeCell ref="DUG3:DUJ3"/>
    <mergeCell ref="DUK3:DUN3"/>
    <mergeCell ref="DSS3:DSV3"/>
    <mergeCell ref="DSW3:DSZ3"/>
    <mergeCell ref="DTA3:DTD3"/>
    <mergeCell ref="DTE3:DTH3"/>
    <mergeCell ref="DTI3:DTL3"/>
    <mergeCell ref="DTM3:DTP3"/>
    <mergeCell ref="DRU3:DRX3"/>
    <mergeCell ref="DRY3:DSB3"/>
    <mergeCell ref="DSC3:DSF3"/>
    <mergeCell ref="DSG3:DSJ3"/>
    <mergeCell ref="DSK3:DSN3"/>
    <mergeCell ref="DSO3:DSR3"/>
    <mergeCell ref="DQW3:DQZ3"/>
    <mergeCell ref="DRA3:DRD3"/>
    <mergeCell ref="DRE3:DRH3"/>
    <mergeCell ref="DRI3:DRL3"/>
    <mergeCell ref="DRM3:DRP3"/>
    <mergeCell ref="DRQ3:DRT3"/>
    <mergeCell ref="DPY3:DQB3"/>
    <mergeCell ref="DQC3:DQF3"/>
    <mergeCell ref="DQG3:DQJ3"/>
    <mergeCell ref="DQK3:DQN3"/>
    <mergeCell ref="DQO3:DQR3"/>
    <mergeCell ref="DQS3:DQV3"/>
    <mergeCell ref="EAC3:EAF3"/>
    <mergeCell ref="EAG3:EAJ3"/>
    <mergeCell ref="EAK3:EAN3"/>
    <mergeCell ref="EAO3:EAR3"/>
    <mergeCell ref="EAS3:EAV3"/>
    <mergeCell ref="EAW3:EAZ3"/>
    <mergeCell ref="DZE3:DZH3"/>
    <mergeCell ref="DZI3:DZL3"/>
    <mergeCell ref="DZM3:DZP3"/>
    <mergeCell ref="DZQ3:DZT3"/>
    <mergeCell ref="DZU3:DZX3"/>
    <mergeCell ref="DZY3:EAB3"/>
    <mergeCell ref="DYG3:DYJ3"/>
    <mergeCell ref="DYK3:DYN3"/>
    <mergeCell ref="DYO3:DYR3"/>
    <mergeCell ref="DYS3:DYV3"/>
    <mergeCell ref="DYW3:DYZ3"/>
    <mergeCell ref="DZA3:DZD3"/>
    <mergeCell ref="DXI3:DXL3"/>
    <mergeCell ref="DXM3:DXP3"/>
    <mergeCell ref="DXQ3:DXT3"/>
    <mergeCell ref="DXU3:DXX3"/>
    <mergeCell ref="DXY3:DYB3"/>
    <mergeCell ref="DYC3:DYF3"/>
    <mergeCell ref="DWK3:DWN3"/>
    <mergeCell ref="DWO3:DWR3"/>
    <mergeCell ref="DWS3:DWV3"/>
    <mergeCell ref="DWW3:DWZ3"/>
    <mergeCell ref="DXA3:DXD3"/>
    <mergeCell ref="DXE3:DXH3"/>
    <mergeCell ref="DVM3:DVP3"/>
    <mergeCell ref="DVQ3:DVT3"/>
    <mergeCell ref="DVU3:DVX3"/>
    <mergeCell ref="DVY3:DWB3"/>
    <mergeCell ref="DWC3:DWF3"/>
    <mergeCell ref="DWG3:DWJ3"/>
    <mergeCell ref="EFQ3:EFT3"/>
    <mergeCell ref="EFU3:EFX3"/>
    <mergeCell ref="EFY3:EGB3"/>
    <mergeCell ref="EGC3:EGF3"/>
    <mergeCell ref="EGG3:EGJ3"/>
    <mergeCell ref="EGK3:EGN3"/>
    <mergeCell ref="EES3:EEV3"/>
    <mergeCell ref="EEW3:EEZ3"/>
    <mergeCell ref="EFA3:EFD3"/>
    <mergeCell ref="EFE3:EFH3"/>
    <mergeCell ref="EFI3:EFL3"/>
    <mergeCell ref="EFM3:EFP3"/>
    <mergeCell ref="EDU3:EDX3"/>
    <mergeCell ref="EDY3:EEB3"/>
    <mergeCell ref="EEC3:EEF3"/>
    <mergeCell ref="EEG3:EEJ3"/>
    <mergeCell ref="EEK3:EEN3"/>
    <mergeCell ref="EEO3:EER3"/>
    <mergeCell ref="ECW3:ECZ3"/>
    <mergeCell ref="EDA3:EDD3"/>
    <mergeCell ref="EDE3:EDH3"/>
    <mergeCell ref="EDI3:EDL3"/>
    <mergeCell ref="EDM3:EDP3"/>
    <mergeCell ref="EDQ3:EDT3"/>
    <mergeCell ref="EBY3:ECB3"/>
    <mergeCell ref="ECC3:ECF3"/>
    <mergeCell ref="ECG3:ECJ3"/>
    <mergeCell ref="ECK3:ECN3"/>
    <mergeCell ref="ECO3:ECR3"/>
    <mergeCell ref="ECS3:ECV3"/>
    <mergeCell ref="EBA3:EBD3"/>
    <mergeCell ref="EBE3:EBH3"/>
    <mergeCell ref="EBI3:EBL3"/>
    <mergeCell ref="EBM3:EBP3"/>
    <mergeCell ref="EBQ3:EBT3"/>
    <mergeCell ref="EBU3:EBX3"/>
    <mergeCell ref="ELE3:ELH3"/>
    <mergeCell ref="ELI3:ELL3"/>
    <mergeCell ref="ELM3:ELP3"/>
    <mergeCell ref="ELQ3:ELT3"/>
    <mergeCell ref="ELU3:ELX3"/>
    <mergeCell ref="ELY3:EMB3"/>
    <mergeCell ref="EKG3:EKJ3"/>
    <mergeCell ref="EKK3:EKN3"/>
    <mergeCell ref="EKO3:EKR3"/>
    <mergeCell ref="EKS3:EKV3"/>
    <mergeCell ref="EKW3:EKZ3"/>
    <mergeCell ref="ELA3:ELD3"/>
    <mergeCell ref="EJI3:EJL3"/>
    <mergeCell ref="EJM3:EJP3"/>
    <mergeCell ref="EJQ3:EJT3"/>
    <mergeCell ref="EJU3:EJX3"/>
    <mergeCell ref="EJY3:EKB3"/>
    <mergeCell ref="EKC3:EKF3"/>
    <mergeCell ref="EIK3:EIN3"/>
    <mergeCell ref="EIO3:EIR3"/>
    <mergeCell ref="EIS3:EIV3"/>
    <mergeCell ref="EIW3:EIZ3"/>
    <mergeCell ref="EJA3:EJD3"/>
    <mergeCell ref="EJE3:EJH3"/>
    <mergeCell ref="EHM3:EHP3"/>
    <mergeCell ref="EHQ3:EHT3"/>
    <mergeCell ref="EHU3:EHX3"/>
    <mergeCell ref="EHY3:EIB3"/>
    <mergeCell ref="EIC3:EIF3"/>
    <mergeCell ref="EIG3:EIJ3"/>
    <mergeCell ref="EGO3:EGR3"/>
    <mergeCell ref="EGS3:EGV3"/>
    <mergeCell ref="EGW3:EGZ3"/>
    <mergeCell ref="EHA3:EHD3"/>
    <mergeCell ref="EHE3:EHH3"/>
    <mergeCell ref="EHI3:EHL3"/>
    <mergeCell ref="EQS3:EQV3"/>
    <mergeCell ref="EQW3:EQZ3"/>
    <mergeCell ref="ERA3:ERD3"/>
    <mergeCell ref="ERE3:ERH3"/>
    <mergeCell ref="ERI3:ERL3"/>
    <mergeCell ref="ERM3:ERP3"/>
    <mergeCell ref="EPU3:EPX3"/>
    <mergeCell ref="EPY3:EQB3"/>
    <mergeCell ref="EQC3:EQF3"/>
    <mergeCell ref="EQG3:EQJ3"/>
    <mergeCell ref="EQK3:EQN3"/>
    <mergeCell ref="EQO3:EQR3"/>
    <mergeCell ref="EOW3:EOZ3"/>
    <mergeCell ref="EPA3:EPD3"/>
    <mergeCell ref="EPE3:EPH3"/>
    <mergeCell ref="EPI3:EPL3"/>
    <mergeCell ref="EPM3:EPP3"/>
    <mergeCell ref="EPQ3:EPT3"/>
    <mergeCell ref="ENY3:EOB3"/>
    <mergeCell ref="EOC3:EOF3"/>
    <mergeCell ref="EOG3:EOJ3"/>
    <mergeCell ref="EOK3:EON3"/>
    <mergeCell ref="EOO3:EOR3"/>
    <mergeCell ref="EOS3:EOV3"/>
    <mergeCell ref="ENA3:END3"/>
    <mergeCell ref="ENE3:ENH3"/>
    <mergeCell ref="ENI3:ENL3"/>
    <mergeCell ref="ENM3:ENP3"/>
    <mergeCell ref="ENQ3:ENT3"/>
    <mergeCell ref="ENU3:ENX3"/>
    <mergeCell ref="EMC3:EMF3"/>
    <mergeCell ref="EMG3:EMJ3"/>
    <mergeCell ref="EMK3:EMN3"/>
    <mergeCell ref="EMO3:EMR3"/>
    <mergeCell ref="EMS3:EMV3"/>
    <mergeCell ref="EMW3:EMZ3"/>
    <mergeCell ref="EWG3:EWJ3"/>
    <mergeCell ref="EWK3:EWN3"/>
    <mergeCell ref="EWO3:EWR3"/>
    <mergeCell ref="EWS3:EWV3"/>
    <mergeCell ref="EWW3:EWZ3"/>
    <mergeCell ref="EXA3:EXD3"/>
    <mergeCell ref="EVI3:EVL3"/>
    <mergeCell ref="EVM3:EVP3"/>
    <mergeCell ref="EVQ3:EVT3"/>
    <mergeCell ref="EVU3:EVX3"/>
    <mergeCell ref="EVY3:EWB3"/>
    <mergeCell ref="EWC3:EWF3"/>
    <mergeCell ref="EUK3:EUN3"/>
    <mergeCell ref="EUO3:EUR3"/>
    <mergeCell ref="EUS3:EUV3"/>
    <mergeCell ref="EUW3:EUZ3"/>
    <mergeCell ref="EVA3:EVD3"/>
    <mergeCell ref="EVE3:EVH3"/>
    <mergeCell ref="ETM3:ETP3"/>
    <mergeCell ref="ETQ3:ETT3"/>
    <mergeCell ref="ETU3:ETX3"/>
    <mergeCell ref="ETY3:EUB3"/>
    <mergeCell ref="EUC3:EUF3"/>
    <mergeCell ref="EUG3:EUJ3"/>
    <mergeCell ref="ESO3:ESR3"/>
    <mergeCell ref="ESS3:ESV3"/>
    <mergeCell ref="ESW3:ESZ3"/>
    <mergeCell ref="ETA3:ETD3"/>
    <mergeCell ref="ETE3:ETH3"/>
    <mergeCell ref="ETI3:ETL3"/>
    <mergeCell ref="ERQ3:ERT3"/>
    <mergeCell ref="ERU3:ERX3"/>
    <mergeCell ref="ERY3:ESB3"/>
    <mergeCell ref="ESC3:ESF3"/>
    <mergeCell ref="ESG3:ESJ3"/>
    <mergeCell ref="ESK3:ESN3"/>
    <mergeCell ref="FBU3:FBX3"/>
    <mergeCell ref="FBY3:FCB3"/>
    <mergeCell ref="FCC3:FCF3"/>
    <mergeCell ref="FCG3:FCJ3"/>
    <mergeCell ref="FCK3:FCN3"/>
    <mergeCell ref="FCO3:FCR3"/>
    <mergeCell ref="FAW3:FAZ3"/>
    <mergeCell ref="FBA3:FBD3"/>
    <mergeCell ref="FBE3:FBH3"/>
    <mergeCell ref="FBI3:FBL3"/>
    <mergeCell ref="FBM3:FBP3"/>
    <mergeCell ref="FBQ3:FBT3"/>
    <mergeCell ref="EZY3:FAB3"/>
    <mergeCell ref="FAC3:FAF3"/>
    <mergeCell ref="FAG3:FAJ3"/>
    <mergeCell ref="FAK3:FAN3"/>
    <mergeCell ref="FAO3:FAR3"/>
    <mergeCell ref="FAS3:FAV3"/>
    <mergeCell ref="EZA3:EZD3"/>
    <mergeCell ref="EZE3:EZH3"/>
    <mergeCell ref="EZI3:EZL3"/>
    <mergeCell ref="EZM3:EZP3"/>
    <mergeCell ref="EZQ3:EZT3"/>
    <mergeCell ref="EZU3:EZX3"/>
    <mergeCell ref="EYC3:EYF3"/>
    <mergeCell ref="EYG3:EYJ3"/>
    <mergeCell ref="EYK3:EYN3"/>
    <mergeCell ref="EYO3:EYR3"/>
    <mergeCell ref="EYS3:EYV3"/>
    <mergeCell ref="EYW3:EYZ3"/>
    <mergeCell ref="EXE3:EXH3"/>
    <mergeCell ref="EXI3:EXL3"/>
    <mergeCell ref="EXM3:EXP3"/>
    <mergeCell ref="EXQ3:EXT3"/>
    <mergeCell ref="EXU3:EXX3"/>
    <mergeCell ref="EXY3:EYB3"/>
    <mergeCell ref="FHI3:FHL3"/>
    <mergeCell ref="FHM3:FHP3"/>
    <mergeCell ref="FHQ3:FHT3"/>
    <mergeCell ref="FHU3:FHX3"/>
    <mergeCell ref="FHY3:FIB3"/>
    <mergeCell ref="FIC3:FIF3"/>
    <mergeCell ref="FGK3:FGN3"/>
    <mergeCell ref="FGO3:FGR3"/>
    <mergeCell ref="FGS3:FGV3"/>
    <mergeCell ref="FGW3:FGZ3"/>
    <mergeCell ref="FHA3:FHD3"/>
    <mergeCell ref="FHE3:FHH3"/>
    <mergeCell ref="FFM3:FFP3"/>
    <mergeCell ref="FFQ3:FFT3"/>
    <mergeCell ref="FFU3:FFX3"/>
    <mergeCell ref="FFY3:FGB3"/>
    <mergeCell ref="FGC3:FGF3"/>
    <mergeCell ref="FGG3:FGJ3"/>
    <mergeCell ref="FEO3:FER3"/>
    <mergeCell ref="FES3:FEV3"/>
    <mergeCell ref="FEW3:FEZ3"/>
    <mergeCell ref="FFA3:FFD3"/>
    <mergeCell ref="FFE3:FFH3"/>
    <mergeCell ref="FFI3:FFL3"/>
    <mergeCell ref="FDQ3:FDT3"/>
    <mergeCell ref="FDU3:FDX3"/>
    <mergeCell ref="FDY3:FEB3"/>
    <mergeCell ref="FEC3:FEF3"/>
    <mergeCell ref="FEG3:FEJ3"/>
    <mergeCell ref="FEK3:FEN3"/>
    <mergeCell ref="FCS3:FCV3"/>
    <mergeCell ref="FCW3:FCZ3"/>
    <mergeCell ref="FDA3:FDD3"/>
    <mergeCell ref="FDE3:FDH3"/>
    <mergeCell ref="FDI3:FDL3"/>
    <mergeCell ref="FDM3:FDP3"/>
    <mergeCell ref="FMW3:FMZ3"/>
    <mergeCell ref="FNA3:FND3"/>
    <mergeCell ref="FNE3:FNH3"/>
    <mergeCell ref="FNI3:FNL3"/>
    <mergeCell ref="FNM3:FNP3"/>
    <mergeCell ref="FNQ3:FNT3"/>
    <mergeCell ref="FLY3:FMB3"/>
    <mergeCell ref="FMC3:FMF3"/>
    <mergeCell ref="FMG3:FMJ3"/>
    <mergeCell ref="FMK3:FMN3"/>
    <mergeCell ref="FMO3:FMR3"/>
    <mergeCell ref="FMS3:FMV3"/>
    <mergeCell ref="FLA3:FLD3"/>
    <mergeCell ref="FLE3:FLH3"/>
    <mergeCell ref="FLI3:FLL3"/>
    <mergeCell ref="FLM3:FLP3"/>
    <mergeCell ref="FLQ3:FLT3"/>
    <mergeCell ref="FLU3:FLX3"/>
    <mergeCell ref="FKC3:FKF3"/>
    <mergeCell ref="FKG3:FKJ3"/>
    <mergeCell ref="FKK3:FKN3"/>
    <mergeCell ref="FKO3:FKR3"/>
    <mergeCell ref="FKS3:FKV3"/>
    <mergeCell ref="FKW3:FKZ3"/>
    <mergeCell ref="FJE3:FJH3"/>
    <mergeCell ref="FJI3:FJL3"/>
    <mergeCell ref="FJM3:FJP3"/>
    <mergeCell ref="FJQ3:FJT3"/>
    <mergeCell ref="FJU3:FJX3"/>
    <mergeCell ref="FJY3:FKB3"/>
    <mergeCell ref="FIG3:FIJ3"/>
    <mergeCell ref="FIK3:FIN3"/>
    <mergeCell ref="FIO3:FIR3"/>
    <mergeCell ref="FIS3:FIV3"/>
    <mergeCell ref="FIW3:FIZ3"/>
    <mergeCell ref="FJA3:FJD3"/>
    <mergeCell ref="FSK3:FSN3"/>
    <mergeCell ref="FSO3:FSR3"/>
    <mergeCell ref="FSS3:FSV3"/>
    <mergeCell ref="FSW3:FSZ3"/>
    <mergeCell ref="FTA3:FTD3"/>
    <mergeCell ref="FTE3:FTH3"/>
    <mergeCell ref="FRM3:FRP3"/>
    <mergeCell ref="FRQ3:FRT3"/>
    <mergeCell ref="FRU3:FRX3"/>
    <mergeCell ref="FRY3:FSB3"/>
    <mergeCell ref="FSC3:FSF3"/>
    <mergeCell ref="FSG3:FSJ3"/>
    <mergeCell ref="FQO3:FQR3"/>
    <mergeCell ref="FQS3:FQV3"/>
    <mergeCell ref="FQW3:FQZ3"/>
    <mergeCell ref="FRA3:FRD3"/>
    <mergeCell ref="FRE3:FRH3"/>
    <mergeCell ref="FRI3:FRL3"/>
    <mergeCell ref="FPQ3:FPT3"/>
    <mergeCell ref="FPU3:FPX3"/>
    <mergeCell ref="FPY3:FQB3"/>
    <mergeCell ref="FQC3:FQF3"/>
    <mergeCell ref="FQG3:FQJ3"/>
    <mergeCell ref="FQK3:FQN3"/>
    <mergeCell ref="FOS3:FOV3"/>
    <mergeCell ref="FOW3:FOZ3"/>
    <mergeCell ref="FPA3:FPD3"/>
    <mergeCell ref="FPE3:FPH3"/>
    <mergeCell ref="FPI3:FPL3"/>
    <mergeCell ref="FPM3:FPP3"/>
    <mergeCell ref="FNU3:FNX3"/>
    <mergeCell ref="FNY3:FOB3"/>
    <mergeCell ref="FOC3:FOF3"/>
    <mergeCell ref="FOG3:FOJ3"/>
    <mergeCell ref="FOK3:FON3"/>
    <mergeCell ref="FOO3:FOR3"/>
    <mergeCell ref="FXY3:FYB3"/>
    <mergeCell ref="FYC3:FYF3"/>
    <mergeCell ref="FYG3:FYJ3"/>
    <mergeCell ref="FYK3:FYN3"/>
    <mergeCell ref="FYO3:FYR3"/>
    <mergeCell ref="FYS3:FYV3"/>
    <mergeCell ref="FXA3:FXD3"/>
    <mergeCell ref="FXE3:FXH3"/>
    <mergeCell ref="FXI3:FXL3"/>
    <mergeCell ref="FXM3:FXP3"/>
    <mergeCell ref="FXQ3:FXT3"/>
    <mergeCell ref="FXU3:FXX3"/>
    <mergeCell ref="FWC3:FWF3"/>
    <mergeCell ref="FWG3:FWJ3"/>
    <mergeCell ref="FWK3:FWN3"/>
    <mergeCell ref="FWO3:FWR3"/>
    <mergeCell ref="FWS3:FWV3"/>
    <mergeCell ref="FWW3:FWZ3"/>
    <mergeCell ref="FVE3:FVH3"/>
    <mergeCell ref="FVI3:FVL3"/>
    <mergeCell ref="FVM3:FVP3"/>
    <mergeCell ref="FVQ3:FVT3"/>
    <mergeCell ref="FVU3:FVX3"/>
    <mergeCell ref="FVY3:FWB3"/>
    <mergeCell ref="FUG3:FUJ3"/>
    <mergeCell ref="FUK3:FUN3"/>
    <mergeCell ref="FUO3:FUR3"/>
    <mergeCell ref="FUS3:FUV3"/>
    <mergeCell ref="FUW3:FUZ3"/>
    <mergeCell ref="FVA3:FVD3"/>
    <mergeCell ref="FTI3:FTL3"/>
    <mergeCell ref="FTM3:FTP3"/>
    <mergeCell ref="FTQ3:FTT3"/>
    <mergeCell ref="FTU3:FTX3"/>
    <mergeCell ref="FTY3:FUB3"/>
    <mergeCell ref="FUC3:FUF3"/>
    <mergeCell ref="GDM3:GDP3"/>
    <mergeCell ref="GDQ3:GDT3"/>
    <mergeCell ref="GDU3:GDX3"/>
    <mergeCell ref="GDY3:GEB3"/>
    <mergeCell ref="GEC3:GEF3"/>
    <mergeCell ref="GEG3:GEJ3"/>
    <mergeCell ref="GCO3:GCR3"/>
    <mergeCell ref="GCS3:GCV3"/>
    <mergeCell ref="GCW3:GCZ3"/>
    <mergeCell ref="GDA3:GDD3"/>
    <mergeCell ref="GDE3:GDH3"/>
    <mergeCell ref="GDI3:GDL3"/>
    <mergeCell ref="GBQ3:GBT3"/>
    <mergeCell ref="GBU3:GBX3"/>
    <mergeCell ref="GBY3:GCB3"/>
    <mergeCell ref="GCC3:GCF3"/>
    <mergeCell ref="GCG3:GCJ3"/>
    <mergeCell ref="GCK3:GCN3"/>
    <mergeCell ref="GAS3:GAV3"/>
    <mergeCell ref="GAW3:GAZ3"/>
    <mergeCell ref="GBA3:GBD3"/>
    <mergeCell ref="GBE3:GBH3"/>
    <mergeCell ref="GBI3:GBL3"/>
    <mergeCell ref="GBM3:GBP3"/>
    <mergeCell ref="FZU3:FZX3"/>
    <mergeCell ref="FZY3:GAB3"/>
    <mergeCell ref="GAC3:GAF3"/>
    <mergeCell ref="GAG3:GAJ3"/>
    <mergeCell ref="GAK3:GAN3"/>
    <mergeCell ref="GAO3:GAR3"/>
    <mergeCell ref="FYW3:FYZ3"/>
    <mergeCell ref="FZA3:FZD3"/>
    <mergeCell ref="FZE3:FZH3"/>
    <mergeCell ref="FZI3:FZL3"/>
    <mergeCell ref="FZM3:FZP3"/>
    <mergeCell ref="FZQ3:FZT3"/>
    <mergeCell ref="GJA3:GJD3"/>
    <mergeCell ref="GJE3:GJH3"/>
    <mergeCell ref="GJI3:GJL3"/>
    <mergeCell ref="GJM3:GJP3"/>
    <mergeCell ref="GJQ3:GJT3"/>
    <mergeCell ref="GJU3:GJX3"/>
    <mergeCell ref="GIC3:GIF3"/>
    <mergeCell ref="GIG3:GIJ3"/>
    <mergeCell ref="GIK3:GIN3"/>
    <mergeCell ref="GIO3:GIR3"/>
    <mergeCell ref="GIS3:GIV3"/>
    <mergeCell ref="GIW3:GIZ3"/>
    <mergeCell ref="GHE3:GHH3"/>
    <mergeCell ref="GHI3:GHL3"/>
    <mergeCell ref="GHM3:GHP3"/>
    <mergeCell ref="GHQ3:GHT3"/>
    <mergeCell ref="GHU3:GHX3"/>
    <mergeCell ref="GHY3:GIB3"/>
    <mergeCell ref="GGG3:GGJ3"/>
    <mergeCell ref="GGK3:GGN3"/>
    <mergeCell ref="GGO3:GGR3"/>
    <mergeCell ref="GGS3:GGV3"/>
    <mergeCell ref="GGW3:GGZ3"/>
    <mergeCell ref="GHA3:GHD3"/>
    <mergeCell ref="GFI3:GFL3"/>
    <mergeCell ref="GFM3:GFP3"/>
    <mergeCell ref="GFQ3:GFT3"/>
    <mergeCell ref="GFU3:GFX3"/>
    <mergeCell ref="GFY3:GGB3"/>
    <mergeCell ref="GGC3:GGF3"/>
    <mergeCell ref="GEK3:GEN3"/>
    <mergeCell ref="GEO3:GER3"/>
    <mergeCell ref="GES3:GEV3"/>
    <mergeCell ref="GEW3:GEZ3"/>
    <mergeCell ref="GFA3:GFD3"/>
    <mergeCell ref="GFE3:GFH3"/>
    <mergeCell ref="GOO3:GOR3"/>
    <mergeCell ref="GOS3:GOV3"/>
    <mergeCell ref="GOW3:GOZ3"/>
    <mergeCell ref="GPA3:GPD3"/>
    <mergeCell ref="GPE3:GPH3"/>
    <mergeCell ref="GPI3:GPL3"/>
    <mergeCell ref="GNQ3:GNT3"/>
    <mergeCell ref="GNU3:GNX3"/>
    <mergeCell ref="GNY3:GOB3"/>
    <mergeCell ref="GOC3:GOF3"/>
    <mergeCell ref="GOG3:GOJ3"/>
    <mergeCell ref="GOK3:GON3"/>
    <mergeCell ref="GMS3:GMV3"/>
    <mergeCell ref="GMW3:GMZ3"/>
    <mergeCell ref="GNA3:GND3"/>
    <mergeCell ref="GNE3:GNH3"/>
    <mergeCell ref="GNI3:GNL3"/>
    <mergeCell ref="GNM3:GNP3"/>
    <mergeCell ref="GLU3:GLX3"/>
    <mergeCell ref="GLY3:GMB3"/>
    <mergeCell ref="GMC3:GMF3"/>
    <mergeCell ref="GMG3:GMJ3"/>
    <mergeCell ref="GMK3:GMN3"/>
    <mergeCell ref="GMO3:GMR3"/>
    <mergeCell ref="GKW3:GKZ3"/>
    <mergeCell ref="GLA3:GLD3"/>
    <mergeCell ref="GLE3:GLH3"/>
    <mergeCell ref="GLI3:GLL3"/>
    <mergeCell ref="GLM3:GLP3"/>
    <mergeCell ref="GLQ3:GLT3"/>
    <mergeCell ref="GJY3:GKB3"/>
    <mergeCell ref="GKC3:GKF3"/>
    <mergeCell ref="GKG3:GKJ3"/>
    <mergeCell ref="GKK3:GKN3"/>
    <mergeCell ref="GKO3:GKR3"/>
    <mergeCell ref="GKS3:GKV3"/>
    <mergeCell ref="GUC3:GUF3"/>
    <mergeCell ref="GUG3:GUJ3"/>
    <mergeCell ref="GUK3:GUN3"/>
    <mergeCell ref="GUO3:GUR3"/>
    <mergeCell ref="GUS3:GUV3"/>
    <mergeCell ref="GUW3:GUZ3"/>
    <mergeCell ref="GTE3:GTH3"/>
    <mergeCell ref="GTI3:GTL3"/>
    <mergeCell ref="GTM3:GTP3"/>
    <mergeCell ref="GTQ3:GTT3"/>
    <mergeCell ref="GTU3:GTX3"/>
    <mergeCell ref="GTY3:GUB3"/>
    <mergeCell ref="GSG3:GSJ3"/>
    <mergeCell ref="GSK3:GSN3"/>
    <mergeCell ref="GSO3:GSR3"/>
    <mergeCell ref="GSS3:GSV3"/>
    <mergeCell ref="GSW3:GSZ3"/>
    <mergeCell ref="GTA3:GTD3"/>
    <mergeCell ref="GRI3:GRL3"/>
    <mergeCell ref="GRM3:GRP3"/>
    <mergeCell ref="GRQ3:GRT3"/>
    <mergeCell ref="GRU3:GRX3"/>
    <mergeCell ref="GRY3:GSB3"/>
    <mergeCell ref="GSC3:GSF3"/>
    <mergeCell ref="GQK3:GQN3"/>
    <mergeCell ref="GQO3:GQR3"/>
    <mergeCell ref="GQS3:GQV3"/>
    <mergeCell ref="GQW3:GQZ3"/>
    <mergeCell ref="GRA3:GRD3"/>
    <mergeCell ref="GRE3:GRH3"/>
    <mergeCell ref="GPM3:GPP3"/>
    <mergeCell ref="GPQ3:GPT3"/>
    <mergeCell ref="GPU3:GPX3"/>
    <mergeCell ref="GPY3:GQB3"/>
    <mergeCell ref="GQC3:GQF3"/>
    <mergeCell ref="GQG3:GQJ3"/>
    <mergeCell ref="GZQ3:GZT3"/>
    <mergeCell ref="GZU3:GZX3"/>
    <mergeCell ref="GZY3:HAB3"/>
    <mergeCell ref="HAC3:HAF3"/>
    <mergeCell ref="HAG3:HAJ3"/>
    <mergeCell ref="HAK3:HAN3"/>
    <mergeCell ref="GYS3:GYV3"/>
    <mergeCell ref="GYW3:GYZ3"/>
    <mergeCell ref="GZA3:GZD3"/>
    <mergeCell ref="GZE3:GZH3"/>
    <mergeCell ref="GZI3:GZL3"/>
    <mergeCell ref="GZM3:GZP3"/>
    <mergeCell ref="GXU3:GXX3"/>
    <mergeCell ref="GXY3:GYB3"/>
    <mergeCell ref="GYC3:GYF3"/>
    <mergeCell ref="GYG3:GYJ3"/>
    <mergeCell ref="GYK3:GYN3"/>
    <mergeCell ref="GYO3:GYR3"/>
    <mergeCell ref="GWW3:GWZ3"/>
    <mergeCell ref="GXA3:GXD3"/>
    <mergeCell ref="GXE3:GXH3"/>
    <mergeCell ref="GXI3:GXL3"/>
    <mergeCell ref="GXM3:GXP3"/>
    <mergeCell ref="GXQ3:GXT3"/>
    <mergeCell ref="GVY3:GWB3"/>
    <mergeCell ref="GWC3:GWF3"/>
    <mergeCell ref="GWG3:GWJ3"/>
    <mergeCell ref="GWK3:GWN3"/>
    <mergeCell ref="GWO3:GWR3"/>
    <mergeCell ref="GWS3:GWV3"/>
    <mergeCell ref="GVA3:GVD3"/>
    <mergeCell ref="GVE3:GVH3"/>
    <mergeCell ref="GVI3:GVL3"/>
    <mergeCell ref="GVM3:GVP3"/>
    <mergeCell ref="GVQ3:GVT3"/>
    <mergeCell ref="GVU3:GVX3"/>
    <mergeCell ref="HFE3:HFH3"/>
    <mergeCell ref="HFI3:HFL3"/>
    <mergeCell ref="HFM3:HFP3"/>
    <mergeCell ref="HFQ3:HFT3"/>
    <mergeCell ref="HFU3:HFX3"/>
    <mergeCell ref="HFY3:HGB3"/>
    <mergeCell ref="HEG3:HEJ3"/>
    <mergeCell ref="HEK3:HEN3"/>
    <mergeCell ref="HEO3:HER3"/>
    <mergeCell ref="HES3:HEV3"/>
    <mergeCell ref="HEW3:HEZ3"/>
    <mergeCell ref="HFA3:HFD3"/>
    <mergeCell ref="HDI3:HDL3"/>
    <mergeCell ref="HDM3:HDP3"/>
    <mergeCell ref="HDQ3:HDT3"/>
    <mergeCell ref="HDU3:HDX3"/>
    <mergeCell ref="HDY3:HEB3"/>
    <mergeCell ref="HEC3:HEF3"/>
    <mergeCell ref="HCK3:HCN3"/>
    <mergeCell ref="HCO3:HCR3"/>
    <mergeCell ref="HCS3:HCV3"/>
    <mergeCell ref="HCW3:HCZ3"/>
    <mergeCell ref="HDA3:HDD3"/>
    <mergeCell ref="HDE3:HDH3"/>
    <mergeCell ref="HBM3:HBP3"/>
    <mergeCell ref="HBQ3:HBT3"/>
    <mergeCell ref="HBU3:HBX3"/>
    <mergeCell ref="HBY3:HCB3"/>
    <mergeCell ref="HCC3:HCF3"/>
    <mergeCell ref="HCG3:HCJ3"/>
    <mergeCell ref="HAO3:HAR3"/>
    <mergeCell ref="HAS3:HAV3"/>
    <mergeCell ref="HAW3:HAZ3"/>
    <mergeCell ref="HBA3:HBD3"/>
    <mergeCell ref="HBE3:HBH3"/>
    <mergeCell ref="HBI3:HBL3"/>
    <mergeCell ref="HKS3:HKV3"/>
    <mergeCell ref="HKW3:HKZ3"/>
    <mergeCell ref="HLA3:HLD3"/>
    <mergeCell ref="HLE3:HLH3"/>
    <mergeCell ref="HLI3:HLL3"/>
    <mergeCell ref="HLM3:HLP3"/>
    <mergeCell ref="HJU3:HJX3"/>
    <mergeCell ref="HJY3:HKB3"/>
    <mergeCell ref="HKC3:HKF3"/>
    <mergeCell ref="HKG3:HKJ3"/>
    <mergeCell ref="HKK3:HKN3"/>
    <mergeCell ref="HKO3:HKR3"/>
    <mergeCell ref="HIW3:HIZ3"/>
    <mergeCell ref="HJA3:HJD3"/>
    <mergeCell ref="HJE3:HJH3"/>
    <mergeCell ref="HJI3:HJL3"/>
    <mergeCell ref="HJM3:HJP3"/>
    <mergeCell ref="HJQ3:HJT3"/>
    <mergeCell ref="HHY3:HIB3"/>
    <mergeCell ref="HIC3:HIF3"/>
    <mergeCell ref="HIG3:HIJ3"/>
    <mergeCell ref="HIK3:HIN3"/>
    <mergeCell ref="HIO3:HIR3"/>
    <mergeCell ref="HIS3:HIV3"/>
    <mergeCell ref="HHA3:HHD3"/>
    <mergeCell ref="HHE3:HHH3"/>
    <mergeCell ref="HHI3:HHL3"/>
    <mergeCell ref="HHM3:HHP3"/>
    <mergeCell ref="HHQ3:HHT3"/>
    <mergeCell ref="HHU3:HHX3"/>
    <mergeCell ref="HGC3:HGF3"/>
    <mergeCell ref="HGG3:HGJ3"/>
    <mergeCell ref="HGK3:HGN3"/>
    <mergeCell ref="HGO3:HGR3"/>
    <mergeCell ref="HGS3:HGV3"/>
    <mergeCell ref="HGW3:HGZ3"/>
    <mergeCell ref="HQG3:HQJ3"/>
    <mergeCell ref="HQK3:HQN3"/>
    <mergeCell ref="HQO3:HQR3"/>
    <mergeCell ref="HQS3:HQV3"/>
    <mergeCell ref="HQW3:HQZ3"/>
    <mergeCell ref="HRA3:HRD3"/>
    <mergeCell ref="HPI3:HPL3"/>
    <mergeCell ref="HPM3:HPP3"/>
    <mergeCell ref="HPQ3:HPT3"/>
    <mergeCell ref="HPU3:HPX3"/>
    <mergeCell ref="HPY3:HQB3"/>
    <mergeCell ref="HQC3:HQF3"/>
    <mergeCell ref="HOK3:HON3"/>
    <mergeCell ref="HOO3:HOR3"/>
    <mergeCell ref="HOS3:HOV3"/>
    <mergeCell ref="HOW3:HOZ3"/>
    <mergeCell ref="HPA3:HPD3"/>
    <mergeCell ref="HPE3:HPH3"/>
    <mergeCell ref="HNM3:HNP3"/>
    <mergeCell ref="HNQ3:HNT3"/>
    <mergeCell ref="HNU3:HNX3"/>
    <mergeCell ref="HNY3:HOB3"/>
    <mergeCell ref="HOC3:HOF3"/>
    <mergeCell ref="HOG3:HOJ3"/>
    <mergeCell ref="HMO3:HMR3"/>
    <mergeCell ref="HMS3:HMV3"/>
    <mergeCell ref="HMW3:HMZ3"/>
    <mergeCell ref="HNA3:HND3"/>
    <mergeCell ref="HNE3:HNH3"/>
    <mergeCell ref="HNI3:HNL3"/>
    <mergeCell ref="HLQ3:HLT3"/>
    <mergeCell ref="HLU3:HLX3"/>
    <mergeCell ref="HLY3:HMB3"/>
    <mergeCell ref="HMC3:HMF3"/>
    <mergeCell ref="HMG3:HMJ3"/>
    <mergeCell ref="HMK3:HMN3"/>
    <mergeCell ref="HVU3:HVX3"/>
    <mergeCell ref="HVY3:HWB3"/>
    <mergeCell ref="HWC3:HWF3"/>
    <mergeCell ref="HWG3:HWJ3"/>
    <mergeCell ref="HWK3:HWN3"/>
    <mergeCell ref="HWO3:HWR3"/>
    <mergeCell ref="HUW3:HUZ3"/>
    <mergeCell ref="HVA3:HVD3"/>
    <mergeCell ref="HVE3:HVH3"/>
    <mergeCell ref="HVI3:HVL3"/>
    <mergeCell ref="HVM3:HVP3"/>
    <mergeCell ref="HVQ3:HVT3"/>
    <mergeCell ref="HTY3:HUB3"/>
    <mergeCell ref="HUC3:HUF3"/>
    <mergeCell ref="HUG3:HUJ3"/>
    <mergeCell ref="HUK3:HUN3"/>
    <mergeCell ref="HUO3:HUR3"/>
    <mergeCell ref="HUS3:HUV3"/>
    <mergeCell ref="HTA3:HTD3"/>
    <mergeCell ref="HTE3:HTH3"/>
    <mergeCell ref="HTI3:HTL3"/>
    <mergeCell ref="HTM3:HTP3"/>
    <mergeCell ref="HTQ3:HTT3"/>
    <mergeCell ref="HTU3:HTX3"/>
    <mergeCell ref="HSC3:HSF3"/>
    <mergeCell ref="HSG3:HSJ3"/>
    <mergeCell ref="HSK3:HSN3"/>
    <mergeCell ref="HSO3:HSR3"/>
    <mergeCell ref="HSS3:HSV3"/>
    <mergeCell ref="HSW3:HSZ3"/>
    <mergeCell ref="HRE3:HRH3"/>
    <mergeCell ref="HRI3:HRL3"/>
    <mergeCell ref="HRM3:HRP3"/>
    <mergeCell ref="HRQ3:HRT3"/>
    <mergeCell ref="HRU3:HRX3"/>
    <mergeCell ref="HRY3:HSB3"/>
    <mergeCell ref="IBI3:IBL3"/>
    <mergeCell ref="IBM3:IBP3"/>
    <mergeCell ref="IBQ3:IBT3"/>
    <mergeCell ref="IBU3:IBX3"/>
    <mergeCell ref="IBY3:ICB3"/>
    <mergeCell ref="ICC3:ICF3"/>
    <mergeCell ref="IAK3:IAN3"/>
    <mergeCell ref="IAO3:IAR3"/>
    <mergeCell ref="IAS3:IAV3"/>
    <mergeCell ref="IAW3:IAZ3"/>
    <mergeCell ref="IBA3:IBD3"/>
    <mergeCell ref="IBE3:IBH3"/>
    <mergeCell ref="HZM3:HZP3"/>
    <mergeCell ref="HZQ3:HZT3"/>
    <mergeCell ref="HZU3:HZX3"/>
    <mergeCell ref="HZY3:IAB3"/>
    <mergeCell ref="IAC3:IAF3"/>
    <mergeCell ref="IAG3:IAJ3"/>
    <mergeCell ref="HYO3:HYR3"/>
    <mergeCell ref="HYS3:HYV3"/>
    <mergeCell ref="HYW3:HYZ3"/>
    <mergeCell ref="HZA3:HZD3"/>
    <mergeCell ref="HZE3:HZH3"/>
    <mergeCell ref="HZI3:HZL3"/>
    <mergeCell ref="HXQ3:HXT3"/>
    <mergeCell ref="HXU3:HXX3"/>
    <mergeCell ref="HXY3:HYB3"/>
    <mergeCell ref="HYC3:HYF3"/>
    <mergeCell ref="HYG3:HYJ3"/>
    <mergeCell ref="HYK3:HYN3"/>
    <mergeCell ref="HWS3:HWV3"/>
    <mergeCell ref="HWW3:HWZ3"/>
    <mergeCell ref="HXA3:HXD3"/>
    <mergeCell ref="HXE3:HXH3"/>
    <mergeCell ref="HXI3:HXL3"/>
    <mergeCell ref="HXM3:HXP3"/>
    <mergeCell ref="IGW3:IGZ3"/>
    <mergeCell ref="IHA3:IHD3"/>
    <mergeCell ref="IHE3:IHH3"/>
    <mergeCell ref="IHI3:IHL3"/>
    <mergeCell ref="IHM3:IHP3"/>
    <mergeCell ref="IHQ3:IHT3"/>
    <mergeCell ref="IFY3:IGB3"/>
    <mergeCell ref="IGC3:IGF3"/>
    <mergeCell ref="IGG3:IGJ3"/>
    <mergeCell ref="IGK3:IGN3"/>
    <mergeCell ref="IGO3:IGR3"/>
    <mergeCell ref="IGS3:IGV3"/>
    <mergeCell ref="IFA3:IFD3"/>
    <mergeCell ref="IFE3:IFH3"/>
    <mergeCell ref="IFI3:IFL3"/>
    <mergeCell ref="IFM3:IFP3"/>
    <mergeCell ref="IFQ3:IFT3"/>
    <mergeCell ref="IFU3:IFX3"/>
    <mergeCell ref="IEC3:IEF3"/>
    <mergeCell ref="IEG3:IEJ3"/>
    <mergeCell ref="IEK3:IEN3"/>
    <mergeCell ref="IEO3:IER3"/>
    <mergeCell ref="IES3:IEV3"/>
    <mergeCell ref="IEW3:IEZ3"/>
    <mergeCell ref="IDE3:IDH3"/>
    <mergeCell ref="IDI3:IDL3"/>
    <mergeCell ref="IDM3:IDP3"/>
    <mergeCell ref="IDQ3:IDT3"/>
    <mergeCell ref="IDU3:IDX3"/>
    <mergeCell ref="IDY3:IEB3"/>
    <mergeCell ref="ICG3:ICJ3"/>
    <mergeCell ref="ICK3:ICN3"/>
    <mergeCell ref="ICO3:ICR3"/>
    <mergeCell ref="ICS3:ICV3"/>
    <mergeCell ref="ICW3:ICZ3"/>
    <mergeCell ref="IDA3:IDD3"/>
    <mergeCell ref="IMK3:IMN3"/>
    <mergeCell ref="IMO3:IMR3"/>
    <mergeCell ref="IMS3:IMV3"/>
    <mergeCell ref="IMW3:IMZ3"/>
    <mergeCell ref="INA3:IND3"/>
    <mergeCell ref="INE3:INH3"/>
    <mergeCell ref="ILM3:ILP3"/>
    <mergeCell ref="ILQ3:ILT3"/>
    <mergeCell ref="ILU3:ILX3"/>
    <mergeCell ref="ILY3:IMB3"/>
    <mergeCell ref="IMC3:IMF3"/>
    <mergeCell ref="IMG3:IMJ3"/>
    <mergeCell ref="IKO3:IKR3"/>
    <mergeCell ref="IKS3:IKV3"/>
    <mergeCell ref="IKW3:IKZ3"/>
    <mergeCell ref="ILA3:ILD3"/>
    <mergeCell ref="ILE3:ILH3"/>
    <mergeCell ref="ILI3:ILL3"/>
    <mergeCell ref="IJQ3:IJT3"/>
    <mergeCell ref="IJU3:IJX3"/>
    <mergeCell ref="IJY3:IKB3"/>
    <mergeCell ref="IKC3:IKF3"/>
    <mergeCell ref="IKG3:IKJ3"/>
    <mergeCell ref="IKK3:IKN3"/>
    <mergeCell ref="IIS3:IIV3"/>
    <mergeCell ref="IIW3:IIZ3"/>
    <mergeCell ref="IJA3:IJD3"/>
    <mergeCell ref="IJE3:IJH3"/>
    <mergeCell ref="IJI3:IJL3"/>
    <mergeCell ref="IJM3:IJP3"/>
    <mergeCell ref="IHU3:IHX3"/>
    <mergeCell ref="IHY3:IIB3"/>
    <mergeCell ref="IIC3:IIF3"/>
    <mergeCell ref="IIG3:IIJ3"/>
    <mergeCell ref="IIK3:IIN3"/>
    <mergeCell ref="IIO3:IIR3"/>
    <mergeCell ref="IRY3:ISB3"/>
    <mergeCell ref="ISC3:ISF3"/>
    <mergeCell ref="ISG3:ISJ3"/>
    <mergeCell ref="ISK3:ISN3"/>
    <mergeCell ref="ISO3:ISR3"/>
    <mergeCell ref="ISS3:ISV3"/>
    <mergeCell ref="IRA3:IRD3"/>
    <mergeCell ref="IRE3:IRH3"/>
    <mergeCell ref="IRI3:IRL3"/>
    <mergeCell ref="IRM3:IRP3"/>
    <mergeCell ref="IRQ3:IRT3"/>
    <mergeCell ref="IRU3:IRX3"/>
    <mergeCell ref="IQC3:IQF3"/>
    <mergeCell ref="IQG3:IQJ3"/>
    <mergeCell ref="IQK3:IQN3"/>
    <mergeCell ref="IQO3:IQR3"/>
    <mergeCell ref="IQS3:IQV3"/>
    <mergeCell ref="IQW3:IQZ3"/>
    <mergeCell ref="IPE3:IPH3"/>
    <mergeCell ref="IPI3:IPL3"/>
    <mergeCell ref="IPM3:IPP3"/>
    <mergeCell ref="IPQ3:IPT3"/>
    <mergeCell ref="IPU3:IPX3"/>
    <mergeCell ref="IPY3:IQB3"/>
    <mergeCell ref="IOG3:IOJ3"/>
    <mergeCell ref="IOK3:ION3"/>
    <mergeCell ref="IOO3:IOR3"/>
    <mergeCell ref="IOS3:IOV3"/>
    <mergeCell ref="IOW3:IOZ3"/>
    <mergeCell ref="IPA3:IPD3"/>
    <mergeCell ref="INI3:INL3"/>
    <mergeCell ref="INM3:INP3"/>
    <mergeCell ref="INQ3:INT3"/>
    <mergeCell ref="INU3:INX3"/>
    <mergeCell ref="INY3:IOB3"/>
    <mergeCell ref="IOC3:IOF3"/>
    <mergeCell ref="IXM3:IXP3"/>
    <mergeCell ref="IXQ3:IXT3"/>
    <mergeCell ref="IXU3:IXX3"/>
    <mergeCell ref="IXY3:IYB3"/>
    <mergeCell ref="IYC3:IYF3"/>
    <mergeCell ref="IYG3:IYJ3"/>
    <mergeCell ref="IWO3:IWR3"/>
    <mergeCell ref="IWS3:IWV3"/>
    <mergeCell ref="IWW3:IWZ3"/>
    <mergeCell ref="IXA3:IXD3"/>
    <mergeCell ref="IXE3:IXH3"/>
    <mergeCell ref="IXI3:IXL3"/>
    <mergeCell ref="IVQ3:IVT3"/>
    <mergeCell ref="IVU3:IVX3"/>
    <mergeCell ref="IVY3:IWB3"/>
    <mergeCell ref="IWC3:IWF3"/>
    <mergeCell ref="IWG3:IWJ3"/>
    <mergeCell ref="IWK3:IWN3"/>
    <mergeCell ref="IUS3:IUV3"/>
    <mergeCell ref="IUW3:IUZ3"/>
    <mergeCell ref="IVA3:IVD3"/>
    <mergeCell ref="IVE3:IVH3"/>
    <mergeCell ref="IVI3:IVL3"/>
    <mergeCell ref="IVM3:IVP3"/>
    <mergeCell ref="ITU3:ITX3"/>
    <mergeCell ref="ITY3:IUB3"/>
    <mergeCell ref="IUC3:IUF3"/>
    <mergeCell ref="IUG3:IUJ3"/>
    <mergeCell ref="IUK3:IUN3"/>
    <mergeCell ref="IUO3:IUR3"/>
    <mergeCell ref="ISW3:ISZ3"/>
    <mergeCell ref="ITA3:ITD3"/>
    <mergeCell ref="ITE3:ITH3"/>
    <mergeCell ref="ITI3:ITL3"/>
    <mergeCell ref="ITM3:ITP3"/>
    <mergeCell ref="ITQ3:ITT3"/>
    <mergeCell ref="JDA3:JDD3"/>
    <mergeCell ref="JDE3:JDH3"/>
    <mergeCell ref="JDI3:JDL3"/>
    <mergeCell ref="JDM3:JDP3"/>
    <mergeCell ref="JDQ3:JDT3"/>
    <mergeCell ref="JDU3:JDX3"/>
    <mergeCell ref="JCC3:JCF3"/>
    <mergeCell ref="JCG3:JCJ3"/>
    <mergeCell ref="JCK3:JCN3"/>
    <mergeCell ref="JCO3:JCR3"/>
    <mergeCell ref="JCS3:JCV3"/>
    <mergeCell ref="JCW3:JCZ3"/>
    <mergeCell ref="JBE3:JBH3"/>
    <mergeCell ref="JBI3:JBL3"/>
    <mergeCell ref="JBM3:JBP3"/>
    <mergeCell ref="JBQ3:JBT3"/>
    <mergeCell ref="JBU3:JBX3"/>
    <mergeCell ref="JBY3:JCB3"/>
    <mergeCell ref="JAG3:JAJ3"/>
    <mergeCell ref="JAK3:JAN3"/>
    <mergeCell ref="JAO3:JAR3"/>
    <mergeCell ref="JAS3:JAV3"/>
    <mergeCell ref="JAW3:JAZ3"/>
    <mergeCell ref="JBA3:JBD3"/>
    <mergeCell ref="IZI3:IZL3"/>
    <mergeCell ref="IZM3:IZP3"/>
    <mergeCell ref="IZQ3:IZT3"/>
    <mergeCell ref="IZU3:IZX3"/>
    <mergeCell ref="IZY3:JAB3"/>
    <mergeCell ref="JAC3:JAF3"/>
    <mergeCell ref="IYK3:IYN3"/>
    <mergeCell ref="IYO3:IYR3"/>
    <mergeCell ref="IYS3:IYV3"/>
    <mergeCell ref="IYW3:IYZ3"/>
    <mergeCell ref="IZA3:IZD3"/>
    <mergeCell ref="IZE3:IZH3"/>
    <mergeCell ref="JIO3:JIR3"/>
    <mergeCell ref="JIS3:JIV3"/>
    <mergeCell ref="JIW3:JIZ3"/>
    <mergeCell ref="JJA3:JJD3"/>
    <mergeCell ref="JJE3:JJH3"/>
    <mergeCell ref="JJI3:JJL3"/>
    <mergeCell ref="JHQ3:JHT3"/>
    <mergeCell ref="JHU3:JHX3"/>
    <mergeCell ref="JHY3:JIB3"/>
    <mergeCell ref="JIC3:JIF3"/>
    <mergeCell ref="JIG3:JIJ3"/>
    <mergeCell ref="JIK3:JIN3"/>
    <mergeCell ref="JGS3:JGV3"/>
    <mergeCell ref="JGW3:JGZ3"/>
    <mergeCell ref="JHA3:JHD3"/>
    <mergeCell ref="JHE3:JHH3"/>
    <mergeCell ref="JHI3:JHL3"/>
    <mergeCell ref="JHM3:JHP3"/>
    <mergeCell ref="JFU3:JFX3"/>
    <mergeCell ref="JFY3:JGB3"/>
    <mergeCell ref="JGC3:JGF3"/>
    <mergeCell ref="JGG3:JGJ3"/>
    <mergeCell ref="JGK3:JGN3"/>
    <mergeCell ref="JGO3:JGR3"/>
    <mergeCell ref="JEW3:JEZ3"/>
    <mergeCell ref="JFA3:JFD3"/>
    <mergeCell ref="JFE3:JFH3"/>
    <mergeCell ref="JFI3:JFL3"/>
    <mergeCell ref="JFM3:JFP3"/>
    <mergeCell ref="JFQ3:JFT3"/>
    <mergeCell ref="JDY3:JEB3"/>
    <mergeCell ref="JEC3:JEF3"/>
    <mergeCell ref="JEG3:JEJ3"/>
    <mergeCell ref="JEK3:JEN3"/>
    <mergeCell ref="JEO3:JER3"/>
    <mergeCell ref="JES3:JEV3"/>
    <mergeCell ref="JOC3:JOF3"/>
    <mergeCell ref="JOG3:JOJ3"/>
    <mergeCell ref="JOK3:JON3"/>
    <mergeCell ref="JOO3:JOR3"/>
    <mergeCell ref="JOS3:JOV3"/>
    <mergeCell ref="JOW3:JOZ3"/>
    <mergeCell ref="JNE3:JNH3"/>
    <mergeCell ref="JNI3:JNL3"/>
    <mergeCell ref="JNM3:JNP3"/>
    <mergeCell ref="JNQ3:JNT3"/>
    <mergeCell ref="JNU3:JNX3"/>
    <mergeCell ref="JNY3:JOB3"/>
    <mergeCell ref="JMG3:JMJ3"/>
    <mergeCell ref="JMK3:JMN3"/>
    <mergeCell ref="JMO3:JMR3"/>
    <mergeCell ref="JMS3:JMV3"/>
    <mergeCell ref="JMW3:JMZ3"/>
    <mergeCell ref="JNA3:JND3"/>
    <mergeCell ref="JLI3:JLL3"/>
    <mergeCell ref="JLM3:JLP3"/>
    <mergeCell ref="JLQ3:JLT3"/>
    <mergeCell ref="JLU3:JLX3"/>
    <mergeCell ref="JLY3:JMB3"/>
    <mergeCell ref="JMC3:JMF3"/>
    <mergeCell ref="JKK3:JKN3"/>
    <mergeCell ref="JKO3:JKR3"/>
    <mergeCell ref="JKS3:JKV3"/>
    <mergeCell ref="JKW3:JKZ3"/>
    <mergeCell ref="JLA3:JLD3"/>
    <mergeCell ref="JLE3:JLH3"/>
    <mergeCell ref="JJM3:JJP3"/>
    <mergeCell ref="JJQ3:JJT3"/>
    <mergeCell ref="JJU3:JJX3"/>
    <mergeCell ref="JJY3:JKB3"/>
    <mergeCell ref="JKC3:JKF3"/>
    <mergeCell ref="JKG3:JKJ3"/>
    <mergeCell ref="JTQ3:JTT3"/>
    <mergeCell ref="JTU3:JTX3"/>
    <mergeCell ref="JTY3:JUB3"/>
    <mergeCell ref="JUC3:JUF3"/>
    <mergeCell ref="JUG3:JUJ3"/>
    <mergeCell ref="JUK3:JUN3"/>
    <mergeCell ref="JSS3:JSV3"/>
    <mergeCell ref="JSW3:JSZ3"/>
    <mergeCell ref="JTA3:JTD3"/>
    <mergeCell ref="JTE3:JTH3"/>
    <mergeCell ref="JTI3:JTL3"/>
    <mergeCell ref="JTM3:JTP3"/>
    <mergeCell ref="JRU3:JRX3"/>
    <mergeCell ref="JRY3:JSB3"/>
    <mergeCell ref="JSC3:JSF3"/>
    <mergeCell ref="JSG3:JSJ3"/>
    <mergeCell ref="JSK3:JSN3"/>
    <mergeCell ref="JSO3:JSR3"/>
    <mergeCell ref="JQW3:JQZ3"/>
    <mergeCell ref="JRA3:JRD3"/>
    <mergeCell ref="JRE3:JRH3"/>
    <mergeCell ref="JRI3:JRL3"/>
    <mergeCell ref="JRM3:JRP3"/>
    <mergeCell ref="JRQ3:JRT3"/>
    <mergeCell ref="JPY3:JQB3"/>
    <mergeCell ref="JQC3:JQF3"/>
    <mergeCell ref="JQG3:JQJ3"/>
    <mergeCell ref="JQK3:JQN3"/>
    <mergeCell ref="JQO3:JQR3"/>
    <mergeCell ref="JQS3:JQV3"/>
    <mergeCell ref="JPA3:JPD3"/>
    <mergeCell ref="JPE3:JPH3"/>
    <mergeCell ref="JPI3:JPL3"/>
    <mergeCell ref="JPM3:JPP3"/>
    <mergeCell ref="JPQ3:JPT3"/>
    <mergeCell ref="JPU3:JPX3"/>
    <mergeCell ref="JZE3:JZH3"/>
    <mergeCell ref="JZI3:JZL3"/>
    <mergeCell ref="JZM3:JZP3"/>
    <mergeCell ref="JZQ3:JZT3"/>
    <mergeCell ref="JZU3:JZX3"/>
    <mergeCell ref="JZY3:KAB3"/>
    <mergeCell ref="JYG3:JYJ3"/>
    <mergeCell ref="JYK3:JYN3"/>
    <mergeCell ref="JYO3:JYR3"/>
    <mergeCell ref="JYS3:JYV3"/>
    <mergeCell ref="JYW3:JYZ3"/>
    <mergeCell ref="JZA3:JZD3"/>
    <mergeCell ref="JXI3:JXL3"/>
    <mergeCell ref="JXM3:JXP3"/>
    <mergeCell ref="JXQ3:JXT3"/>
    <mergeCell ref="JXU3:JXX3"/>
    <mergeCell ref="JXY3:JYB3"/>
    <mergeCell ref="JYC3:JYF3"/>
    <mergeCell ref="JWK3:JWN3"/>
    <mergeCell ref="JWO3:JWR3"/>
    <mergeCell ref="JWS3:JWV3"/>
    <mergeCell ref="JWW3:JWZ3"/>
    <mergeCell ref="JXA3:JXD3"/>
    <mergeCell ref="JXE3:JXH3"/>
    <mergeCell ref="JVM3:JVP3"/>
    <mergeCell ref="JVQ3:JVT3"/>
    <mergeCell ref="JVU3:JVX3"/>
    <mergeCell ref="JVY3:JWB3"/>
    <mergeCell ref="JWC3:JWF3"/>
    <mergeCell ref="JWG3:JWJ3"/>
    <mergeCell ref="JUO3:JUR3"/>
    <mergeCell ref="JUS3:JUV3"/>
    <mergeCell ref="JUW3:JUZ3"/>
    <mergeCell ref="JVA3:JVD3"/>
    <mergeCell ref="JVE3:JVH3"/>
    <mergeCell ref="JVI3:JVL3"/>
    <mergeCell ref="KES3:KEV3"/>
    <mergeCell ref="KEW3:KEZ3"/>
    <mergeCell ref="KFA3:KFD3"/>
    <mergeCell ref="KFE3:KFH3"/>
    <mergeCell ref="KFI3:KFL3"/>
    <mergeCell ref="KFM3:KFP3"/>
    <mergeCell ref="KDU3:KDX3"/>
    <mergeCell ref="KDY3:KEB3"/>
    <mergeCell ref="KEC3:KEF3"/>
    <mergeCell ref="KEG3:KEJ3"/>
    <mergeCell ref="KEK3:KEN3"/>
    <mergeCell ref="KEO3:KER3"/>
    <mergeCell ref="KCW3:KCZ3"/>
    <mergeCell ref="KDA3:KDD3"/>
    <mergeCell ref="KDE3:KDH3"/>
    <mergeCell ref="KDI3:KDL3"/>
    <mergeCell ref="KDM3:KDP3"/>
    <mergeCell ref="KDQ3:KDT3"/>
    <mergeCell ref="KBY3:KCB3"/>
    <mergeCell ref="KCC3:KCF3"/>
    <mergeCell ref="KCG3:KCJ3"/>
    <mergeCell ref="KCK3:KCN3"/>
    <mergeCell ref="KCO3:KCR3"/>
    <mergeCell ref="KCS3:KCV3"/>
    <mergeCell ref="KBA3:KBD3"/>
    <mergeCell ref="KBE3:KBH3"/>
    <mergeCell ref="KBI3:KBL3"/>
    <mergeCell ref="KBM3:KBP3"/>
    <mergeCell ref="KBQ3:KBT3"/>
    <mergeCell ref="KBU3:KBX3"/>
    <mergeCell ref="KAC3:KAF3"/>
    <mergeCell ref="KAG3:KAJ3"/>
    <mergeCell ref="KAK3:KAN3"/>
    <mergeCell ref="KAO3:KAR3"/>
    <mergeCell ref="KAS3:KAV3"/>
    <mergeCell ref="KAW3:KAZ3"/>
    <mergeCell ref="KKG3:KKJ3"/>
    <mergeCell ref="KKK3:KKN3"/>
    <mergeCell ref="KKO3:KKR3"/>
    <mergeCell ref="KKS3:KKV3"/>
    <mergeCell ref="KKW3:KKZ3"/>
    <mergeCell ref="KLA3:KLD3"/>
    <mergeCell ref="KJI3:KJL3"/>
    <mergeCell ref="KJM3:KJP3"/>
    <mergeCell ref="KJQ3:KJT3"/>
    <mergeCell ref="KJU3:KJX3"/>
    <mergeCell ref="KJY3:KKB3"/>
    <mergeCell ref="KKC3:KKF3"/>
    <mergeCell ref="KIK3:KIN3"/>
    <mergeCell ref="KIO3:KIR3"/>
    <mergeCell ref="KIS3:KIV3"/>
    <mergeCell ref="KIW3:KIZ3"/>
    <mergeCell ref="KJA3:KJD3"/>
    <mergeCell ref="KJE3:KJH3"/>
    <mergeCell ref="KHM3:KHP3"/>
    <mergeCell ref="KHQ3:KHT3"/>
    <mergeCell ref="KHU3:KHX3"/>
    <mergeCell ref="KHY3:KIB3"/>
    <mergeCell ref="KIC3:KIF3"/>
    <mergeCell ref="KIG3:KIJ3"/>
    <mergeCell ref="KGO3:KGR3"/>
    <mergeCell ref="KGS3:KGV3"/>
    <mergeCell ref="KGW3:KGZ3"/>
    <mergeCell ref="KHA3:KHD3"/>
    <mergeCell ref="KHE3:KHH3"/>
    <mergeCell ref="KHI3:KHL3"/>
    <mergeCell ref="KFQ3:KFT3"/>
    <mergeCell ref="KFU3:KFX3"/>
    <mergeCell ref="KFY3:KGB3"/>
    <mergeCell ref="KGC3:KGF3"/>
    <mergeCell ref="KGG3:KGJ3"/>
    <mergeCell ref="KGK3:KGN3"/>
    <mergeCell ref="KPU3:KPX3"/>
    <mergeCell ref="KPY3:KQB3"/>
    <mergeCell ref="KQC3:KQF3"/>
    <mergeCell ref="KQG3:KQJ3"/>
    <mergeCell ref="KQK3:KQN3"/>
    <mergeCell ref="KQO3:KQR3"/>
    <mergeCell ref="KOW3:KOZ3"/>
    <mergeCell ref="KPA3:KPD3"/>
    <mergeCell ref="KPE3:KPH3"/>
    <mergeCell ref="KPI3:KPL3"/>
    <mergeCell ref="KPM3:KPP3"/>
    <mergeCell ref="KPQ3:KPT3"/>
    <mergeCell ref="KNY3:KOB3"/>
    <mergeCell ref="KOC3:KOF3"/>
    <mergeCell ref="KOG3:KOJ3"/>
    <mergeCell ref="KOK3:KON3"/>
    <mergeCell ref="KOO3:KOR3"/>
    <mergeCell ref="KOS3:KOV3"/>
    <mergeCell ref="KNA3:KND3"/>
    <mergeCell ref="KNE3:KNH3"/>
    <mergeCell ref="KNI3:KNL3"/>
    <mergeCell ref="KNM3:KNP3"/>
    <mergeCell ref="KNQ3:KNT3"/>
    <mergeCell ref="KNU3:KNX3"/>
    <mergeCell ref="KMC3:KMF3"/>
    <mergeCell ref="KMG3:KMJ3"/>
    <mergeCell ref="KMK3:KMN3"/>
    <mergeCell ref="KMO3:KMR3"/>
    <mergeCell ref="KMS3:KMV3"/>
    <mergeCell ref="KMW3:KMZ3"/>
    <mergeCell ref="KLE3:KLH3"/>
    <mergeCell ref="KLI3:KLL3"/>
    <mergeCell ref="KLM3:KLP3"/>
    <mergeCell ref="KLQ3:KLT3"/>
    <mergeCell ref="KLU3:KLX3"/>
    <mergeCell ref="KLY3:KMB3"/>
    <mergeCell ref="KVI3:KVL3"/>
    <mergeCell ref="KVM3:KVP3"/>
    <mergeCell ref="KVQ3:KVT3"/>
    <mergeCell ref="KVU3:KVX3"/>
    <mergeCell ref="KVY3:KWB3"/>
    <mergeCell ref="KWC3:KWF3"/>
    <mergeCell ref="KUK3:KUN3"/>
    <mergeCell ref="KUO3:KUR3"/>
    <mergeCell ref="KUS3:KUV3"/>
    <mergeCell ref="KUW3:KUZ3"/>
    <mergeCell ref="KVA3:KVD3"/>
    <mergeCell ref="KVE3:KVH3"/>
    <mergeCell ref="KTM3:KTP3"/>
    <mergeCell ref="KTQ3:KTT3"/>
    <mergeCell ref="KTU3:KTX3"/>
    <mergeCell ref="KTY3:KUB3"/>
    <mergeCell ref="KUC3:KUF3"/>
    <mergeCell ref="KUG3:KUJ3"/>
    <mergeCell ref="KSO3:KSR3"/>
    <mergeCell ref="KSS3:KSV3"/>
    <mergeCell ref="KSW3:KSZ3"/>
    <mergeCell ref="KTA3:KTD3"/>
    <mergeCell ref="KTE3:KTH3"/>
    <mergeCell ref="KTI3:KTL3"/>
    <mergeCell ref="KRQ3:KRT3"/>
    <mergeCell ref="KRU3:KRX3"/>
    <mergeCell ref="KRY3:KSB3"/>
    <mergeCell ref="KSC3:KSF3"/>
    <mergeCell ref="KSG3:KSJ3"/>
    <mergeCell ref="KSK3:KSN3"/>
    <mergeCell ref="KQS3:KQV3"/>
    <mergeCell ref="KQW3:KQZ3"/>
    <mergeCell ref="KRA3:KRD3"/>
    <mergeCell ref="KRE3:KRH3"/>
    <mergeCell ref="KRI3:KRL3"/>
    <mergeCell ref="KRM3:KRP3"/>
    <mergeCell ref="LAW3:LAZ3"/>
    <mergeCell ref="LBA3:LBD3"/>
    <mergeCell ref="LBE3:LBH3"/>
    <mergeCell ref="LBI3:LBL3"/>
    <mergeCell ref="LBM3:LBP3"/>
    <mergeCell ref="LBQ3:LBT3"/>
    <mergeCell ref="KZY3:LAB3"/>
    <mergeCell ref="LAC3:LAF3"/>
    <mergeCell ref="LAG3:LAJ3"/>
    <mergeCell ref="LAK3:LAN3"/>
    <mergeCell ref="LAO3:LAR3"/>
    <mergeCell ref="LAS3:LAV3"/>
    <mergeCell ref="KZA3:KZD3"/>
    <mergeCell ref="KZE3:KZH3"/>
    <mergeCell ref="KZI3:KZL3"/>
    <mergeCell ref="KZM3:KZP3"/>
    <mergeCell ref="KZQ3:KZT3"/>
    <mergeCell ref="KZU3:KZX3"/>
    <mergeCell ref="KYC3:KYF3"/>
    <mergeCell ref="KYG3:KYJ3"/>
    <mergeCell ref="KYK3:KYN3"/>
    <mergeCell ref="KYO3:KYR3"/>
    <mergeCell ref="KYS3:KYV3"/>
    <mergeCell ref="KYW3:KYZ3"/>
    <mergeCell ref="KXE3:KXH3"/>
    <mergeCell ref="KXI3:KXL3"/>
    <mergeCell ref="KXM3:KXP3"/>
    <mergeCell ref="KXQ3:KXT3"/>
    <mergeCell ref="KXU3:KXX3"/>
    <mergeCell ref="KXY3:KYB3"/>
    <mergeCell ref="KWG3:KWJ3"/>
    <mergeCell ref="KWK3:KWN3"/>
    <mergeCell ref="KWO3:KWR3"/>
    <mergeCell ref="KWS3:KWV3"/>
    <mergeCell ref="KWW3:KWZ3"/>
    <mergeCell ref="KXA3:KXD3"/>
    <mergeCell ref="LGK3:LGN3"/>
    <mergeCell ref="LGO3:LGR3"/>
    <mergeCell ref="LGS3:LGV3"/>
    <mergeCell ref="LGW3:LGZ3"/>
    <mergeCell ref="LHA3:LHD3"/>
    <mergeCell ref="LHE3:LHH3"/>
    <mergeCell ref="LFM3:LFP3"/>
    <mergeCell ref="LFQ3:LFT3"/>
    <mergeCell ref="LFU3:LFX3"/>
    <mergeCell ref="LFY3:LGB3"/>
    <mergeCell ref="LGC3:LGF3"/>
    <mergeCell ref="LGG3:LGJ3"/>
    <mergeCell ref="LEO3:LER3"/>
    <mergeCell ref="LES3:LEV3"/>
    <mergeCell ref="LEW3:LEZ3"/>
    <mergeCell ref="LFA3:LFD3"/>
    <mergeCell ref="LFE3:LFH3"/>
    <mergeCell ref="LFI3:LFL3"/>
    <mergeCell ref="LDQ3:LDT3"/>
    <mergeCell ref="LDU3:LDX3"/>
    <mergeCell ref="LDY3:LEB3"/>
    <mergeCell ref="LEC3:LEF3"/>
    <mergeCell ref="LEG3:LEJ3"/>
    <mergeCell ref="LEK3:LEN3"/>
    <mergeCell ref="LCS3:LCV3"/>
    <mergeCell ref="LCW3:LCZ3"/>
    <mergeCell ref="LDA3:LDD3"/>
    <mergeCell ref="LDE3:LDH3"/>
    <mergeCell ref="LDI3:LDL3"/>
    <mergeCell ref="LDM3:LDP3"/>
    <mergeCell ref="LBU3:LBX3"/>
    <mergeCell ref="LBY3:LCB3"/>
    <mergeCell ref="LCC3:LCF3"/>
    <mergeCell ref="LCG3:LCJ3"/>
    <mergeCell ref="LCK3:LCN3"/>
    <mergeCell ref="LCO3:LCR3"/>
    <mergeCell ref="LLY3:LMB3"/>
    <mergeCell ref="LMC3:LMF3"/>
    <mergeCell ref="LMG3:LMJ3"/>
    <mergeCell ref="LMK3:LMN3"/>
    <mergeCell ref="LMO3:LMR3"/>
    <mergeCell ref="LMS3:LMV3"/>
    <mergeCell ref="LLA3:LLD3"/>
    <mergeCell ref="LLE3:LLH3"/>
    <mergeCell ref="LLI3:LLL3"/>
    <mergeCell ref="LLM3:LLP3"/>
    <mergeCell ref="LLQ3:LLT3"/>
    <mergeCell ref="LLU3:LLX3"/>
    <mergeCell ref="LKC3:LKF3"/>
    <mergeCell ref="LKG3:LKJ3"/>
    <mergeCell ref="LKK3:LKN3"/>
    <mergeCell ref="LKO3:LKR3"/>
    <mergeCell ref="LKS3:LKV3"/>
    <mergeCell ref="LKW3:LKZ3"/>
    <mergeCell ref="LJE3:LJH3"/>
    <mergeCell ref="LJI3:LJL3"/>
    <mergeCell ref="LJM3:LJP3"/>
    <mergeCell ref="LJQ3:LJT3"/>
    <mergeCell ref="LJU3:LJX3"/>
    <mergeCell ref="LJY3:LKB3"/>
    <mergeCell ref="LIG3:LIJ3"/>
    <mergeCell ref="LIK3:LIN3"/>
    <mergeCell ref="LIO3:LIR3"/>
    <mergeCell ref="LIS3:LIV3"/>
    <mergeCell ref="LIW3:LIZ3"/>
    <mergeCell ref="LJA3:LJD3"/>
    <mergeCell ref="LHI3:LHL3"/>
    <mergeCell ref="LHM3:LHP3"/>
    <mergeCell ref="LHQ3:LHT3"/>
    <mergeCell ref="LHU3:LHX3"/>
    <mergeCell ref="LHY3:LIB3"/>
    <mergeCell ref="LIC3:LIF3"/>
    <mergeCell ref="LRM3:LRP3"/>
    <mergeCell ref="LRQ3:LRT3"/>
    <mergeCell ref="LRU3:LRX3"/>
    <mergeCell ref="LRY3:LSB3"/>
    <mergeCell ref="LSC3:LSF3"/>
    <mergeCell ref="LSG3:LSJ3"/>
    <mergeCell ref="LQO3:LQR3"/>
    <mergeCell ref="LQS3:LQV3"/>
    <mergeCell ref="LQW3:LQZ3"/>
    <mergeCell ref="LRA3:LRD3"/>
    <mergeCell ref="LRE3:LRH3"/>
    <mergeCell ref="LRI3:LRL3"/>
    <mergeCell ref="LPQ3:LPT3"/>
    <mergeCell ref="LPU3:LPX3"/>
    <mergeCell ref="LPY3:LQB3"/>
    <mergeCell ref="LQC3:LQF3"/>
    <mergeCell ref="LQG3:LQJ3"/>
    <mergeCell ref="LQK3:LQN3"/>
    <mergeCell ref="LOS3:LOV3"/>
    <mergeCell ref="LOW3:LOZ3"/>
    <mergeCell ref="LPA3:LPD3"/>
    <mergeCell ref="LPE3:LPH3"/>
    <mergeCell ref="LPI3:LPL3"/>
    <mergeCell ref="LPM3:LPP3"/>
    <mergeCell ref="LNU3:LNX3"/>
    <mergeCell ref="LNY3:LOB3"/>
    <mergeCell ref="LOC3:LOF3"/>
    <mergeCell ref="LOG3:LOJ3"/>
    <mergeCell ref="LOK3:LON3"/>
    <mergeCell ref="LOO3:LOR3"/>
    <mergeCell ref="LMW3:LMZ3"/>
    <mergeCell ref="LNA3:LND3"/>
    <mergeCell ref="LNE3:LNH3"/>
    <mergeCell ref="LNI3:LNL3"/>
    <mergeCell ref="LNM3:LNP3"/>
    <mergeCell ref="LNQ3:LNT3"/>
    <mergeCell ref="LXA3:LXD3"/>
    <mergeCell ref="LXE3:LXH3"/>
    <mergeCell ref="LXI3:LXL3"/>
    <mergeCell ref="LXM3:LXP3"/>
    <mergeCell ref="LXQ3:LXT3"/>
    <mergeCell ref="LXU3:LXX3"/>
    <mergeCell ref="LWC3:LWF3"/>
    <mergeCell ref="LWG3:LWJ3"/>
    <mergeCell ref="LWK3:LWN3"/>
    <mergeCell ref="LWO3:LWR3"/>
    <mergeCell ref="LWS3:LWV3"/>
    <mergeCell ref="LWW3:LWZ3"/>
    <mergeCell ref="LVE3:LVH3"/>
    <mergeCell ref="LVI3:LVL3"/>
    <mergeCell ref="LVM3:LVP3"/>
    <mergeCell ref="LVQ3:LVT3"/>
    <mergeCell ref="LVU3:LVX3"/>
    <mergeCell ref="LVY3:LWB3"/>
    <mergeCell ref="LUG3:LUJ3"/>
    <mergeCell ref="LUK3:LUN3"/>
    <mergeCell ref="LUO3:LUR3"/>
    <mergeCell ref="LUS3:LUV3"/>
    <mergeCell ref="LUW3:LUZ3"/>
    <mergeCell ref="LVA3:LVD3"/>
    <mergeCell ref="LTI3:LTL3"/>
    <mergeCell ref="LTM3:LTP3"/>
    <mergeCell ref="LTQ3:LTT3"/>
    <mergeCell ref="LTU3:LTX3"/>
    <mergeCell ref="LTY3:LUB3"/>
    <mergeCell ref="LUC3:LUF3"/>
    <mergeCell ref="LSK3:LSN3"/>
    <mergeCell ref="LSO3:LSR3"/>
    <mergeCell ref="LSS3:LSV3"/>
    <mergeCell ref="LSW3:LSZ3"/>
    <mergeCell ref="LTA3:LTD3"/>
    <mergeCell ref="LTE3:LTH3"/>
    <mergeCell ref="MCO3:MCR3"/>
    <mergeCell ref="MCS3:MCV3"/>
    <mergeCell ref="MCW3:MCZ3"/>
    <mergeCell ref="MDA3:MDD3"/>
    <mergeCell ref="MDE3:MDH3"/>
    <mergeCell ref="MDI3:MDL3"/>
    <mergeCell ref="MBQ3:MBT3"/>
    <mergeCell ref="MBU3:MBX3"/>
    <mergeCell ref="MBY3:MCB3"/>
    <mergeCell ref="MCC3:MCF3"/>
    <mergeCell ref="MCG3:MCJ3"/>
    <mergeCell ref="MCK3:MCN3"/>
    <mergeCell ref="MAS3:MAV3"/>
    <mergeCell ref="MAW3:MAZ3"/>
    <mergeCell ref="MBA3:MBD3"/>
    <mergeCell ref="MBE3:MBH3"/>
    <mergeCell ref="MBI3:MBL3"/>
    <mergeCell ref="MBM3:MBP3"/>
    <mergeCell ref="LZU3:LZX3"/>
    <mergeCell ref="LZY3:MAB3"/>
    <mergeCell ref="MAC3:MAF3"/>
    <mergeCell ref="MAG3:MAJ3"/>
    <mergeCell ref="MAK3:MAN3"/>
    <mergeCell ref="MAO3:MAR3"/>
    <mergeCell ref="LYW3:LYZ3"/>
    <mergeCell ref="LZA3:LZD3"/>
    <mergeCell ref="LZE3:LZH3"/>
    <mergeCell ref="LZI3:LZL3"/>
    <mergeCell ref="LZM3:LZP3"/>
    <mergeCell ref="LZQ3:LZT3"/>
    <mergeCell ref="LXY3:LYB3"/>
    <mergeCell ref="LYC3:LYF3"/>
    <mergeCell ref="LYG3:LYJ3"/>
    <mergeCell ref="LYK3:LYN3"/>
    <mergeCell ref="LYO3:LYR3"/>
    <mergeCell ref="LYS3:LYV3"/>
    <mergeCell ref="MIC3:MIF3"/>
    <mergeCell ref="MIG3:MIJ3"/>
    <mergeCell ref="MIK3:MIN3"/>
    <mergeCell ref="MIO3:MIR3"/>
    <mergeCell ref="MIS3:MIV3"/>
    <mergeCell ref="MIW3:MIZ3"/>
    <mergeCell ref="MHE3:MHH3"/>
    <mergeCell ref="MHI3:MHL3"/>
    <mergeCell ref="MHM3:MHP3"/>
    <mergeCell ref="MHQ3:MHT3"/>
    <mergeCell ref="MHU3:MHX3"/>
    <mergeCell ref="MHY3:MIB3"/>
    <mergeCell ref="MGG3:MGJ3"/>
    <mergeCell ref="MGK3:MGN3"/>
    <mergeCell ref="MGO3:MGR3"/>
    <mergeCell ref="MGS3:MGV3"/>
    <mergeCell ref="MGW3:MGZ3"/>
    <mergeCell ref="MHA3:MHD3"/>
    <mergeCell ref="MFI3:MFL3"/>
    <mergeCell ref="MFM3:MFP3"/>
    <mergeCell ref="MFQ3:MFT3"/>
    <mergeCell ref="MFU3:MFX3"/>
    <mergeCell ref="MFY3:MGB3"/>
    <mergeCell ref="MGC3:MGF3"/>
    <mergeCell ref="MEK3:MEN3"/>
    <mergeCell ref="MEO3:MER3"/>
    <mergeCell ref="MES3:MEV3"/>
    <mergeCell ref="MEW3:MEZ3"/>
    <mergeCell ref="MFA3:MFD3"/>
    <mergeCell ref="MFE3:MFH3"/>
    <mergeCell ref="MDM3:MDP3"/>
    <mergeCell ref="MDQ3:MDT3"/>
    <mergeCell ref="MDU3:MDX3"/>
    <mergeCell ref="MDY3:MEB3"/>
    <mergeCell ref="MEC3:MEF3"/>
    <mergeCell ref="MEG3:MEJ3"/>
    <mergeCell ref="MNQ3:MNT3"/>
    <mergeCell ref="MNU3:MNX3"/>
    <mergeCell ref="MNY3:MOB3"/>
    <mergeCell ref="MOC3:MOF3"/>
    <mergeCell ref="MOG3:MOJ3"/>
    <mergeCell ref="MOK3:MON3"/>
    <mergeCell ref="MMS3:MMV3"/>
    <mergeCell ref="MMW3:MMZ3"/>
    <mergeCell ref="MNA3:MND3"/>
    <mergeCell ref="MNE3:MNH3"/>
    <mergeCell ref="MNI3:MNL3"/>
    <mergeCell ref="MNM3:MNP3"/>
    <mergeCell ref="MLU3:MLX3"/>
    <mergeCell ref="MLY3:MMB3"/>
    <mergeCell ref="MMC3:MMF3"/>
    <mergeCell ref="MMG3:MMJ3"/>
    <mergeCell ref="MMK3:MMN3"/>
    <mergeCell ref="MMO3:MMR3"/>
    <mergeCell ref="MKW3:MKZ3"/>
    <mergeCell ref="MLA3:MLD3"/>
    <mergeCell ref="MLE3:MLH3"/>
    <mergeCell ref="MLI3:MLL3"/>
    <mergeCell ref="MLM3:MLP3"/>
    <mergeCell ref="MLQ3:MLT3"/>
    <mergeCell ref="MJY3:MKB3"/>
    <mergeCell ref="MKC3:MKF3"/>
    <mergeCell ref="MKG3:MKJ3"/>
    <mergeCell ref="MKK3:MKN3"/>
    <mergeCell ref="MKO3:MKR3"/>
    <mergeCell ref="MKS3:MKV3"/>
    <mergeCell ref="MJA3:MJD3"/>
    <mergeCell ref="MJE3:MJH3"/>
    <mergeCell ref="MJI3:MJL3"/>
    <mergeCell ref="MJM3:MJP3"/>
    <mergeCell ref="MJQ3:MJT3"/>
    <mergeCell ref="MJU3:MJX3"/>
    <mergeCell ref="MTE3:MTH3"/>
    <mergeCell ref="MTI3:MTL3"/>
    <mergeCell ref="MTM3:MTP3"/>
    <mergeCell ref="MTQ3:MTT3"/>
    <mergeCell ref="MTU3:MTX3"/>
    <mergeCell ref="MTY3:MUB3"/>
    <mergeCell ref="MSG3:MSJ3"/>
    <mergeCell ref="MSK3:MSN3"/>
    <mergeCell ref="MSO3:MSR3"/>
    <mergeCell ref="MSS3:MSV3"/>
    <mergeCell ref="MSW3:MSZ3"/>
    <mergeCell ref="MTA3:MTD3"/>
    <mergeCell ref="MRI3:MRL3"/>
    <mergeCell ref="MRM3:MRP3"/>
    <mergeCell ref="MRQ3:MRT3"/>
    <mergeCell ref="MRU3:MRX3"/>
    <mergeCell ref="MRY3:MSB3"/>
    <mergeCell ref="MSC3:MSF3"/>
    <mergeCell ref="MQK3:MQN3"/>
    <mergeCell ref="MQO3:MQR3"/>
    <mergeCell ref="MQS3:MQV3"/>
    <mergeCell ref="MQW3:MQZ3"/>
    <mergeCell ref="MRA3:MRD3"/>
    <mergeCell ref="MRE3:MRH3"/>
    <mergeCell ref="MPM3:MPP3"/>
    <mergeCell ref="MPQ3:MPT3"/>
    <mergeCell ref="MPU3:MPX3"/>
    <mergeCell ref="MPY3:MQB3"/>
    <mergeCell ref="MQC3:MQF3"/>
    <mergeCell ref="MQG3:MQJ3"/>
    <mergeCell ref="MOO3:MOR3"/>
    <mergeCell ref="MOS3:MOV3"/>
    <mergeCell ref="MOW3:MOZ3"/>
    <mergeCell ref="MPA3:MPD3"/>
    <mergeCell ref="MPE3:MPH3"/>
    <mergeCell ref="MPI3:MPL3"/>
    <mergeCell ref="MYS3:MYV3"/>
    <mergeCell ref="MYW3:MYZ3"/>
    <mergeCell ref="MZA3:MZD3"/>
    <mergeCell ref="MZE3:MZH3"/>
    <mergeCell ref="MZI3:MZL3"/>
    <mergeCell ref="MZM3:MZP3"/>
    <mergeCell ref="MXU3:MXX3"/>
    <mergeCell ref="MXY3:MYB3"/>
    <mergeCell ref="MYC3:MYF3"/>
    <mergeCell ref="MYG3:MYJ3"/>
    <mergeCell ref="MYK3:MYN3"/>
    <mergeCell ref="MYO3:MYR3"/>
    <mergeCell ref="MWW3:MWZ3"/>
    <mergeCell ref="MXA3:MXD3"/>
    <mergeCell ref="MXE3:MXH3"/>
    <mergeCell ref="MXI3:MXL3"/>
    <mergeCell ref="MXM3:MXP3"/>
    <mergeCell ref="MXQ3:MXT3"/>
    <mergeCell ref="MVY3:MWB3"/>
    <mergeCell ref="MWC3:MWF3"/>
    <mergeCell ref="MWG3:MWJ3"/>
    <mergeCell ref="MWK3:MWN3"/>
    <mergeCell ref="MWO3:MWR3"/>
    <mergeCell ref="MWS3:MWV3"/>
    <mergeCell ref="MVA3:MVD3"/>
    <mergeCell ref="MVE3:MVH3"/>
    <mergeCell ref="MVI3:MVL3"/>
    <mergeCell ref="MVM3:MVP3"/>
    <mergeCell ref="MVQ3:MVT3"/>
    <mergeCell ref="MVU3:MVX3"/>
    <mergeCell ref="MUC3:MUF3"/>
    <mergeCell ref="MUG3:MUJ3"/>
    <mergeCell ref="MUK3:MUN3"/>
    <mergeCell ref="MUO3:MUR3"/>
    <mergeCell ref="MUS3:MUV3"/>
    <mergeCell ref="MUW3:MUZ3"/>
    <mergeCell ref="NEG3:NEJ3"/>
    <mergeCell ref="NEK3:NEN3"/>
    <mergeCell ref="NEO3:NER3"/>
    <mergeCell ref="NES3:NEV3"/>
    <mergeCell ref="NEW3:NEZ3"/>
    <mergeCell ref="NFA3:NFD3"/>
    <mergeCell ref="NDI3:NDL3"/>
    <mergeCell ref="NDM3:NDP3"/>
    <mergeCell ref="NDQ3:NDT3"/>
    <mergeCell ref="NDU3:NDX3"/>
    <mergeCell ref="NDY3:NEB3"/>
    <mergeCell ref="NEC3:NEF3"/>
    <mergeCell ref="NCK3:NCN3"/>
    <mergeCell ref="NCO3:NCR3"/>
    <mergeCell ref="NCS3:NCV3"/>
    <mergeCell ref="NCW3:NCZ3"/>
    <mergeCell ref="NDA3:NDD3"/>
    <mergeCell ref="NDE3:NDH3"/>
    <mergeCell ref="NBM3:NBP3"/>
    <mergeCell ref="NBQ3:NBT3"/>
    <mergeCell ref="NBU3:NBX3"/>
    <mergeCell ref="NBY3:NCB3"/>
    <mergeCell ref="NCC3:NCF3"/>
    <mergeCell ref="NCG3:NCJ3"/>
    <mergeCell ref="NAO3:NAR3"/>
    <mergeCell ref="NAS3:NAV3"/>
    <mergeCell ref="NAW3:NAZ3"/>
    <mergeCell ref="NBA3:NBD3"/>
    <mergeCell ref="NBE3:NBH3"/>
    <mergeCell ref="NBI3:NBL3"/>
    <mergeCell ref="MZQ3:MZT3"/>
    <mergeCell ref="MZU3:MZX3"/>
    <mergeCell ref="MZY3:NAB3"/>
    <mergeCell ref="NAC3:NAF3"/>
    <mergeCell ref="NAG3:NAJ3"/>
    <mergeCell ref="NAK3:NAN3"/>
    <mergeCell ref="NJU3:NJX3"/>
    <mergeCell ref="NJY3:NKB3"/>
    <mergeCell ref="NKC3:NKF3"/>
    <mergeCell ref="NKG3:NKJ3"/>
    <mergeCell ref="NKK3:NKN3"/>
    <mergeCell ref="NKO3:NKR3"/>
    <mergeCell ref="NIW3:NIZ3"/>
    <mergeCell ref="NJA3:NJD3"/>
    <mergeCell ref="NJE3:NJH3"/>
    <mergeCell ref="NJI3:NJL3"/>
    <mergeCell ref="NJM3:NJP3"/>
    <mergeCell ref="NJQ3:NJT3"/>
    <mergeCell ref="NHY3:NIB3"/>
    <mergeCell ref="NIC3:NIF3"/>
    <mergeCell ref="NIG3:NIJ3"/>
    <mergeCell ref="NIK3:NIN3"/>
    <mergeCell ref="NIO3:NIR3"/>
    <mergeCell ref="NIS3:NIV3"/>
    <mergeCell ref="NHA3:NHD3"/>
    <mergeCell ref="NHE3:NHH3"/>
    <mergeCell ref="NHI3:NHL3"/>
    <mergeCell ref="NHM3:NHP3"/>
    <mergeCell ref="NHQ3:NHT3"/>
    <mergeCell ref="NHU3:NHX3"/>
    <mergeCell ref="NGC3:NGF3"/>
    <mergeCell ref="NGG3:NGJ3"/>
    <mergeCell ref="NGK3:NGN3"/>
    <mergeCell ref="NGO3:NGR3"/>
    <mergeCell ref="NGS3:NGV3"/>
    <mergeCell ref="NGW3:NGZ3"/>
    <mergeCell ref="NFE3:NFH3"/>
    <mergeCell ref="NFI3:NFL3"/>
    <mergeCell ref="NFM3:NFP3"/>
    <mergeCell ref="NFQ3:NFT3"/>
    <mergeCell ref="NFU3:NFX3"/>
    <mergeCell ref="NFY3:NGB3"/>
    <mergeCell ref="NPI3:NPL3"/>
    <mergeCell ref="NPM3:NPP3"/>
    <mergeCell ref="NPQ3:NPT3"/>
    <mergeCell ref="NPU3:NPX3"/>
    <mergeCell ref="NPY3:NQB3"/>
    <mergeCell ref="NQC3:NQF3"/>
    <mergeCell ref="NOK3:NON3"/>
    <mergeCell ref="NOO3:NOR3"/>
    <mergeCell ref="NOS3:NOV3"/>
    <mergeCell ref="NOW3:NOZ3"/>
    <mergeCell ref="NPA3:NPD3"/>
    <mergeCell ref="NPE3:NPH3"/>
    <mergeCell ref="NNM3:NNP3"/>
    <mergeCell ref="NNQ3:NNT3"/>
    <mergeCell ref="NNU3:NNX3"/>
    <mergeCell ref="NNY3:NOB3"/>
    <mergeCell ref="NOC3:NOF3"/>
    <mergeCell ref="NOG3:NOJ3"/>
    <mergeCell ref="NMO3:NMR3"/>
    <mergeCell ref="NMS3:NMV3"/>
    <mergeCell ref="NMW3:NMZ3"/>
    <mergeCell ref="NNA3:NND3"/>
    <mergeCell ref="NNE3:NNH3"/>
    <mergeCell ref="NNI3:NNL3"/>
    <mergeCell ref="NLQ3:NLT3"/>
    <mergeCell ref="NLU3:NLX3"/>
    <mergeCell ref="NLY3:NMB3"/>
    <mergeCell ref="NMC3:NMF3"/>
    <mergeCell ref="NMG3:NMJ3"/>
    <mergeCell ref="NMK3:NMN3"/>
    <mergeCell ref="NKS3:NKV3"/>
    <mergeCell ref="NKW3:NKZ3"/>
    <mergeCell ref="NLA3:NLD3"/>
    <mergeCell ref="NLE3:NLH3"/>
    <mergeCell ref="NLI3:NLL3"/>
    <mergeCell ref="NLM3:NLP3"/>
    <mergeCell ref="NUW3:NUZ3"/>
    <mergeCell ref="NVA3:NVD3"/>
    <mergeCell ref="NVE3:NVH3"/>
    <mergeCell ref="NVI3:NVL3"/>
    <mergeCell ref="NVM3:NVP3"/>
    <mergeCell ref="NVQ3:NVT3"/>
    <mergeCell ref="NTY3:NUB3"/>
    <mergeCell ref="NUC3:NUF3"/>
    <mergeCell ref="NUG3:NUJ3"/>
    <mergeCell ref="NUK3:NUN3"/>
    <mergeCell ref="NUO3:NUR3"/>
    <mergeCell ref="NUS3:NUV3"/>
    <mergeCell ref="NTA3:NTD3"/>
    <mergeCell ref="NTE3:NTH3"/>
    <mergeCell ref="NTI3:NTL3"/>
    <mergeCell ref="NTM3:NTP3"/>
    <mergeCell ref="NTQ3:NTT3"/>
    <mergeCell ref="NTU3:NTX3"/>
    <mergeCell ref="NSC3:NSF3"/>
    <mergeCell ref="NSG3:NSJ3"/>
    <mergeCell ref="NSK3:NSN3"/>
    <mergeCell ref="NSO3:NSR3"/>
    <mergeCell ref="NSS3:NSV3"/>
    <mergeCell ref="NSW3:NSZ3"/>
    <mergeCell ref="NRE3:NRH3"/>
    <mergeCell ref="NRI3:NRL3"/>
    <mergeCell ref="NRM3:NRP3"/>
    <mergeCell ref="NRQ3:NRT3"/>
    <mergeCell ref="NRU3:NRX3"/>
    <mergeCell ref="NRY3:NSB3"/>
    <mergeCell ref="NQG3:NQJ3"/>
    <mergeCell ref="NQK3:NQN3"/>
    <mergeCell ref="NQO3:NQR3"/>
    <mergeCell ref="NQS3:NQV3"/>
    <mergeCell ref="NQW3:NQZ3"/>
    <mergeCell ref="NRA3:NRD3"/>
    <mergeCell ref="OAK3:OAN3"/>
    <mergeCell ref="OAO3:OAR3"/>
    <mergeCell ref="OAS3:OAV3"/>
    <mergeCell ref="OAW3:OAZ3"/>
    <mergeCell ref="OBA3:OBD3"/>
    <mergeCell ref="OBE3:OBH3"/>
    <mergeCell ref="NZM3:NZP3"/>
    <mergeCell ref="NZQ3:NZT3"/>
    <mergeCell ref="NZU3:NZX3"/>
    <mergeCell ref="NZY3:OAB3"/>
    <mergeCell ref="OAC3:OAF3"/>
    <mergeCell ref="OAG3:OAJ3"/>
    <mergeCell ref="NYO3:NYR3"/>
    <mergeCell ref="NYS3:NYV3"/>
    <mergeCell ref="NYW3:NYZ3"/>
    <mergeCell ref="NZA3:NZD3"/>
    <mergeCell ref="NZE3:NZH3"/>
    <mergeCell ref="NZI3:NZL3"/>
    <mergeCell ref="NXQ3:NXT3"/>
    <mergeCell ref="NXU3:NXX3"/>
    <mergeCell ref="NXY3:NYB3"/>
    <mergeCell ref="NYC3:NYF3"/>
    <mergeCell ref="NYG3:NYJ3"/>
    <mergeCell ref="NYK3:NYN3"/>
    <mergeCell ref="NWS3:NWV3"/>
    <mergeCell ref="NWW3:NWZ3"/>
    <mergeCell ref="NXA3:NXD3"/>
    <mergeCell ref="NXE3:NXH3"/>
    <mergeCell ref="NXI3:NXL3"/>
    <mergeCell ref="NXM3:NXP3"/>
    <mergeCell ref="NVU3:NVX3"/>
    <mergeCell ref="NVY3:NWB3"/>
    <mergeCell ref="NWC3:NWF3"/>
    <mergeCell ref="NWG3:NWJ3"/>
    <mergeCell ref="NWK3:NWN3"/>
    <mergeCell ref="NWO3:NWR3"/>
    <mergeCell ref="OFY3:OGB3"/>
    <mergeCell ref="OGC3:OGF3"/>
    <mergeCell ref="OGG3:OGJ3"/>
    <mergeCell ref="OGK3:OGN3"/>
    <mergeCell ref="OGO3:OGR3"/>
    <mergeCell ref="OGS3:OGV3"/>
    <mergeCell ref="OFA3:OFD3"/>
    <mergeCell ref="OFE3:OFH3"/>
    <mergeCell ref="OFI3:OFL3"/>
    <mergeCell ref="OFM3:OFP3"/>
    <mergeCell ref="OFQ3:OFT3"/>
    <mergeCell ref="OFU3:OFX3"/>
    <mergeCell ref="OEC3:OEF3"/>
    <mergeCell ref="OEG3:OEJ3"/>
    <mergeCell ref="OEK3:OEN3"/>
    <mergeCell ref="OEO3:OER3"/>
    <mergeCell ref="OES3:OEV3"/>
    <mergeCell ref="OEW3:OEZ3"/>
    <mergeCell ref="ODE3:ODH3"/>
    <mergeCell ref="ODI3:ODL3"/>
    <mergeCell ref="ODM3:ODP3"/>
    <mergeCell ref="ODQ3:ODT3"/>
    <mergeCell ref="ODU3:ODX3"/>
    <mergeCell ref="ODY3:OEB3"/>
    <mergeCell ref="OCG3:OCJ3"/>
    <mergeCell ref="OCK3:OCN3"/>
    <mergeCell ref="OCO3:OCR3"/>
    <mergeCell ref="OCS3:OCV3"/>
    <mergeCell ref="OCW3:OCZ3"/>
    <mergeCell ref="ODA3:ODD3"/>
    <mergeCell ref="OBI3:OBL3"/>
    <mergeCell ref="OBM3:OBP3"/>
    <mergeCell ref="OBQ3:OBT3"/>
    <mergeCell ref="OBU3:OBX3"/>
    <mergeCell ref="OBY3:OCB3"/>
    <mergeCell ref="OCC3:OCF3"/>
    <mergeCell ref="OLM3:OLP3"/>
    <mergeCell ref="OLQ3:OLT3"/>
    <mergeCell ref="OLU3:OLX3"/>
    <mergeCell ref="OLY3:OMB3"/>
    <mergeCell ref="OMC3:OMF3"/>
    <mergeCell ref="OMG3:OMJ3"/>
    <mergeCell ref="OKO3:OKR3"/>
    <mergeCell ref="OKS3:OKV3"/>
    <mergeCell ref="OKW3:OKZ3"/>
    <mergeCell ref="OLA3:OLD3"/>
    <mergeCell ref="OLE3:OLH3"/>
    <mergeCell ref="OLI3:OLL3"/>
    <mergeCell ref="OJQ3:OJT3"/>
    <mergeCell ref="OJU3:OJX3"/>
    <mergeCell ref="OJY3:OKB3"/>
    <mergeCell ref="OKC3:OKF3"/>
    <mergeCell ref="OKG3:OKJ3"/>
    <mergeCell ref="OKK3:OKN3"/>
    <mergeCell ref="OIS3:OIV3"/>
    <mergeCell ref="OIW3:OIZ3"/>
    <mergeCell ref="OJA3:OJD3"/>
    <mergeCell ref="OJE3:OJH3"/>
    <mergeCell ref="OJI3:OJL3"/>
    <mergeCell ref="OJM3:OJP3"/>
    <mergeCell ref="OHU3:OHX3"/>
    <mergeCell ref="OHY3:OIB3"/>
    <mergeCell ref="OIC3:OIF3"/>
    <mergeCell ref="OIG3:OIJ3"/>
    <mergeCell ref="OIK3:OIN3"/>
    <mergeCell ref="OIO3:OIR3"/>
    <mergeCell ref="OGW3:OGZ3"/>
    <mergeCell ref="OHA3:OHD3"/>
    <mergeCell ref="OHE3:OHH3"/>
    <mergeCell ref="OHI3:OHL3"/>
    <mergeCell ref="OHM3:OHP3"/>
    <mergeCell ref="OHQ3:OHT3"/>
    <mergeCell ref="ORA3:ORD3"/>
    <mergeCell ref="ORE3:ORH3"/>
    <mergeCell ref="ORI3:ORL3"/>
    <mergeCell ref="ORM3:ORP3"/>
    <mergeCell ref="ORQ3:ORT3"/>
    <mergeCell ref="ORU3:ORX3"/>
    <mergeCell ref="OQC3:OQF3"/>
    <mergeCell ref="OQG3:OQJ3"/>
    <mergeCell ref="OQK3:OQN3"/>
    <mergeCell ref="OQO3:OQR3"/>
    <mergeCell ref="OQS3:OQV3"/>
    <mergeCell ref="OQW3:OQZ3"/>
    <mergeCell ref="OPE3:OPH3"/>
    <mergeCell ref="OPI3:OPL3"/>
    <mergeCell ref="OPM3:OPP3"/>
    <mergeCell ref="OPQ3:OPT3"/>
    <mergeCell ref="OPU3:OPX3"/>
    <mergeCell ref="OPY3:OQB3"/>
    <mergeCell ref="OOG3:OOJ3"/>
    <mergeCell ref="OOK3:OON3"/>
    <mergeCell ref="OOO3:OOR3"/>
    <mergeCell ref="OOS3:OOV3"/>
    <mergeCell ref="OOW3:OOZ3"/>
    <mergeCell ref="OPA3:OPD3"/>
    <mergeCell ref="ONI3:ONL3"/>
    <mergeCell ref="ONM3:ONP3"/>
    <mergeCell ref="ONQ3:ONT3"/>
    <mergeCell ref="ONU3:ONX3"/>
    <mergeCell ref="ONY3:OOB3"/>
    <mergeCell ref="OOC3:OOF3"/>
    <mergeCell ref="OMK3:OMN3"/>
    <mergeCell ref="OMO3:OMR3"/>
    <mergeCell ref="OMS3:OMV3"/>
    <mergeCell ref="OMW3:OMZ3"/>
    <mergeCell ref="ONA3:OND3"/>
    <mergeCell ref="ONE3:ONH3"/>
    <mergeCell ref="OWO3:OWR3"/>
    <mergeCell ref="OWS3:OWV3"/>
    <mergeCell ref="OWW3:OWZ3"/>
    <mergeCell ref="OXA3:OXD3"/>
    <mergeCell ref="OXE3:OXH3"/>
    <mergeCell ref="OXI3:OXL3"/>
    <mergeCell ref="OVQ3:OVT3"/>
    <mergeCell ref="OVU3:OVX3"/>
    <mergeCell ref="OVY3:OWB3"/>
    <mergeCell ref="OWC3:OWF3"/>
    <mergeCell ref="OWG3:OWJ3"/>
    <mergeCell ref="OWK3:OWN3"/>
    <mergeCell ref="OUS3:OUV3"/>
    <mergeCell ref="OUW3:OUZ3"/>
    <mergeCell ref="OVA3:OVD3"/>
    <mergeCell ref="OVE3:OVH3"/>
    <mergeCell ref="OVI3:OVL3"/>
    <mergeCell ref="OVM3:OVP3"/>
    <mergeCell ref="OTU3:OTX3"/>
    <mergeCell ref="OTY3:OUB3"/>
    <mergeCell ref="OUC3:OUF3"/>
    <mergeCell ref="OUG3:OUJ3"/>
    <mergeCell ref="OUK3:OUN3"/>
    <mergeCell ref="OUO3:OUR3"/>
    <mergeCell ref="OSW3:OSZ3"/>
    <mergeCell ref="OTA3:OTD3"/>
    <mergeCell ref="OTE3:OTH3"/>
    <mergeCell ref="OTI3:OTL3"/>
    <mergeCell ref="OTM3:OTP3"/>
    <mergeCell ref="OTQ3:OTT3"/>
    <mergeCell ref="ORY3:OSB3"/>
    <mergeCell ref="OSC3:OSF3"/>
    <mergeCell ref="OSG3:OSJ3"/>
    <mergeCell ref="OSK3:OSN3"/>
    <mergeCell ref="OSO3:OSR3"/>
    <mergeCell ref="OSS3:OSV3"/>
    <mergeCell ref="PCC3:PCF3"/>
    <mergeCell ref="PCG3:PCJ3"/>
    <mergeCell ref="PCK3:PCN3"/>
    <mergeCell ref="PCO3:PCR3"/>
    <mergeCell ref="PCS3:PCV3"/>
    <mergeCell ref="PCW3:PCZ3"/>
    <mergeCell ref="PBE3:PBH3"/>
    <mergeCell ref="PBI3:PBL3"/>
    <mergeCell ref="PBM3:PBP3"/>
    <mergeCell ref="PBQ3:PBT3"/>
    <mergeCell ref="PBU3:PBX3"/>
    <mergeCell ref="PBY3:PCB3"/>
    <mergeCell ref="PAG3:PAJ3"/>
    <mergeCell ref="PAK3:PAN3"/>
    <mergeCell ref="PAO3:PAR3"/>
    <mergeCell ref="PAS3:PAV3"/>
    <mergeCell ref="PAW3:PAZ3"/>
    <mergeCell ref="PBA3:PBD3"/>
    <mergeCell ref="OZI3:OZL3"/>
    <mergeCell ref="OZM3:OZP3"/>
    <mergeCell ref="OZQ3:OZT3"/>
    <mergeCell ref="OZU3:OZX3"/>
    <mergeCell ref="OZY3:PAB3"/>
    <mergeCell ref="PAC3:PAF3"/>
    <mergeCell ref="OYK3:OYN3"/>
    <mergeCell ref="OYO3:OYR3"/>
    <mergeCell ref="OYS3:OYV3"/>
    <mergeCell ref="OYW3:OYZ3"/>
    <mergeCell ref="OZA3:OZD3"/>
    <mergeCell ref="OZE3:OZH3"/>
    <mergeCell ref="OXM3:OXP3"/>
    <mergeCell ref="OXQ3:OXT3"/>
    <mergeCell ref="OXU3:OXX3"/>
    <mergeCell ref="OXY3:OYB3"/>
    <mergeCell ref="OYC3:OYF3"/>
    <mergeCell ref="OYG3:OYJ3"/>
    <mergeCell ref="PHQ3:PHT3"/>
    <mergeCell ref="PHU3:PHX3"/>
    <mergeCell ref="PHY3:PIB3"/>
    <mergeCell ref="PIC3:PIF3"/>
    <mergeCell ref="PIG3:PIJ3"/>
    <mergeCell ref="PIK3:PIN3"/>
    <mergeCell ref="PGS3:PGV3"/>
    <mergeCell ref="PGW3:PGZ3"/>
    <mergeCell ref="PHA3:PHD3"/>
    <mergeCell ref="PHE3:PHH3"/>
    <mergeCell ref="PHI3:PHL3"/>
    <mergeCell ref="PHM3:PHP3"/>
    <mergeCell ref="PFU3:PFX3"/>
    <mergeCell ref="PFY3:PGB3"/>
    <mergeCell ref="PGC3:PGF3"/>
    <mergeCell ref="PGG3:PGJ3"/>
    <mergeCell ref="PGK3:PGN3"/>
    <mergeCell ref="PGO3:PGR3"/>
    <mergeCell ref="PEW3:PEZ3"/>
    <mergeCell ref="PFA3:PFD3"/>
    <mergeCell ref="PFE3:PFH3"/>
    <mergeCell ref="PFI3:PFL3"/>
    <mergeCell ref="PFM3:PFP3"/>
    <mergeCell ref="PFQ3:PFT3"/>
    <mergeCell ref="PDY3:PEB3"/>
    <mergeCell ref="PEC3:PEF3"/>
    <mergeCell ref="PEG3:PEJ3"/>
    <mergeCell ref="PEK3:PEN3"/>
    <mergeCell ref="PEO3:PER3"/>
    <mergeCell ref="PES3:PEV3"/>
    <mergeCell ref="PDA3:PDD3"/>
    <mergeCell ref="PDE3:PDH3"/>
    <mergeCell ref="PDI3:PDL3"/>
    <mergeCell ref="PDM3:PDP3"/>
    <mergeCell ref="PDQ3:PDT3"/>
    <mergeCell ref="PDU3:PDX3"/>
    <mergeCell ref="PNE3:PNH3"/>
    <mergeCell ref="PNI3:PNL3"/>
    <mergeCell ref="PNM3:PNP3"/>
    <mergeCell ref="PNQ3:PNT3"/>
    <mergeCell ref="PNU3:PNX3"/>
    <mergeCell ref="PNY3:POB3"/>
    <mergeCell ref="PMG3:PMJ3"/>
    <mergeCell ref="PMK3:PMN3"/>
    <mergeCell ref="PMO3:PMR3"/>
    <mergeCell ref="PMS3:PMV3"/>
    <mergeCell ref="PMW3:PMZ3"/>
    <mergeCell ref="PNA3:PND3"/>
    <mergeCell ref="PLI3:PLL3"/>
    <mergeCell ref="PLM3:PLP3"/>
    <mergeCell ref="PLQ3:PLT3"/>
    <mergeCell ref="PLU3:PLX3"/>
    <mergeCell ref="PLY3:PMB3"/>
    <mergeCell ref="PMC3:PMF3"/>
    <mergeCell ref="PKK3:PKN3"/>
    <mergeCell ref="PKO3:PKR3"/>
    <mergeCell ref="PKS3:PKV3"/>
    <mergeCell ref="PKW3:PKZ3"/>
    <mergeCell ref="PLA3:PLD3"/>
    <mergeCell ref="PLE3:PLH3"/>
    <mergeCell ref="PJM3:PJP3"/>
    <mergeCell ref="PJQ3:PJT3"/>
    <mergeCell ref="PJU3:PJX3"/>
    <mergeCell ref="PJY3:PKB3"/>
    <mergeCell ref="PKC3:PKF3"/>
    <mergeCell ref="PKG3:PKJ3"/>
    <mergeCell ref="PIO3:PIR3"/>
    <mergeCell ref="PIS3:PIV3"/>
    <mergeCell ref="PIW3:PIZ3"/>
    <mergeCell ref="PJA3:PJD3"/>
    <mergeCell ref="PJE3:PJH3"/>
    <mergeCell ref="PJI3:PJL3"/>
    <mergeCell ref="PSS3:PSV3"/>
    <mergeCell ref="PSW3:PSZ3"/>
    <mergeCell ref="PTA3:PTD3"/>
    <mergeCell ref="PTE3:PTH3"/>
    <mergeCell ref="PTI3:PTL3"/>
    <mergeCell ref="PTM3:PTP3"/>
    <mergeCell ref="PRU3:PRX3"/>
    <mergeCell ref="PRY3:PSB3"/>
    <mergeCell ref="PSC3:PSF3"/>
    <mergeCell ref="PSG3:PSJ3"/>
    <mergeCell ref="PSK3:PSN3"/>
    <mergeCell ref="PSO3:PSR3"/>
    <mergeCell ref="PQW3:PQZ3"/>
    <mergeCell ref="PRA3:PRD3"/>
    <mergeCell ref="PRE3:PRH3"/>
    <mergeCell ref="PRI3:PRL3"/>
    <mergeCell ref="PRM3:PRP3"/>
    <mergeCell ref="PRQ3:PRT3"/>
    <mergeCell ref="PPY3:PQB3"/>
    <mergeCell ref="PQC3:PQF3"/>
    <mergeCell ref="PQG3:PQJ3"/>
    <mergeCell ref="PQK3:PQN3"/>
    <mergeCell ref="PQO3:PQR3"/>
    <mergeCell ref="PQS3:PQV3"/>
    <mergeCell ref="PPA3:PPD3"/>
    <mergeCell ref="PPE3:PPH3"/>
    <mergeCell ref="PPI3:PPL3"/>
    <mergeCell ref="PPM3:PPP3"/>
    <mergeCell ref="PPQ3:PPT3"/>
    <mergeCell ref="PPU3:PPX3"/>
    <mergeCell ref="POC3:POF3"/>
    <mergeCell ref="POG3:POJ3"/>
    <mergeCell ref="POK3:PON3"/>
    <mergeCell ref="POO3:POR3"/>
    <mergeCell ref="POS3:POV3"/>
    <mergeCell ref="POW3:POZ3"/>
    <mergeCell ref="PYG3:PYJ3"/>
    <mergeCell ref="PYK3:PYN3"/>
    <mergeCell ref="PYO3:PYR3"/>
    <mergeCell ref="PYS3:PYV3"/>
    <mergeCell ref="PYW3:PYZ3"/>
    <mergeCell ref="PZA3:PZD3"/>
    <mergeCell ref="PXI3:PXL3"/>
    <mergeCell ref="PXM3:PXP3"/>
    <mergeCell ref="PXQ3:PXT3"/>
    <mergeCell ref="PXU3:PXX3"/>
    <mergeCell ref="PXY3:PYB3"/>
    <mergeCell ref="PYC3:PYF3"/>
    <mergeCell ref="PWK3:PWN3"/>
    <mergeCell ref="PWO3:PWR3"/>
    <mergeCell ref="PWS3:PWV3"/>
    <mergeCell ref="PWW3:PWZ3"/>
    <mergeCell ref="PXA3:PXD3"/>
    <mergeCell ref="PXE3:PXH3"/>
    <mergeCell ref="PVM3:PVP3"/>
    <mergeCell ref="PVQ3:PVT3"/>
    <mergeCell ref="PVU3:PVX3"/>
    <mergeCell ref="PVY3:PWB3"/>
    <mergeCell ref="PWC3:PWF3"/>
    <mergeCell ref="PWG3:PWJ3"/>
    <mergeCell ref="PUO3:PUR3"/>
    <mergeCell ref="PUS3:PUV3"/>
    <mergeCell ref="PUW3:PUZ3"/>
    <mergeCell ref="PVA3:PVD3"/>
    <mergeCell ref="PVE3:PVH3"/>
    <mergeCell ref="PVI3:PVL3"/>
    <mergeCell ref="PTQ3:PTT3"/>
    <mergeCell ref="PTU3:PTX3"/>
    <mergeCell ref="PTY3:PUB3"/>
    <mergeCell ref="PUC3:PUF3"/>
    <mergeCell ref="PUG3:PUJ3"/>
    <mergeCell ref="PUK3:PUN3"/>
    <mergeCell ref="QDU3:QDX3"/>
    <mergeCell ref="QDY3:QEB3"/>
    <mergeCell ref="QEC3:QEF3"/>
    <mergeCell ref="QEG3:QEJ3"/>
    <mergeCell ref="QEK3:QEN3"/>
    <mergeCell ref="QEO3:QER3"/>
    <mergeCell ref="QCW3:QCZ3"/>
    <mergeCell ref="QDA3:QDD3"/>
    <mergeCell ref="QDE3:QDH3"/>
    <mergeCell ref="QDI3:QDL3"/>
    <mergeCell ref="QDM3:QDP3"/>
    <mergeCell ref="QDQ3:QDT3"/>
    <mergeCell ref="QBY3:QCB3"/>
    <mergeCell ref="QCC3:QCF3"/>
    <mergeCell ref="QCG3:QCJ3"/>
    <mergeCell ref="QCK3:QCN3"/>
    <mergeCell ref="QCO3:QCR3"/>
    <mergeCell ref="QCS3:QCV3"/>
    <mergeCell ref="QBA3:QBD3"/>
    <mergeCell ref="QBE3:QBH3"/>
    <mergeCell ref="QBI3:QBL3"/>
    <mergeCell ref="QBM3:QBP3"/>
    <mergeCell ref="QBQ3:QBT3"/>
    <mergeCell ref="QBU3:QBX3"/>
    <mergeCell ref="QAC3:QAF3"/>
    <mergeCell ref="QAG3:QAJ3"/>
    <mergeCell ref="QAK3:QAN3"/>
    <mergeCell ref="QAO3:QAR3"/>
    <mergeCell ref="QAS3:QAV3"/>
    <mergeCell ref="QAW3:QAZ3"/>
    <mergeCell ref="PZE3:PZH3"/>
    <mergeCell ref="PZI3:PZL3"/>
    <mergeCell ref="PZM3:PZP3"/>
    <mergeCell ref="PZQ3:PZT3"/>
    <mergeCell ref="PZU3:PZX3"/>
    <mergeCell ref="PZY3:QAB3"/>
    <mergeCell ref="QJI3:QJL3"/>
    <mergeCell ref="QJM3:QJP3"/>
    <mergeCell ref="QJQ3:QJT3"/>
    <mergeCell ref="QJU3:QJX3"/>
    <mergeCell ref="QJY3:QKB3"/>
    <mergeCell ref="QKC3:QKF3"/>
    <mergeCell ref="QIK3:QIN3"/>
    <mergeCell ref="QIO3:QIR3"/>
    <mergeCell ref="QIS3:QIV3"/>
    <mergeCell ref="QIW3:QIZ3"/>
    <mergeCell ref="QJA3:QJD3"/>
    <mergeCell ref="QJE3:QJH3"/>
    <mergeCell ref="QHM3:QHP3"/>
    <mergeCell ref="QHQ3:QHT3"/>
    <mergeCell ref="QHU3:QHX3"/>
    <mergeCell ref="QHY3:QIB3"/>
    <mergeCell ref="QIC3:QIF3"/>
    <mergeCell ref="QIG3:QIJ3"/>
    <mergeCell ref="QGO3:QGR3"/>
    <mergeCell ref="QGS3:QGV3"/>
    <mergeCell ref="QGW3:QGZ3"/>
    <mergeCell ref="QHA3:QHD3"/>
    <mergeCell ref="QHE3:QHH3"/>
    <mergeCell ref="QHI3:QHL3"/>
    <mergeCell ref="QFQ3:QFT3"/>
    <mergeCell ref="QFU3:QFX3"/>
    <mergeCell ref="QFY3:QGB3"/>
    <mergeCell ref="QGC3:QGF3"/>
    <mergeCell ref="QGG3:QGJ3"/>
    <mergeCell ref="QGK3:QGN3"/>
    <mergeCell ref="QES3:QEV3"/>
    <mergeCell ref="QEW3:QEZ3"/>
    <mergeCell ref="QFA3:QFD3"/>
    <mergeCell ref="QFE3:QFH3"/>
    <mergeCell ref="QFI3:QFL3"/>
    <mergeCell ref="QFM3:QFP3"/>
    <mergeCell ref="QOW3:QOZ3"/>
    <mergeCell ref="QPA3:QPD3"/>
    <mergeCell ref="QPE3:QPH3"/>
    <mergeCell ref="QPI3:QPL3"/>
    <mergeCell ref="QPM3:QPP3"/>
    <mergeCell ref="QPQ3:QPT3"/>
    <mergeCell ref="QNY3:QOB3"/>
    <mergeCell ref="QOC3:QOF3"/>
    <mergeCell ref="QOG3:QOJ3"/>
    <mergeCell ref="QOK3:QON3"/>
    <mergeCell ref="QOO3:QOR3"/>
    <mergeCell ref="QOS3:QOV3"/>
    <mergeCell ref="QNA3:QND3"/>
    <mergeCell ref="QNE3:QNH3"/>
    <mergeCell ref="QNI3:QNL3"/>
    <mergeCell ref="QNM3:QNP3"/>
    <mergeCell ref="QNQ3:QNT3"/>
    <mergeCell ref="QNU3:QNX3"/>
    <mergeCell ref="QMC3:QMF3"/>
    <mergeCell ref="QMG3:QMJ3"/>
    <mergeCell ref="QMK3:QMN3"/>
    <mergeCell ref="QMO3:QMR3"/>
    <mergeCell ref="QMS3:QMV3"/>
    <mergeCell ref="QMW3:QMZ3"/>
    <mergeCell ref="QLE3:QLH3"/>
    <mergeCell ref="QLI3:QLL3"/>
    <mergeCell ref="QLM3:QLP3"/>
    <mergeCell ref="QLQ3:QLT3"/>
    <mergeCell ref="QLU3:QLX3"/>
    <mergeCell ref="QLY3:QMB3"/>
    <mergeCell ref="QKG3:QKJ3"/>
    <mergeCell ref="QKK3:QKN3"/>
    <mergeCell ref="QKO3:QKR3"/>
    <mergeCell ref="QKS3:QKV3"/>
    <mergeCell ref="QKW3:QKZ3"/>
    <mergeCell ref="QLA3:QLD3"/>
    <mergeCell ref="QUK3:QUN3"/>
    <mergeCell ref="QUO3:QUR3"/>
    <mergeCell ref="QUS3:QUV3"/>
    <mergeCell ref="QUW3:QUZ3"/>
    <mergeCell ref="QVA3:QVD3"/>
    <mergeCell ref="QVE3:QVH3"/>
    <mergeCell ref="QTM3:QTP3"/>
    <mergeCell ref="QTQ3:QTT3"/>
    <mergeCell ref="QTU3:QTX3"/>
    <mergeCell ref="QTY3:QUB3"/>
    <mergeCell ref="QUC3:QUF3"/>
    <mergeCell ref="QUG3:QUJ3"/>
    <mergeCell ref="QSO3:QSR3"/>
    <mergeCell ref="QSS3:QSV3"/>
    <mergeCell ref="QSW3:QSZ3"/>
    <mergeCell ref="QTA3:QTD3"/>
    <mergeCell ref="QTE3:QTH3"/>
    <mergeCell ref="QTI3:QTL3"/>
    <mergeCell ref="QRQ3:QRT3"/>
    <mergeCell ref="QRU3:QRX3"/>
    <mergeCell ref="QRY3:QSB3"/>
    <mergeCell ref="QSC3:QSF3"/>
    <mergeCell ref="QSG3:QSJ3"/>
    <mergeCell ref="QSK3:QSN3"/>
    <mergeCell ref="QQS3:QQV3"/>
    <mergeCell ref="QQW3:QQZ3"/>
    <mergeCell ref="QRA3:QRD3"/>
    <mergeCell ref="QRE3:QRH3"/>
    <mergeCell ref="QRI3:QRL3"/>
    <mergeCell ref="QRM3:QRP3"/>
    <mergeCell ref="QPU3:QPX3"/>
    <mergeCell ref="QPY3:QQB3"/>
    <mergeCell ref="QQC3:QQF3"/>
    <mergeCell ref="QQG3:QQJ3"/>
    <mergeCell ref="QQK3:QQN3"/>
    <mergeCell ref="QQO3:QQR3"/>
    <mergeCell ref="QZY3:RAB3"/>
    <mergeCell ref="RAC3:RAF3"/>
    <mergeCell ref="RAG3:RAJ3"/>
    <mergeCell ref="RAK3:RAN3"/>
    <mergeCell ref="RAO3:RAR3"/>
    <mergeCell ref="RAS3:RAV3"/>
    <mergeCell ref="QZA3:QZD3"/>
    <mergeCell ref="QZE3:QZH3"/>
    <mergeCell ref="QZI3:QZL3"/>
    <mergeCell ref="QZM3:QZP3"/>
    <mergeCell ref="QZQ3:QZT3"/>
    <mergeCell ref="QZU3:QZX3"/>
    <mergeCell ref="QYC3:QYF3"/>
    <mergeCell ref="QYG3:QYJ3"/>
    <mergeCell ref="QYK3:QYN3"/>
    <mergeCell ref="QYO3:QYR3"/>
    <mergeCell ref="QYS3:QYV3"/>
    <mergeCell ref="QYW3:QYZ3"/>
    <mergeCell ref="QXE3:QXH3"/>
    <mergeCell ref="QXI3:QXL3"/>
    <mergeCell ref="QXM3:QXP3"/>
    <mergeCell ref="QXQ3:QXT3"/>
    <mergeCell ref="QXU3:QXX3"/>
    <mergeCell ref="QXY3:QYB3"/>
    <mergeCell ref="QWG3:QWJ3"/>
    <mergeCell ref="QWK3:QWN3"/>
    <mergeCell ref="QWO3:QWR3"/>
    <mergeCell ref="QWS3:QWV3"/>
    <mergeCell ref="QWW3:QWZ3"/>
    <mergeCell ref="QXA3:QXD3"/>
    <mergeCell ref="QVI3:QVL3"/>
    <mergeCell ref="QVM3:QVP3"/>
    <mergeCell ref="QVQ3:QVT3"/>
    <mergeCell ref="QVU3:QVX3"/>
    <mergeCell ref="QVY3:QWB3"/>
    <mergeCell ref="QWC3:QWF3"/>
    <mergeCell ref="RFM3:RFP3"/>
    <mergeCell ref="RFQ3:RFT3"/>
    <mergeCell ref="RFU3:RFX3"/>
    <mergeCell ref="RFY3:RGB3"/>
    <mergeCell ref="RGC3:RGF3"/>
    <mergeCell ref="RGG3:RGJ3"/>
    <mergeCell ref="REO3:RER3"/>
    <mergeCell ref="RES3:REV3"/>
    <mergeCell ref="REW3:REZ3"/>
    <mergeCell ref="RFA3:RFD3"/>
    <mergeCell ref="RFE3:RFH3"/>
    <mergeCell ref="RFI3:RFL3"/>
    <mergeCell ref="RDQ3:RDT3"/>
    <mergeCell ref="RDU3:RDX3"/>
    <mergeCell ref="RDY3:REB3"/>
    <mergeCell ref="REC3:REF3"/>
    <mergeCell ref="REG3:REJ3"/>
    <mergeCell ref="REK3:REN3"/>
    <mergeCell ref="RCS3:RCV3"/>
    <mergeCell ref="RCW3:RCZ3"/>
    <mergeCell ref="RDA3:RDD3"/>
    <mergeCell ref="RDE3:RDH3"/>
    <mergeCell ref="RDI3:RDL3"/>
    <mergeCell ref="RDM3:RDP3"/>
    <mergeCell ref="RBU3:RBX3"/>
    <mergeCell ref="RBY3:RCB3"/>
    <mergeCell ref="RCC3:RCF3"/>
    <mergeCell ref="RCG3:RCJ3"/>
    <mergeCell ref="RCK3:RCN3"/>
    <mergeCell ref="RCO3:RCR3"/>
    <mergeCell ref="RAW3:RAZ3"/>
    <mergeCell ref="RBA3:RBD3"/>
    <mergeCell ref="RBE3:RBH3"/>
    <mergeCell ref="RBI3:RBL3"/>
    <mergeCell ref="RBM3:RBP3"/>
    <mergeCell ref="RBQ3:RBT3"/>
    <mergeCell ref="RLA3:RLD3"/>
    <mergeCell ref="RLE3:RLH3"/>
    <mergeCell ref="RLI3:RLL3"/>
    <mergeCell ref="RLM3:RLP3"/>
    <mergeCell ref="RLQ3:RLT3"/>
    <mergeCell ref="RLU3:RLX3"/>
    <mergeCell ref="RKC3:RKF3"/>
    <mergeCell ref="RKG3:RKJ3"/>
    <mergeCell ref="RKK3:RKN3"/>
    <mergeCell ref="RKO3:RKR3"/>
    <mergeCell ref="RKS3:RKV3"/>
    <mergeCell ref="RKW3:RKZ3"/>
    <mergeCell ref="RJE3:RJH3"/>
    <mergeCell ref="RJI3:RJL3"/>
    <mergeCell ref="RJM3:RJP3"/>
    <mergeCell ref="RJQ3:RJT3"/>
    <mergeCell ref="RJU3:RJX3"/>
    <mergeCell ref="RJY3:RKB3"/>
    <mergeCell ref="RIG3:RIJ3"/>
    <mergeCell ref="RIK3:RIN3"/>
    <mergeCell ref="RIO3:RIR3"/>
    <mergeCell ref="RIS3:RIV3"/>
    <mergeCell ref="RIW3:RIZ3"/>
    <mergeCell ref="RJA3:RJD3"/>
    <mergeCell ref="RHI3:RHL3"/>
    <mergeCell ref="RHM3:RHP3"/>
    <mergeCell ref="RHQ3:RHT3"/>
    <mergeCell ref="RHU3:RHX3"/>
    <mergeCell ref="RHY3:RIB3"/>
    <mergeCell ref="RIC3:RIF3"/>
    <mergeCell ref="RGK3:RGN3"/>
    <mergeCell ref="RGO3:RGR3"/>
    <mergeCell ref="RGS3:RGV3"/>
    <mergeCell ref="RGW3:RGZ3"/>
    <mergeCell ref="RHA3:RHD3"/>
    <mergeCell ref="RHE3:RHH3"/>
    <mergeCell ref="RQO3:RQR3"/>
    <mergeCell ref="RQS3:RQV3"/>
    <mergeCell ref="RQW3:RQZ3"/>
    <mergeCell ref="RRA3:RRD3"/>
    <mergeCell ref="RRE3:RRH3"/>
    <mergeCell ref="RRI3:RRL3"/>
    <mergeCell ref="RPQ3:RPT3"/>
    <mergeCell ref="RPU3:RPX3"/>
    <mergeCell ref="RPY3:RQB3"/>
    <mergeCell ref="RQC3:RQF3"/>
    <mergeCell ref="RQG3:RQJ3"/>
    <mergeCell ref="RQK3:RQN3"/>
    <mergeCell ref="ROS3:ROV3"/>
    <mergeCell ref="ROW3:ROZ3"/>
    <mergeCell ref="RPA3:RPD3"/>
    <mergeCell ref="RPE3:RPH3"/>
    <mergeCell ref="RPI3:RPL3"/>
    <mergeCell ref="RPM3:RPP3"/>
    <mergeCell ref="RNU3:RNX3"/>
    <mergeCell ref="RNY3:ROB3"/>
    <mergeCell ref="ROC3:ROF3"/>
    <mergeCell ref="ROG3:ROJ3"/>
    <mergeCell ref="ROK3:RON3"/>
    <mergeCell ref="ROO3:ROR3"/>
    <mergeCell ref="RMW3:RMZ3"/>
    <mergeCell ref="RNA3:RND3"/>
    <mergeCell ref="RNE3:RNH3"/>
    <mergeCell ref="RNI3:RNL3"/>
    <mergeCell ref="RNM3:RNP3"/>
    <mergeCell ref="RNQ3:RNT3"/>
    <mergeCell ref="RLY3:RMB3"/>
    <mergeCell ref="RMC3:RMF3"/>
    <mergeCell ref="RMG3:RMJ3"/>
    <mergeCell ref="RMK3:RMN3"/>
    <mergeCell ref="RMO3:RMR3"/>
    <mergeCell ref="RMS3:RMV3"/>
    <mergeCell ref="RWC3:RWF3"/>
    <mergeCell ref="RWG3:RWJ3"/>
    <mergeCell ref="RWK3:RWN3"/>
    <mergeCell ref="RWO3:RWR3"/>
    <mergeCell ref="RWS3:RWV3"/>
    <mergeCell ref="RWW3:RWZ3"/>
    <mergeCell ref="RVE3:RVH3"/>
    <mergeCell ref="RVI3:RVL3"/>
    <mergeCell ref="RVM3:RVP3"/>
    <mergeCell ref="RVQ3:RVT3"/>
    <mergeCell ref="RVU3:RVX3"/>
    <mergeCell ref="RVY3:RWB3"/>
    <mergeCell ref="RUG3:RUJ3"/>
    <mergeCell ref="RUK3:RUN3"/>
    <mergeCell ref="RUO3:RUR3"/>
    <mergeCell ref="RUS3:RUV3"/>
    <mergeCell ref="RUW3:RUZ3"/>
    <mergeCell ref="RVA3:RVD3"/>
    <mergeCell ref="RTI3:RTL3"/>
    <mergeCell ref="RTM3:RTP3"/>
    <mergeCell ref="RTQ3:RTT3"/>
    <mergeCell ref="RTU3:RTX3"/>
    <mergeCell ref="RTY3:RUB3"/>
    <mergeCell ref="RUC3:RUF3"/>
    <mergeCell ref="RSK3:RSN3"/>
    <mergeCell ref="RSO3:RSR3"/>
    <mergeCell ref="RSS3:RSV3"/>
    <mergeCell ref="RSW3:RSZ3"/>
    <mergeCell ref="RTA3:RTD3"/>
    <mergeCell ref="RTE3:RTH3"/>
    <mergeCell ref="RRM3:RRP3"/>
    <mergeCell ref="RRQ3:RRT3"/>
    <mergeCell ref="RRU3:RRX3"/>
    <mergeCell ref="RRY3:RSB3"/>
    <mergeCell ref="RSC3:RSF3"/>
    <mergeCell ref="RSG3:RSJ3"/>
    <mergeCell ref="SBQ3:SBT3"/>
    <mergeCell ref="SBU3:SBX3"/>
    <mergeCell ref="SBY3:SCB3"/>
    <mergeCell ref="SCC3:SCF3"/>
    <mergeCell ref="SCG3:SCJ3"/>
    <mergeCell ref="SCK3:SCN3"/>
    <mergeCell ref="SAS3:SAV3"/>
    <mergeCell ref="SAW3:SAZ3"/>
    <mergeCell ref="SBA3:SBD3"/>
    <mergeCell ref="SBE3:SBH3"/>
    <mergeCell ref="SBI3:SBL3"/>
    <mergeCell ref="SBM3:SBP3"/>
    <mergeCell ref="RZU3:RZX3"/>
    <mergeCell ref="RZY3:SAB3"/>
    <mergeCell ref="SAC3:SAF3"/>
    <mergeCell ref="SAG3:SAJ3"/>
    <mergeCell ref="SAK3:SAN3"/>
    <mergeCell ref="SAO3:SAR3"/>
    <mergeCell ref="RYW3:RYZ3"/>
    <mergeCell ref="RZA3:RZD3"/>
    <mergeCell ref="RZE3:RZH3"/>
    <mergeCell ref="RZI3:RZL3"/>
    <mergeCell ref="RZM3:RZP3"/>
    <mergeCell ref="RZQ3:RZT3"/>
    <mergeCell ref="RXY3:RYB3"/>
    <mergeCell ref="RYC3:RYF3"/>
    <mergeCell ref="RYG3:RYJ3"/>
    <mergeCell ref="RYK3:RYN3"/>
    <mergeCell ref="RYO3:RYR3"/>
    <mergeCell ref="RYS3:RYV3"/>
    <mergeCell ref="RXA3:RXD3"/>
    <mergeCell ref="RXE3:RXH3"/>
    <mergeCell ref="RXI3:RXL3"/>
    <mergeCell ref="RXM3:RXP3"/>
    <mergeCell ref="RXQ3:RXT3"/>
    <mergeCell ref="RXU3:RXX3"/>
    <mergeCell ref="SHE3:SHH3"/>
    <mergeCell ref="SHI3:SHL3"/>
    <mergeCell ref="SHM3:SHP3"/>
    <mergeCell ref="SHQ3:SHT3"/>
    <mergeCell ref="SHU3:SHX3"/>
    <mergeCell ref="SHY3:SIB3"/>
    <mergeCell ref="SGG3:SGJ3"/>
    <mergeCell ref="SGK3:SGN3"/>
    <mergeCell ref="SGO3:SGR3"/>
    <mergeCell ref="SGS3:SGV3"/>
    <mergeCell ref="SGW3:SGZ3"/>
    <mergeCell ref="SHA3:SHD3"/>
    <mergeCell ref="SFI3:SFL3"/>
    <mergeCell ref="SFM3:SFP3"/>
    <mergeCell ref="SFQ3:SFT3"/>
    <mergeCell ref="SFU3:SFX3"/>
    <mergeCell ref="SFY3:SGB3"/>
    <mergeCell ref="SGC3:SGF3"/>
    <mergeCell ref="SEK3:SEN3"/>
    <mergeCell ref="SEO3:SER3"/>
    <mergeCell ref="SES3:SEV3"/>
    <mergeCell ref="SEW3:SEZ3"/>
    <mergeCell ref="SFA3:SFD3"/>
    <mergeCell ref="SFE3:SFH3"/>
    <mergeCell ref="SDM3:SDP3"/>
    <mergeCell ref="SDQ3:SDT3"/>
    <mergeCell ref="SDU3:SDX3"/>
    <mergeCell ref="SDY3:SEB3"/>
    <mergeCell ref="SEC3:SEF3"/>
    <mergeCell ref="SEG3:SEJ3"/>
    <mergeCell ref="SCO3:SCR3"/>
    <mergeCell ref="SCS3:SCV3"/>
    <mergeCell ref="SCW3:SCZ3"/>
    <mergeCell ref="SDA3:SDD3"/>
    <mergeCell ref="SDE3:SDH3"/>
    <mergeCell ref="SDI3:SDL3"/>
    <mergeCell ref="SMS3:SMV3"/>
    <mergeCell ref="SMW3:SMZ3"/>
    <mergeCell ref="SNA3:SND3"/>
    <mergeCell ref="SNE3:SNH3"/>
    <mergeCell ref="SNI3:SNL3"/>
    <mergeCell ref="SNM3:SNP3"/>
    <mergeCell ref="SLU3:SLX3"/>
    <mergeCell ref="SLY3:SMB3"/>
    <mergeCell ref="SMC3:SMF3"/>
    <mergeCell ref="SMG3:SMJ3"/>
    <mergeCell ref="SMK3:SMN3"/>
    <mergeCell ref="SMO3:SMR3"/>
    <mergeCell ref="SKW3:SKZ3"/>
    <mergeCell ref="SLA3:SLD3"/>
    <mergeCell ref="SLE3:SLH3"/>
    <mergeCell ref="SLI3:SLL3"/>
    <mergeCell ref="SLM3:SLP3"/>
    <mergeCell ref="SLQ3:SLT3"/>
    <mergeCell ref="SJY3:SKB3"/>
    <mergeCell ref="SKC3:SKF3"/>
    <mergeCell ref="SKG3:SKJ3"/>
    <mergeCell ref="SKK3:SKN3"/>
    <mergeCell ref="SKO3:SKR3"/>
    <mergeCell ref="SKS3:SKV3"/>
    <mergeCell ref="SJA3:SJD3"/>
    <mergeCell ref="SJE3:SJH3"/>
    <mergeCell ref="SJI3:SJL3"/>
    <mergeCell ref="SJM3:SJP3"/>
    <mergeCell ref="SJQ3:SJT3"/>
    <mergeCell ref="SJU3:SJX3"/>
    <mergeCell ref="SIC3:SIF3"/>
    <mergeCell ref="SIG3:SIJ3"/>
    <mergeCell ref="SIK3:SIN3"/>
    <mergeCell ref="SIO3:SIR3"/>
    <mergeCell ref="SIS3:SIV3"/>
    <mergeCell ref="SIW3:SIZ3"/>
    <mergeCell ref="SSG3:SSJ3"/>
    <mergeCell ref="SSK3:SSN3"/>
    <mergeCell ref="SSO3:SSR3"/>
    <mergeCell ref="SSS3:SSV3"/>
    <mergeCell ref="SSW3:SSZ3"/>
    <mergeCell ref="STA3:STD3"/>
    <mergeCell ref="SRI3:SRL3"/>
    <mergeCell ref="SRM3:SRP3"/>
    <mergeCell ref="SRQ3:SRT3"/>
    <mergeCell ref="SRU3:SRX3"/>
    <mergeCell ref="SRY3:SSB3"/>
    <mergeCell ref="SSC3:SSF3"/>
    <mergeCell ref="SQK3:SQN3"/>
    <mergeCell ref="SQO3:SQR3"/>
    <mergeCell ref="SQS3:SQV3"/>
    <mergeCell ref="SQW3:SQZ3"/>
    <mergeCell ref="SRA3:SRD3"/>
    <mergeCell ref="SRE3:SRH3"/>
    <mergeCell ref="SPM3:SPP3"/>
    <mergeCell ref="SPQ3:SPT3"/>
    <mergeCell ref="SPU3:SPX3"/>
    <mergeCell ref="SPY3:SQB3"/>
    <mergeCell ref="SQC3:SQF3"/>
    <mergeCell ref="SQG3:SQJ3"/>
    <mergeCell ref="SOO3:SOR3"/>
    <mergeCell ref="SOS3:SOV3"/>
    <mergeCell ref="SOW3:SOZ3"/>
    <mergeCell ref="SPA3:SPD3"/>
    <mergeCell ref="SPE3:SPH3"/>
    <mergeCell ref="SPI3:SPL3"/>
    <mergeCell ref="SNQ3:SNT3"/>
    <mergeCell ref="SNU3:SNX3"/>
    <mergeCell ref="SNY3:SOB3"/>
    <mergeCell ref="SOC3:SOF3"/>
    <mergeCell ref="SOG3:SOJ3"/>
    <mergeCell ref="SOK3:SON3"/>
    <mergeCell ref="SXU3:SXX3"/>
    <mergeCell ref="SXY3:SYB3"/>
    <mergeCell ref="SYC3:SYF3"/>
    <mergeCell ref="SYG3:SYJ3"/>
    <mergeCell ref="SYK3:SYN3"/>
    <mergeCell ref="SYO3:SYR3"/>
    <mergeCell ref="SWW3:SWZ3"/>
    <mergeCell ref="SXA3:SXD3"/>
    <mergeCell ref="SXE3:SXH3"/>
    <mergeCell ref="SXI3:SXL3"/>
    <mergeCell ref="SXM3:SXP3"/>
    <mergeCell ref="SXQ3:SXT3"/>
    <mergeCell ref="SVY3:SWB3"/>
    <mergeCell ref="SWC3:SWF3"/>
    <mergeCell ref="SWG3:SWJ3"/>
    <mergeCell ref="SWK3:SWN3"/>
    <mergeCell ref="SWO3:SWR3"/>
    <mergeCell ref="SWS3:SWV3"/>
    <mergeCell ref="SVA3:SVD3"/>
    <mergeCell ref="SVE3:SVH3"/>
    <mergeCell ref="SVI3:SVL3"/>
    <mergeCell ref="SVM3:SVP3"/>
    <mergeCell ref="SVQ3:SVT3"/>
    <mergeCell ref="SVU3:SVX3"/>
    <mergeCell ref="SUC3:SUF3"/>
    <mergeCell ref="SUG3:SUJ3"/>
    <mergeCell ref="SUK3:SUN3"/>
    <mergeCell ref="SUO3:SUR3"/>
    <mergeCell ref="SUS3:SUV3"/>
    <mergeCell ref="SUW3:SUZ3"/>
    <mergeCell ref="STE3:STH3"/>
    <mergeCell ref="STI3:STL3"/>
    <mergeCell ref="STM3:STP3"/>
    <mergeCell ref="STQ3:STT3"/>
    <mergeCell ref="STU3:STX3"/>
    <mergeCell ref="STY3:SUB3"/>
    <mergeCell ref="TDI3:TDL3"/>
    <mergeCell ref="TDM3:TDP3"/>
    <mergeCell ref="TDQ3:TDT3"/>
    <mergeCell ref="TDU3:TDX3"/>
    <mergeCell ref="TDY3:TEB3"/>
    <mergeCell ref="TEC3:TEF3"/>
    <mergeCell ref="TCK3:TCN3"/>
    <mergeCell ref="TCO3:TCR3"/>
    <mergeCell ref="TCS3:TCV3"/>
    <mergeCell ref="TCW3:TCZ3"/>
    <mergeCell ref="TDA3:TDD3"/>
    <mergeCell ref="TDE3:TDH3"/>
    <mergeCell ref="TBM3:TBP3"/>
    <mergeCell ref="TBQ3:TBT3"/>
    <mergeCell ref="TBU3:TBX3"/>
    <mergeCell ref="TBY3:TCB3"/>
    <mergeCell ref="TCC3:TCF3"/>
    <mergeCell ref="TCG3:TCJ3"/>
    <mergeCell ref="TAO3:TAR3"/>
    <mergeCell ref="TAS3:TAV3"/>
    <mergeCell ref="TAW3:TAZ3"/>
    <mergeCell ref="TBA3:TBD3"/>
    <mergeCell ref="TBE3:TBH3"/>
    <mergeCell ref="TBI3:TBL3"/>
    <mergeCell ref="SZQ3:SZT3"/>
    <mergeCell ref="SZU3:SZX3"/>
    <mergeCell ref="SZY3:TAB3"/>
    <mergeCell ref="TAC3:TAF3"/>
    <mergeCell ref="TAG3:TAJ3"/>
    <mergeCell ref="TAK3:TAN3"/>
    <mergeCell ref="SYS3:SYV3"/>
    <mergeCell ref="SYW3:SYZ3"/>
    <mergeCell ref="SZA3:SZD3"/>
    <mergeCell ref="SZE3:SZH3"/>
    <mergeCell ref="SZI3:SZL3"/>
    <mergeCell ref="SZM3:SZP3"/>
    <mergeCell ref="TIW3:TIZ3"/>
    <mergeCell ref="TJA3:TJD3"/>
    <mergeCell ref="TJE3:TJH3"/>
    <mergeCell ref="TJI3:TJL3"/>
    <mergeCell ref="TJM3:TJP3"/>
    <mergeCell ref="TJQ3:TJT3"/>
    <mergeCell ref="THY3:TIB3"/>
    <mergeCell ref="TIC3:TIF3"/>
    <mergeCell ref="TIG3:TIJ3"/>
    <mergeCell ref="TIK3:TIN3"/>
    <mergeCell ref="TIO3:TIR3"/>
    <mergeCell ref="TIS3:TIV3"/>
    <mergeCell ref="THA3:THD3"/>
    <mergeCell ref="THE3:THH3"/>
    <mergeCell ref="THI3:THL3"/>
    <mergeCell ref="THM3:THP3"/>
    <mergeCell ref="THQ3:THT3"/>
    <mergeCell ref="THU3:THX3"/>
    <mergeCell ref="TGC3:TGF3"/>
    <mergeCell ref="TGG3:TGJ3"/>
    <mergeCell ref="TGK3:TGN3"/>
    <mergeCell ref="TGO3:TGR3"/>
    <mergeCell ref="TGS3:TGV3"/>
    <mergeCell ref="TGW3:TGZ3"/>
    <mergeCell ref="TFE3:TFH3"/>
    <mergeCell ref="TFI3:TFL3"/>
    <mergeCell ref="TFM3:TFP3"/>
    <mergeCell ref="TFQ3:TFT3"/>
    <mergeCell ref="TFU3:TFX3"/>
    <mergeCell ref="TFY3:TGB3"/>
    <mergeCell ref="TEG3:TEJ3"/>
    <mergeCell ref="TEK3:TEN3"/>
    <mergeCell ref="TEO3:TER3"/>
    <mergeCell ref="TES3:TEV3"/>
    <mergeCell ref="TEW3:TEZ3"/>
    <mergeCell ref="TFA3:TFD3"/>
    <mergeCell ref="TOK3:TON3"/>
    <mergeCell ref="TOO3:TOR3"/>
    <mergeCell ref="TOS3:TOV3"/>
    <mergeCell ref="TOW3:TOZ3"/>
    <mergeCell ref="TPA3:TPD3"/>
    <mergeCell ref="TPE3:TPH3"/>
    <mergeCell ref="TNM3:TNP3"/>
    <mergeCell ref="TNQ3:TNT3"/>
    <mergeCell ref="TNU3:TNX3"/>
    <mergeCell ref="TNY3:TOB3"/>
    <mergeCell ref="TOC3:TOF3"/>
    <mergeCell ref="TOG3:TOJ3"/>
    <mergeCell ref="TMO3:TMR3"/>
    <mergeCell ref="TMS3:TMV3"/>
    <mergeCell ref="TMW3:TMZ3"/>
    <mergeCell ref="TNA3:TND3"/>
    <mergeCell ref="TNE3:TNH3"/>
    <mergeCell ref="TNI3:TNL3"/>
    <mergeCell ref="TLQ3:TLT3"/>
    <mergeCell ref="TLU3:TLX3"/>
    <mergeCell ref="TLY3:TMB3"/>
    <mergeCell ref="TMC3:TMF3"/>
    <mergeCell ref="TMG3:TMJ3"/>
    <mergeCell ref="TMK3:TMN3"/>
    <mergeCell ref="TKS3:TKV3"/>
    <mergeCell ref="TKW3:TKZ3"/>
    <mergeCell ref="TLA3:TLD3"/>
    <mergeCell ref="TLE3:TLH3"/>
    <mergeCell ref="TLI3:TLL3"/>
    <mergeCell ref="TLM3:TLP3"/>
    <mergeCell ref="TJU3:TJX3"/>
    <mergeCell ref="TJY3:TKB3"/>
    <mergeCell ref="TKC3:TKF3"/>
    <mergeCell ref="TKG3:TKJ3"/>
    <mergeCell ref="TKK3:TKN3"/>
    <mergeCell ref="TKO3:TKR3"/>
    <mergeCell ref="TTY3:TUB3"/>
    <mergeCell ref="TUC3:TUF3"/>
    <mergeCell ref="TUG3:TUJ3"/>
    <mergeCell ref="TUK3:TUN3"/>
    <mergeCell ref="TUO3:TUR3"/>
    <mergeCell ref="TUS3:TUV3"/>
    <mergeCell ref="TTA3:TTD3"/>
    <mergeCell ref="TTE3:TTH3"/>
    <mergeCell ref="TTI3:TTL3"/>
    <mergeCell ref="TTM3:TTP3"/>
    <mergeCell ref="TTQ3:TTT3"/>
    <mergeCell ref="TTU3:TTX3"/>
    <mergeCell ref="TSC3:TSF3"/>
    <mergeCell ref="TSG3:TSJ3"/>
    <mergeCell ref="TSK3:TSN3"/>
    <mergeCell ref="TSO3:TSR3"/>
    <mergeCell ref="TSS3:TSV3"/>
    <mergeCell ref="TSW3:TSZ3"/>
    <mergeCell ref="TRE3:TRH3"/>
    <mergeCell ref="TRI3:TRL3"/>
    <mergeCell ref="TRM3:TRP3"/>
    <mergeCell ref="TRQ3:TRT3"/>
    <mergeCell ref="TRU3:TRX3"/>
    <mergeCell ref="TRY3:TSB3"/>
    <mergeCell ref="TQG3:TQJ3"/>
    <mergeCell ref="TQK3:TQN3"/>
    <mergeCell ref="TQO3:TQR3"/>
    <mergeCell ref="TQS3:TQV3"/>
    <mergeCell ref="TQW3:TQZ3"/>
    <mergeCell ref="TRA3:TRD3"/>
    <mergeCell ref="TPI3:TPL3"/>
    <mergeCell ref="TPM3:TPP3"/>
    <mergeCell ref="TPQ3:TPT3"/>
    <mergeCell ref="TPU3:TPX3"/>
    <mergeCell ref="TPY3:TQB3"/>
    <mergeCell ref="TQC3:TQF3"/>
    <mergeCell ref="TZM3:TZP3"/>
    <mergeCell ref="TZQ3:TZT3"/>
    <mergeCell ref="TZU3:TZX3"/>
    <mergeCell ref="TZY3:UAB3"/>
    <mergeCell ref="UAC3:UAF3"/>
    <mergeCell ref="UAG3:UAJ3"/>
    <mergeCell ref="TYO3:TYR3"/>
    <mergeCell ref="TYS3:TYV3"/>
    <mergeCell ref="TYW3:TYZ3"/>
    <mergeCell ref="TZA3:TZD3"/>
    <mergeCell ref="TZE3:TZH3"/>
    <mergeCell ref="TZI3:TZL3"/>
    <mergeCell ref="TXQ3:TXT3"/>
    <mergeCell ref="TXU3:TXX3"/>
    <mergeCell ref="TXY3:TYB3"/>
    <mergeCell ref="TYC3:TYF3"/>
    <mergeCell ref="TYG3:TYJ3"/>
    <mergeCell ref="TYK3:TYN3"/>
    <mergeCell ref="TWS3:TWV3"/>
    <mergeCell ref="TWW3:TWZ3"/>
    <mergeCell ref="TXA3:TXD3"/>
    <mergeCell ref="TXE3:TXH3"/>
    <mergeCell ref="TXI3:TXL3"/>
    <mergeCell ref="TXM3:TXP3"/>
    <mergeCell ref="TVU3:TVX3"/>
    <mergeCell ref="TVY3:TWB3"/>
    <mergeCell ref="TWC3:TWF3"/>
    <mergeCell ref="TWG3:TWJ3"/>
    <mergeCell ref="TWK3:TWN3"/>
    <mergeCell ref="TWO3:TWR3"/>
    <mergeCell ref="TUW3:TUZ3"/>
    <mergeCell ref="TVA3:TVD3"/>
    <mergeCell ref="TVE3:TVH3"/>
    <mergeCell ref="TVI3:TVL3"/>
    <mergeCell ref="TVM3:TVP3"/>
    <mergeCell ref="TVQ3:TVT3"/>
    <mergeCell ref="UFA3:UFD3"/>
    <mergeCell ref="UFE3:UFH3"/>
    <mergeCell ref="UFI3:UFL3"/>
    <mergeCell ref="UFM3:UFP3"/>
    <mergeCell ref="UFQ3:UFT3"/>
    <mergeCell ref="UFU3:UFX3"/>
    <mergeCell ref="UEC3:UEF3"/>
    <mergeCell ref="UEG3:UEJ3"/>
    <mergeCell ref="UEK3:UEN3"/>
    <mergeCell ref="UEO3:UER3"/>
    <mergeCell ref="UES3:UEV3"/>
    <mergeCell ref="UEW3:UEZ3"/>
    <mergeCell ref="UDE3:UDH3"/>
    <mergeCell ref="UDI3:UDL3"/>
    <mergeCell ref="UDM3:UDP3"/>
    <mergeCell ref="UDQ3:UDT3"/>
    <mergeCell ref="UDU3:UDX3"/>
    <mergeCell ref="UDY3:UEB3"/>
    <mergeCell ref="UCG3:UCJ3"/>
    <mergeCell ref="UCK3:UCN3"/>
    <mergeCell ref="UCO3:UCR3"/>
    <mergeCell ref="UCS3:UCV3"/>
    <mergeCell ref="UCW3:UCZ3"/>
    <mergeCell ref="UDA3:UDD3"/>
    <mergeCell ref="UBI3:UBL3"/>
    <mergeCell ref="UBM3:UBP3"/>
    <mergeCell ref="UBQ3:UBT3"/>
    <mergeCell ref="UBU3:UBX3"/>
    <mergeCell ref="UBY3:UCB3"/>
    <mergeCell ref="UCC3:UCF3"/>
    <mergeCell ref="UAK3:UAN3"/>
    <mergeCell ref="UAO3:UAR3"/>
    <mergeCell ref="UAS3:UAV3"/>
    <mergeCell ref="UAW3:UAZ3"/>
    <mergeCell ref="UBA3:UBD3"/>
    <mergeCell ref="UBE3:UBH3"/>
    <mergeCell ref="UKO3:UKR3"/>
    <mergeCell ref="UKS3:UKV3"/>
    <mergeCell ref="UKW3:UKZ3"/>
    <mergeCell ref="ULA3:ULD3"/>
    <mergeCell ref="ULE3:ULH3"/>
    <mergeCell ref="ULI3:ULL3"/>
    <mergeCell ref="UJQ3:UJT3"/>
    <mergeCell ref="UJU3:UJX3"/>
    <mergeCell ref="UJY3:UKB3"/>
    <mergeCell ref="UKC3:UKF3"/>
    <mergeCell ref="UKG3:UKJ3"/>
    <mergeCell ref="UKK3:UKN3"/>
    <mergeCell ref="UIS3:UIV3"/>
    <mergeCell ref="UIW3:UIZ3"/>
    <mergeCell ref="UJA3:UJD3"/>
    <mergeCell ref="UJE3:UJH3"/>
    <mergeCell ref="UJI3:UJL3"/>
    <mergeCell ref="UJM3:UJP3"/>
    <mergeCell ref="UHU3:UHX3"/>
    <mergeCell ref="UHY3:UIB3"/>
    <mergeCell ref="UIC3:UIF3"/>
    <mergeCell ref="UIG3:UIJ3"/>
    <mergeCell ref="UIK3:UIN3"/>
    <mergeCell ref="UIO3:UIR3"/>
    <mergeCell ref="UGW3:UGZ3"/>
    <mergeCell ref="UHA3:UHD3"/>
    <mergeCell ref="UHE3:UHH3"/>
    <mergeCell ref="UHI3:UHL3"/>
    <mergeCell ref="UHM3:UHP3"/>
    <mergeCell ref="UHQ3:UHT3"/>
    <mergeCell ref="UFY3:UGB3"/>
    <mergeCell ref="UGC3:UGF3"/>
    <mergeCell ref="UGG3:UGJ3"/>
    <mergeCell ref="UGK3:UGN3"/>
    <mergeCell ref="UGO3:UGR3"/>
    <mergeCell ref="UGS3:UGV3"/>
    <mergeCell ref="UQC3:UQF3"/>
    <mergeCell ref="UQG3:UQJ3"/>
    <mergeCell ref="UQK3:UQN3"/>
    <mergeCell ref="UQO3:UQR3"/>
    <mergeCell ref="UQS3:UQV3"/>
    <mergeCell ref="UQW3:UQZ3"/>
    <mergeCell ref="UPE3:UPH3"/>
    <mergeCell ref="UPI3:UPL3"/>
    <mergeCell ref="UPM3:UPP3"/>
    <mergeCell ref="UPQ3:UPT3"/>
    <mergeCell ref="UPU3:UPX3"/>
    <mergeCell ref="UPY3:UQB3"/>
    <mergeCell ref="UOG3:UOJ3"/>
    <mergeCell ref="UOK3:UON3"/>
    <mergeCell ref="UOO3:UOR3"/>
    <mergeCell ref="UOS3:UOV3"/>
    <mergeCell ref="UOW3:UOZ3"/>
    <mergeCell ref="UPA3:UPD3"/>
    <mergeCell ref="UNI3:UNL3"/>
    <mergeCell ref="UNM3:UNP3"/>
    <mergeCell ref="UNQ3:UNT3"/>
    <mergeCell ref="UNU3:UNX3"/>
    <mergeCell ref="UNY3:UOB3"/>
    <mergeCell ref="UOC3:UOF3"/>
    <mergeCell ref="UMK3:UMN3"/>
    <mergeCell ref="UMO3:UMR3"/>
    <mergeCell ref="UMS3:UMV3"/>
    <mergeCell ref="UMW3:UMZ3"/>
    <mergeCell ref="UNA3:UND3"/>
    <mergeCell ref="UNE3:UNH3"/>
    <mergeCell ref="ULM3:ULP3"/>
    <mergeCell ref="ULQ3:ULT3"/>
    <mergeCell ref="ULU3:ULX3"/>
    <mergeCell ref="ULY3:UMB3"/>
    <mergeCell ref="UMC3:UMF3"/>
    <mergeCell ref="UMG3:UMJ3"/>
    <mergeCell ref="UVQ3:UVT3"/>
    <mergeCell ref="UVU3:UVX3"/>
    <mergeCell ref="UVY3:UWB3"/>
    <mergeCell ref="UWC3:UWF3"/>
    <mergeCell ref="UWG3:UWJ3"/>
    <mergeCell ref="UWK3:UWN3"/>
    <mergeCell ref="UUS3:UUV3"/>
    <mergeCell ref="UUW3:UUZ3"/>
    <mergeCell ref="UVA3:UVD3"/>
    <mergeCell ref="UVE3:UVH3"/>
    <mergeCell ref="UVI3:UVL3"/>
    <mergeCell ref="UVM3:UVP3"/>
    <mergeCell ref="UTU3:UTX3"/>
    <mergeCell ref="UTY3:UUB3"/>
    <mergeCell ref="UUC3:UUF3"/>
    <mergeCell ref="UUG3:UUJ3"/>
    <mergeCell ref="UUK3:UUN3"/>
    <mergeCell ref="UUO3:UUR3"/>
    <mergeCell ref="USW3:USZ3"/>
    <mergeCell ref="UTA3:UTD3"/>
    <mergeCell ref="UTE3:UTH3"/>
    <mergeCell ref="UTI3:UTL3"/>
    <mergeCell ref="UTM3:UTP3"/>
    <mergeCell ref="UTQ3:UTT3"/>
    <mergeCell ref="URY3:USB3"/>
    <mergeCell ref="USC3:USF3"/>
    <mergeCell ref="USG3:USJ3"/>
    <mergeCell ref="USK3:USN3"/>
    <mergeCell ref="USO3:USR3"/>
    <mergeCell ref="USS3:USV3"/>
    <mergeCell ref="URA3:URD3"/>
    <mergeCell ref="URE3:URH3"/>
    <mergeCell ref="URI3:URL3"/>
    <mergeCell ref="URM3:URP3"/>
    <mergeCell ref="URQ3:URT3"/>
    <mergeCell ref="URU3:URX3"/>
    <mergeCell ref="VBE3:VBH3"/>
    <mergeCell ref="VBI3:VBL3"/>
    <mergeCell ref="VBM3:VBP3"/>
    <mergeCell ref="VBQ3:VBT3"/>
    <mergeCell ref="VBU3:VBX3"/>
    <mergeCell ref="VBY3:VCB3"/>
    <mergeCell ref="VAG3:VAJ3"/>
    <mergeCell ref="VAK3:VAN3"/>
    <mergeCell ref="VAO3:VAR3"/>
    <mergeCell ref="VAS3:VAV3"/>
    <mergeCell ref="VAW3:VAZ3"/>
    <mergeCell ref="VBA3:VBD3"/>
    <mergeCell ref="UZI3:UZL3"/>
    <mergeCell ref="UZM3:UZP3"/>
    <mergeCell ref="UZQ3:UZT3"/>
    <mergeCell ref="UZU3:UZX3"/>
    <mergeCell ref="UZY3:VAB3"/>
    <mergeCell ref="VAC3:VAF3"/>
    <mergeCell ref="UYK3:UYN3"/>
    <mergeCell ref="UYO3:UYR3"/>
    <mergeCell ref="UYS3:UYV3"/>
    <mergeCell ref="UYW3:UYZ3"/>
    <mergeCell ref="UZA3:UZD3"/>
    <mergeCell ref="UZE3:UZH3"/>
    <mergeCell ref="UXM3:UXP3"/>
    <mergeCell ref="UXQ3:UXT3"/>
    <mergeCell ref="UXU3:UXX3"/>
    <mergeCell ref="UXY3:UYB3"/>
    <mergeCell ref="UYC3:UYF3"/>
    <mergeCell ref="UYG3:UYJ3"/>
    <mergeCell ref="UWO3:UWR3"/>
    <mergeCell ref="UWS3:UWV3"/>
    <mergeCell ref="UWW3:UWZ3"/>
    <mergeCell ref="UXA3:UXD3"/>
    <mergeCell ref="UXE3:UXH3"/>
    <mergeCell ref="UXI3:UXL3"/>
    <mergeCell ref="VGS3:VGV3"/>
    <mergeCell ref="VGW3:VGZ3"/>
    <mergeCell ref="VHA3:VHD3"/>
    <mergeCell ref="VHE3:VHH3"/>
    <mergeCell ref="VHI3:VHL3"/>
    <mergeCell ref="VHM3:VHP3"/>
    <mergeCell ref="VFU3:VFX3"/>
    <mergeCell ref="VFY3:VGB3"/>
    <mergeCell ref="VGC3:VGF3"/>
    <mergeCell ref="VGG3:VGJ3"/>
    <mergeCell ref="VGK3:VGN3"/>
    <mergeCell ref="VGO3:VGR3"/>
    <mergeCell ref="VEW3:VEZ3"/>
    <mergeCell ref="VFA3:VFD3"/>
    <mergeCell ref="VFE3:VFH3"/>
    <mergeCell ref="VFI3:VFL3"/>
    <mergeCell ref="VFM3:VFP3"/>
    <mergeCell ref="VFQ3:VFT3"/>
    <mergeCell ref="VDY3:VEB3"/>
    <mergeCell ref="VEC3:VEF3"/>
    <mergeCell ref="VEG3:VEJ3"/>
    <mergeCell ref="VEK3:VEN3"/>
    <mergeCell ref="VEO3:VER3"/>
    <mergeCell ref="VES3:VEV3"/>
    <mergeCell ref="VDA3:VDD3"/>
    <mergeCell ref="VDE3:VDH3"/>
    <mergeCell ref="VDI3:VDL3"/>
    <mergeCell ref="VDM3:VDP3"/>
    <mergeCell ref="VDQ3:VDT3"/>
    <mergeCell ref="VDU3:VDX3"/>
    <mergeCell ref="VCC3:VCF3"/>
    <mergeCell ref="VCG3:VCJ3"/>
    <mergeCell ref="VCK3:VCN3"/>
    <mergeCell ref="VCO3:VCR3"/>
    <mergeCell ref="VCS3:VCV3"/>
    <mergeCell ref="VCW3:VCZ3"/>
    <mergeCell ref="VMG3:VMJ3"/>
    <mergeCell ref="VMK3:VMN3"/>
    <mergeCell ref="VMO3:VMR3"/>
    <mergeCell ref="VMS3:VMV3"/>
    <mergeCell ref="VMW3:VMZ3"/>
    <mergeCell ref="VNA3:VND3"/>
    <mergeCell ref="VLI3:VLL3"/>
    <mergeCell ref="VLM3:VLP3"/>
    <mergeCell ref="VLQ3:VLT3"/>
    <mergeCell ref="VLU3:VLX3"/>
    <mergeCell ref="VLY3:VMB3"/>
    <mergeCell ref="VMC3:VMF3"/>
    <mergeCell ref="VKK3:VKN3"/>
    <mergeCell ref="VKO3:VKR3"/>
    <mergeCell ref="VKS3:VKV3"/>
    <mergeCell ref="VKW3:VKZ3"/>
    <mergeCell ref="VLA3:VLD3"/>
    <mergeCell ref="VLE3:VLH3"/>
    <mergeCell ref="VJM3:VJP3"/>
    <mergeCell ref="VJQ3:VJT3"/>
    <mergeCell ref="VJU3:VJX3"/>
    <mergeCell ref="VJY3:VKB3"/>
    <mergeCell ref="VKC3:VKF3"/>
    <mergeCell ref="VKG3:VKJ3"/>
    <mergeCell ref="VIO3:VIR3"/>
    <mergeCell ref="VIS3:VIV3"/>
    <mergeCell ref="VIW3:VIZ3"/>
    <mergeCell ref="VJA3:VJD3"/>
    <mergeCell ref="VJE3:VJH3"/>
    <mergeCell ref="VJI3:VJL3"/>
    <mergeCell ref="VHQ3:VHT3"/>
    <mergeCell ref="VHU3:VHX3"/>
    <mergeCell ref="VHY3:VIB3"/>
    <mergeCell ref="VIC3:VIF3"/>
    <mergeCell ref="VIG3:VIJ3"/>
    <mergeCell ref="VIK3:VIN3"/>
    <mergeCell ref="VRU3:VRX3"/>
    <mergeCell ref="VRY3:VSB3"/>
    <mergeCell ref="VSC3:VSF3"/>
    <mergeCell ref="VSG3:VSJ3"/>
    <mergeCell ref="VSK3:VSN3"/>
    <mergeCell ref="VSO3:VSR3"/>
    <mergeCell ref="VQW3:VQZ3"/>
    <mergeCell ref="VRA3:VRD3"/>
    <mergeCell ref="VRE3:VRH3"/>
    <mergeCell ref="VRI3:VRL3"/>
    <mergeCell ref="VRM3:VRP3"/>
    <mergeCell ref="VRQ3:VRT3"/>
    <mergeCell ref="VPY3:VQB3"/>
    <mergeCell ref="VQC3:VQF3"/>
    <mergeCell ref="VQG3:VQJ3"/>
    <mergeCell ref="VQK3:VQN3"/>
    <mergeCell ref="VQO3:VQR3"/>
    <mergeCell ref="VQS3:VQV3"/>
    <mergeCell ref="VPA3:VPD3"/>
    <mergeCell ref="VPE3:VPH3"/>
    <mergeCell ref="VPI3:VPL3"/>
    <mergeCell ref="VPM3:VPP3"/>
    <mergeCell ref="VPQ3:VPT3"/>
    <mergeCell ref="VPU3:VPX3"/>
    <mergeCell ref="VOC3:VOF3"/>
    <mergeCell ref="VOG3:VOJ3"/>
    <mergeCell ref="VOK3:VON3"/>
    <mergeCell ref="VOO3:VOR3"/>
    <mergeCell ref="VOS3:VOV3"/>
    <mergeCell ref="VOW3:VOZ3"/>
    <mergeCell ref="VNE3:VNH3"/>
    <mergeCell ref="VNI3:VNL3"/>
    <mergeCell ref="VNM3:VNP3"/>
    <mergeCell ref="VNQ3:VNT3"/>
    <mergeCell ref="VNU3:VNX3"/>
    <mergeCell ref="VNY3:VOB3"/>
    <mergeCell ref="VXI3:VXL3"/>
    <mergeCell ref="VXM3:VXP3"/>
    <mergeCell ref="VXQ3:VXT3"/>
    <mergeCell ref="VXU3:VXX3"/>
    <mergeCell ref="VXY3:VYB3"/>
    <mergeCell ref="VYC3:VYF3"/>
    <mergeCell ref="VWK3:VWN3"/>
    <mergeCell ref="VWO3:VWR3"/>
    <mergeCell ref="VWS3:VWV3"/>
    <mergeCell ref="VWW3:VWZ3"/>
    <mergeCell ref="VXA3:VXD3"/>
    <mergeCell ref="VXE3:VXH3"/>
    <mergeCell ref="VVM3:VVP3"/>
    <mergeCell ref="VVQ3:VVT3"/>
    <mergeCell ref="VVU3:VVX3"/>
    <mergeCell ref="VVY3:VWB3"/>
    <mergeCell ref="VWC3:VWF3"/>
    <mergeCell ref="VWG3:VWJ3"/>
    <mergeCell ref="VUO3:VUR3"/>
    <mergeCell ref="VUS3:VUV3"/>
    <mergeCell ref="VUW3:VUZ3"/>
    <mergeCell ref="VVA3:VVD3"/>
    <mergeCell ref="VVE3:VVH3"/>
    <mergeCell ref="VVI3:VVL3"/>
    <mergeCell ref="VTQ3:VTT3"/>
    <mergeCell ref="VTU3:VTX3"/>
    <mergeCell ref="VTY3:VUB3"/>
    <mergeCell ref="VUC3:VUF3"/>
    <mergeCell ref="VUG3:VUJ3"/>
    <mergeCell ref="VUK3:VUN3"/>
    <mergeCell ref="VSS3:VSV3"/>
    <mergeCell ref="VSW3:VSZ3"/>
    <mergeCell ref="VTA3:VTD3"/>
    <mergeCell ref="VTE3:VTH3"/>
    <mergeCell ref="VTI3:VTL3"/>
    <mergeCell ref="VTM3:VTP3"/>
    <mergeCell ref="WCW3:WCZ3"/>
    <mergeCell ref="WDA3:WDD3"/>
    <mergeCell ref="WDE3:WDH3"/>
    <mergeCell ref="WDI3:WDL3"/>
    <mergeCell ref="WDM3:WDP3"/>
    <mergeCell ref="WDQ3:WDT3"/>
    <mergeCell ref="WBY3:WCB3"/>
    <mergeCell ref="WCC3:WCF3"/>
    <mergeCell ref="WCG3:WCJ3"/>
    <mergeCell ref="WCK3:WCN3"/>
    <mergeCell ref="WCO3:WCR3"/>
    <mergeCell ref="WCS3:WCV3"/>
    <mergeCell ref="WBA3:WBD3"/>
    <mergeCell ref="WBE3:WBH3"/>
    <mergeCell ref="WBI3:WBL3"/>
    <mergeCell ref="WBM3:WBP3"/>
    <mergeCell ref="WBQ3:WBT3"/>
    <mergeCell ref="WBU3:WBX3"/>
    <mergeCell ref="WAC3:WAF3"/>
    <mergeCell ref="WAG3:WAJ3"/>
    <mergeCell ref="WAK3:WAN3"/>
    <mergeCell ref="WAO3:WAR3"/>
    <mergeCell ref="WAS3:WAV3"/>
    <mergeCell ref="WAW3:WAZ3"/>
    <mergeCell ref="VZE3:VZH3"/>
    <mergeCell ref="VZI3:VZL3"/>
    <mergeCell ref="VZM3:VZP3"/>
    <mergeCell ref="VZQ3:VZT3"/>
    <mergeCell ref="VZU3:VZX3"/>
    <mergeCell ref="VZY3:WAB3"/>
    <mergeCell ref="VYG3:VYJ3"/>
    <mergeCell ref="VYK3:VYN3"/>
    <mergeCell ref="VYO3:VYR3"/>
    <mergeCell ref="VYS3:VYV3"/>
    <mergeCell ref="VYW3:VYZ3"/>
    <mergeCell ref="VZA3:VZD3"/>
    <mergeCell ref="WIK3:WIN3"/>
    <mergeCell ref="WIO3:WIR3"/>
    <mergeCell ref="WIS3:WIV3"/>
    <mergeCell ref="WIW3:WIZ3"/>
    <mergeCell ref="WJA3:WJD3"/>
    <mergeCell ref="WJE3:WJH3"/>
    <mergeCell ref="WHM3:WHP3"/>
    <mergeCell ref="WHQ3:WHT3"/>
    <mergeCell ref="WHU3:WHX3"/>
    <mergeCell ref="WHY3:WIB3"/>
    <mergeCell ref="WIC3:WIF3"/>
    <mergeCell ref="WIG3:WIJ3"/>
    <mergeCell ref="WGO3:WGR3"/>
    <mergeCell ref="WGS3:WGV3"/>
    <mergeCell ref="WGW3:WGZ3"/>
    <mergeCell ref="WHA3:WHD3"/>
    <mergeCell ref="WHE3:WHH3"/>
    <mergeCell ref="WHI3:WHL3"/>
    <mergeCell ref="WFQ3:WFT3"/>
    <mergeCell ref="WFU3:WFX3"/>
    <mergeCell ref="WFY3:WGB3"/>
    <mergeCell ref="WGC3:WGF3"/>
    <mergeCell ref="WGG3:WGJ3"/>
    <mergeCell ref="WGK3:WGN3"/>
    <mergeCell ref="WES3:WEV3"/>
    <mergeCell ref="WEW3:WEZ3"/>
    <mergeCell ref="WFA3:WFD3"/>
    <mergeCell ref="WFE3:WFH3"/>
    <mergeCell ref="WFI3:WFL3"/>
    <mergeCell ref="WFM3:WFP3"/>
    <mergeCell ref="WDU3:WDX3"/>
    <mergeCell ref="WDY3:WEB3"/>
    <mergeCell ref="WEC3:WEF3"/>
    <mergeCell ref="WEG3:WEJ3"/>
    <mergeCell ref="WEK3:WEN3"/>
    <mergeCell ref="WEO3:WER3"/>
    <mergeCell ref="WNY3:WOB3"/>
    <mergeCell ref="WOC3:WOF3"/>
    <mergeCell ref="WOG3:WOJ3"/>
    <mergeCell ref="WOK3:WON3"/>
    <mergeCell ref="WOO3:WOR3"/>
    <mergeCell ref="WOS3:WOV3"/>
    <mergeCell ref="WNA3:WND3"/>
    <mergeCell ref="WNE3:WNH3"/>
    <mergeCell ref="WNI3:WNL3"/>
    <mergeCell ref="WNM3:WNP3"/>
    <mergeCell ref="WNQ3:WNT3"/>
    <mergeCell ref="WNU3:WNX3"/>
    <mergeCell ref="WMC3:WMF3"/>
    <mergeCell ref="WMG3:WMJ3"/>
    <mergeCell ref="WMK3:WMN3"/>
    <mergeCell ref="WMO3:WMR3"/>
    <mergeCell ref="WMS3:WMV3"/>
    <mergeCell ref="WMW3:WMZ3"/>
    <mergeCell ref="WLE3:WLH3"/>
    <mergeCell ref="WLI3:WLL3"/>
    <mergeCell ref="WLM3:WLP3"/>
    <mergeCell ref="WLQ3:WLT3"/>
    <mergeCell ref="WLU3:WLX3"/>
    <mergeCell ref="WLY3:WMB3"/>
    <mergeCell ref="WKG3:WKJ3"/>
    <mergeCell ref="WKK3:WKN3"/>
    <mergeCell ref="WKO3:WKR3"/>
    <mergeCell ref="WKS3:WKV3"/>
    <mergeCell ref="WKW3:WKZ3"/>
    <mergeCell ref="WLA3:WLD3"/>
    <mergeCell ref="WJI3:WJL3"/>
    <mergeCell ref="WJM3:WJP3"/>
    <mergeCell ref="WJQ3:WJT3"/>
    <mergeCell ref="WJU3:WJX3"/>
    <mergeCell ref="WJY3:WKB3"/>
    <mergeCell ref="WKC3:WKF3"/>
    <mergeCell ref="WTM3:WTP3"/>
    <mergeCell ref="WTQ3:WTT3"/>
    <mergeCell ref="WTU3:WTX3"/>
    <mergeCell ref="WTY3:WUB3"/>
    <mergeCell ref="WUC3:WUF3"/>
    <mergeCell ref="WUG3:WUJ3"/>
    <mergeCell ref="WSO3:WSR3"/>
    <mergeCell ref="WSS3:WSV3"/>
    <mergeCell ref="WSW3:WSZ3"/>
    <mergeCell ref="WTA3:WTD3"/>
    <mergeCell ref="WTE3:WTH3"/>
    <mergeCell ref="WTI3:WTL3"/>
    <mergeCell ref="WRQ3:WRT3"/>
    <mergeCell ref="WRU3:WRX3"/>
    <mergeCell ref="WRY3:WSB3"/>
    <mergeCell ref="WSC3:WSF3"/>
    <mergeCell ref="WSG3:WSJ3"/>
    <mergeCell ref="WSK3:WSN3"/>
    <mergeCell ref="WQS3:WQV3"/>
    <mergeCell ref="WQW3:WQZ3"/>
    <mergeCell ref="WRA3:WRD3"/>
    <mergeCell ref="WRE3:WRH3"/>
    <mergeCell ref="WRI3:WRL3"/>
    <mergeCell ref="WRM3:WRP3"/>
    <mergeCell ref="WPU3:WPX3"/>
    <mergeCell ref="WPY3:WQB3"/>
    <mergeCell ref="WQC3:WQF3"/>
    <mergeCell ref="WQG3:WQJ3"/>
    <mergeCell ref="WQK3:WQN3"/>
    <mergeCell ref="WQO3:WQR3"/>
    <mergeCell ref="WOW3:WOZ3"/>
    <mergeCell ref="WPA3:WPD3"/>
    <mergeCell ref="WPE3:WPH3"/>
    <mergeCell ref="WPI3:WPL3"/>
    <mergeCell ref="WPM3:WPP3"/>
    <mergeCell ref="WPQ3:WPT3"/>
    <mergeCell ref="WZA3:WZD3"/>
    <mergeCell ref="WZE3:WZH3"/>
    <mergeCell ref="WZI3:WZL3"/>
    <mergeCell ref="WZM3:WZP3"/>
    <mergeCell ref="WZQ3:WZT3"/>
    <mergeCell ref="WZU3:WZX3"/>
    <mergeCell ref="WYC3:WYF3"/>
    <mergeCell ref="WYG3:WYJ3"/>
    <mergeCell ref="WYK3:WYN3"/>
    <mergeCell ref="WYO3:WYR3"/>
    <mergeCell ref="WYS3:WYV3"/>
    <mergeCell ref="WYW3:WYZ3"/>
    <mergeCell ref="WXE3:WXH3"/>
    <mergeCell ref="WXI3:WXL3"/>
    <mergeCell ref="WXM3:WXP3"/>
    <mergeCell ref="WXQ3:WXT3"/>
    <mergeCell ref="WXU3:WXX3"/>
    <mergeCell ref="WXY3:WYB3"/>
    <mergeCell ref="WWG3:WWJ3"/>
    <mergeCell ref="WWK3:WWN3"/>
    <mergeCell ref="WWO3:WWR3"/>
    <mergeCell ref="WWS3:WWV3"/>
    <mergeCell ref="WWW3:WWZ3"/>
    <mergeCell ref="WXA3:WXD3"/>
    <mergeCell ref="WVI3:WVL3"/>
    <mergeCell ref="WVM3:WVP3"/>
    <mergeCell ref="WVQ3:WVT3"/>
    <mergeCell ref="WVU3:WVX3"/>
    <mergeCell ref="WVY3:WWB3"/>
    <mergeCell ref="WWC3:WWF3"/>
    <mergeCell ref="WUK3:WUN3"/>
    <mergeCell ref="WUO3:WUR3"/>
    <mergeCell ref="WUS3:WUV3"/>
    <mergeCell ref="WUW3:WUZ3"/>
    <mergeCell ref="WVA3:WVD3"/>
    <mergeCell ref="WVE3:WVH3"/>
    <mergeCell ref="CS4:CV4"/>
    <mergeCell ref="CW4:CZ4"/>
    <mergeCell ref="DA4:DD4"/>
    <mergeCell ref="DE4:DH4"/>
    <mergeCell ref="DI4:DL4"/>
    <mergeCell ref="DM4:DP4"/>
    <mergeCell ref="BU4:BX4"/>
    <mergeCell ref="BY4:CB4"/>
    <mergeCell ref="CC4:CF4"/>
    <mergeCell ref="CG4:CJ4"/>
    <mergeCell ref="CK4:CN4"/>
    <mergeCell ref="CO4:CR4"/>
    <mergeCell ref="AW4:AZ4"/>
    <mergeCell ref="BA4:BD4"/>
    <mergeCell ref="BE4:BH4"/>
    <mergeCell ref="BI4:BL4"/>
    <mergeCell ref="BM4:BP4"/>
    <mergeCell ref="BQ4:BT4"/>
    <mergeCell ref="Y4:AB4"/>
    <mergeCell ref="AC4:AF4"/>
    <mergeCell ref="AG4:AJ4"/>
    <mergeCell ref="AK4:AN4"/>
    <mergeCell ref="AO4:AR4"/>
    <mergeCell ref="AS4:AV4"/>
    <mergeCell ref="XEO3:XER3"/>
    <mergeCell ref="XES3:XEV3"/>
    <mergeCell ref="XEW3:XEZ3"/>
    <mergeCell ref="XFA3:XFD3"/>
    <mergeCell ref="A4:D4"/>
    <mergeCell ref="E4:H4"/>
    <mergeCell ref="I4:L4"/>
    <mergeCell ref="M4:P4"/>
    <mergeCell ref="Q4:T4"/>
    <mergeCell ref="U4:X4"/>
    <mergeCell ref="XDQ3:XDT3"/>
    <mergeCell ref="XDU3:XDX3"/>
    <mergeCell ref="XDY3:XEB3"/>
    <mergeCell ref="XEC3:XEF3"/>
    <mergeCell ref="XEG3:XEJ3"/>
    <mergeCell ref="XEK3:XEN3"/>
    <mergeCell ref="XCS3:XCV3"/>
    <mergeCell ref="XCW3:XCZ3"/>
    <mergeCell ref="XDA3:XDD3"/>
    <mergeCell ref="XDE3:XDH3"/>
    <mergeCell ref="XDI3:XDL3"/>
    <mergeCell ref="XDM3:XDP3"/>
    <mergeCell ref="XBU3:XBX3"/>
    <mergeCell ref="XBY3:XCB3"/>
    <mergeCell ref="XCC3:XCF3"/>
    <mergeCell ref="XCG3:XCJ3"/>
    <mergeCell ref="XCK3:XCN3"/>
    <mergeCell ref="XCO3:XCR3"/>
    <mergeCell ref="XAW3:XAZ3"/>
    <mergeCell ref="XBA3:XBD3"/>
    <mergeCell ref="XBE3:XBH3"/>
    <mergeCell ref="XBI3:XBL3"/>
    <mergeCell ref="XBM3:XBP3"/>
    <mergeCell ref="XBQ3:XBT3"/>
    <mergeCell ref="WZY3:XAB3"/>
    <mergeCell ref="XAC3:XAF3"/>
    <mergeCell ref="XAG3:XAJ3"/>
    <mergeCell ref="XAK3:XAN3"/>
    <mergeCell ref="XAO3:XAR3"/>
    <mergeCell ref="XAS3:XAV3"/>
    <mergeCell ref="IG4:IJ4"/>
    <mergeCell ref="IK4:IN4"/>
    <mergeCell ref="IO4:IR4"/>
    <mergeCell ref="IS4:IV4"/>
    <mergeCell ref="IW4:IZ4"/>
    <mergeCell ref="JA4:JD4"/>
    <mergeCell ref="HI4:HL4"/>
    <mergeCell ref="HM4:HP4"/>
    <mergeCell ref="HQ4:HT4"/>
    <mergeCell ref="HU4:HX4"/>
    <mergeCell ref="HY4:IB4"/>
    <mergeCell ref="IC4:IF4"/>
    <mergeCell ref="GK4:GN4"/>
    <mergeCell ref="GO4:GR4"/>
    <mergeCell ref="GS4:GV4"/>
    <mergeCell ref="GW4:GZ4"/>
    <mergeCell ref="HA4:HD4"/>
    <mergeCell ref="HE4:HH4"/>
    <mergeCell ref="FM4:FP4"/>
    <mergeCell ref="FQ4:FT4"/>
    <mergeCell ref="FU4:FX4"/>
    <mergeCell ref="FY4:GB4"/>
    <mergeCell ref="GC4:GF4"/>
    <mergeCell ref="GG4:GJ4"/>
    <mergeCell ref="EO4:ER4"/>
    <mergeCell ref="ES4:EV4"/>
    <mergeCell ref="EW4:EZ4"/>
    <mergeCell ref="FA4:FD4"/>
    <mergeCell ref="FE4:FH4"/>
    <mergeCell ref="FI4:FL4"/>
    <mergeCell ref="DQ4:DT4"/>
    <mergeCell ref="DU4:DX4"/>
    <mergeCell ref="DY4:EB4"/>
    <mergeCell ref="EC4:EF4"/>
    <mergeCell ref="EG4:EJ4"/>
    <mergeCell ref="EK4:EN4"/>
    <mergeCell ref="NU4:NX4"/>
    <mergeCell ref="NY4:OB4"/>
    <mergeCell ref="OC4:OF4"/>
    <mergeCell ref="OG4:OJ4"/>
    <mergeCell ref="OK4:ON4"/>
    <mergeCell ref="OO4:OR4"/>
    <mergeCell ref="MW4:MZ4"/>
    <mergeCell ref="NA4:ND4"/>
    <mergeCell ref="NE4:NH4"/>
    <mergeCell ref="NI4:NL4"/>
    <mergeCell ref="NM4:NP4"/>
    <mergeCell ref="NQ4:NT4"/>
    <mergeCell ref="LY4:MB4"/>
    <mergeCell ref="MC4:MF4"/>
    <mergeCell ref="MG4:MJ4"/>
    <mergeCell ref="MK4:MN4"/>
    <mergeCell ref="MO4:MR4"/>
    <mergeCell ref="MS4:MV4"/>
    <mergeCell ref="LA4:LD4"/>
    <mergeCell ref="LE4:LH4"/>
    <mergeCell ref="LI4:LL4"/>
    <mergeCell ref="LM4:LP4"/>
    <mergeCell ref="LQ4:LT4"/>
    <mergeCell ref="LU4:LX4"/>
    <mergeCell ref="KC4:KF4"/>
    <mergeCell ref="KG4:KJ4"/>
    <mergeCell ref="KK4:KN4"/>
    <mergeCell ref="KO4:KR4"/>
    <mergeCell ref="KS4:KV4"/>
    <mergeCell ref="KW4:KZ4"/>
    <mergeCell ref="JE4:JH4"/>
    <mergeCell ref="JI4:JL4"/>
    <mergeCell ref="JM4:JP4"/>
    <mergeCell ref="JQ4:JT4"/>
    <mergeCell ref="JU4:JX4"/>
    <mergeCell ref="JY4:KB4"/>
    <mergeCell ref="TI4:TL4"/>
    <mergeCell ref="TM4:TP4"/>
    <mergeCell ref="TQ4:TT4"/>
    <mergeCell ref="TU4:TX4"/>
    <mergeCell ref="TY4:UB4"/>
    <mergeCell ref="UC4:UF4"/>
    <mergeCell ref="SK4:SN4"/>
    <mergeCell ref="SO4:SR4"/>
    <mergeCell ref="SS4:SV4"/>
    <mergeCell ref="SW4:SZ4"/>
    <mergeCell ref="TA4:TD4"/>
    <mergeCell ref="TE4:TH4"/>
    <mergeCell ref="RM4:RP4"/>
    <mergeCell ref="RQ4:RT4"/>
    <mergeCell ref="RU4:RX4"/>
    <mergeCell ref="RY4:SB4"/>
    <mergeCell ref="SC4:SF4"/>
    <mergeCell ref="SG4:SJ4"/>
    <mergeCell ref="QO4:QR4"/>
    <mergeCell ref="QS4:QV4"/>
    <mergeCell ref="QW4:QZ4"/>
    <mergeCell ref="RA4:RD4"/>
    <mergeCell ref="RE4:RH4"/>
    <mergeCell ref="RI4:RL4"/>
    <mergeCell ref="PQ4:PT4"/>
    <mergeCell ref="PU4:PX4"/>
    <mergeCell ref="PY4:QB4"/>
    <mergeCell ref="QC4:QF4"/>
    <mergeCell ref="QG4:QJ4"/>
    <mergeCell ref="QK4:QN4"/>
    <mergeCell ref="OS4:OV4"/>
    <mergeCell ref="OW4:OZ4"/>
    <mergeCell ref="PA4:PD4"/>
    <mergeCell ref="PE4:PH4"/>
    <mergeCell ref="PI4:PL4"/>
    <mergeCell ref="PM4:PP4"/>
    <mergeCell ref="YW4:YZ4"/>
    <mergeCell ref="ZA4:ZD4"/>
    <mergeCell ref="ZE4:ZH4"/>
    <mergeCell ref="ZI4:ZL4"/>
    <mergeCell ref="ZM4:ZP4"/>
    <mergeCell ref="ZQ4:ZT4"/>
    <mergeCell ref="XY4:YB4"/>
    <mergeCell ref="YC4:YF4"/>
    <mergeCell ref="YG4:YJ4"/>
    <mergeCell ref="YK4:YN4"/>
    <mergeCell ref="YO4:YR4"/>
    <mergeCell ref="YS4:YV4"/>
    <mergeCell ref="XA4:XD4"/>
    <mergeCell ref="XE4:XH4"/>
    <mergeCell ref="XI4:XL4"/>
    <mergeCell ref="XM4:XP4"/>
    <mergeCell ref="XQ4:XT4"/>
    <mergeCell ref="XU4:XX4"/>
    <mergeCell ref="WC4:WF4"/>
    <mergeCell ref="WG4:WJ4"/>
    <mergeCell ref="WK4:WN4"/>
    <mergeCell ref="WO4:WR4"/>
    <mergeCell ref="WS4:WV4"/>
    <mergeCell ref="WW4:WZ4"/>
    <mergeCell ref="VE4:VH4"/>
    <mergeCell ref="VI4:VL4"/>
    <mergeCell ref="VM4:VP4"/>
    <mergeCell ref="VQ4:VT4"/>
    <mergeCell ref="VU4:VX4"/>
    <mergeCell ref="VY4:WB4"/>
    <mergeCell ref="UG4:UJ4"/>
    <mergeCell ref="UK4:UN4"/>
    <mergeCell ref="UO4:UR4"/>
    <mergeCell ref="US4:UV4"/>
    <mergeCell ref="UW4:UZ4"/>
    <mergeCell ref="VA4:VD4"/>
    <mergeCell ref="AEK4:AEN4"/>
    <mergeCell ref="AEO4:AER4"/>
    <mergeCell ref="AES4:AEV4"/>
    <mergeCell ref="AEW4:AEZ4"/>
    <mergeCell ref="AFA4:AFD4"/>
    <mergeCell ref="AFE4:AFH4"/>
    <mergeCell ref="ADM4:ADP4"/>
    <mergeCell ref="ADQ4:ADT4"/>
    <mergeCell ref="ADU4:ADX4"/>
    <mergeCell ref="ADY4:AEB4"/>
    <mergeCell ref="AEC4:AEF4"/>
    <mergeCell ref="AEG4:AEJ4"/>
    <mergeCell ref="ACO4:ACR4"/>
    <mergeCell ref="ACS4:ACV4"/>
    <mergeCell ref="ACW4:ACZ4"/>
    <mergeCell ref="ADA4:ADD4"/>
    <mergeCell ref="ADE4:ADH4"/>
    <mergeCell ref="ADI4:ADL4"/>
    <mergeCell ref="ABQ4:ABT4"/>
    <mergeCell ref="ABU4:ABX4"/>
    <mergeCell ref="ABY4:ACB4"/>
    <mergeCell ref="ACC4:ACF4"/>
    <mergeCell ref="ACG4:ACJ4"/>
    <mergeCell ref="ACK4:ACN4"/>
    <mergeCell ref="AAS4:AAV4"/>
    <mergeCell ref="AAW4:AAZ4"/>
    <mergeCell ref="ABA4:ABD4"/>
    <mergeCell ref="ABE4:ABH4"/>
    <mergeCell ref="ABI4:ABL4"/>
    <mergeCell ref="ABM4:ABP4"/>
    <mergeCell ref="ZU4:ZX4"/>
    <mergeCell ref="ZY4:AAB4"/>
    <mergeCell ref="AAC4:AAF4"/>
    <mergeCell ref="AAG4:AAJ4"/>
    <mergeCell ref="AAK4:AAN4"/>
    <mergeCell ref="AAO4:AAR4"/>
    <mergeCell ref="AJY4:AKB4"/>
    <mergeCell ref="AKC4:AKF4"/>
    <mergeCell ref="AKG4:AKJ4"/>
    <mergeCell ref="AKK4:AKN4"/>
    <mergeCell ref="AKO4:AKR4"/>
    <mergeCell ref="AKS4:AKV4"/>
    <mergeCell ref="AJA4:AJD4"/>
    <mergeCell ref="AJE4:AJH4"/>
    <mergeCell ref="AJI4:AJL4"/>
    <mergeCell ref="AJM4:AJP4"/>
    <mergeCell ref="AJQ4:AJT4"/>
    <mergeCell ref="AJU4:AJX4"/>
    <mergeCell ref="AIC4:AIF4"/>
    <mergeCell ref="AIG4:AIJ4"/>
    <mergeCell ref="AIK4:AIN4"/>
    <mergeCell ref="AIO4:AIR4"/>
    <mergeCell ref="AIS4:AIV4"/>
    <mergeCell ref="AIW4:AIZ4"/>
    <mergeCell ref="AHE4:AHH4"/>
    <mergeCell ref="AHI4:AHL4"/>
    <mergeCell ref="AHM4:AHP4"/>
    <mergeCell ref="AHQ4:AHT4"/>
    <mergeCell ref="AHU4:AHX4"/>
    <mergeCell ref="AHY4:AIB4"/>
    <mergeCell ref="AGG4:AGJ4"/>
    <mergeCell ref="AGK4:AGN4"/>
    <mergeCell ref="AGO4:AGR4"/>
    <mergeCell ref="AGS4:AGV4"/>
    <mergeCell ref="AGW4:AGZ4"/>
    <mergeCell ref="AHA4:AHD4"/>
    <mergeCell ref="AFI4:AFL4"/>
    <mergeCell ref="AFM4:AFP4"/>
    <mergeCell ref="AFQ4:AFT4"/>
    <mergeCell ref="AFU4:AFX4"/>
    <mergeCell ref="AFY4:AGB4"/>
    <mergeCell ref="AGC4:AGF4"/>
    <mergeCell ref="APM4:APP4"/>
    <mergeCell ref="APQ4:APT4"/>
    <mergeCell ref="APU4:APX4"/>
    <mergeCell ref="APY4:AQB4"/>
    <mergeCell ref="AQC4:AQF4"/>
    <mergeCell ref="AQG4:AQJ4"/>
    <mergeCell ref="AOO4:AOR4"/>
    <mergeCell ref="AOS4:AOV4"/>
    <mergeCell ref="AOW4:AOZ4"/>
    <mergeCell ref="APA4:APD4"/>
    <mergeCell ref="APE4:APH4"/>
    <mergeCell ref="API4:APL4"/>
    <mergeCell ref="ANQ4:ANT4"/>
    <mergeCell ref="ANU4:ANX4"/>
    <mergeCell ref="ANY4:AOB4"/>
    <mergeCell ref="AOC4:AOF4"/>
    <mergeCell ref="AOG4:AOJ4"/>
    <mergeCell ref="AOK4:AON4"/>
    <mergeCell ref="AMS4:AMV4"/>
    <mergeCell ref="AMW4:AMZ4"/>
    <mergeCell ref="ANA4:AND4"/>
    <mergeCell ref="ANE4:ANH4"/>
    <mergeCell ref="ANI4:ANL4"/>
    <mergeCell ref="ANM4:ANP4"/>
    <mergeCell ref="ALU4:ALX4"/>
    <mergeCell ref="ALY4:AMB4"/>
    <mergeCell ref="AMC4:AMF4"/>
    <mergeCell ref="AMG4:AMJ4"/>
    <mergeCell ref="AMK4:AMN4"/>
    <mergeCell ref="AMO4:AMR4"/>
    <mergeCell ref="AKW4:AKZ4"/>
    <mergeCell ref="ALA4:ALD4"/>
    <mergeCell ref="ALE4:ALH4"/>
    <mergeCell ref="ALI4:ALL4"/>
    <mergeCell ref="ALM4:ALP4"/>
    <mergeCell ref="ALQ4:ALT4"/>
    <mergeCell ref="AVA4:AVD4"/>
    <mergeCell ref="AVE4:AVH4"/>
    <mergeCell ref="AVI4:AVL4"/>
    <mergeCell ref="AVM4:AVP4"/>
    <mergeCell ref="AVQ4:AVT4"/>
    <mergeCell ref="AVU4:AVX4"/>
    <mergeCell ref="AUC4:AUF4"/>
    <mergeCell ref="AUG4:AUJ4"/>
    <mergeCell ref="AUK4:AUN4"/>
    <mergeCell ref="AUO4:AUR4"/>
    <mergeCell ref="AUS4:AUV4"/>
    <mergeCell ref="AUW4:AUZ4"/>
    <mergeCell ref="ATE4:ATH4"/>
    <mergeCell ref="ATI4:ATL4"/>
    <mergeCell ref="ATM4:ATP4"/>
    <mergeCell ref="ATQ4:ATT4"/>
    <mergeCell ref="ATU4:ATX4"/>
    <mergeCell ref="ATY4:AUB4"/>
    <mergeCell ref="ASG4:ASJ4"/>
    <mergeCell ref="ASK4:ASN4"/>
    <mergeCell ref="ASO4:ASR4"/>
    <mergeCell ref="ASS4:ASV4"/>
    <mergeCell ref="ASW4:ASZ4"/>
    <mergeCell ref="ATA4:ATD4"/>
    <mergeCell ref="ARI4:ARL4"/>
    <mergeCell ref="ARM4:ARP4"/>
    <mergeCell ref="ARQ4:ART4"/>
    <mergeCell ref="ARU4:ARX4"/>
    <mergeCell ref="ARY4:ASB4"/>
    <mergeCell ref="ASC4:ASF4"/>
    <mergeCell ref="AQK4:AQN4"/>
    <mergeCell ref="AQO4:AQR4"/>
    <mergeCell ref="AQS4:AQV4"/>
    <mergeCell ref="AQW4:AQZ4"/>
    <mergeCell ref="ARA4:ARD4"/>
    <mergeCell ref="ARE4:ARH4"/>
    <mergeCell ref="BAO4:BAR4"/>
    <mergeCell ref="BAS4:BAV4"/>
    <mergeCell ref="BAW4:BAZ4"/>
    <mergeCell ref="BBA4:BBD4"/>
    <mergeCell ref="BBE4:BBH4"/>
    <mergeCell ref="BBI4:BBL4"/>
    <mergeCell ref="AZQ4:AZT4"/>
    <mergeCell ref="AZU4:AZX4"/>
    <mergeCell ref="AZY4:BAB4"/>
    <mergeCell ref="BAC4:BAF4"/>
    <mergeCell ref="BAG4:BAJ4"/>
    <mergeCell ref="BAK4:BAN4"/>
    <mergeCell ref="AYS4:AYV4"/>
    <mergeCell ref="AYW4:AYZ4"/>
    <mergeCell ref="AZA4:AZD4"/>
    <mergeCell ref="AZE4:AZH4"/>
    <mergeCell ref="AZI4:AZL4"/>
    <mergeCell ref="AZM4:AZP4"/>
    <mergeCell ref="AXU4:AXX4"/>
    <mergeCell ref="AXY4:AYB4"/>
    <mergeCell ref="AYC4:AYF4"/>
    <mergeCell ref="AYG4:AYJ4"/>
    <mergeCell ref="AYK4:AYN4"/>
    <mergeCell ref="AYO4:AYR4"/>
    <mergeCell ref="AWW4:AWZ4"/>
    <mergeCell ref="AXA4:AXD4"/>
    <mergeCell ref="AXE4:AXH4"/>
    <mergeCell ref="AXI4:AXL4"/>
    <mergeCell ref="AXM4:AXP4"/>
    <mergeCell ref="AXQ4:AXT4"/>
    <mergeCell ref="AVY4:AWB4"/>
    <mergeCell ref="AWC4:AWF4"/>
    <mergeCell ref="AWG4:AWJ4"/>
    <mergeCell ref="AWK4:AWN4"/>
    <mergeCell ref="AWO4:AWR4"/>
    <mergeCell ref="AWS4:AWV4"/>
    <mergeCell ref="BGC4:BGF4"/>
    <mergeCell ref="BGG4:BGJ4"/>
    <mergeCell ref="BGK4:BGN4"/>
    <mergeCell ref="BGO4:BGR4"/>
    <mergeCell ref="BGS4:BGV4"/>
    <mergeCell ref="BGW4:BGZ4"/>
    <mergeCell ref="BFE4:BFH4"/>
    <mergeCell ref="BFI4:BFL4"/>
    <mergeCell ref="BFM4:BFP4"/>
    <mergeCell ref="BFQ4:BFT4"/>
    <mergeCell ref="BFU4:BFX4"/>
    <mergeCell ref="BFY4:BGB4"/>
    <mergeCell ref="BEG4:BEJ4"/>
    <mergeCell ref="BEK4:BEN4"/>
    <mergeCell ref="BEO4:BER4"/>
    <mergeCell ref="BES4:BEV4"/>
    <mergeCell ref="BEW4:BEZ4"/>
    <mergeCell ref="BFA4:BFD4"/>
    <mergeCell ref="BDI4:BDL4"/>
    <mergeCell ref="BDM4:BDP4"/>
    <mergeCell ref="BDQ4:BDT4"/>
    <mergeCell ref="BDU4:BDX4"/>
    <mergeCell ref="BDY4:BEB4"/>
    <mergeCell ref="BEC4:BEF4"/>
    <mergeCell ref="BCK4:BCN4"/>
    <mergeCell ref="BCO4:BCR4"/>
    <mergeCell ref="BCS4:BCV4"/>
    <mergeCell ref="BCW4:BCZ4"/>
    <mergeCell ref="BDA4:BDD4"/>
    <mergeCell ref="BDE4:BDH4"/>
    <mergeCell ref="BBM4:BBP4"/>
    <mergeCell ref="BBQ4:BBT4"/>
    <mergeCell ref="BBU4:BBX4"/>
    <mergeCell ref="BBY4:BCB4"/>
    <mergeCell ref="BCC4:BCF4"/>
    <mergeCell ref="BCG4:BCJ4"/>
    <mergeCell ref="BLQ4:BLT4"/>
    <mergeCell ref="BLU4:BLX4"/>
    <mergeCell ref="BLY4:BMB4"/>
    <mergeCell ref="BMC4:BMF4"/>
    <mergeCell ref="BMG4:BMJ4"/>
    <mergeCell ref="BMK4:BMN4"/>
    <mergeCell ref="BKS4:BKV4"/>
    <mergeCell ref="BKW4:BKZ4"/>
    <mergeCell ref="BLA4:BLD4"/>
    <mergeCell ref="BLE4:BLH4"/>
    <mergeCell ref="BLI4:BLL4"/>
    <mergeCell ref="BLM4:BLP4"/>
    <mergeCell ref="BJU4:BJX4"/>
    <mergeCell ref="BJY4:BKB4"/>
    <mergeCell ref="BKC4:BKF4"/>
    <mergeCell ref="BKG4:BKJ4"/>
    <mergeCell ref="BKK4:BKN4"/>
    <mergeCell ref="BKO4:BKR4"/>
    <mergeCell ref="BIW4:BIZ4"/>
    <mergeCell ref="BJA4:BJD4"/>
    <mergeCell ref="BJE4:BJH4"/>
    <mergeCell ref="BJI4:BJL4"/>
    <mergeCell ref="BJM4:BJP4"/>
    <mergeCell ref="BJQ4:BJT4"/>
    <mergeCell ref="BHY4:BIB4"/>
    <mergeCell ref="BIC4:BIF4"/>
    <mergeCell ref="BIG4:BIJ4"/>
    <mergeCell ref="BIK4:BIN4"/>
    <mergeCell ref="BIO4:BIR4"/>
    <mergeCell ref="BIS4:BIV4"/>
    <mergeCell ref="BHA4:BHD4"/>
    <mergeCell ref="BHE4:BHH4"/>
    <mergeCell ref="BHI4:BHL4"/>
    <mergeCell ref="BHM4:BHP4"/>
    <mergeCell ref="BHQ4:BHT4"/>
    <mergeCell ref="BHU4:BHX4"/>
    <mergeCell ref="BRE4:BRH4"/>
    <mergeCell ref="BRI4:BRL4"/>
    <mergeCell ref="BRM4:BRP4"/>
    <mergeCell ref="BRQ4:BRT4"/>
    <mergeCell ref="BRU4:BRX4"/>
    <mergeCell ref="BRY4:BSB4"/>
    <mergeCell ref="BQG4:BQJ4"/>
    <mergeCell ref="BQK4:BQN4"/>
    <mergeCell ref="BQO4:BQR4"/>
    <mergeCell ref="BQS4:BQV4"/>
    <mergeCell ref="BQW4:BQZ4"/>
    <mergeCell ref="BRA4:BRD4"/>
    <mergeCell ref="BPI4:BPL4"/>
    <mergeCell ref="BPM4:BPP4"/>
    <mergeCell ref="BPQ4:BPT4"/>
    <mergeCell ref="BPU4:BPX4"/>
    <mergeCell ref="BPY4:BQB4"/>
    <mergeCell ref="BQC4:BQF4"/>
    <mergeCell ref="BOK4:BON4"/>
    <mergeCell ref="BOO4:BOR4"/>
    <mergeCell ref="BOS4:BOV4"/>
    <mergeCell ref="BOW4:BOZ4"/>
    <mergeCell ref="BPA4:BPD4"/>
    <mergeCell ref="BPE4:BPH4"/>
    <mergeCell ref="BNM4:BNP4"/>
    <mergeCell ref="BNQ4:BNT4"/>
    <mergeCell ref="BNU4:BNX4"/>
    <mergeCell ref="BNY4:BOB4"/>
    <mergeCell ref="BOC4:BOF4"/>
    <mergeCell ref="BOG4:BOJ4"/>
    <mergeCell ref="BMO4:BMR4"/>
    <mergeCell ref="BMS4:BMV4"/>
    <mergeCell ref="BMW4:BMZ4"/>
    <mergeCell ref="BNA4:BND4"/>
    <mergeCell ref="BNE4:BNH4"/>
    <mergeCell ref="BNI4:BNL4"/>
    <mergeCell ref="BWS4:BWV4"/>
    <mergeCell ref="BWW4:BWZ4"/>
    <mergeCell ref="BXA4:BXD4"/>
    <mergeCell ref="BXE4:BXH4"/>
    <mergeCell ref="BXI4:BXL4"/>
    <mergeCell ref="BXM4:BXP4"/>
    <mergeCell ref="BVU4:BVX4"/>
    <mergeCell ref="BVY4:BWB4"/>
    <mergeCell ref="BWC4:BWF4"/>
    <mergeCell ref="BWG4:BWJ4"/>
    <mergeCell ref="BWK4:BWN4"/>
    <mergeCell ref="BWO4:BWR4"/>
    <mergeCell ref="BUW4:BUZ4"/>
    <mergeCell ref="BVA4:BVD4"/>
    <mergeCell ref="BVE4:BVH4"/>
    <mergeCell ref="BVI4:BVL4"/>
    <mergeCell ref="BVM4:BVP4"/>
    <mergeCell ref="BVQ4:BVT4"/>
    <mergeCell ref="BTY4:BUB4"/>
    <mergeCell ref="BUC4:BUF4"/>
    <mergeCell ref="BUG4:BUJ4"/>
    <mergeCell ref="BUK4:BUN4"/>
    <mergeCell ref="BUO4:BUR4"/>
    <mergeCell ref="BUS4:BUV4"/>
    <mergeCell ref="BTA4:BTD4"/>
    <mergeCell ref="BTE4:BTH4"/>
    <mergeCell ref="BTI4:BTL4"/>
    <mergeCell ref="BTM4:BTP4"/>
    <mergeCell ref="BTQ4:BTT4"/>
    <mergeCell ref="BTU4:BTX4"/>
    <mergeCell ref="BSC4:BSF4"/>
    <mergeCell ref="BSG4:BSJ4"/>
    <mergeCell ref="BSK4:BSN4"/>
    <mergeCell ref="BSO4:BSR4"/>
    <mergeCell ref="BSS4:BSV4"/>
    <mergeCell ref="BSW4:BSZ4"/>
    <mergeCell ref="CCG4:CCJ4"/>
    <mergeCell ref="CCK4:CCN4"/>
    <mergeCell ref="CCO4:CCR4"/>
    <mergeCell ref="CCS4:CCV4"/>
    <mergeCell ref="CCW4:CCZ4"/>
    <mergeCell ref="CDA4:CDD4"/>
    <mergeCell ref="CBI4:CBL4"/>
    <mergeCell ref="CBM4:CBP4"/>
    <mergeCell ref="CBQ4:CBT4"/>
    <mergeCell ref="CBU4:CBX4"/>
    <mergeCell ref="CBY4:CCB4"/>
    <mergeCell ref="CCC4:CCF4"/>
    <mergeCell ref="CAK4:CAN4"/>
    <mergeCell ref="CAO4:CAR4"/>
    <mergeCell ref="CAS4:CAV4"/>
    <mergeCell ref="CAW4:CAZ4"/>
    <mergeCell ref="CBA4:CBD4"/>
    <mergeCell ref="CBE4:CBH4"/>
    <mergeCell ref="BZM4:BZP4"/>
    <mergeCell ref="BZQ4:BZT4"/>
    <mergeCell ref="BZU4:BZX4"/>
    <mergeCell ref="BZY4:CAB4"/>
    <mergeCell ref="CAC4:CAF4"/>
    <mergeCell ref="CAG4:CAJ4"/>
    <mergeCell ref="BYO4:BYR4"/>
    <mergeCell ref="BYS4:BYV4"/>
    <mergeCell ref="BYW4:BYZ4"/>
    <mergeCell ref="BZA4:BZD4"/>
    <mergeCell ref="BZE4:BZH4"/>
    <mergeCell ref="BZI4:BZL4"/>
    <mergeCell ref="BXQ4:BXT4"/>
    <mergeCell ref="BXU4:BXX4"/>
    <mergeCell ref="BXY4:BYB4"/>
    <mergeCell ref="BYC4:BYF4"/>
    <mergeCell ref="BYG4:BYJ4"/>
    <mergeCell ref="BYK4:BYN4"/>
    <mergeCell ref="CHU4:CHX4"/>
    <mergeCell ref="CHY4:CIB4"/>
    <mergeCell ref="CIC4:CIF4"/>
    <mergeCell ref="CIG4:CIJ4"/>
    <mergeCell ref="CIK4:CIN4"/>
    <mergeCell ref="CIO4:CIR4"/>
    <mergeCell ref="CGW4:CGZ4"/>
    <mergeCell ref="CHA4:CHD4"/>
    <mergeCell ref="CHE4:CHH4"/>
    <mergeCell ref="CHI4:CHL4"/>
    <mergeCell ref="CHM4:CHP4"/>
    <mergeCell ref="CHQ4:CHT4"/>
    <mergeCell ref="CFY4:CGB4"/>
    <mergeCell ref="CGC4:CGF4"/>
    <mergeCell ref="CGG4:CGJ4"/>
    <mergeCell ref="CGK4:CGN4"/>
    <mergeCell ref="CGO4:CGR4"/>
    <mergeCell ref="CGS4:CGV4"/>
    <mergeCell ref="CFA4:CFD4"/>
    <mergeCell ref="CFE4:CFH4"/>
    <mergeCell ref="CFI4:CFL4"/>
    <mergeCell ref="CFM4:CFP4"/>
    <mergeCell ref="CFQ4:CFT4"/>
    <mergeCell ref="CFU4:CFX4"/>
    <mergeCell ref="CEC4:CEF4"/>
    <mergeCell ref="CEG4:CEJ4"/>
    <mergeCell ref="CEK4:CEN4"/>
    <mergeCell ref="CEO4:CER4"/>
    <mergeCell ref="CES4:CEV4"/>
    <mergeCell ref="CEW4:CEZ4"/>
    <mergeCell ref="CDE4:CDH4"/>
    <mergeCell ref="CDI4:CDL4"/>
    <mergeCell ref="CDM4:CDP4"/>
    <mergeCell ref="CDQ4:CDT4"/>
    <mergeCell ref="CDU4:CDX4"/>
    <mergeCell ref="CDY4:CEB4"/>
    <mergeCell ref="CNI4:CNL4"/>
    <mergeCell ref="CNM4:CNP4"/>
    <mergeCell ref="CNQ4:CNT4"/>
    <mergeCell ref="CNU4:CNX4"/>
    <mergeCell ref="CNY4:COB4"/>
    <mergeCell ref="COC4:COF4"/>
    <mergeCell ref="CMK4:CMN4"/>
    <mergeCell ref="CMO4:CMR4"/>
    <mergeCell ref="CMS4:CMV4"/>
    <mergeCell ref="CMW4:CMZ4"/>
    <mergeCell ref="CNA4:CND4"/>
    <mergeCell ref="CNE4:CNH4"/>
    <mergeCell ref="CLM4:CLP4"/>
    <mergeCell ref="CLQ4:CLT4"/>
    <mergeCell ref="CLU4:CLX4"/>
    <mergeCell ref="CLY4:CMB4"/>
    <mergeCell ref="CMC4:CMF4"/>
    <mergeCell ref="CMG4:CMJ4"/>
    <mergeCell ref="CKO4:CKR4"/>
    <mergeCell ref="CKS4:CKV4"/>
    <mergeCell ref="CKW4:CKZ4"/>
    <mergeCell ref="CLA4:CLD4"/>
    <mergeCell ref="CLE4:CLH4"/>
    <mergeCell ref="CLI4:CLL4"/>
    <mergeCell ref="CJQ4:CJT4"/>
    <mergeCell ref="CJU4:CJX4"/>
    <mergeCell ref="CJY4:CKB4"/>
    <mergeCell ref="CKC4:CKF4"/>
    <mergeCell ref="CKG4:CKJ4"/>
    <mergeCell ref="CKK4:CKN4"/>
    <mergeCell ref="CIS4:CIV4"/>
    <mergeCell ref="CIW4:CIZ4"/>
    <mergeCell ref="CJA4:CJD4"/>
    <mergeCell ref="CJE4:CJH4"/>
    <mergeCell ref="CJI4:CJL4"/>
    <mergeCell ref="CJM4:CJP4"/>
    <mergeCell ref="CSW4:CSZ4"/>
    <mergeCell ref="CTA4:CTD4"/>
    <mergeCell ref="CTE4:CTH4"/>
    <mergeCell ref="CTI4:CTL4"/>
    <mergeCell ref="CTM4:CTP4"/>
    <mergeCell ref="CTQ4:CTT4"/>
    <mergeCell ref="CRY4:CSB4"/>
    <mergeCell ref="CSC4:CSF4"/>
    <mergeCell ref="CSG4:CSJ4"/>
    <mergeCell ref="CSK4:CSN4"/>
    <mergeCell ref="CSO4:CSR4"/>
    <mergeCell ref="CSS4:CSV4"/>
    <mergeCell ref="CRA4:CRD4"/>
    <mergeCell ref="CRE4:CRH4"/>
    <mergeCell ref="CRI4:CRL4"/>
    <mergeCell ref="CRM4:CRP4"/>
    <mergeCell ref="CRQ4:CRT4"/>
    <mergeCell ref="CRU4:CRX4"/>
    <mergeCell ref="CQC4:CQF4"/>
    <mergeCell ref="CQG4:CQJ4"/>
    <mergeCell ref="CQK4:CQN4"/>
    <mergeCell ref="CQO4:CQR4"/>
    <mergeCell ref="CQS4:CQV4"/>
    <mergeCell ref="CQW4:CQZ4"/>
    <mergeCell ref="CPE4:CPH4"/>
    <mergeCell ref="CPI4:CPL4"/>
    <mergeCell ref="CPM4:CPP4"/>
    <mergeCell ref="CPQ4:CPT4"/>
    <mergeCell ref="CPU4:CPX4"/>
    <mergeCell ref="CPY4:CQB4"/>
    <mergeCell ref="COG4:COJ4"/>
    <mergeCell ref="COK4:CON4"/>
    <mergeCell ref="COO4:COR4"/>
    <mergeCell ref="COS4:COV4"/>
    <mergeCell ref="COW4:COZ4"/>
    <mergeCell ref="CPA4:CPD4"/>
    <mergeCell ref="CYK4:CYN4"/>
    <mergeCell ref="CYO4:CYR4"/>
    <mergeCell ref="CYS4:CYV4"/>
    <mergeCell ref="CYW4:CYZ4"/>
    <mergeCell ref="CZA4:CZD4"/>
    <mergeCell ref="CZE4:CZH4"/>
    <mergeCell ref="CXM4:CXP4"/>
    <mergeCell ref="CXQ4:CXT4"/>
    <mergeCell ref="CXU4:CXX4"/>
    <mergeCell ref="CXY4:CYB4"/>
    <mergeCell ref="CYC4:CYF4"/>
    <mergeCell ref="CYG4:CYJ4"/>
    <mergeCell ref="CWO4:CWR4"/>
    <mergeCell ref="CWS4:CWV4"/>
    <mergeCell ref="CWW4:CWZ4"/>
    <mergeCell ref="CXA4:CXD4"/>
    <mergeCell ref="CXE4:CXH4"/>
    <mergeCell ref="CXI4:CXL4"/>
    <mergeCell ref="CVQ4:CVT4"/>
    <mergeCell ref="CVU4:CVX4"/>
    <mergeCell ref="CVY4:CWB4"/>
    <mergeCell ref="CWC4:CWF4"/>
    <mergeCell ref="CWG4:CWJ4"/>
    <mergeCell ref="CWK4:CWN4"/>
    <mergeCell ref="CUS4:CUV4"/>
    <mergeCell ref="CUW4:CUZ4"/>
    <mergeCell ref="CVA4:CVD4"/>
    <mergeCell ref="CVE4:CVH4"/>
    <mergeCell ref="CVI4:CVL4"/>
    <mergeCell ref="CVM4:CVP4"/>
    <mergeCell ref="CTU4:CTX4"/>
    <mergeCell ref="CTY4:CUB4"/>
    <mergeCell ref="CUC4:CUF4"/>
    <mergeCell ref="CUG4:CUJ4"/>
    <mergeCell ref="CUK4:CUN4"/>
    <mergeCell ref="CUO4:CUR4"/>
    <mergeCell ref="DDY4:DEB4"/>
    <mergeCell ref="DEC4:DEF4"/>
    <mergeCell ref="DEG4:DEJ4"/>
    <mergeCell ref="DEK4:DEN4"/>
    <mergeCell ref="DEO4:DER4"/>
    <mergeCell ref="DES4:DEV4"/>
    <mergeCell ref="DDA4:DDD4"/>
    <mergeCell ref="DDE4:DDH4"/>
    <mergeCell ref="DDI4:DDL4"/>
    <mergeCell ref="DDM4:DDP4"/>
    <mergeCell ref="DDQ4:DDT4"/>
    <mergeCell ref="DDU4:DDX4"/>
    <mergeCell ref="DCC4:DCF4"/>
    <mergeCell ref="DCG4:DCJ4"/>
    <mergeCell ref="DCK4:DCN4"/>
    <mergeCell ref="DCO4:DCR4"/>
    <mergeCell ref="DCS4:DCV4"/>
    <mergeCell ref="DCW4:DCZ4"/>
    <mergeCell ref="DBE4:DBH4"/>
    <mergeCell ref="DBI4:DBL4"/>
    <mergeCell ref="DBM4:DBP4"/>
    <mergeCell ref="DBQ4:DBT4"/>
    <mergeCell ref="DBU4:DBX4"/>
    <mergeCell ref="DBY4:DCB4"/>
    <mergeCell ref="DAG4:DAJ4"/>
    <mergeCell ref="DAK4:DAN4"/>
    <mergeCell ref="DAO4:DAR4"/>
    <mergeCell ref="DAS4:DAV4"/>
    <mergeCell ref="DAW4:DAZ4"/>
    <mergeCell ref="DBA4:DBD4"/>
    <mergeCell ref="CZI4:CZL4"/>
    <mergeCell ref="CZM4:CZP4"/>
    <mergeCell ref="CZQ4:CZT4"/>
    <mergeCell ref="CZU4:CZX4"/>
    <mergeCell ref="CZY4:DAB4"/>
    <mergeCell ref="DAC4:DAF4"/>
    <mergeCell ref="DJM4:DJP4"/>
    <mergeCell ref="DJQ4:DJT4"/>
    <mergeCell ref="DJU4:DJX4"/>
    <mergeCell ref="DJY4:DKB4"/>
    <mergeCell ref="DKC4:DKF4"/>
    <mergeCell ref="DKG4:DKJ4"/>
    <mergeCell ref="DIO4:DIR4"/>
    <mergeCell ref="DIS4:DIV4"/>
    <mergeCell ref="DIW4:DIZ4"/>
    <mergeCell ref="DJA4:DJD4"/>
    <mergeCell ref="DJE4:DJH4"/>
    <mergeCell ref="DJI4:DJL4"/>
    <mergeCell ref="DHQ4:DHT4"/>
    <mergeCell ref="DHU4:DHX4"/>
    <mergeCell ref="DHY4:DIB4"/>
    <mergeCell ref="DIC4:DIF4"/>
    <mergeCell ref="DIG4:DIJ4"/>
    <mergeCell ref="DIK4:DIN4"/>
    <mergeCell ref="DGS4:DGV4"/>
    <mergeCell ref="DGW4:DGZ4"/>
    <mergeCell ref="DHA4:DHD4"/>
    <mergeCell ref="DHE4:DHH4"/>
    <mergeCell ref="DHI4:DHL4"/>
    <mergeCell ref="DHM4:DHP4"/>
    <mergeCell ref="DFU4:DFX4"/>
    <mergeCell ref="DFY4:DGB4"/>
    <mergeCell ref="DGC4:DGF4"/>
    <mergeCell ref="DGG4:DGJ4"/>
    <mergeCell ref="DGK4:DGN4"/>
    <mergeCell ref="DGO4:DGR4"/>
    <mergeCell ref="DEW4:DEZ4"/>
    <mergeCell ref="DFA4:DFD4"/>
    <mergeCell ref="DFE4:DFH4"/>
    <mergeCell ref="DFI4:DFL4"/>
    <mergeCell ref="DFM4:DFP4"/>
    <mergeCell ref="DFQ4:DFT4"/>
    <mergeCell ref="DPA4:DPD4"/>
    <mergeCell ref="DPE4:DPH4"/>
    <mergeCell ref="DPI4:DPL4"/>
    <mergeCell ref="DPM4:DPP4"/>
    <mergeCell ref="DPQ4:DPT4"/>
    <mergeCell ref="DPU4:DPX4"/>
    <mergeCell ref="DOC4:DOF4"/>
    <mergeCell ref="DOG4:DOJ4"/>
    <mergeCell ref="DOK4:DON4"/>
    <mergeCell ref="DOO4:DOR4"/>
    <mergeCell ref="DOS4:DOV4"/>
    <mergeCell ref="DOW4:DOZ4"/>
    <mergeCell ref="DNE4:DNH4"/>
    <mergeCell ref="DNI4:DNL4"/>
    <mergeCell ref="DNM4:DNP4"/>
    <mergeCell ref="DNQ4:DNT4"/>
    <mergeCell ref="DNU4:DNX4"/>
    <mergeCell ref="DNY4:DOB4"/>
    <mergeCell ref="DMG4:DMJ4"/>
    <mergeCell ref="DMK4:DMN4"/>
    <mergeCell ref="DMO4:DMR4"/>
    <mergeCell ref="DMS4:DMV4"/>
    <mergeCell ref="DMW4:DMZ4"/>
    <mergeCell ref="DNA4:DND4"/>
    <mergeCell ref="DLI4:DLL4"/>
    <mergeCell ref="DLM4:DLP4"/>
    <mergeCell ref="DLQ4:DLT4"/>
    <mergeCell ref="DLU4:DLX4"/>
    <mergeCell ref="DLY4:DMB4"/>
    <mergeCell ref="DMC4:DMF4"/>
    <mergeCell ref="DKK4:DKN4"/>
    <mergeCell ref="DKO4:DKR4"/>
    <mergeCell ref="DKS4:DKV4"/>
    <mergeCell ref="DKW4:DKZ4"/>
    <mergeCell ref="DLA4:DLD4"/>
    <mergeCell ref="DLE4:DLH4"/>
    <mergeCell ref="DUO4:DUR4"/>
    <mergeCell ref="DUS4:DUV4"/>
    <mergeCell ref="DUW4:DUZ4"/>
    <mergeCell ref="DVA4:DVD4"/>
    <mergeCell ref="DVE4:DVH4"/>
    <mergeCell ref="DVI4:DVL4"/>
    <mergeCell ref="DTQ4:DTT4"/>
    <mergeCell ref="DTU4:DTX4"/>
    <mergeCell ref="DTY4:DUB4"/>
    <mergeCell ref="DUC4:DUF4"/>
    <mergeCell ref="DUG4:DUJ4"/>
    <mergeCell ref="DUK4:DUN4"/>
    <mergeCell ref="DSS4:DSV4"/>
    <mergeCell ref="DSW4:DSZ4"/>
    <mergeCell ref="DTA4:DTD4"/>
    <mergeCell ref="DTE4:DTH4"/>
    <mergeCell ref="DTI4:DTL4"/>
    <mergeCell ref="DTM4:DTP4"/>
    <mergeCell ref="DRU4:DRX4"/>
    <mergeCell ref="DRY4:DSB4"/>
    <mergeCell ref="DSC4:DSF4"/>
    <mergeCell ref="DSG4:DSJ4"/>
    <mergeCell ref="DSK4:DSN4"/>
    <mergeCell ref="DSO4:DSR4"/>
    <mergeCell ref="DQW4:DQZ4"/>
    <mergeCell ref="DRA4:DRD4"/>
    <mergeCell ref="DRE4:DRH4"/>
    <mergeCell ref="DRI4:DRL4"/>
    <mergeCell ref="DRM4:DRP4"/>
    <mergeCell ref="DRQ4:DRT4"/>
    <mergeCell ref="DPY4:DQB4"/>
    <mergeCell ref="DQC4:DQF4"/>
    <mergeCell ref="DQG4:DQJ4"/>
    <mergeCell ref="DQK4:DQN4"/>
    <mergeCell ref="DQO4:DQR4"/>
    <mergeCell ref="DQS4:DQV4"/>
    <mergeCell ref="EAC4:EAF4"/>
    <mergeCell ref="EAG4:EAJ4"/>
    <mergeCell ref="EAK4:EAN4"/>
    <mergeCell ref="EAO4:EAR4"/>
    <mergeCell ref="EAS4:EAV4"/>
    <mergeCell ref="EAW4:EAZ4"/>
    <mergeCell ref="DZE4:DZH4"/>
    <mergeCell ref="DZI4:DZL4"/>
    <mergeCell ref="DZM4:DZP4"/>
    <mergeCell ref="DZQ4:DZT4"/>
    <mergeCell ref="DZU4:DZX4"/>
    <mergeCell ref="DZY4:EAB4"/>
    <mergeCell ref="DYG4:DYJ4"/>
    <mergeCell ref="DYK4:DYN4"/>
    <mergeCell ref="DYO4:DYR4"/>
    <mergeCell ref="DYS4:DYV4"/>
    <mergeCell ref="DYW4:DYZ4"/>
    <mergeCell ref="DZA4:DZD4"/>
    <mergeCell ref="DXI4:DXL4"/>
    <mergeCell ref="DXM4:DXP4"/>
    <mergeCell ref="DXQ4:DXT4"/>
    <mergeCell ref="DXU4:DXX4"/>
    <mergeCell ref="DXY4:DYB4"/>
    <mergeCell ref="DYC4:DYF4"/>
    <mergeCell ref="DWK4:DWN4"/>
    <mergeCell ref="DWO4:DWR4"/>
    <mergeCell ref="DWS4:DWV4"/>
    <mergeCell ref="DWW4:DWZ4"/>
    <mergeCell ref="DXA4:DXD4"/>
    <mergeCell ref="DXE4:DXH4"/>
    <mergeCell ref="DVM4:DVP4"/>
    <mergeCell ref="DVQ4:DVT4"/>
    <mergeCell ref="DVU4:DVX4"/>
    <mergeCell ref="DVY4:DWB4"/>
    <mergeCell ref="DWC4:DWF4"/>
    <mergeCell ref="DWG4:DWJ4"/>
    <mergeCell ref="EFQ4:EFT4"/>
    <mergeCell ref="EFU4:EFX4"/>
    <mergeCell ref="EFY4:EGB4"/>
    <mergeCell ref="EGC4:EGF4"/>
    <mergeCell ref="EGG4:EGJ4"/>
    <mergeCell ref="EGK4:EGN4"/>
    <mergeCell ref="EES4:EEV4"/>
    <mergeCell ref="EEW4:EEZ4"/>
    <mergeCell ref="EFA4:EFD4"/>
    <mergeCell ref="EFE4:EFH4"/>
    <mergeCell ref="EFI4:EFL4"/>
    <mergeCell ref="EFM4:EFP4"/>
    <mergeCell ref="EDU4:EDX4"/>
    <mergeCell ref="EDY4:EEB4"/>
    <mergeCell ref="EEC4:EEF4"/>
    <mergeCell ref="EEG4:EEJ4"/>
    <mergeCell ref="EEK4:EEN4"/>
    <mergeCell ref="EEO4:EER4"/>
    <mergeCell ref="ECW4:ECZ4"/>
    <mergeCell ref="EDA4:EDD4"/>
    <mergeCell ref="EDE4:EDH4"/>
    <mergeCell ref="EDI4:EDL4"/>
    <mergeCell ref="EDM4:EDP4"/>
    <mergeCell ref="EDQ4:EDT4"/>
    <mergeCell ref="EBY4:ECB4"/>
    <mergeCell ref="ECC4:ECF4"/>
    <mergeCell ref="ECG4:ECJ4"/>
    <mergeCell ref="ECK4:ECN4"/>
    <mergeCell ref="ECO4:ECR4"/>
    <mergeCell ref="ECS4:ECV4"/>
    <mergeCell ref="EBA4:EBD4"/>
    <mergeCell ref="EBE4:EBH4"/>
    <mergeCell ref="EBI4:EBL4"/>
    <mergeCell ref="EBM4:EBP4"/>
    <mergeCell ref="EBQ4:EBT4"/>
    <mergeCell ref="EBU4:EBX4"/>
    <mergeCell ref="ELE4:ELH4"/>
    <mergeCell ref="ELI4:ELL4"/>
    <mergeCell ref="ELM4:ELP4"/>
    <mergeCell ref="ELQ4:ELT4"/>
    <mergeCell ref="ELU4:ELX4"/>
    <mergeCell ref="ELY4:EMB4"/>
    <mergeCell ref="EKG4:EKJ4"/>
    <mergeCell ref="EKK4:EKN4"/>
    <mergeCell ref="EKO4:EKR4"/>
    <mergeCell ref="EKS4:EKV4"/>
    <mergeCell ref="EKW4:EKZ4"/>
    <mergeCell ref="ELA4:ELD4"/>
    <mergeCell ref="EJI4:EJL4"/>
    <mergeCell ref="EJM4:EJP4"/>
    <mergeCell ref="EJQ4:EJT4"/>
    <mergeCell ref="EJU4:EJX4"/>
    <mergeCell ref="EJY4:EKB4"/>
    <mergeCell ref="EKC4:EKF4"/>
    <mergeCell ref="EIK4:EIN4"/>
    <mergeCell ref="EIO4:EIR4"/>
    <mergeCell ref="EIS4:EIV4"/>
    <mergeCell ref="EIW4:EIZ4"/>
    <mergeCell ref="EJA4:EJD4"/>
    <mergeCell ref="EJE4:EJH4"/>
    <mergeCell ref="EHM4:EHP4"/>
    <mergeCell ref="EHQ4:EHT4"/>
    <mergeCell ref="EHU4:EHX4"/>
    <mergeCell ref="EHY4:EIB4"/>
    <mergeCell ref="EIC4:EIF4"/>
    <mergeCell ref="EIG4:EIJ4"/>
    <mergeCell ref="EGO4:EGR4"/>
    <mergeCell ref="EGS4:EGV4"/>
    <mergeCell ref="EGW4:EGZ4"/>
    <mergeCell ref="EHA4:EHD4"/>
    <mergeCell ref="EHE4:EHH4"/>
    <mergeCell ref="EHI4:EHL4"/>
    <mergeCell ref="EQS4:EQV4"/>
    <mergeCell ref="EQW4:EQZ4"/>
    <mergeCell ref="ERA4:ERD4"/>
    <mergeCell ref="ERE4:ERH4"/>
    <mergeCell ref="ERI4:ERL4"/>
    <mergeCell ref="ERM4:ERP4"/>
    <mergeCell ref="EPU4:EPX4"/>
    <mergeCell ref="EPY4:EQB4"/>
    <mergeCell ref="EQC4:EQF4"/>
    <mergeCell ref="EQG4:EQJ4"/>
    <mergeCell ref="EQK4:EQN4"/>
    <mergeCell ref="EQO4:EQR4"/>
    <mergeCell ref="EOW4:EOZ4"/>
    <mergeCell ref="EPA4:EPD4"/>
    <mergeCell ref="EPE4:EPH4"/>
    <mergeCell ref="EPI4:EPL4"/>
    <mergeCell ref="EPM4:EPP4"/>
    <mergeCell ref="EPQ4:EPT4"/>
    <mergeCell ref="ENY4:EOB4"/>
    <mergeCell ref="EOC4:EOF4"/>
    <mergeCell ref="EOG4:EOJ4"/>
    <mergeCell ref="EOK4:EON4"/>
    <mergeCell ref="EOO4:EOR4"/>
    <mergeCell ref="EOS4:EOV4"/>
    <mergeCell ref="ENA4:END4"/>
    <mergeCell ref="ENE4:ENH4"/>
    <mergeCell ref="ENI4:ENL4"/>
    <mergeCell ref="ENM4:ENP4"/>
    <mergeCell ref="ENQ4:ENT4"/>
    <mergeCell ref="ENU4:ENX4"/>
    <mergeCell ref="EMC4:EMF4"/>
    <mergeCell ref="EMG4:EMJ4"/>
    <mergeCell ref="EMK4:EMN4"/>
    <mergeCell ref="EMO4:EMR4"/>
    <mergeCell ref="EMS4:EMV4"/>
    <mergeCell ref="EMW4:EMZ4"/>
    <mergeCell ref="EWG4:EWJ4"/>
    <mergeCell ref="EWK4:EWN4"/>
    <mergeCell ref="EWO4:EWR4"/>
    <mergeCell ref="EWS4:EWV4"/>
    <mergeCell ref="EWW4:EWZ4"/>
    <mergeCell ref="EXA4:EXD4"/>
    <mergeCell ref="EVI4:EVL4"/>
    <mergeCell ref="EVM4:EVP4"/>
    <mergeCell ref="EVQ4:EVT4"/>
    <mergeCell ref="EVU4:EVX4"/>
    <mergeCell ref="EVY4:EWB4"/>
    <mergeCell ref="EWC4:EWF4"/>
    <mergeCell ref="EUK4:EUN4"/>
    <mergeCell ref="EUO4:EUR4"/>
    <mergeCell ref="EUS4:EUV4"/>
    <mergeCell ref="EUW4:EUZ4"/>
    <mergeCell ref="EVA4:EVD4"/>
    <mergeCell ref="EVE4:EVH4"/>
    <mergeCell ref="ETM4:ETP4"/>
    <mergeCell ref="ETQ4:ETT4"/>
    <mergeCell ref="ETU4:ETX4"/>
    <mergeCell ref="ETY4:EUB4"/>
    <mergeCell ref="EUC4:EUF4"/>
    <mergeCell ref="EUG4:EUJ4"/>
    <mergeCell ref="ESO4:ESR4"/>
    <mergeCell ref="ESS4:ESV4"/>
    <mergeCell ref="ESW4:ESZ4"/>
    <mergeCell ref="ETA4:ETD4"/>
    <mergeCell ref="ETE4:ETH4"/>
    <mergeCell ref="ETI4:ETL4"/>
    <mergeCell ref="ERQ4:ERT4"/>
    <mergeCell ref="ERU4:ERX4"/>
    <mergeCell ref="ERY4:ESB4"/>
    <mergeCell ref="ESC4:ESF4"/>
    <mergeCell ref="ESG4:ESJ4"/>
    <mergeCell ref="ESK4:ESN4"/>
    <mergeCell ref="FBU4:FBX4"/>
    <mergeCell ref="FBY4:FCB4"/>
    <mergeCell ref="FCC4:FCF4"/>
    <mergeCell ref="FCG4:FCJ4"/>
    <mergeCell ref="FCK4:FCN4"/>
    <mergeCell ref="FCO4:FCR4"/>
    <mergeCell ref="FAW4:FAZ4"/>
    <mergeCell ref="FBA4:FBD4"/>
    <mergeCell ref="FBE4:FBH4"/>
    <mergeCell ref="FBI4:FBL4"/>
    <mergeCell ref="FBM4:FBP4"/>
    <mergeCell ref="FBQ4:FBT4"/>
    <mergeCell ref="EZY4:FAB4"/>
    <mergeCell ref="FAC4:FAF4"/>
    <mergeCell ref="FAG4:FAJ4"/>
    <mergeCell ref="FAK4:FAN4"/>
    <mergeCell ref="FAO4:FAR4"/>
    <mergeCell ref="FAS4:FAV4"/>
    <mergeCell ref="EZA4:EZD4"/>
    <mergeCell ref="EZE4:EZH4"/>
    <mergeCell ref="EZI4:EZL4"/>
    <mergeCell ref="EZM4:EZP4"/>
    <mergeCell ref="EZQ4:EZT4"/>
    <mergeCell ref="EZU4:EZX4"/>
    <mergeCell ref="EYC4:EYF4"/>
    <mergeCell ref="EYG4:EYJ4"/>
    <mergeCell ref="EYK4:EYN4"/>
    <mergeCell ref="EYO4:EYR4"/>
    <mergeCell ref="EYS4:EYV4"/>
    <mergeCell ref="EYW4:EYZ4"/>
    <mergeCell ref="EXE4:EXH4"/>
    <mergeCell ref="EXI4:EXL4"/>
    <mergeCell ref="EXM4:EXP4"/>
    <mergeCell ref="EXQ4:EXT4"/>
    <mergeCell ref="EXU4:EXX4"/>
    <mergeCell ref="EXY4:EYB4"/>
    <mergeCell ref="FHI4:FHL4"/>
    <mergeCell ref="FHM4:FHP4"/>
    <mergeCell ref="FHQ4:FHT4"/>
    <mergeCell ref="FHU4:FHX4"/>
    <mergeCell ref="FHY4:FIB4"/>
    <mergeCell ref="FIC4:FIF4"/>
    <mergeCell ref="FGK4:FGN4"/>
    <mergeCell ref="FGO4:FGR4"/>
    <mergeCell ref="FGS4:FGV4"/>
    <mergeCell ref="FGW4:FGZ4"/>
    <mergeCell ref="FHA4:FHD4"/>
    <mergeCell ref="FHE4:FHH4"/>
    <mergeCell ref="FFM4:FFP4"/>
    <mergeCell ref="FFQ4:FFT4"/>
    <mergeCell ref="FFU4:FFX4"/>
    <mergeCell ref="FFY4:FGB4"/>
    <mergeCell ref="FGC4:FGF4"/>
    <mergeCell ref="FGG4:FGJ4"/>
    <mergeCell ref="FEO4:FER4"/>
    <mergeCell ref="FES4:FEV4"/>
    <mergeCell ref="FEW4:FEZ4"/>
    <mergeCell ref="FFA4:FFD4"/>
    <mergeCell ref="FFE4:FFH4"/>
    <mergeCell ref="FFI4:FFL4"/>
    <mergeCell ref="FDQ4:FDT4"/>
    <mergeCell ref="FDU4:FDX4"/>
    <mergeCell ref="FDY4:FEB4"/>
    <mergeCell ref="FEC4:FEF4"/>
    <mergeCell ref="FEG4:FEJ4"/>
    <mergeCell ref="FEK4:FEN4"/>
    <mergeCell ref="FCS4:FCV4"/>
    <mergeCell ref="FCW4:FCZ4"/>
    <mergeCell ref="FDA4:FDD4"/>
    <mergeCell ref="FDE4:FDH4"/>
    <mergeCell ref="FDI4:FDL4"/>
    <mergeCell ref="FDM4:FDP4"/>
    <mergeCell ref="FMW4:FMZ4"/>
    <mergeCell ref="FNA4:FND4"/>
    <mergeCell ref="FNE4:FNH4"/>
    <mergeCell ref="FNI4:FNL4"/>
    <mergeCell ref="FNM4:FNP4"/>
    <mergeCell ref="FNQ4:FNT4"/>
    <mergeCell ref="FLY4:FMB4"/>
    <mergeCell ref="FMC4:FMF4"/>
    <mergeCell ref="FMG4:FMJ4"/>
    <mergeCell ref="FMK4:FMN4"/>
    <mergeCell ref="FMO4:FMR4"/>
    <mergeCell ref="FMS4:FMV4"/>
    <mergeCell ref="FLA4:FLD4"/>
    <mergeCell ref="FLE4:FLH4"/>
    <mergeCell ref="FLI4:FLL4"/>
    <mergeCell ref="FLM4:FLP4"/>
    <mergeCell ref="FLQ4:FLT4"/>
    <mergeCell ref="FLU4:FLX4"/>
    <mergeCell ref="FKC4:FKF4"/>
    <mergeCell ref="FKG4:FKJ4"/>
    <mergeCell ref="FKK4:FKN4"/>
    <mergeCell ref="FKO4:FKR4"/>
    <mergeCell ref="FKS4:FKV4"/>
    <mergeCell ref="FKW4:FKZ4"/>
    <mergeCell ref="FJE4:FJH4"/>
    <mergeCell ref="FJI4:FJL4"/>
    <mergeCell ref="FJM4:FJP4"/>
    <mergeCell ref="FJQ4:FJT4"/>
    <mergeCell ref="FJU4:FJX4"/>
    <mergeCell ref="FJY4:FKB4"/>
    <mergeCell ref="FIG4:FIJ4"/>
    <mergeCell ref="FIK4:FIN4"/>
    <mergeCell ref="FIO4:FIR4"/>
    <mergeCell ref="FIS4:FIV4"/>
    <mergeCell ref="FIW4:FIZ4"/>
    <mergeCell ref="FJA4:FJD4"/>
    <mergeCell ref="FSK4:FSN4"/>
    <mergeCell ref="FSO4:FSR4"/>
    <mergeCell ref="FSS4:FSV4"/>
    <mergeCell ref="FSW4:FSZ4"/>
    <mergeCell ref="FTA4:FTD4"/>
    <mergeCell ref="FTE4:FTH4"/>
    <mergeCell ref="FRM4:FRP4"/>
    <mergeCell ref="FRQ4:FRT4"/>
    <mergeCell ref="FRU4:FRX4"/>
    <mergeCell ref="FRY4:FSB4"/>
    <mergeCell ref="FSC4:FSF4"/>
    <mergeCell ref="FSG4:FSJ4"/>
    <mergeCell ref="FQO4:FQR4"/>
    <mergeCell ref="FQS4:FQV4"/>
    <mergeCell ref="FQW4:FQZ4"/>
    <mergeCell ref="FRA4:FRD4"/>
    <mergeCell ref="FRE4:FRH4"/>
    <mergeCell ref="FRI4:FRL4"/>
    <mergeCell ref="FPQ4:FPT4"/>
    <mergeCell ref="FPU4:FPX4"/>
    <mergeCell ref="FPY4:FQB4"/>
    <mergeCell ref="FQC4:FQF4"/>
    <mergeCell ref="FQG4:FQJ4"/>
    <mergeCell ref="FQK4:FQN4"/>
    <mergeCell ref="FOS4:FOV4"/>
    <mergeCell ref="FOW4:FOZ4"/>
    <mergeCell ref="FPA4:FPD4"/>
    <mergeCell ref="FPE4:FPH4"/>
    <mergeCell ref="FPI4:FPL4"/>
    <mergeCell ref="FPM4:FPP4"/>
    <mergeCell ref="FNU4:FNX4"/>
    <mergeCell ref="FNY4:FOB4"/>
    <mergeCell ref="FOC4:FOF4"/>
    <mergeCell ref="FOG4:FOJ4"/>
    <mergeCell ref="FOK4:FON4"/>
    <mergeCell ref="FOO4:FOR4"/>
    <mergeCell ref="FXY4:FYB4"/>
    <mergeCell ref="FYC4:FYF4"/>
    <mergeCell ref="FYG4:FYJ4"/>
    <mergeCell ref="FYK4:FYN4"/>
    <mergeCell ref="FYO4:FYR4"/>
    <mergeCell ref="FYS4:FYV4"/>
    <mergeCell ref="FXA4:FXD4"/>
    <mergeCell ref="FXE4:FXH4"/>
    <mergeCell ref="FXI4:FXL4"/>
    <mergeCell ref="FXM4:FXP4"/>
    <mergeCell ref="FXQ4:FXT4"/>
    <mergeCell ref="FXU4:FXX4"/>
    <mergeCell ref="FWC4:FWF4"/>
    <mergeCell ref="FWG4:FWJ4"/>
    <mergeCell ref="FWK4:FWN4"/>
    <mergeCell ref="FWO4:FWR4"/>
    <mergeCell ref="FWS4:FWV4"/>
    <mergeCell ref="FWW4:FWZ4"/>
    <mergeCell ref="FVE4:FVH4"/>
    <mergeCell ref="FVI4:FVL4"/>
    <mergeCell ref="FVM4:FVP4"/>
    <mergeCell ref="FVQ4:FVT4"/>
    <mergeCell ref="FVU4:FVX4"/>
    <mergeCell ref="FVY4:FWB4"/>
    <mergeCell ref="FUG4:FUJ4"/>
    <mergeCell ref="FUK4:FUN4"/>
    <mergeCell ref="FUO4:FUR4"/>
    <mergeCell ref="FUS4:FUV4"/>
    <mergeCell ref="FUW4:FUZ4"/>
    <mergeCell ref="FVA4:FVD4"/>
    <mergeCell ref="FTI4:FTL4"/>
    <mergeCell ref="FTM4:FTP4"/>
    <mergeCell ref="FTQ4:FTT4"/>
    <mergeCell ref="FTU4:FTX4"/>
    <mergeCell ref="FTY4:FUB4"/>
    <mergeCell ref="FUC4:FUF4"/>
    <mergeCell ref="GDM4:GDP4"/>
    <mergeCell ref="GDQ4:GDT4"/>
    <mergeCell ref="GDU4:GDX4"/>
    <mergeCell ref="GDY4:GEB4"/>
    <mergeCell ref="GEC4:GEF4"/>
    <mergeCell ref="GEG4:GEJ4"/>
    <mergeCell ref="GCO4:GCR4"/>
    <mergeCell ref="GCS4:GCV4"/>
    <mergeCell ref="GCW4:GCZ4"/>
    <mergeCell ref="GDA4:GDD4"/>
    <mergeCell ref="GDE4:GDH4"/>
    <mergeCell ref="GDI4:GDL4"/>
    <mergeCell ref="GBQ4:GBT4"/>
    <mergeCell ref="GBU4:GBX4"/>
    <mergeCell ref="GBY4:GCB4"/>
    <mergeCell ref="GCC4:GCF4"/>
    <mergeCell ref="GCG4:GCJ4"/>
    <mergeCell ref="GCK4:GCN4"/>
    <mergeCell ref="GAS4:GAV4"/>
    <mergeCell ref="GAW4:GAZ4"/>
    <mergeCell ref="GBA4:GBD4"/>
    <mergeCell ref="GBE4:GBH4"/>
    <mergeCell ref="GBI4:GBL4"/>
    <mergeCell ref="GBM4:GBP4"/>
    <mergeCell ref="FZU4:FZX4"/>
    <mergeCell ref="FZY4:GAB4"/>
    <mergeCell ref="GAC4:GAF4"/>
    <mergeCell ref="GAG4:GAJ4"/>
    <mergeCell ref="GAK4:GAN4"/>
    <mergeCell ref="GAO4:GAR4"/>
    <mergeCell ref="FYW4:FYZ4"/>
    <mergeCell ref="FZA4:FZD4"/>
    <mergeCell ref="FZE4:FZH4"/>
    <mergeCell ref="FZI4:FZL4"/>
    <mergeCell ref="FZM4:FZP4"/>
    <mergeCell ref="FZQ4:FZT4"/>
    <mergeCell ref="GJA4:GJD4"/>
    <mergeCell ref="GJE4:GJH4"/>
    <mergeCell ref="GJI4:GJL4"/>
    <mergeCell ref="GJM4:GJP4"/>
    <mergeCell ref="GJQ4:GJT4"/>
    <mergeCell ref="GJU4:GJX4"/>
    <mergeCell ref="GIC4:GIF4"/>
    <mergeCell ref="GIG4:GIJ4"/>
    <mergeCell ref="GIK4:GIN4"/>
    <mergeCell ref="GIO4:GIR4"/>
    <mergeCell ref="GIS4:GIV4"/>
    <mergeCell ref="GIW4:GIZ4"/>
    <mergeCell ref="GHE4:GHH4"/>
    <mergeCell ref="GHI4:GHL4"/>
    <mergeCell ref="GHM4:GHP4"/>
    <mergeCell ref="GHQ4:GHT4"/>
    <mergeCell ref="GHU4:GHX4"/>
    <mergeCell ref="GHY4:GIB4"/>
    <mergeCell ref="GGG4:GGJ4"/>
    <mergeCell ref="GGK4:GGN4"/>
    <mergeCell ref="GGO4:GGR4"/>
    <mergeCell ref="GGS4:GGV4"/>
    <mergeCell ref="GGW4:GGZ4"/>
    <mergeCell ref="GHA4:GHD4"/>
    <mergeCell ref="GFI4:GFL4"/>
    <mergeCell ref="GFM4:GFP4"/>
    <mergeCell ref="GFQ4:GFT4"/>
    <mergeCell ref="GFU4:GFX4"/>
    <mergeCell ref="GFY4:GGB4"/>
    <mergeCell ref="GGC4:GGF4"/>
    <mergeCell ref="GEK4:GEN4"/>
    <mergeCell ref="GEO4:GER4"/>
    <mergeCell ref="GES4:GEV4"/>
    <mergeCell ref="GEW4:GEZ4"/>
    <mergeCell ref="GFA4:GFD4"/>
    <mergeCell ref="GFE4:GFH4"/>
    <mergeCell ref="GOO4:GOR4"/>
    <mergeCell ref="GOS4:GOV4"/>
    <mergeCell ref="GOW4:GOZ4"/>
    <mergeCell ref="GPA4:GPD4"/>
    <mergeCell ref="GPE4:GPH4"/>
    <mergeCell ref="GPI4:GPL4"/>
    <mergeCell ref="GNQ4:GNT4"/>
    <mergeCell ref="GNU4:GNX4"/>
    <mergeCell ref="GNY4:GOB4"/>
    <mergeCell ref="GOC4:GOF4"/>
    <mergeCell ref="GOG4:GOJ4"/>
    <mergeCell ref="GOK4:GON4"/>
    <mergeCell ref="GMS4:GMV4"/>
    <mergeCell ref="GMW4:GMZ4"/>
    <mergeCell ref="GNA4:GND4"/>
    <mergeCell ref="GNE4:GNH4"/>
    <mergeCell ref="GNI4:GNL4"/>
    <mergeCell ref="GNM4:GNP4"/>
    <mergeCell ref="GLU4:GLX4"/>
    <mergeCell ref="GLY4:GMB4"/>
    <mergeCell ref="GMC4:GMF4"/>
    <mergeCell ref="GMG4:GMJ4"/>
    <mergeCell ref="GMK4:GMN4"/>
    <mergeCell ref="GMO4:GMR4"/>
    <mergeCell ref="GKW4:GKZ4"/>
    <mergeCell ref="GLA4:GLD4"/>
    <mergeCell ref="GLE4:GLH4"/>
    <mergeCell ref="GLI4:GLL4"/>
    <mergeCell ref="GLM4:GLP4"/>
    <mergeCell ref="GLQ4:GLT4"/>
    <mergeCell ref="GJY4:GKB4"/>
    <mergeCell ref="GKC4:GKF4"/>
    <mergeCell ref="GKG4:GKJ4"/>
    <mergeCell ref="GKK4:GKN4"/>
    <mergeCell ref="GKO4:GKR4"/>
    <mergeCell ref="GKS4:GKV4"/>
    <mergeCell ref="GUC4:GUF4"/>
    <mergeCell ref="GUG4:GUJ4"/>
    <mergeCell ref="GUK4:GUN4"/>
    <mergeCell ref="GUO4:GUR4"/>
    <mergeCell ref="GUS4:GUV4"/>
    <mergeCell ref="GUW4:GUZ4"/>
    <mergeCell ref="GTE4:GTH4"/>
    <mergeCell ref="GTI4:GTL4"/>
    <mergeCell ref="GTM4:GTP4"/>
    <mergeCell ref="GTQ4:GTT4"/>
    <mergeCell ref="GTU4:GTX4"/>
    <mergeCell ref="GTY4:GUB4"/>
    <mergeCell ref="GSG4:GSJ4"/>
    <mergeCell ref="GSK4:GSN4"/>
    <mergeCell ref="GSO4:GSR4"/>
    <mergeCell ref="GSS4:GSV4"/>
    <mergeCell ref="GSW4:GSZ4"/>
    <mergeCell ref="GTA4:GTD4"/>
    <mergeCell ref="GRI4:GRL4"/>
    <mergeCell ref="GRM4:GRP4"/>
    <mergeCell ref="GRQ4:GRT4"/>
    <mergeCell ref="GRU4:GRX4"/>
    <mergeCell ref="GRY4:GSB4"/>
    <mergeCell ref="GSC4:GSF4"/>
    <mergeCell ref="GQK4:GQN4"/>
    <mergeCell ref="GQO4:GQR4"/>
    <mergeCell ref="GQS4:GQV4"/>
    <mergeCell ref="GQW4:GQZ4"/>
    <mergeCell ref="GRA4:GRD4"/>
    <mergeCell ref="GRE4:GRH4"/>
    <mergeCell ref="GPM4:GPP4"/>
    <mergeCell ref="GPQ4:GPT4"/>
    <mergeCell ref="GPU4:GPX4"/>
    <mergeCell ref="GPY4:GQB4"/>
    <mergeCell ref="GQC4:GQF4"/>
    <mergeCell ref="GQG4:GQJ4"/>
    <mergeCell ref="GZQ4:GZT4"/>
    <mergeCell ref="GZU4:GZX4"/>
    <mergeCell ref="GZY4:HAB4"/>
    <mergeCell ref="HAC4:HAF4"/>
    <mergeCell ref="HAG4:HAJ4"/>
    <mergeCell ref="HAK4:HAN4"/>
    <mergeCell ref="GYS4:GYV4"/>
    <mergeCell ref="GYW4:GYZ4"/>
    <mergeCell ref="GZA4:GZD4"/>
    <mergeCell ref="GZE4:GZH4"/>
    <mergeCell ref="GZI4:GZL4"/>
    <mergeCell ref="GZM4:GZP4"/>
    <mergeCell ref="GXU4:GXX4"/>
    <mergeCell ref="GXY4:GYB4"/>
    <mergeCell ref="GYC4:GYF4"/>
    <mergeCell ref="GYG4:GYJ4"/>
    <mergeCell ref="GYK4:GYN4"/>
    <mergeCell ref="GYO4:GYR4"/>
    <mergeCell ref="GWW4:GWZ4"/>
    <mergeCell ref="GXA4:GXD4"/>
    <mergeCell ref="GXE4:GXH4"/>
    <mergeCell ref="GXI4:GXL4"/>
    <mergeCell ref="GXM4:GXP4"/>
    <mergeCell ref="GXQ4:GXT4"/>
    <mergeCell ref="GVY4:GWB4"/>
    <mergeCell ref="GWC4:GWF4"/>
    <mergeCell ref="GWG4:GWJ4"/>
    <mergeCell ref="GWK4:GWN4"/>
    <mergeCell ref="GWO4:GWR4"/>
    <mergeCell ref="GWS4:GWV4"/>
    <mergeCell ref="GVA4:GVD4"/>
    <mergeCell ref="GVE4:GVH4"/>
    <mergeCell ref="GVI4:GVL4"/>
    <mergeCell ref="GVM4:GVP4"/>
    <mergeCell ref="GVQ4:GVT4"/>
    <mergeCell ref="GVU4:GVX4"/>
    <mergeCell ref="HFE4:HFH4"/>
    <mergeCell ref="HFI4:HFL4"/>
    <mergeCell ref="HFM4:HFP4"/>
    <mergeCell ref="HFQ4:HFT4"/>
    <mergeCell ref="HFU4:HFX4"/>
    <mergeCell ref="HFY4:HGB4"/>
    <mergeCell ref="HEG4:HEJ4"/>
    <mergeCell ref="HEK4:HEN4"/>
    <mergeCell ref="HEO4:HER4"/>
    <mergeCell ref="HES4:HEV4"/>
    <mergeCell ref="HEW4:HEZ4"/>
    <mergeCell ref="HFA4:HFD4"/>
    <mergeCell ref="HDI4:HDL4"/>
    <mergeCell ref="HDM4:HDP4"/>
    <mergeCell ref="HDQ4:HDT4"/>
    <mergeCell ref="HDU4:HDX4"/>
    <mergeCell ref="HDY4:HEB4"/>
    <mergeCell ref="HEC4:HEF4"/>
    <mergeCell ref="HCK4:HCN4"/>
    <mergeCell ref="HCO4:HCR4"/>
    <mergeCell ref="HCS4:HCV4"/>
    <mergeCell ref="HCW4:HCZ4"/>
    <mergeCell ref="HDA4:HDD4"/>
    <mergeCell ref="HDE4:HDH4"/>
    <mergeCell ref="HBM4:HBP4"/>
    <mergeCell ref="HBQ4:HBT4"/>
    <mergeCell ref="HBU4:HBX4"/>
    <mergeCell ref="HBY4:HCB4"/>
    <mergeCell ref="HCC4:HCF4"/>
    <mergeCell ref="HCG4:HCJ4"/>
    <mergeCell ref="HAO4:HAR4"/>
    <mergeCell ref="HAS4:HAV4"/>
    <mergeCell ref="HAW4:HAZ4"/>
    <mergeCell ref="HBA4:HBD4"/>
    <mergeCell ref="HBE4:HBH4"/>
    <mergeCell ref="HBI4:HBL4"/>
    <mergeCell ref="HKS4:HKV4"/>
    <mergeCell ref="HKW4:HKZ4"/>
    <mergeCell ref="HLA4:HLD4"/>
    <mergeCell ref="HLE4:HLH4"/>
    <mergeCell ref="HLI4:HLL4"/>
    <mergeCell ref="HLM4:HLP4"/>
    <mergeCell ref="HJU4:HJX4"/>
    <mergeCell ref="HJY4:HKB4"/>
    <mergeCell ref="HKC4:HKF4"/>
    <mergeCell ref="HKG4:HKJ4"/>
    <mergeCell ref="HKK4:HKN4"/>
    <mergeCell ref="HKO4:HKR4"/>
    <mergeCell ref="HIW4:HIZ4"/>
    <mergeCell ref="HJA4:HJD4"/>
    <mergeCell ref="HJE4:HJH4"/>
    <mergeCell ref="HJI4:HJL4"/>
    <mergeCell ref="HJM4:HJP4"/>
    <mergeCell ref="HJQ4:HJT4"/>
    <mergeCell ref="HHY4:HIB4"/>
    <mergeCell ref="HIC4:HIF4"/>
    <mergeCell ref="HIG4:HIJ4"/>
    <mergeCell ref="HIK4:HIN4"/>
    <mergeCell ref="HIO4:HIR4"/>
    <mergeCell ref="HIS4:HIV4"/>
    <mergeCell ref="HHA4:HHD4"/>
    <mergeCell ref="HHE4:HHH4"/>
    <mergeCell ref="HHI4:HHL4"/>
    <mergeCell ref="HHM4:HHP4"/>
    <mergeCell ref="HHQ4:HHT4"/>
    <mergeCell ref="HHU4:HHX4"/>
    <mergeCell ref="HGC4:HGF4"/>
    <mergeCell ref="HGG4:HGJ4"/>
    <mergeCell ref="HGK4:HGN4"/>
    <mergeCell ref="HGO4:HGR4"/>
    <mergeCell ref="HGS4:HGV4"/>
    <mergeCell ref="HGW4:HGZ4"/>
    <mergeCell ref="HQG4:HQJ4"/>
    <mergeCell ref="HQK4:HQN4"/>
    <mergeCell ref="HQO4:HQR4"/>
    <mergeCell ref="HQS4:HQV4"/>
    <mergeCell ref="HQW4:HQZ4"/>
    <mergeCell ref="HRA4:HRD4"/>
    <mergeCell ref="HPI4:HPL4"/>
    <mergeCell ref="HPM4:HPP4"/>
    <mergeCell ref="HPQ4:HPT4"/>
    <mergeCell ref="HPU4:HPX4"/>
    <mergeCell ref="HPY4:HQB4"/>
    <mergeCell ref="HQC4:HQF4"/>
    <mergeCell ref="HOK4:HON4"/>
    <mergeCell ref="HOO4:HOR4"/>
    <mergeCell ref="HOS4:HOV4"/>
    <mergeCell ref="HOW4:HOZ4"/>
    <mergeCell ref="HPA4:HPD4"/>
    <mergeCell ref="HPE4:HPH4"/>
    <mergeCell ref="HNM4:HNP4"/>
    <mergeCell ref="HNQ4:HNT4"/>
    <mergeCell ref="HNU4:HNX4"/>
    <mergeCell ref="HNY4:HOB4"/>
    <mergeCell ref="HOC4:HOF4"/>
    <mergeCell ref="HOG4:HOJ4"/>
    <mergeCell ref="HMO4:HMR4"/>
    <mergeCell ref="HMS4:HMV4"/>
    <mergeCell ref="HMW4:HMZ4"/>
    <mergeCell ref="HNA4:HND4"/>
    <mergeCell ref="HNE4:HNH4"/>
    <mergeCell ref="HNI4:HNL4"/>
    <mergeCell ref="HLQ4:HLT4"/>
    <mergeCell ref="HLU4:HLX4"/>
    <mergeCell ref="HLY4:HMB4"/>
    <mergeCell ref="HMC4:HMF4"/>
    <mergeCell ref="HMG4:HMJ4"/>
    <mergeCell ref="HMK4:HMN4"/>
    <mergeCell ref="HVU4:HVX4"/>
    <mergeCell ref="HVY4:HWB4"/>
    <mergeCell ref="HWC4:HWF4"/>
    <mergeCell ref="HWG4:HWJ4"/>
    <mergeCell ref="HWK4:HWN4"/>
    <mergeCell ref="HWO4:HWR4"/>
    <mergeCell ref="HUW4:HUZ4"/>
    <mergeCell ref="HVA4:HVD4"/>
    <mergeCell ref="HVE4:HVH4"/>
    <mergeCell ref="HVI4:HVL4"/>
    <mergeCell ref="HVM4:HVP4"/>
    <mergeCell ref="HVQ4:HVT4"/>
    <mergeCell ref="HTY4:HUB4"/>
    <mergeCell ref="HUC4:HUF4"/>
    <mergeCell ref="HUG4:HUJ4"/>
    <mergeCell ref="HUK4:HUN4"/>
    <mergeCell ref="HUO4:HUR4"/>
    <mergeCell ref="HUS4:HUV4"/>
    <mergeCell ref="HTA4:HTD4"/>
    <mergeCell ref="HTE4:HTH4"/>
    <mergeCell ref="HTI4:HTL4"/>
    <mergeCell ref="HTM4:HTP4"/>
    <mergeCell ref="HTQ4:HTT4"/>
    <mergeCell ref="HTU4:HTX4"/>
    <mergeCell ref="HSC4:HSF4"/>
    <mergeCell ref="HSG4:HSJ4"/>
    <mergeCell ref="HSK4:HSN4"/>
    <mergeCell ref="HSO4:HSR4"/>
    <mergeCell ref="HSS4:HSV4"/>
    <mergeCell ref="HSW4:HSZ4"/>
    <mergeCell ref="HRE4:HRH4"/>
    <mergeCell ref="HRI4:HRL4"/>
    <mergeCell ref="HRM4:HRP4"/>
    <mergeCell ref="HRQ4:HRT4"/>
    <mergeCell ref="HRU4:HRX4"/>
    <mergeCell ref="HRY4:HSB4"/>
    <mergeCell ref="IBI4:IBL4"/>
    <mergeCell ref="IBM4:IBP4"/>
    <mergeCell ref="IBQ4:IBT4"/>
    <mergeCell ref="IBU4:IBX4"/>
    <mergeCell ref="IBY4:ICB4"/>
    <mergeCell ref="ICC4:ICF4"/>
    <mergeCell ref="IAK4:IAN4"/>
    <mergeCell ref="IAO4:IAR4"/>
    <mergeCell ref="IAS4:IAV4"/>
    <mergeCell ref="IAW4:IAZ4"/>
    <mergeCell ref="IBA4:IBD4"/>
    <mergeCell ref="IBE4:IBH4"/>
    <mergeCell ref="HZM4:HZP4"/>
    <mergeCell ref="HZQ4:HZT4"/>
    <mergeCell ref="HZU4:HZX4"/>
    <mergeCell ref="HZY4:IAB4"/>
    <mergeCell ref="IAC4:IAF4"/>
    <mergeCell ref="IAG4:IAJ4"/>
    <mergeCell ref="HYO4:HYR4"/>
    <mergeCell ref="HYS4:HYV4"/>
    <mergeCell ref="HYW4:HYZ4"/>
    <mergeCell ref="HZA4:HZD4"/>
    <mergeCell ref="HZE4:HZH4"/>
    <mergeCell ref="HZI4:HZL4"/>
    <mergeCell ref="HXQ4:HXT4"/>
    <mergeCell ref="HXU4:HXX4"/>
    <mergeCell ref="HXY4:HYB4"/>
    <mergeCell ref="HYC4:HYF4"/>
    <mergeCell ref="HYG4:HYJ4"/>
    <mergeCell ref="HYK4:HYN4"/>
    <mergeCell ref="HWS4:HWV4"/>
    <mergeCell ref="HWW4:HWZ4"/>
    <mergeCell ref="HXA4:HXD4"/>
    <mergeCell ref="HXE4:HXH4"/>
    <mergeCell ref="HXI4:HXL4"/>
    <mergeCell ref="HXM4:HXP4"/>
    <mergeCell ref="IGW4:IGZ4"/>
    <mergeCell ref="IHA4:IHD4"/>
    <mergeCell ref="IHE4:IHH4"/>
    <mergeCell ref="IHI4:IHL4"/>
    <mergeCell ref="IHM4:IHP4"/>
    <mergeCell ref="IHQ4:IHT4"/>
    <mergeCell ref="IFY4:IGB4"/>
    <mergeCell ref="IGC4:IGF4"/>
    <mergeCell ref="IGG4:IGJ4"/>
    <mergeCell ref="IGK4:IGN4"/>
    <mergeCell ref="IGO4:IGR4"/>
    <mergeCell ref="IGS4:IGV4"/>
    <mergeCell ref="IFA4:IFD4"/>
    <mergeCell ref="IFE4:IFH4"/>
    <mergeCell ref="IFI4:IFL4"/>
    <mergeCell ref="IFM4:IFP4"/>
    <mergeCell ref="IFQ4:IFT4"/>
    <mergeCell ref="IFU4:IFX4"/>
    <mergeCell ref="IEC4:IEF4"/>
    <mergeCell ref="IEG4:IEJ4"/>
    <mergeCell ref="IEK4:IEN4"/>
    <mergeCell ref="IEO4:IER4"/>
    <mergeCell ref="IES4:IEV4"/>
    <mergeCell ref="IEW4:IEZ4"/>
    <mergeCell ref="IDE4:IDH4"/>
    <mergeCell ref="IDI4:IDL4"/>
    <mergeCell ref="IDM4:IDP4"/>
    <mergeCell ref="IDQ4:IDT4"/>
    <mergeCell ref="IDU4:IDX4"/>
    <mergeCell ref="IDY4:IEB4"/>
    <mergeCell ref="ICG4:ICJ4"/>
    <mergeCell ref="ICK4:ICN4"/>
    <mergeCell ref="ICO4:ICR4"/>
    <mergeCell ref="ICS4:ICV4"/>
    <mergeCell ref="ICW4:ICZ4"/>
    <mergeCell ref="IDA4:IDD4"/>
    <mergeCell ref="IMK4:IMN4"/>
    <mergeCell ref="IMO4:IMR4"/>
    <mergeCell ref="IMS4:IMV4"/>
    <mergeCell ref="IMW4:IMZ4"/>
    <mergeCell ref="INA4:IND4"/>
    <mergeCell ref="INE4:INH4"/>
    <mergeCell ref="ILM4:ILP4"/>
    <mergeCell ref="ILQ4:ILT4"/>
    <mergeCell ref="ILU4:ILX4"/>
    <mergeCell ref="ILY4:IMB4"/>
    <mergeCell ref="IMC4:IMF4"/>
    <mergeCell ref="IMG4:IMJ4"/>
    <mergeCell ref="IKO4:IKR4"/>
    <mergeCell ref="IKS4:IKV4"/>
    <mergeCell ref="IKW4:IKZ4"/>
    <mergeCell ref="ILA4:ILD4"/>
    <mergeCell ref="ILE4:ILH4"/>
    <mergeCell ref="ILI4:ILL4"/>
    <mergeCell ref="IJQ4:IJT4"/>
    <mergeCell ref="IJU4:IJX4"/>
    <mergeCell ref="IJY4:IKB4"/>
    <mergeCell ref="IKC4:IKF4"/>
    <mergeCell ref="IKG4:IKJ4"/>
    <mergeCell ref="IKK4:IKN4"/>
    <mergeCell ref="IIS4:IIV4"/>
    <mergeCell ref="IIW4:IIZ4"/>
    <mergeCell ref="IJA4:IJD4"/>
    <mergeCell ref="IJE4:IJH4"/>
    <mergeCell ref="IJI4:IJL4"/>
    <mergeCell ref="IJM4:IJP4"/>
    <mergeCell ref="IHU4:IHX4"/>
    <mergeCell ref="IHY4:IIB4"/>
    <mergeCell ref="IIC4:IIF4"/>
    <mergeCell ref="IIG4:IIJ4"/>
    <mergeCell ref="IIK4:IIN4"/>
    <mergeCell ref="IIO4:IIR4"/>
    <mergeCell ref="IRY4:ISB4"/>
    <mergeCell ref="ISC4:ISF4"/>
    <mergeCell ref="ISG4:ISJ4"/>
    <mergeCell ref="ISK4:ISN4"/>
    <mergeCell ref="ISO4:ISR4"/>
    <mergeCell ref="ISS4:ISV4"/>
    <mergeCell ref="IRA4:IRD4"/>
    <mergeCell ref="IRE4:IRH4"/>
    <mergeCell ref="IRI4:IRL4"/>
    <mergeCell ref="IRM4:IRP4"/>
    <mergeCell ref="IRQ4:IRT4"/>
    <mergeCell ref="IRU4:IRX4"/>
    <mergeCell ref="IQC4:IQF4"/>
    <mergeCell ref="IQG4:IQJ4"/>
    <mergeCell ref="IQK4:IQN4"/>
    <mergeCell ref="IQO4:IQR4"/>
    <mergeCell ref="IQS4:IQV4"/>
    <mergeCell ref="IQW4:IQZ4"/>
    <mergeCell ref="IPE4:IPH4"/>
    <mergeCell ref="IPI4:IPL4"/>
    <mergeCell ref="IPM4:IPP4"/>
    <mergeCell ref="IPQ4:IPT4"/>
    <mergeCell ref="IPU4:IPX4"/>
    <mergeCell ref="IPY4:IQB4"/>
    <mergeCell ref="IOG4:IOJ4"/>
    <mergeCell ref="IOK4:ION4"/>
    <mergeCell ref="IOO4:IOR4"/>
    <mergeCell ref="IOS4:IOV4"/>
    <mergeCell ref="IOW4:IOZ4"/>
    <mergeCell ref="IPA4:IPD4"/>
    <mergeCell ref="INI4:INL4"/>
    <mergeCell ref="INM4:INP4"/>
    <mergeCell ref="INQ4:INT4"/>
    <mergeCell ref="INU4:INX4"/>
    <mergeCell ref="INY4:IOB4"/>
    <mergeCell ref="IOC4:IOF4"/>
    <mergeCell ref="IXM4:IXP4"/>
    <mergeCell ref="IXQ4:IXT4"/>
    <mergeCell ref="IXU4:IXX4"/>
    <mergeCell ref="IXY4:IYB4"/>
    <mergeCell ref="IYC4:IYF4"/>
    <mergeCell ref="IYG4:IYJ4"/>
    <mergeCell ref="IWO4:IWR4"/>
    <mergeCell ref="IWS4:IWV4"/>
    <mergeCell ref="IWW4:IWZ4"/>
    <mergeCell ref="IXA4:IXD4"/>
    <mergeCell ref="IXE4:IXH4"/>
    <mergeCell ref="IXI4:IXL4"/>
    <mergeCell ref="IVQ4:IVT4"/>
    <mergeCell ref="IVU4:IVX4"/>
    <mergeCell ref="IVY4:IWB4"/>
    <mergeCell ref="IWC4:IWF4"/>
    <mergeCell ref="IWG4:IWJ4"/>
    <mergeCell ref="IWK4:IWN4"/>
    <mergeCell ref="IUS4:IUV4"/>
    <mergeCell ref="IUW4:IUZ4"/>
    <mergeCell ref="IVA4:IVD4"/>
    <mergeCell ref="IVE4:IVH4"/>
    <mergeCell ref="IVI4:IVL4"/>
    <mergeCell ref="IVM4:IVP4"/>
    <mergeCell ref="ITU4:ITX4"/>
    <mergeCell ref="ITY4:IUB4"/>
    <mergeCell ref="IUC4:IUF4"/>
    <mergeCell ref="IUG4:IUJ4"/>
    <mergeCell ref="IUK4:IUN4"/>
    <mergeCell ref="IUO4:IUR4"/>
    <mergeCell ref="ISW4:ISZ4"/>
    <mergeCell ref="ITA4:ITD4"/>
    <mergeCell ref="ITE4:ITH4"/>
    <mergeCell ref="ITI4:ITL4"/>
    <mergeCell ref="ITM4:ITP4"/>
    <mergeCell ref="ITQ4:ITT4"/>
    <mergeCell ref="JDA4:JDD4"/>
    <mergeCell ref="JDE4:JDH4"/>
    <mergeCell ref="JDI4:JDL4"/>
    <mergeCell ref="JDM4:JDP4"/>
    <mergeCell ref="JDQ4:JDT4"/>
    <mergeCell ref="JDU4:JDX4"/>
    <mergeCell ref="JCC4:JCF4"/>
    <mergeCell ref="JCG4:JCJ4"/>
    <mergeCell ref="JCK4:JCN4"/>
    <mergeCell ref="JCO4:JCR4"/>
    <mergeCell ref="JCS4:JCV4"/>
    <mergeCell ref="JCW4:JCZ4"/>
    <mergeCell ref="JBE4:JBH4"/>
    <mergeCell ref="JBI4:JBL4"/>
    <mergeCell ref="JBM4:JBP4"/>
    <mergeCell ref="JBQ4:JBT4"/>
    <mergeCell ref="JBU4:JBX4"/>
    <mergeCell ref="JBY4:JCB4"/>
    <mergeCell ref="JAG4:JAJ4"/>
    <mergeCell ref="JAK4:JAN4"/>
    <mergeCell ref="JAO4:JAR4"/>
    <mergeCell ref="JAS4:JAV4"/>
    <mergeCell ref="JAW4:JAZ4"/>
    <mergeCell ref="JBA4:JBD4"/>
    <mergeCell ref="IZI4:IZL4"/>
    <mergeCell ref="IZM4:IZP4"/>
    <mergeCell ref="IZQ4:IZT4"/>
    <mergeCell ref="IZU4:IZX4"/>
    <mergeCell ref="IZY4:JAB4"/>
    <mergeCell ref="JAC4:JAF4"/>
    <mergeCell ref="IYK4:IYN4"/>
    <mergeCell ref="IYO4:IYR4"/>
    <mergeCell ref="IYS4:IYV4"/>
    <mergeCell ref="IYW4:IYZ4"/>
    <mergeCell ref="IZA4:IZD4"/>
    <mergeCell ref="IZE4:IZH4"/>
    <mergeCell ref="JIO4:JIR4"/>
    <mergeCell ref="JIS4:JIV4"/>
    <mergeCell ref="JIW4:JIZ4"/>
    <mergeCell ref="JJA4:JJD4"/>
    <mergeCell ref="JJE4:JJH4"/>
    <mergeCell ref="JJI4:JJL4"/>
    <mergeCell ref="JHQ4:JHT4"/>
    <mergeCell ref="JHU4:JHX4"/>
    <mergeCell ref="JHY4:JIB4"/>
    <mergeCell ref="JIC4:JIF4"/>
    <mergeCell ref="JIG4:JIJ4"/>
    <mergeCell ref="JIK4:JIN4"/>
    <mergeCell ref="JGS4:JGV4"/>
    <mergeCell ref="JGW4:JGZ4"/>
    <mergeCell ref="JHA4:JHD4"/>
    <mergeCell ref="JHE4:JHH4"/>
    <mergeCell ref="JHI4:JHL4"/>
    <mergeCell ref="JHM4:JHP4"/>
    <mergeCell ref="JFU4:JFX4"/>
    <mergeCell ref="JFY4:JGB4"/>
    <mergeCell ref="JGC4:JGF4"/>
    <mergeCell ref="JGG4:JGJ4"/>
    <mergeCell ref="JGK4:JGN4"/>
    <mergeCell ref="JGO4:JGR4"/>
    <mergeCell ref="JEW4:JEZ4"/>
    <mergeCell ref="JFA4:JFD4"/>
    <mergeCell ref="JFE4:JFH4"/>
    <mergeCell ref="JFI4:JFL4"/>
    <mergeCell ref="JFM4:JFP4"/>
    <mergeCell ref="JFQ4:JFT4"/>
    <mergeCell ref="JDY4:JEB4"/>
    <mergeCell ref="JEC4:JEF4"/>
    <mergeCell ref="JEG4:JEJ4"/>
    <mergeCell ref="JEK4:JEN4"/>
    <mergeCell ref="JEO4:JER4"/>
    <mergeCell ref="JES4:JEV4"/>
    <mergeCell ref="JOC4:JOF4"/>
    <mergeCell ref="JOG4:JOJ4"/>
    <mergeCell ref="JOK4:JON4"/>
    <mergeCell ref="JOO4:JOR4"/>
    <mergeCell ref="JOS4:JOV4"/>
    <mergeCell ref="JOW4:JOZ4"/>
    <mergeCell ref="JNE4:JNH4"/>
    <mergeCell ref="JNI4:JNL4"/>
    <mergeCell ref="JNM4:JNP4"/>
    <mergeCell ref="JNQ4:JNT4"/>
    <mergeCell ref="JNU4:JNX4"/>
    <mergeCell ref="JNY4:JOB4"/>
    <mergeCell ref="JMG4:JMJ4"/>
    <mergeCell ref="JMK4:JMN4"/>
    <mergeCell ref="JMO4:JMR4"/>
    <mergeCell ref="JMS4:JMV4"/>
    <mergeCell ref="JMW4:JMZ4"/>
    <mergeCell ref="JNA4:JND4"/>
    <mergeCell ref="JLI4:JLL4"/>
    <mergeCell ref="JLM4:JLP4"/>
    <mergeCell ref="JLQ4:JLT4"/>
    <mergeCell ref="JLU4:JLX4"/>
    <mergeCell ref="JLY4:JMB4"/>
    <mergeCell ref="JMC4:JMF4"/>
    <mergeCell ref="JKK4:JKN4"/>
    <mergeCell ref="JKO4:JKR4"/>
    <mergeCell ref="JKS4:JKV4"/>
    <mergeCell ref="JKW4:JKZ4"/>
    <mergeCell ref="JLA4:JLD4"/>
    <mergeCell ref="JLE4:JLH4"/>
    <mergeCell ref="JJM4:JJP4"/>
    <mergeCell ref="JJQ4:JJT4"/>
    <mergeCell ref="JJU4:JJX4"/>
    <mergeCell ref="JJY4:JKB4"/>
    <mergeCell ref="JKC4:JKF4"/>
    <mergeCell ref="JKG4:JKJ4"/>
    <mergeCell ref="JTQ4:JTT4"/>
    <mergeCell ref="JTU4:JTX4"/>
    <mergeCell ref="JTY4:JUB4"/>
    <mergeCell ref="JUC4:JUF4"/>
    <mergeCell ref="JUG4:JUJ4"/>
    <mergeCell ref="JUK4:JUN4"/>
    <mergeCell ref="JSS4:JSV4"/>
    <mergeCell ref="JSW4:JSZ4"/>
    <mergeCell ref="JTA4:JTD4"/>
    <mergeCell ref="JTE4:JTH4"/>
    <mergeCell ref="JTI4:JTL4"/>
    <mergeCell ref="JTM4:JTP4"/>
    <mergeCell ref="JRU4:JRX4"/>
    <mergeCell ref="JRY4:JSB4"/>
    <mergeCell ref="JSC4:JSF4"/>
    <mergeCell ref="JSG4:JSJ4"/>
    <mergeCell ref="JSK4:JSN4"/>
    <mergeCell ref="JSO4:JSR4"/>
    <mergeCell ref="JQW4:JQZ4"/>
    <mergeCell ref="JRA4:JRD4"/>
    <mergeCell ref="JRE4:JRH4"/>
    <mergeCell ref="JRI4:JRL4"/>
    <mergeCell ref="JRM4:JRP4"/>
    <mergeCell ref="JRQ4:JRT4"/>
    <mergeCell ref="JPY4:JQB4"/>
    <mergeCell ref="JQC4:JQF4"/>
    <mergeCell ref="JQG4:JQJ4"/>
    <mergeCell ref="JQK4:JQN4"/>
    <mergeCell ref="JQO4:JQR4"/>
    <mergeCell ref="JQS4:JQV4"/>
    <mergeCell ref="JPA4:JPD4"/>
    <mergeCell ref="JPE4:JPH4"/>
    <mergeCell ref="JPI4:JPL4"/>
    <mergeCell ref="JPM4:JPP4"/>
    <mergeCell ref="JPQ4:JPT4"/>
    <mergeCell ref="JPU4:JPX4"/>
    <mergeCell ref="JZE4:JZH4"/>
    <mergeCell ref="JZI4:JZL4"/>
    <mergeCell ref="JZM4:JZP4"/>
    <mergeCell ref="JZQ4:JZT4"/>
    <mergeCell ref="JZU4:JZX4"/>
    <mergeCell ref="JZY4:KAB4"/>
    <mergeCell ref="JYG4:JYJ4"/>
    <mergeCell ref="JYK4:JYN4"/>
    <mergeCell ref="JYO4:JYR4"/>
    <mergeCell ref="JYS4:JYV4"/>
    <mergeCell ref="JYW4:JYZ4"/>
    <mergeCell ref="JZA4:JZD4"/>
    <mergeCell ref="JXI4:JXL4"/>
    <mergeCell ref="JXM4:JXP4"/>
    <mergeCell ref="JXQ4:JXT4"/>
    <mergeCell ref="JXU4:JXX4"/>
    <mergeCell ref="JXY4:JYB4"/>
    <mergeCell ref="JYC4:JYF4"/>
    <mergeCell ref="JWK4:JWN4"/>
    <mergeCell ref="JWO4:JWR4"/>
    <mergeCell ref="JWS4:JWV4"/>
    <mergeCell ref="JWW4:JWZ4"/>
    <mergeCell ref="JXA4:JXD4"/>
    <mergeCell ref="JXE4:JXH4"/>
    <mergeCell ref="JVM4:JVP4"/>
    <mergeCell ref="JVQ4:JVT4"/>
    <mergeCell ref="JVU4:JVX4"/>
    <mergeCell ref="JVY4:JWB4"/>
    <mergeCell ref="JWC4:JWF4"/>
    <mergeCell ref="JWG4:JWJ4"/>
    <mergeCell ref="JUO4:JUR4"/>
    <mergeCell ref="JUS4:JUV4"/>
    <mergeCell ref="JUW4:JUZ4"/>
    <mergeCell ref="JVA4:JVD4"/>
    <mergeCell ref="JVE4:JVH4"/>
    <mergeCell ref="JVI4:JVL4"/>
    <mergeCell ref="KES4:KEV4"/>
    <mergeCell ref="KEW4:KEZ4"/>
    <mergeCell ref="KFA4:KFD4"/>
    <mergeCell ref="KFE4:KFH4"/>
    <mergeCell ref="KFI4:KFL4"/>
    <mergeCell ref="KFM4:KFP4"/>
    <mergeCell ref="KDU4:KDX4"/>
    <mergeCell ref="KDY4:KEB4"/>
    <mergeCell ref="KEC4:KEF4"/>
    <mergeCell ref="KEG4:KEJ4"/>
    <mergeCell ref="KEK4:KEN4"/>
    <mergeCell ref="KEO4:KER4"/>
    <mergeCell ref="KCW4:KCZ4"/>
    <mergeCell ref="KDA4:KDD4"/>
    <mergeCell ref="KDE4:KDH4"/>
    <mergeCell ref="KDI4:KDL4"/>
    <mergeCell ref="KDM4:KDP4"/>
    <mergeCell ref="KDQ4:KDT4"/>
    <mergeCell ref="KBY4:KCB4"/>
    <mergeCell ref="KCC4:KCF4"/>
    <mergeCell ref="KCG4:KCJ4"/>
    <mergeCell ref="KCK4:KCN4"/>
    <mergeCell ref="KCO4:KCR4"/>
    <mergeCell ref="KCS4:KCV4"/>
    <mergeCell ref="KBA4:KBD4"/>
    <mergeCell ref="KBE4:KBH4"/>
    <mergeCell ref="KBI4:KBL4"/>
    <mergeCell ref="KBM4:KBP4"/>
    <mergeCell ref="KBQ4:KBT4"/>
    <mergeCell ref="KBU4:KBX4"/>
    <mergeCell ref="KAC4:KAF4"/>
    <mergeCell ref="KAG4:KAJ4"/>
    <mergeCell ref="KAK4:KAN4"/>
    <mergeCell ref="KAO4:KAR4"/>
    <mergeCell ref="KAS4:KAV4"/>
    <mergeCell ref="KAW4:KAZ4"/>
    <mergeCell ref="KKG4:KKJ4"/>
    <mergeCell ref="KKK4:KKN4"/>
    <mergeCell ref="KKO4:KKR4"/>
    <mergeCell ref="KKS4:KKV4"/>
    <mergeCell ref="KKW4:KKZ4"/>
    <mergeCell ref="KLA4:KLD4"/>
    <mergeCell ref="KJI4:KJL4"/>
    <mergeCell ref="KJM4:KJP4"/>
    <mergeCell ref="KJQ4:KJT4"/>
    <mergeCell ref="KJU4:KJX4"/>
    <mergeCell ref="KJY4:KKB4"/>
    <mergeCell ref="KKC4:KKF4"/>
    <mergeCell ref="KIK4:KIN4"/>
    <mergeCell ref="KIO4:KIR4"/>
    <mergeCell ref="KIS4:KIV4"/>
    <mergeCell ref="KIW4:KIZ4"/>
    <mergeCell ref="KJA4:KJD4"/>
    <mergeCell ref="KJE4:KJH4"/>
    <mergeCell ref="KHM4:KHP4"/>
    <mergeCell ref="KHQ4:KHT4"/>
    <mergeCell ref="KHU4:KHX4"/>
    <mergeCell ref="KHY4:KIB4"/>
    <mergeCell ref="KIC4:KIF4"/>
    <mergeCell ref="KIG4:KIJ4"/>
    <mergeCell ref="KGO4:KGR4"/>
    <mergeCell ref="KGS4:KGV4"/>
    <mergeCell ref="KGW4:KGZ4"/>
    <mergeCell ref="KHA4:KHD4"/>
    <mergeCell ref="KHE4:KHH4"/>
    <mergeCell ref="KHI4:KHL4"/>
    <mergeCell ref="KFQ4:KFT4"/>
    <mergeCell ref="KFU4:KFX4"/>
    <mergeCell ref="KFY4:KGB4"/>
    <mergeCell ref="KGC4:KGF4"/>
    <mergeCell ref="KGG4:KGJ4"/>
    <mergeCell ref="KGK4:KGN4"/>
    <mergeCell ref="KPU4:KPX4"/>
    <mergeCell ref="KPY4:KQB4"/>
    <mergeCell ref="KQC4:KQF4"/>
    <mergeCell ref="KQG4:KQJ4"/>
    <mergeCell ref="KQK4:KQN4"/>
    <mergeCell ref="KQO4:KQR4"/>
    <mergeCell ref="KOW4:KOZ4"/>
    <mergeCell ref="KPA4:KPD4"/>
    <mergeCell ref="KPE4:KPH4"/>
    <mergeCell ref="KPI4:KPL4"/>
    <mergeCell ref="KPM4:KPP4"/>
    <mergeCell ref="KPQ4:KPT4"/>
    <mergeCell ref="KNY4:KOB4"/>
    <mergeCell ref="KOC4:KOF4"/>
    <mergeCell ref="KOG4:KOJ4"/>
    <mergeCell ref="KOK4:KON4"/>
    <mergeCell ref="KOO4:KOR4"/>
    <mergeCell ref="KOS4:KOV4"/>
    <mergeCell ref="KNA4:KND4"/>
    <mergeCell ref="KNE4:KNH4"/>
    <mergeCell ref="KNI4:KNL4"/>
    <mergeCell ref="KNM4:KNP4"/>
    <mergeCell ref="KNQ4:KNT4"/>
    <mergeCell ref="KNU4:KNX4"/>
    <mergeCell ref="KMC4:KMF4"/>
    <mergeCell ref="KMG4:KMJ4"/>
    <mergeCell ref="KMK4:KMN4"/>
    <mergeCell ref="KMO4:KMR4"/>
    <mergeCell ref="KMS4:KMV4"/>
    <mergeCell ref="KMW4:KMZ4"/>
    <mergeCell ref="KLE4:KLH4"/>
    <mergeCell ref="KLI4:KLL4"/>
    <mergeCell ref="KLM4:KLP4"/>
    <mergeCell ref="KLQ4:KLT4"/>
    <mergeCell ref="KLU4:KLX4"/>
    <mergeCell ref="KLY4:KMB4"/>
    <mergeCell ref="KVI4:KVL4"/>
    <mergeCell ref="KVM4:KVP4"/>
    <mergeCell ref="KVQ4:KVT4"/>
    <mergeCell ref="KVU4:KVX4"/>
    <mergeCell ref="KVY4:KWB4"/>
    <mergeCell ref="KWC4:KWF4"/>
    <mergeCell ref="KUK4:KUN4"/>
    <mergeCell ref="KUO4:KUR4"/>
    <mergeCell ref="KUS4:KUV4"/>
    <mergeCell ref="KUW4:KUZ4"/>
    <mergeCell ref="KVA4:KVD4"/>
    <mergeCell ref="KVE4:KVH4"/>
    <mergeCell ref="KTM4:KTP4"/>
    <mergeCell ref="KTQ4:KTT4"/>
    <mergeCell ref="KTU4:KTX4"/>
    <mergeCell ref="KTY4:KUB4"/>
    <mergeCell ref="KUC4:KUF4"/>
    <mergeCell ref="KUG4:KUJ4"/>
    <mergeCell ref="KSO4:KSR4"/>
    <mergeCell ref="KSS4:KSV4"/>
    <mergeCell ref="KSW4:KSZ4"/>
    <mergeCell ref="KTA4:KTD4"/>
    <mergeCell ref="KTE4:KTH4"/>
    <mergeCell ref="KTI4:KTL4"/>
    <mergeCell ref="KRQ4:KRT4"/>
    <mergeCell ref="KRU4:KRX4"/>
    <mergeCell ref="KRY4:KSB4"/>
    <mergeCell ref="KSC4:KSF4"/>
    <mergeCell ref="KSG4:KSJ4"/>
    <mergeCell ref="KSK4:KSN4"/>
    <mergeCell ref="KQS4:KQV4"/>
    <mergeCell ref="KQW4:KQZ4"/>
    <mergeCell ref="KRA4:KRD4"/>
    <mergeCell ref="KRE4:KRH4"/>
    <mergeCell ref="KRI4:KRL4"/>
    <mergeCell ref="KRM4:KRP4"/>
    <mergeCell ref="LAW4:LAZ4"/>
    <mergeCell ref="LBA4:LBD4"/>
    <mergeCell ref="LBE4:LBH4"/>
    <mergeCell ref="LBI4:LBL4"/>
    <mergeCell ref="LBM4:LBP4"/>
    <mergeCell ref="LBQ4:LBT4"/>
    <mergeCell ref="KZY4:LAB4"/>
    <mergeCell ref="LAC4:LAF4"/>
    <mergeCell ref="LAG4:LAJ4"/>
    <mergeCell ref="LAK4:LAN4"/>
    <mergeCell ref="LAO4:LAR4"/>
    <mergeCell ref="LAS4:LAV4"/>
    <mergeCell ref="KZA4:KZD4"/>
    <mergeCell ref="KZE4:KZH4"/>
    <mergeCell ref="KZI4:KZL4"/>
    <mergeCell ref="KZM4:KZP4"/>
    <mergeCell ref="KZQ4:KZT4"/>
    <mergeCell ref="KZU4:KZX4"/>
    <mergeCell ref="KYC4:KYF4"/>
    <mergeCell ref="KYG4:KYJ4"/>
    <mergeCell ref="KYK4:KYN4"/>
    <mergeCell ref="KYO4:KYR4"/>
    <mergeCell ref="KYS4:KYV4"/>
    <mergeCell ref="KYW4:KYZ4"/>
    <mergeCell ref="KXE4:KXH4"/>
    <mergeCell ref="KXI4:KXL4"/>
    <mergeCell ref="KXM4:KXP4"/>
    <mergeCell ref="KXQ4:KXT4"/>
    <mergeCell ref="KXU4:KXX4"/>
    <mergeCell ref="KXY4:KYB4"/>
    <mergeCell ref="KWG4:KWJ4"/>
    <mergeCell ref="KWK4:KWN4"/>
    <mergeCell ref="KWO4:KWR4"/>
    <mergeCell ref="KWS4:KWV4"/>
    <mergeCell ref="KWW4:KWZ4"/>
    <mergeCell ref="KXA4:KXD4"/>
    <mergeCell ref="LGK4:LGN4"/>
    <mergeCell ref="LGO4:LGR4"/>
    <mergeCell ref="LGS4:LGV4"/>
    <mergeCell ref="LGW4:LGZ4"/>
    <mergeCell ref="LHA4:LHD4"/>
    <mergeCell ref="LHE4:LHH4"/>
    <mergeCell ref="LFM4:LFP4"/>
    <mergeCell ref="LFQ4:LFT4"/>
    <mergeCell ref="LFU4:LFX4"/>
    <mergeCell ref="LFY4:LGB4"/>
    <mergeCell ref="LGC4:LGF4"/>
    <mergeCell ref="LGG4:LGJ4"/>
    <mergeCell ref="LEO4:LER4"/>
    <mergeCell ref="LES4:LEV4"/>
    <mergeCell ref="LEW4:LEZ4"/>
    <mergeCell ref="LFA4:LFD4"/>
    <mergeCell ref="LFE4:LFH4"/>
    <mergeCell ref="LFI4:LFL4"/>
    <mergeCell ref="LDQ4:LDT4"/>
    <mergeCell ref="LDU4:LDX4"/>
    <mergeCell ref="LDY4:LEB4"/>
    <mergeCell ref="LEC4:LEF4"/>
    <mergeCell ref="LEG4:LEJ4"/>
    <mergeCell ref="LEK4:LEN4"/>
    <mergeCell ref="LCS4:LCV4"/>
    <mergeCell ref="LCW4:LCZ4"/>
    <mergeCell ref="LDA4:LDD4"/>
    <mergeCell ref="LDE4:LDH4"/>
    <mergeCell ref="LDI4:LDL4"/>
    <mergeCell ref="LDM4:LDP4"/>
    <mergeCell ref="LBU4:LBX4"/>
    <mergeCell ref="LBY4:LCB4"/>
    <mergeCell ref="LCC4:LCF4"/>
    <mergeCell ref="LCG4:LCJ4"/>
    <mergeCell ref="LCK4:LCN4"/>
    <mergeCell ref="LCO4:LCR4"/>
    <mergeCell ref="LLY4:LMB4"/>
    <mergeCell ref="LMC4:LMF4"/>
    <mergeCell ref="LMG4:LMJ4"/>
    <mergeCell ref="LMK4:LMN4"/>
    <mergeCell ref="LMO4:LMR4"/>
    <mergeCell ref="LMS4:LMV4"/>
    <mergeCell ref="LLA4:LLD4"/>
    <mergeCell ref="LLE4:LLH4"/>
    <mergeCell ref="LLI4:LLL4"/>
    <mergeCell ref="LLM4:LLP4"/>
    <mergeCell ref="LLQ4:LLT4"/>
    <mergeCell ref="LLU4:LLX4"/>
    <mergeCell ref="LKC4:LKF4"/>
    <mergeCell ref="LKG4:LKJ4"/>
    <mergeCell ref="LKK4:LKN4"/>
    <mergeCell ref="LKO4:LKR4"/>
    <mergeCell ref="LKS4:LKV4"/>
    <mergeCell ref="LKW4:LKZ4"/>
    <mergeCell ref="LJE4:LJH4"/>
    <mergeCell ref="LJI4:LJL4"/>
    <mergeCell ref="LJM4:LJP4"/>
    <mergeCell ref="LJQ4:LJT4"/>
    <mergeCell ref="LJU4:LJX4"/>
    <mergeCell ref="LJY4:LKB4"/>
    <mergeCell ref="LIG4:LIJ4"/>
    <mergeCell ref="LIK4:LIN4"/>
    <mergeCell ref="LIO4:LIR4"/>
    <mergeCell ref="LIS4:LIV4"/>
    <mergeCell ref="LIW4:LIZ4"/>
    <mergeCell ref="LJA4:LJD4"/>
    <mergeCell ref="LHI4:LHL4"/>
    <mergeCell ref="LHM4:LHP4"/>
    <mergeCell ref="LHQ4:LHT4"/>
    <mergeCell ref="LHU4:LHX4"/>
    <mergeCell ref="LHY4:LIB4"/>
    <mergeCell ref="LIC4:LIF4"/>
    <mergeCell ref="LRM4:LRP4"/>
    <mergeCell ref="LRQ4:LRT4"/>
    <mergeCell ref="LRU4:LRX4"/>
    <mergeCell ref="LRY4:LSB4"/>
    <mergeCell ref="LSC4:LSF4"/>
    <mergeCell ref="LSG4:LSJ4"/>
    <mergeCell ref="LQO4:LQR4"/>
    <mergeCell ref="LQS4:LQV4"/>
    <mergeCell ref="LQW4:LQZ4"/>
    <mergeCell ref="LRA4:LRD4"/>
    <mergeCell ref="LRE4:LRH4"/>
    <mergeCell ref="LRI4:LRL4"/>
    <mergeCell ref="LPQ4:LPT4"/>
    <mergeCell ref="LPU4:LPX4"/>
    <mergeCell ref="LPY4:LQB4"/>
    <mergeCell ref="LQC4:LQF4"/>
    <mergeCell ref="LQG4:LQJ4"/>
    <mergeCell ref="LQK4:LQN4"/>
    <mergeCell ref="LOS4:LOV4"/>
    <mergeCell ref="LOW4:LOZ4"/>
    <mergeCell ref="LPA4:LPD4"/>
    <mergeCell ref="LPE4:LPH4"/>
    <mergeCell ref="LPI4:LPL4"/>
    <mergeCell ref="LPM4:LPP4"/>
    <mergeCell ref="LNU4:LNX4"/>
    <mergeCell ref="LNY4:LOB4"/>
    <mergeCell ref="LOC4:LOF4"/>
    <mergeCell ref="LOG4:LOJ4"/>
    <mergeCell ref="LOK4:LON4"/>
    <mergeCell ref="LOO4:LOR4"/>
    <mergeCell ref="LMW4:LMZ4"/>
    <mergeCell ref="LNA4:LND4"/>
    <mergeCell ref="LNE4:LNH4"/>
    <mergeCell ref="LNI4:LNL4"/>
    <mergeCell ref="LNM4:LNP4"/>
    <mergeCell ref="LNQ4:LNT4"/>
    <mergeCell ref="LXA4:LXD4"/>
    <mergeCell ref="LXE4:LXH4"/>
    <mergeCell ref="LXI4:LXL4"/>
    <mergeCell ref="LXM4:LXP4"/>
    <mergeCell ref="LXQ4:LXT4"/>
    <mergeCell ref="LXU4:LXX4"/>
    <mergeCell ref="LWC4:LWF4"/>
    <mergeCell ref="LWG4:LWJ4"/>
    <mergeCell ref="LWK4:LWN4"/>
    <mergeCell ref="LWO4:LWR4"/>
    <mergeCell ref="LWS4:LWV4"/>
    <mergeCell ref="LWW4:LWZ4"/>
    <mergeCell ref="LVE4:LVH4"/>
    <mergeCell ref="LVI4:LVL4"/>
    <mergeCell ref="LVM4:LVP4"/>
    <mergeCell ref="LVQ4:LVT4"/>
    <mergeCell ref="LVU4:LVX4"/>
    <mergeCell ref="LVY4:LWB4"/>
    <mergeCell ref="LUG4:LUJ4"/>
    <mergeCell ref="LUK4:LUN4"/>
    <mergeCell ref="LUO4:LUR4"/>
    <mergeCell ref="LUS4:LUV4"/>
    <mergeCell ref="LUW4:LUZ4"/>
    <mergeCell ref="LVA4:LVD4"/>
    <mergeCell ref="LTI4:LTL4"/>
    <mergeCell ref="LTM4:LTP4"/>
    <mergeCell ref="LTQ4:LTT4"/>
    <mergeCell ref="LTU4:LTX4"/>
    <mergeCell ref="LTY4:LUB4"/>
    <mergeCell ref="LUC4:LUF4"/>
    <mergeCell ref="LSK4:LSN4"/>
    <mergeCell ref="LSO4:LSR4"/>
    <mergeCell ref="LSS4:LSV4"/>
    <mergeCell ref="LSW4:LSZ4"/>
    <mergeCell ref="LTA4:LTD4"/>
    <mergeCell ref="LTE4:LTH4"/>
    <mergeCell ref="MCO4:MCR4"/>
    <mergeCell ref="MCS4:MCV4"/>
    <mergeCell ref="MCW4:MCZ4"/>
    <mergeCell ref="MDA4:MDD4"/>
    <mergeCell ref="MDE4:MDH4"/>
    <mergeCell ref="MDI4:MDL4"/>
    <mergeCell ref="MBQ4:MBT4"/>
    <mergeCell ref="MBU4:MBX4"/>
    <mergeCell ref="MBY4:MCB4"/>
    <mergeCell ref="MCC4:MCF4"/>
    <mergeCell ref="MCG4:MCJ4"/>
    <mergeCell ref="MCK4:MCN4"/>
    <mergeCell ref="MAS4:MAV4"/>
    <mergeCell ref="MAW4:MAZ4"/>
    <mergeCell ref="MBA4:MBD4"/>
    <mergeCell ref="MBE4:MBH4"/>
    <mergeCell ref="MBI4:MBL4"/>
    <mergeCell ref="MBM4:MBP4"/>
    <mergeCell ref="LZU4:LZX4"/>
    <mergeCell ref="LZY4:MAB4"/>
    <mergeCell ref="MAC4:MAF4"/>
    <mergeCell ref="MAG4:MAJ4"/>
    <mergeCell ref="MAK4:MAN4"/>
    <mergeCell ref="MAO4:MAR4"/>
    <mergeCell ref="LYW4:LYZ4"/>
    <mergeCell ref="LZA4:LZD4"/>
    <mergeCell ref="LZE4:LZH4"/>
    <mergeCell ref="LZI4:LZL4"/>
    <mergeCell ref="LZM4:LZP4"/>
    <mergeCell ref="LZQ4:LZT4"/>
    <mergeCell ref="LXY4:LYB4"/>
    <mergeCell ref="LYC4:LYF4"/>
    <mergeCell ref="LYG4:LYJ4"/>
    <mergeCell ref="LYK4:LYN4"/>
    <mergeCell ref="LYO4:LYR4"/>
    <mergeCell ref="LYS4:LYV4"/>
    <mergeCell ref="MIC4:MIF4"/>
    <mergeCell ref="MIG4:MIJ4"/>
    <mergeCell ref="MIK4:MIN4"/>
    <mergeCell ref="MIO4:MIR4"/>
    <mergeCell ref="MIS4:MIV4"/>
    <mergeCell ref="MIW4:MIZ4"/>
    <mergeCell ref="MHE4:MHH4"/>
    <mergeCell ref="MHI4:MHL4"/>
    <mergeCell ref="MHM4:MHP4"/>
    <mergeCell ref="MHQ4:MHT4"/>
    <mergeCell ref="MHU4:MHX4"/>
    <mergeCell ref="MHY4:MIB4"/>
    <mergeCell ref="MGG4:MGJ4"/>
    <mergeCell ref="MGK4:MGN4"/>
    <mergeCell ref="MGO4:MGR4"/>
    <mergeCell ref="MGS4:MGV4"/>
    <mergeCell ref="MGW4:MGZ4"/>
    <mergeCell ref="MHA4:MHD4"/>
    <mergeCell ref="MFI4:MFL4"/>
    <mergeCell ref="MFM4:MFP4"/>
    <mergeCell ref="MFQ4:MFT4"/>
    <mergeCell ref="MFU4:MFX4"/>
    <mergeCell ref="MFY4:MGB4"/>
    <mergeCell ref="MGC4:MGF4"/>
    <mergeCell ref="MEK4:MEN4"/>
    <mergeCell ref="MEO4:MER4"/>
    <mergeCell ref="MES4:MEV4"/>
    <mergeCell ref="MEW4:MEZ4"/>
    <mergeCell ref="MFA4:MFD4"/>
    <mergeCell ref="MFE4:MFH4"/>
    <mergeCell ref="MDM4:MDP4"/>
    <mergeCell ref="MDQ4:MDT4"/>
    <mergeCell ref="MDU4:MDX4"/>
    <mergeCell ref="MDY4:MEB4"/>
    <mergeCell ref="MEC4:MEF4"/>
    <mergeCell ref="MEG4:MEJ4"/>
    <mergeCell ref="MNQ4:MNT4"/>
    <mergeCell ref="MNU4:MNX4"/>
    <mergeCell ref="MNY4:MOB4"/>
    <mergeCell ref="MOC4:MOF4"/>
    <mergeCell ref="MOG4:MOJ4"/>
    <mergeCell ref="MOK4:MON4"/>
    <mergeCell ref="MMS4:MMV4"/>
    <mergeCell ref="MMW4:MMZ4"/>
    <mergeCell ref="MNA4:MND4"/>
    <mergeCell ref="MNE4:MNH4"/>
    <mergeCell ref="MNI4:MNL4"/>
    <mergeCell ref="MNM4:MNP4"/>
    <mergeCell ref="MLU4:MLX4"/>
    <mergeCell ref="MLY4:MMB4"/>
    <mergeCell ref="MMC4:MMF4"/>
    <mergeCell ref="MMG4:MMJ4"/>
    <mergeCell ref="MMK4:MMN4"/>
    <mergeCell ref="MMO4:MMR4"/>
    <mergeCell ref="MKW4:MKZ4"/>
    <mergeCell ref="MLA4:MLD4"/>
    <mergeCell ref="MLE4:MLH4"/>
    <mergeCell ref="MLI4:MLL4"/>
    <mergeCell ref="MLM4:MLP4"/>
    <mergeCell ref="MLQ4:MLT4"/>
    <mergeCell ref="MJY4:MKB4"/>
    <mergeCell ref="MKC4:MKF4"/>
    <mergeCell ref="MKG4:MKJ4"/>
    <mergeCell ref="MKK4:MKN4"/>
    <mergeCell ref="MKO4:MKR4"/>
    <mergeCell ref="MKS4:MKV4"/>
    <mergeCell ref="MJA4:MJD4"/>
    <mergeCell ref="MJE4:MJH4"/>
    <mergeCell ref="MJI4:MJL4"/>
    <mergeCell ref="MJM4:MJP4"/>
    <mergeCell ref="MJQ4:MJT4"/>
    <mergeCell ref="MJU4:MJX4"/>
    <mergeCell ref="MTE4:MTH4"/>
    <mergeCell ref="MTI4:MTL4"/>
    <mergeCell ref="MTM4:MTP4"/>
    <mergeCell ref="MTQ4:MTT4"/>
    <mergeCell ref="MTU4:MTX4"/>
    <mergeCell ref="MTY4:MUB4"/>
    <mergeCell ref="MSG4:MSJ4"/>
    <mergeCell ref="MSK4:MSN4"/>
    <mergeCell ref="MSO4:MSR4"/>
    <mergeCell ref="MSS4:MSV4"/>
    <mergeCell ref="MSW4:MSZ4"/>
    <mergeCell ref="MTA4:MTD4"/>
    <mergeCell ref="MRI4:MRL4"/>
    <mergeCell ref="MRM4:MRP4"/>
    <mergeCell ref="MRQ4:MRT4"/>
    <mergeCell ref="MRU4:MRX4"/>
    <mergeCell ref="MRY4:MSB4"/>
    <mergeCell ref="MSC4:MSF4"/>
    <mergeCell ref="MQK4:MQN4"/>
    <mergeCell ref="MQO4:MQR4"/>
    <mergeCell ref="MQS4:MQV4"/>
    <mergeCell ref="MQW4:MQZ4"/>
    <mergeCell ref="MRA4:MRD4"/>
    <mergeCell ref="MRE4:MRH4"/>
    <mergeCell ref="MPM4:MPP4"/>
    <mergeCell ref="MPQ4:MPT4"/>
    <mergeCell ref="MPU4:MPX4"/>
    <mergeCell ref="MPY4:MQB4"/>
    <mergeCell ref="MQC4:MQF4"/>
    <mergeCell ref="MQG4:MQJ4"/>
    <mergeCell ref="MOO4:MOR4"/>
    <mergeCell ref="MOS4:MOV4"/>
    <mergeCell ref="MOW4:MOZ4"/>
    <mergeCell ref="MPA4:MPD4"/>
    <mergeCell ref="MPE4:MPH4"/>
    <mergeCell ref="MPI4:MPL4"/>
    <mergeCell ref="MYS4:MYV4"/>
    <mergeCell ref="MYW4:MYZ4"/>
    <mergeCell ref="MZA4:MZD4"/>
    <mergeCell ref="MZE4:MZH4"/>
    <mergeCell ref="MZI4:MZL4"/>
    <mergeCell ref="MZM4:MZP4"/>
    <mergeCell ref="MXU4:MXX4"/>
    <mergeCell ref="MXY4:MYB4"/>
    <mergeCell ref="MYC4:MYF4"/>
    <mergeCell ref="MYG4:MYJ4"/>
    <mergeCell ref="MYK4:MYN4"/>
    <mergeCell ref="MYO4:MYR4"/>
    <mergeCell ref="MWW4:MWZ4"/>
    <mergeCell ref="MXA4:MXD4"/>
    <mergeCell ref="MXE4:MXH4"/>
    <mergeCell ref="MXI4:MXL4"/>
    <mergeCell ref="MXM4:MXP4"/>
    <mergeCell ref="MXQ4:MXT4"/>
    <mergeCell ref="MVY4:MWB4"/>
    <mergeCell ref="MWC4:MWF4"/>
    <mergeCell ref="MWG4:MWJ4"/>
    <mergeCell ref="MWK4:MWN4"/>
    <mergeCell ref="MWO4:MWR4"/>
    <mergeCell ref="MWS4:MWV4"/>
    <mergeCell ref="MVA4:MVD4"/>
    <mergeCell ref="MVE4:MVH4"/>
    <mergeCell ref="MVI4:MVL4"/>
    <mergeCell ref="MVM4:MVP4"/>
    <mergeCell ref="MVQ4:MVT4"/>
    <mergeCell ref="MVU4:MVX4"/>
    <mergeCell ref="MUC4:MUF4"/>
    <mergeCell ref="MUG4:MUJ4"/>
    <mergeCell ref="MUK4:MUN4"/>
    <mergeCell ref="MUO4:MUR4"/>
    <mergeCell ref="MUS4:MUV4"/>
    <mergeCell ref="MUW4:MUZ4"/>
    <mergeCell ref="NEG4:NEJ4"/>
    <mergeCell ref="NEK4:NEN4"/>
    <mergeCell ref="NEO4:NER4"/>
    <mergeCell ref="NES4:NEV4"/>
    <mergeCell ref="NEW4:NEZ4"/>
    <mergeCell ref="NFA4:NFD4"/>
    <mergeCell ref="NDI4:NDL4"/>
    <mergeCell ref="NDM4:NDP4"/>
    <mergeCell ref="NDQ4:NDT4"/>
    <mergeCell ref="NDU4:NDX4"/>
    <mergeCell ref="NDY4:NEB4"/>
    <mergeCell ref="NEC4:NEF4"/>
    <mergeCell ref="NCK4:NCN4"/>
    <mergeCell ref="NCO4:NCR4"/>
    <mergeCell ref="NCS4:NCV4"/>
    <mergeCell ref="NCW4:NCZ4"/>
    <mergeCell ref="NDA4:NDD4"/>
    <mergeCell ref="NDE4:NDH4"/>
    <mergeCell ref="NBM4:NBP4"/>
    <mergeCell ref="NBQ4:NBT4"/>
    <mergeCell ref="NBU4:NBX4"/>
    <mergeCell ref="NBY4:NCB4"/>
    <mergeCell ref="NCC4:NCF4"/>
    <mergeCell ref="NCG4:NCJ4"/>
    <mergeCell ref="NAO4:NAR4"/>
    <mergeCell ref="NAS4:NAV4"/>
    <mergeCell ref="NAW4:NAZ4"/>
    <mergeCell ref="NBA4:NBD4"/>
    <mergeCell ref="NBE4:NBH4"/>
    <mergeCell ref="NBI4:NBL4"/>
    <mergeCell ref="MZQ4:MZT4"/>
    <mergeCell ref="MZU4:MZX4"/>
    <mergeCell ref="MZY4:NAB4"/>
    <mergeCell ref="NAC4:NAF4"/>
    <mergeCell ref="NAG4:NAJ4"/>
    <mergeCell ref="NAK4:NAN4"/>
    <mergeCell ref="NJU4:NJX4"/>
    <mergeCell ref="NJY4:NKB4"/>
    <mergeCell ref="NKC4:NKF4"/>
    <mergeCell ref="NKG4:NKJ4"/>
    <mergeCell ref="NKK4:NKN4"/>
    <mergeCell ref="NKO4:NKR4"/>
    <mergeCell ref="NIW4:NIZ4"/>
    <mergeCell ref="NJA4:NJD4"/>
    <mergeCell ref="NJE4:NJH4"/>
    <mergeCell ref="NJI4:NJL4"/>
    <mergeCell ref="NJM4:NJP4"/>
    <mergeCell ref="NJQ4:NJT4"/>
    <mergeCell ref="NHY4:NIB4"/>
    <mergeCell ref="NIC4:NIF4"/>
    <mergeCell ref="NIG4:NIJ4"/>
    <mergeCell ref="NIK4:NIN4"/>
    <mergeCell ref="NIO4:NIR4"/>
    <mergeCell ref="NIS4:NIV4"/>
    <mergeCell ref="NHA4:NHD4"/>
    <mergeCell ref="NHE4:NHH4"/>
    <mergeCell ref="NHI4:NHL4"/>
    <mergeCell ref="NHM4:NHP4"/>
    <mergeCell ref="NHQ4:NHT4"/>
    <mergeCell ref="NHU4:NHX4"/>
    <mergeCell ref="NGC4:NGF4"/>
    <mergeCell ref="NGG4:NGJ4"/>
    <mergeCell ref="NGK4:NGN4"/>
    <mergeCell ref="NGO4:NGR4"/>
    <mergeCell ref="NGS4:NGV4"/>
    <mergeCell ref="NGW4:NGZ4"/>
    <mergeCell ref="NFE4:NFH4"/>
    <mergeCell ref="NFI4:NFL4"/>
    <mergeCell ref="NFM4:NFP4"/>
    <mergeCell ref="NFQ4:NFT4"/>
    <mergeCell ref="NFU4:NFX4"/>
    <mergeCell ref="NFY4:NGB4"/>
    <mergeCell ref="NPI4:NPL4"/>
    <mergeCell ref="NPM4:NPP4"/>
    <mergeCell ref="NPQ4:NPT4"/>
    <mergeCell ref="NPU4:NPX4"/>
    <mergeCell ref="NPY4:NQB4"/>
    <mergeCell ref="NQC4:NQF4"/>
    <mergeCell ref="NOK4:NON4"/>
    <mergeCell ref="NOO4:NOR4"/>
    <mergeCell ref="NOS4:NOV4"/>
    <mergeCell ref="NOW4:NOZ4"/>
    <mergeCell ref="NPA4:NPD4"/>
    <mergeCell ref="NPE4:NPH4"/>
    <mergeCell ref="NNM4:NNP4"/>
    <mergeCell ref="NNQ4:NNT4"/>
    <mergeCell ref="NNU4:NNX4"/>
    <mergeCell ref="NNY4:NOB4"/>
    <mergeCell ref="NOC4:NOF4"/>
    <mergeCell ref="NOG4:NOJ4"/>
    <mergeCell ref="NMO4:NMR4"/>
    <mergeCell ref="NMS4:NMV4"/>
    <mergeCell ref="NMW4:NMZ4"/>
    <mergeCell ref="NNA4:NND4"/>
    <mergeCell ref="NNE4:NNH4"/>
    <mergeCell ref="NNI4:NNL4"/>
    <mergeCell ref="NLQ4:NLT4"/>
    <mergeCell ref="NLU4:NLX4"/>
    <mergeCell ref="NLY4:NMB4"/>
    <mergeCell ref="NMC4:NMF4"/>
    <mergeCell ref="NMG4:NMJ4"/>
    <mergeCell ref="NMK4:NMN4"/>
    <mergeCell ref="NKS4:NKV4"/>
    <mergeCell ref="NKW4:NKZ4"/>
    <mergeCell ref="NLA4:NLD4"/>
    <mergeCell ref="NLE4:NLH4"/>
    <mergeCell ref="NLI4:NLL4"/>
    <mergeCell ref="NLM4:NLP4"/>
    <mergeCell ref="NUW4:NUZ4"/>
    <mergeCell ref="NVA4:NVD4"/>
    <mergeCell ref="NVE4:NVH4"/>
    <mergeCell ref="NVI4:NVL4"/>
    <mergeCell ref="NVM4:NVP4"/>
    <mergeCell ref="NVQ4:NVT4"/>
    <mergeCell ref="NTY4:NUB4"/>
    <mergeCell ref="NUC4:NUF4"/>
    <mergeCell ref="NUG4:NUJ4"/>
    <mergeCell ref="NUK4:NUN4"/>
    <mergeCell ref="NUO4:NUR4"/>
    <mergeCell ref="NUS4:NUV4"/>
    <mergeCell ref="NTA4:NTD4"/>
    <mergeCell ref="NTE4:NTH4"/>
    <mergeCell ref="NTI4:NTL4"/>
    <mergeCell ref="NTM4:NTP4"/>
    <mergeCell ref="NTQ4:NTT4"/>
    <mergeCell ref="NTU4:NTX4"/>
    <mergeCell ref="NSC4:NSF4"/>
    <mergeCell ref="NSG4:NSJ4"/>
    <mergeCell ref="NSK4:NSN4"/>
    <mergeCell ref="NSO4:NSR4"/>
    <mergeCell ref="NSS4:NSV4"/>
    <mergeCell ref="NSW4:NSZ4"/>
    <mergeCell ref="NRE4:NRH4"/>
    <mergeCell ref="NRI4:NRL4"/>
    <mergeCell ref="NRM4:NRP4"/>
    <mergeCell ref="NRQ4:NRT4"/>
    <mergeCell ref="NRU4:NRX4"/>
    <mergeCell ref="NRY4:NSB4"/>
    <mergeCell ref="NQG4:NQJ4"/>
    <mergeCell ref="NQK4:NQN4"/>
    <mergeCell ref="NQO4:NQR4"/>
    <mergeCell ref="NQS4:NQV4"/>
    <mergeCell ref="NQW4:NQZ4"/>
    <mergeCell ref="NRA4:NRD4"/>
    <mergeCell ref="OAK4:OAN4"/>
    <mergeCell ref="OAO4:OAR4"/>
    <mergeCell ref="OAS4:OAV4"/>
    <mergeCell ref="OAW4:OAZ4"/>
    <mergeCell ref="OBA4:OBD4"/>
    <mergeCell ref="OBE4:OBH4"/>
    <mergeCell ref="NZM4:NZP4"/>
    <mergeCell ref="NZQ4:NZT4"/>
    <mergeCell ref="NZU4:NZX4"/>
    <mergeCell ref="NZY4:OAB4"/>
    <mergeCell ref="OAC4:OAF4"/>
    <mergeCell ref="OAG4:OAJ4"/>
    <mergeCell ref="NYO4:NYR4"/>
    <mergeCell ref="NYS4:NYV4"/>
    <mergeCell ref="NYW4:NYZ4"/>
    <mergeCell ref="NZA4:NZD4"/>
    <mergeCell ref="NZE4:NZH4"/>
    <mergeCell ref="NZI4:NZL4"/>
    <mergeCell ref="NXQ4:NXT4"/>
    <mergeCell ref="NXU4:NXX4"/>
    <mergeCell ref="NXY4:NYB4"/>
    <mergeCell ref="NYC4:NYF4"/>
    <mergeCell ref="NYG4:NYJ4"/>
    <mergeCell ref="NYK4:NYN4"/>
    <mergeCell ref="NWS4:NWV4"/>
    <mergeCell ref="NWW4:NWZ4"/>
    <mergeCell ref="NXA4:NXD4"/>
    <mergeCell ref="NXE4:NXH4"/>
    <mergeCell ref="NXI4:NXL4"/>
    <mergeCell ref="NXM4:NXP4"/>
    <mergeCell ref="NVU4:NVX4"/>
    <mergeCell ref="NVY4:NWB4"/>
    <mergeCell ref="NWC4:NWF4"/>
    <mergeCell ref="NWG4:NWJ4"/>
    <mergeCell ref="NWK4:NWN4"/>
    <mergeCell ref="NWO4:NWR4"/>
    <mergeCell ref="OFY4:OGB4"/>
    <mergeCell ref="OGC4:OGF4"/>
    <mergeCell ref="OGG4:OGJ4"/>
    <mergeCell ref="OGK4:OGN4"/>
    <mergeCell ref="OGO4:OGR4"/>
    <mergeCell ref="OGS4:OGV4"/>
    <mergeCell ref="OFA4:OFD4"/>
    <mergeCell ref="OFE4:OFH4"/>
    <mergeCell ref="OFI4:OFL4"/>
    <mergeCell ref="OFM4:OFP4"/>
    <mergeCell ref="OFQ4:OFT4"/>
    <mergeCell ref="OFU4:OFX4"/>
    <mergeCell ref="OEC4:OEF4"/>
    <mergeCell ref="OEG4:OEJ4"/>
    <mergeCell ref="OEK4:OEN4"/>
    <mergeCell ref="OEO4:OER4"/>
    <mergeCell ref="OES4:OEV4"/>
    <mergeCell ref="OEW4:OEZ4"/>
    <mergeCell ref="ODE4:ODH4"/>
    <mergeCell ref="ODI4:ODL4"/>
    <mergeCell ref="ODM4:ODP4"/>
    <mergeCell ref="ODQ4:ODT4"/>
    <mergeCell ref="ODU4:ODX4"/>
    <mergeCell ref="ODY4:OEB4"/>
    <mergeCell ref="OCG4:OCJ4"/>
    <mergeCell ref="OCK4:OCN4"/>
    <mergeCell ref="OCO4:OCR4"/>
    <mergeCell ref="OCS4:OCV4"/>
    <mergeCell ref="OCW4:OCZ4"/>
    <mergeCell ref="ODA4:ODD4"/>
    <mergeCell ref="OBI4:OBL4"/>
    <mergeCell ref="OBM4:OBP4"/>
    <mergeCell ref="OBQ4:OBT4"/>
    <mergeCell ref="OBU4:OBX4"/>
    <mergeCell ref="OBY4:OCB4"/>
    <mergeCell ref="OCC4:OCF4"/>
    <mergeCell ref="OLM4:OLP4"/>
    <mergeCell ref="OLQ4:OLT4"/>
    <mergeCell ref="OLU4:OLX4"/>
    <mergeCell ref="OLY4:OMB4"/>
    <mergeCell ref="OMC4:OMF4"/>
    <mergeCell ref="OMG4:OMJ4"/>
    <mergeCell ref="OKO4:OKR4"/>
    <mergeCell ref="OKS4:OKV4"/>
    <mergeCell ref="OKW4:OKZ4"/>
    <mergeCell ref="OLA4:OLD4"/>
    <mergeCell ref="OLE4:OLH4"/>
    <mergeCell ref="OLI4:OLL4"/>
    <mergeCell ref="OJQ4:OJT4"/>
    <mergeCell ref="OJU4:OJX4"/>
    <mergeCell ref="OJY4:OKB4"/>
    <mergeCell ref="OKC4:OKF4"/>
    <mergeCell ref="OKG4:OKJ4"/>
    <mergeCell ref="OKK4:OKN4"/>
    <mergeCell ref="OIS4:OIV4"/>
    <mergeCell ref="OIW4:OIZ4"/>
    <mergeCell ref="OJA4:OJD4"/>
    <mergeCell ref="OJE4:OJH4"/>
    <mergeCell ref="OJI4:OJL4"/>
    <mergeCell ref="OJM4:OJP4"/>
    <mergeCell ref="OHU4:OHX4"/>
    <mergeCell ref="OHY4:OIB4"/>
    <mergeCell ref="OIC4:OIF4"/>
    <mergeCell ref="OIG4:OIJ4"/>
    <mergeCell ref="OIK4:OIN4"/>
    <mergeCell ref="OIO4:OIR4"/>
    <mergeCell ref="OGW4:OGZ4"/>
    <mergeCell ref="OHA4:OHD4"/>
    <mergeCell ref="OHE4:OHH4"/>
    <mergeCell ref="OHI4:OHL4"/>
    <mergeCell ref="OHM4:OHP4"/>
    <mergeCell ref="OHQ4:OHT4"/>
    <mergeCell ref="ORA4:ORD4"/>
    <mergeCell ref="ORE4:ORH4"/>
    <mergeCell ref="ORI4:ORL4"/>
    <mergeCell ref="ORM4:ORP4"/>
    <mergeCell ref="ORQ4:ORT4"/>
    <mergeCell ref="ORU4:ORX4"/>
    <mergeCell ref="OQC4:OQF4"/>
    <mergeCell ref="OQG4:OQJ4"/>
    <mergeCell ref="OQK4:OQN4"/>
    <mergeCell ref="OQO4:OQR4"/>
    <mergeCell ref="OQS4:OQV4"/>
    <mergeCell ref="OQW4:OQZ4"/>
    <mergeCell ref="OPE4:OPH4"/>
    <mergeCell ref="OPI4:OPL4"/>
    <mergeCell ref="OPM4:OPP4"/>
    <mergeCell ref="OPQ4:OPT4"/>
    <mergeCell ref="OPU4:OPX4"/>
    <mergeCell ref="OPY4:OQB4"/>
    <mergeCell ref="OOG4:OOJ4"/>
    <mergeCell ref="OOK4:OON4"/>
    <mergeCell ref="OOO4:OOR4"/>
    <mergeCell ref="OOS4:OOV4"/>
    <mergeCell ref="OOW4:OOZ4"/>
    <mergeCell ref="OPA4:OPD4"/>
    <mergeCell ref="ONI4:ONL4"/>
    <mergeCell ref="ONM4:ONP4"/>
    <mergeCell ref="ONQ4:ONT4"/>
    <mergeCell ref="ONU4:ONX4"/>
    <mergeCell ref="ONY4:OOB4"/>
    <mergeCell ref="OOC4:OOF4"/>
    <mergeCell ref="OMK4:OMN4"/>
    <mergeCell ref="OMO4:OMR4"/>
    <mergeCell ref="OMS4:OMV4"/>
    <mergeCell ref="OMW4:OMZ4"/>
    <mergeCell ref="ONA4:OND4"/>
    <mergeCell ref="ONE4:ONH4"/>
    <mergeCell ref="OWO4:OWR4"/>
    <mergeCell ref="OWS4:OWV4"/>
    <mergeCell ref="OWW4:OWZ4"/>
    <mergeCell ref="OXA4:OXD4"/>
    <mergeCell ref="OXE4:OXH4"/>
    <mergeCell ref="OXI4:OXL4"/>
    <mergeCell ref="OVQ4:OVT4"/>
    <mergeCell ref="OVU4:OVX4"/>
    <mergeCell ref="OVY4:OWB4"/>
    <mergeCell ref="OWC4:OWF4"/>
    <mergeCell ref="OWG4:OWJ4"/>
    <mergeCell ref="OWK4:OWN4"/>
    <mergeCell ref="OUS4:OUV4"/>
    <mergeCell ref="OUW4:OUZ4"/>
    <mergeCell ref="OVA4:OVD4"/>
    <mergeCell ref="OVE4:OVH4"/>
    <mergeCell ref="OVI4:OVL4"/>
    <mergeCell ref="OVM4:OVP4"/>
    <mergeCell ref="OTU4:OTX4"/>
    <mergeCell ref="OTY4:OUB4"/>
    <mergeCell ref="OUC4:OUF4"/>
    <mergeCell ref="OUG4:OUJ4"/>
    <mergeCell ref="OUK4:OUN4"/>
    <mergeCell ref="OUO4:OUR4"/>
    <mergeCell ref="OSW4:OSZ4"/>
    <mergeCell ref="OTA4:OTD4"/>
    <mergeCell ref="OTE4:OTH4"/>
    <mergeCell ref="OTI4:OTL4"/>
    <mergeCell ref="OTM4:OTP4"/>
    <mergeCell ref="OTQ4:OTT4"/>
    <mergeCell ref="ORY4:OSB4"/>
    <mergeCell ref="OSC4:OSF4"/>
    <mergeCell ref="OSG4:OSJ4"/>
    <mergeCell ref="OSK4:OSN4"/>
    <mergeCell ref="OSO4:OSR4"/>
    <mergeCell ref="OSS4:OSV4"/>
    <mergeCell ref="PCC4:PCF4"/>
    <mergeCell ref="PCG4:PCJ4"/>
    <mergeCell ref="PCK4:PCN4"/>
    <mergeCell ref="PCO4:PCR4"/>
    <mergeCell ref="PCS4:PCV4"/>
    <mergeCell ref="PCW4:PCZ4"/>
    <mergeCell ref="PBE4:PBH4"/>
    <mergeCell ref="PBI4:PBL4"/>
    <mergeCell ref="PBM4:PBP4"/>
    <mergeCell ref="PBQ4:PBT4"/>
    <mergeCell ref="PBU4:PBX4"/>
    <mergeCell ref="PBY4:PCB4"/>
    <mergeCell ref="PAG4:PAJ4"/>
    <mergeCell ref="PAK4:PAN4"/>
    <mergeCell ref="PAO4:PAR4"/>
    <mergeCell ref="PAS4:PAV4"/>
    <mergeCell ref="PAW4:PAZ4"/>
    <mergeCell ref="PBA4:PBD4"/>
    <mergeCell ref="OZI4:OZL4"/>
    <mergeCell ref="OZM4:OZP4"/>
    <mergeCell ref="OZQ4:OZT4"/>
    <mergeCell ref="OZU4:OZX4"/>
    <mergeCell ref="OZY4:PAB4"/>
    <mergeCell ref="PAC4:PAF4"/>
    <mergeCell ref="OYK4:OYN4"/>
    <mergeCell ref="OYO4:OYR4"/>
    <mergeCell ref="OYS4:OYV4"/>
    <mergeCell ref="OYW4:OYZ4"/>
    <mergeCell ref="OZA4:OZD4"/>
    <mergeCell ref="OZE4:OZH4"/>
    <mergeCell ref="OXM4:OXP4"/>
    <mergeCell ref="OXQ4:OXT4"/>
    <mergeCell ref="OXU4:OXX4"/>
    <mergeCell ref="OXY4:OYB4"/>
    <mergeCell ref="OYC4:OYF4"/>
    <mergeCell ref="OYG4:OYJ4"/>
    <mergeCell ref="PHQ4:PHT4"/>
    <mergeCell ref="PHU4:PHX4"/>
    <mergeCell ref="PHY4:PIB4"/>
    <mergeCell ref="PIC4:PIF4"/>
    <mergeCell ref="PIG4:PIJ4"/>
    <mergeCell ref="PIK4:PIN4"/>
    <mergeCell ref="PGS4:PGV4"/>
    <mergeCell ref="PGW4:PGZ4"/>
    <mergeCell ref="PHA4:PHD4"/>
    <mergeCell ref="PHE4:PHH4"/>
    <mergeCell ref="PHI4:PHL4"/>
    <mergeCell ref="PHM4:PHP4"/>
    <mergeCell ref="PFU4:PFX4"/>
    <mergeCell ref="PFY4:PGB4"/>
    <mergeCell ref="PGC4:PGF4"/>
    <mergeCell ref="PGG4:PGJ4"/>
    <mergeCell ref="PGK4:PGN4"/>
    <mergeCell ref="PGO4:PGR4"/>
    <mergeCell ref="PEW4:PEZ4"/>
    <mergeCell ref="PFA4:PFD4"/>
    <mergeCell ref="PFE4:PFH4"/>
    <mergeCell ref="PFI4:PFL4"/>
    <mergeCell ref="PFM4:PFP4"/>
    <mergeCell ref="PFQ4:PFT4"/>
    <mergeCell ref="PDY4:PEB4"/>
    <mergeCell ref="PEC4:PEF4"/>
    <mergeCell ref="PEG4:PEJ4"/>
    <mergeCell ref="PEK4:PEN4"/>
    <mergeCell ref="PEO4:PER4"/>
    <mergeCell ref="PES4:PEV4"/>
    <mergeCell ref="PDA4:PDD4"/>
    <mergeCell ref="PDE4:PDH4"/>
    <mergeCell ref="PDI4:PDL4"/>
    <mergeCell ref="PDM4:PDP4"/>
    <mergeCell ref="PDQ4:PDT4"/>
    <mergeCell ref="PDU4:PDX4"/>
    <mergeCell ref="PNE4:PNH4"/>
    <mergeCell ref="PNI4:PNL4"/>
    <mergeCell ref="PNM4:PNP4"/>
    <mergeCell ref="PNQ4:PNT4"/>
    <mergeCell ref="PNU4:PNX4"/>
    <mergeCell ref="PNY4:POB4"/>
    <mergeCell ref="PMG4:PMJ4"/>
    <mergeCell ref="PMK4:PMN4"/>
    <mergeCell ref="PMO4:PMR4"/>
    <mergeCell ref="PMS4:PMV4"/>
    <mergeCell ref="PMW4:PMZ4"/>
    <mergeCell ref="PNA4:PND4"/>
    <mergeCell ref="PLI4:PLL4"/>
    <mergeCell ref="PLM4:PLP4"/>
    <mergeCell ref="PLQ4:PLT4"/>
    <mergeCell ref="PLU4:PLX4"/>
    <mergeCell ref="PLY4:PMB4"/>
    <mergeCell ref="PMC4:PMF4"/>
    <mergeCell ref="PKK4:PKN4"/>
    <mergeCell ref="PKO4:PKR4"/>
    <mergeCell ref="PKS4:PKV4"/>
    <mergeCell ref="PKW4:PKZ4"/>
    <mergeCell ref="PLA4:PLD4"/>
    <mergeCell ref="PLE4:PLH4"/>
    <mergeCell ref="PJM4:PJP4"/>
    <mergeCell ref="PJQ4:PJT4"/>
    <mergeCell ref="PJU4:PJX4"/>
    <mergeCell ref="PJY4:PKB4"/>
    <mergeCell ref="PKC4:PKF4"/>
    <mergeCell ref="PKG4:PKJ4"/>
    <mergeCell ref="PIO4:PIR4"/>
    <mergeCell ref="PIS4:PIV4"/>
    <mergeCell ref="PIW4:PIZ4"/>
    <mergeCell ref="PJA4:PJD4"/>
    <mergeCell ref="PJE4:PJH4"/>
    <mergeCell ref="PJI4:PJL4"/>
    <mergeCell ref="PSS4:PSV4"/>
    <mergeCell ref="PSW4:PSZ4"/>
    <mergeCell ref="PTA4:PTD4"/>
    <mergeCell ref="PTE4:PTH4"/>
    <mergeCell ref="PTI4:PTL4"/>
    <mergeCell ref="PTM4:PTP4"/>
    <mergeCell ref="PRU4:PRX4"/>
    <mergeCell ref="PRY4:PSB4"/>
    <mergeCell ref="PSC4:PSF4"/>
    <mergeCell ref="PSG4:PSJ4"/>
    <mergeCell ref="PSK4:PSN4"/>
    <mergeCell ref="PSO4:PSR4"/>
    <mergeCell ref="PQW4:PQZ4"/>
    <mergeCell ref="PRA4:PRD4"/>
    <mergeCell ref="PRE4:PRH4"/>
    <mergeCell ref="PRI4:PRL4"/>
    <mergeCell ref="PRM4:PRP4"/>
    <mergeCell ref="PRQ4:PRT4"/>
    <mergeCell ref="PPY4:PQB4"/>
    <mergeCell ref="PQC4:PQF4"/>
    <mergeCell ref="PQG4:PQJ4"/>
    <mergeCell ref="PQK4:PQN4"/>
    <mergeCell ref="PQO4:PQR4"/>
    <mergeCell ref="PQS4:PQV4"/>
    <mergeCell ref="PPA4:PPD4"/>
    <mergeCell ref="PPE4:PPH4"/>
    <mergeCell ref="PPI4:PPL4"/>
    <mergeCell ref="PPM4:PPP4"/>
    <mergeCell ref="PPQ4:PPT4"/>
    <mergeCell ref="PPU4:PPX4"/>
    <mergeCell ref="POC4:POF4"/>
    <mergeCell ref="POG4:POJ4"/>
    <mergeCell ref="POK4:PON4"/>
    <mergeCell ref="POO4:POR4"/>
    <mergeCell ref="POS4:POV4"/>
    <mergeCell ref="POW4:POZ4"/>
    <mergeCell ref="PYG4:PYJ4"/>
    <mergeCell ref="PYK4:PYN4"/>
    <mergeCell ref="PYO4:PYR4"/>
    <mergeCell ref="PYS4:PYV4"/>
    <mergeCell ref="PYW4:PYZ4"/>
    <mergeCell ref="PZA4:PZD4"/>
    <mergeCell ref="PXI4:PXL4"/>
    <mergeCell ref="PXM4:PXP4"/>
    <mergeCell ref="PXQ4:PXT4"/>
    <mergeCell ref="PXU4:PXX4"/>
    <mergeCell ref="PXY4:PYB4"/>
    <mergeCell ref="PYC4:PYF4"/>
    <mergeCell ref="PWK4:PWN4"/>
    <mergeCell ref="PWO4:PWR4"/>
    <mergeCell ref="PWS4:PWV4"/>
    <mergeCell ref="PWW4:PWZ4"/>
    <mergeCell ref="PXA4:PXD4"/>
    <mergeCell ref="PXE4:PXH4"/>
    <mergeCell ref="PVM4:PVP4"/>
    <mergeCell ref="PVQ4:PVT4"/>
    <mergeCell ref="PVU4:PVX4"/>
    <mergeCell ref="PVY4:PWB4"/>
    <mergeCell ref="PWC4:PWF4"/>
    <mergeCell ref="PWG4:PWJ4"/>
    <mergeCell ref="PUO4:PUR4"/>
    <mergeCell ref="PUS4:PUV4"/>
    <mergeCell ref="PUW4:PUZ4"/>
    <mergeCell ref="PVA4:PVD4"/>
    <mergeCell ref="PVE4:PVH4"/>
    <mergeCell ref="PVI4:PVL4"/>
    <mergeCell ref="PTQ4:PTT4"/>
    <mergeCell ref="PTU4:PTX4"/>
    <mergeCell ref="PTY4:PUB4"/>
    <mergeCell ref="PUC4:PUF4"/>
    <mergeCell ref="PUG4:PUJ4"/>
    <mergeCell ref="PUK4:PUN4"/>
    <mergeCell ref="QDU4:QDX4"/>
    <mergeCell ref="QDY4:QEB4"/>
    <mergeCell ref="QEC4:QEF4"/>
    <mergeCell ref="QEG4:QEJ4"/>
    <mergeCell ref="QEK4:QEN4"/>
    <mergeCell ref="QEO4:QER4"/>
    <mergeCell ref="QCW4:QCZ4"/>
    <mergeCell ref="QDA4:QDD4"/>
    <mergeCell ref="QDE4:QDH4"/>
    <mergeCell ref="QDI4:QDL4"/>
    <mergeCell ref="QDM4:QDP4"/>
    <mergeCell ref="QDQ4:QDT4"/>
    <mergeCell ref="QBY4:QCB4"/>
    <mergeCell ref="QCC4:QCF4"/>
    <mergeCell ref="QCG4:QCJ4"/>
    <mergeCell ref="QCK4:QCN4"/>
    <mergeCell ref="QCO4:QCR4"/>
    <mergeCell ref="QCS4:QCV4"/>
    <mergeCell ref="QBA4:QBD4"/>
    <mergeCell ref="QBE4:QBH4"/>
    <mergeCell ref="QBI4:QBL4"/>
    <mergeCell ref="QBM4:QBP4"/>
    <mergeCell ref="QBQ4:QBT4"/>
    <mergeCell ref="QBU4:QBX4"/>
    <mergeCell ref="QAC4:QAF4"/>
    <mergeCell ref="QAG4:QAJ4"/>
    <mergeCell ref="QAK4:QAN4"/>
    <mergeCell ref="QAO4:QAR4"/>
    <mergeCell ref="QAS4:QAV4"/>
    <mergeCell ref="QAW4:QAZ4"/>
    <mergeCell ref="PZE4:PZH4"/>
    <mergeCell ref="PZI4:PZL4"/>
    <mergeCell ref="PZM4:PZP4"/>
    <mergeCell ref="PZQ4:PZT4"/>
    <mergeCell ref="PZU4:PZX4"/>
    <mergeCell ref="PZY4:QAB4"/>
    <mergeCell ref="QJI4:QJL4"/>
    <mergeCell ref="QJM4:QJP4"/>
    <mergeCell ref="QJQ4:QJT4"/>
    <mergeCell ref="QJU4:QJX4"/>
    <mergeCell ref="QJY4:QKB4"/>
    <mergeCell ref="QKC4:QKF4"/>
    <mergeCell ref="QIK4:QIN4"/>
    <mergeCell ref="QIO4:QIR4"/>
    <mergeCell ref="QIS4:QIV4"/>
    <mergeCell ref="QIW4:QIZ4"/>
    <mergeCell ref="QJA4:QJD4"/>
    <mergeCell ref="QJE4:QJH4"/>
    <mergeCell ref="QHM4:QHP4"/>
    <mergeCell ref="QHQ4:QHT4"/>
    <mergeCell ref="QHU4:QHX4"/>
    <mergeCell ref="QHY4:QIB4"/>
    <mergeCell ref="QIC4:QIF4"/>
    <mergeCell ref="QIG4:QIJ4"/>
    <mergeCell ref="QGO4:QGR4"/>
    <mergeCell ref="QGS4:QGV4"/>
    <mergeCell ref="QGW4:QGZ4"/>
    <mergeCell ref="QHA4:QHD4"/>
    <mergeCell ref="QHE4:QHH4"/>
    <mergeCell ref="QHI4:QHL4"/>
    <mergeCell ref="QFQ4:QFT4"/>
    <mergeCell ref="QFU4:QFX4"/>
    <mergeCell ref="QFY4:QGB4"/>
    <mergeCell ref="QGC4:QGF4"/>
    <mergeCell ref="QGG4:QGJ4"/>
    <mergeCell ref="QGK4:QGN4"/>
    <mergeCell ref="QES4:QEV4"/>
    <mergeCell ref="QEW4:QEZ4"/>
    <mergeCell ref="QFA4:QFD4"/>
    <mergeCell ref="QFE4:QFH4"/>
    <mergeCell ref="QFI4:QFL4"/>
    <mergeCell ref="QFM4:QFP4"/>
    <mergeCell ref="QOW4:QOZ4"/>
    <mergeCell ref="QPA4:QPD4"/>
    <mergeCell ref="QPE4:QPH4"/>
    <mergeCell ref="QPI4:QPL4"/>
    <mergeCell ref="QPM4:QPP4"/>
    <mergeCell ref="QPQ4:QPT4"/>
    <mergeCell ref="QNY4:QOB4"/>
    <mergeCell ref="QOC4:QOF4"/>
    <mergeCell ref="QOG4:QOJ4"/>
    <mergeCell ref="QOK4:QON4"/>
    <mergeCell ref="QOO4:QOR4"/>
    <mergeCell ref="QOS4:QOV4"/>
    <mergeCell ref="QNA4:QND4"/>
    <mergeCell ref="QNE4:QNH4"/>
    <mergeCell ref="QNI4:QNL4"/>
    <mergeCell ref="QNM4:QNP4"/>
    <mergeCell ref="QNQ4:QNT4"/>
    <mergeCell ref="QNU4:QNX4"/>
    <mergeCell ref="QMC4:QMF4"/>
    <mergeCell ref="QMG4:QMJ4"/>
    <mergeCell ref="QMK4:QMN4"/>
    <mergeCell ref="QMO4:QMR4"/>
    <mergeCell ref="QMS4:QMV4"/>
    <mergeCell ref="QMW4:QMZ4"/>
    <mergeCell ref="QLE4:QLH4"/>
    <mergeCell ref="QLI4:QLL4"/>
    <mergeCell ref="QLM4:QLP4"/>
    <mergeCell ref="QLQ4:QLT4"/>
    <mergeCell ref="QLU4:QLX4"/>
    <mergeCell ref="QLY4:QMB4"/>
    <mergeCell ref="QKG4:QKJ4"/>
    <mergeCell ref="QKK4:QKN4"/>
    <mergeCell ref="QKO4:QKR4"/>
    <mergeCell ref="QKS4:QKV4"/>
    <mergeCell ref="QKW4:QKZ4"/>
    <mergeCell ref="QLA4:QLD4"/>
    <mergeCell ref="QUK4:QUN4"/>
    <mergeCell ref="QUO4:QUR4"/>
    <mergeCell ref="QUS4:QUV4"/>
    <mergeCell ref="QUW4:QUZ4"/>
    <mergeCell ref="QVA4:QVD4"/>
    <mergeCell ref="QVE4:QVH4"/>
    <mergeCell ref="QTM4:QTP4"/>
    <mergeCell ref="QTQ4:QTT4"/>
    <mergeCell ref="QTU4:QTX4"/>
    <mergeCell ref="QTY4:QUB4"/>
    <mergeCell ref="QUC4:QUF4"/>
    <mergeCell ref="QUG4:QUJ4"/>
    <mergeCell ref="QSO4:QSR4"/>
    <mergeCell ref="QSS4:QSV4"/>
    <mergeCell ref="QSW4:QSZ4"/>
    <mergeCell ref="QTA4:QTD4"/>
    <mergeCell ref="QTE4:QTH4"/>
    <mergeCell ref="QTI4:QTL4"/>
    <mergeCell ref="QRQ4:QRT4"/>
    <mergeCell ref="QRU4:QRX4"/>
    <mergeCell ref="QRY4:QSB4"/>
    <mergeCell ref="QSC4:QSF4"/>
    <mergeCell ref="QSG4:QSJ4"/>
    <mergeCell ref="QSK4:QSN4"/>
    <mergeCell ref="QQS4:QQV4"/>
    <mergeCell ref="QQW4:QQZ4"/>
    <mergeCell ref="QRA4:QRD4"/>
    <mergeCell ref="QRE4:QRH4"/>
    <mergeCell ref="QRI4:QRL4"/>
    <mergeCell ref="QRM4:QRP4"/>
    <mergeCell ref="QPU4:QPX4"/>
    <mergeCell ref="QPY4:QQB4"/>
    <mergeCell ref="QQC4:QQF4"/>
    <mergeCell ref="QQG4:QQJ4"/>
    <mergeCell ref="QQK4:QQN4"/>
    <mergeCell ref="QQO4:QQR4"/>
    <mergeCell ref="QZY4:RAB4"/>
    <mergeCell ref="RAC4:RAF4"/>
    <mergeCell ref="RAG4:RAJ4"/>
    <mergeCell ref="RAK4:RAN4"/>
    <mergeCell ref="RAO4:RAR4"/>
    <mergeCell ref="RAS4:RAV4"/>
    <mergeCell ref="QZA4:QZD4"/>
    <mergeCell ref="QZE4:QZH4"/>
    <mergeCell ref="QZI4:QZL4"/>
    <mergeCell ref="QZM4:QZP4"/>
    <mergeCell ref="QZQ4:QZT4"/>
    <mergeCell ref="QZU4:QZX4"/>
    <mergeCell ref="QYC4:QYF4"/>
    <mergeCell ref="QYG4:QYJ4"/>
    <mergeCell ref="QYK4:QYN4"/>
    <mergeCell ref="QYO4:QYR4"/>
    <mergeCell ref="QYS4:QYV4"/>
    <mergeCell ref="QYW4:QYZ4"/>
    <mergeCell ref="QXE4:QXH4"/>
    <mergeCell ref="QXI4:QXL4"/>
    <mergeCell ref="QXM4:QXP4"/>
    <mergeCell ref="QXQ4:QXT4"/>
    <mergeCell ref="QXU4:QXX4"/>
    <mergeCell ref="QXY4:QYB4"/>
    <mergeCell ref="QWG4:QWJ4"/>
    <mergeCell ref="QWK4:QWN4"/>
    <mergeCell ref="QWO4:QWR4"/>
    <mergeCell ref="QWS4:QWV4"/>
    <mergeCell ref="QWW4:QWZ4"/>
    <mergeCell ref="QXA4:QXD4"/>
    <mergeCell ref="QVI4:QVL4"/>
    <mergeCell ref="QVM4:QVP4"/>
    <mergeCell ref="QVQ4:QVT4"/>
    <mergeCell ref="QVU4:QVX4"/>
    <mergeCell ref="QVY4:QWB4"/>
    <mergeCell ref="QWC4:QWF4"/>
    <mergeCell ref="RFM4:RFP4"/>
    <mergeCell ref="RFQ4:RFT4"/>
    <mergeCell ref="RFU4:RFX4"/>
    <mergeCell ref="RFY4:RGB4"/>
    <mergeCell ref="RGC4:RGF4"/>
    <mergeCell ref="RGG4:RGJ4"/>
    <mergeCell ref="REO4:RER4"/>
    <mergeCell ref="RES4:REV4"/>
    <mergeCell ref="REW4:REZ4"/>
    <mergeCell ref="RFA4:RFD4"/>
    <mergeCell ref="RFE4:RFH4"/>
    <mergeCell ref="RFI4:RFL4"/>
    <mergeCell ref="RDQ4:RDT4"/>
    <mergeCell ref="RDU4:RDX4"/>
    <mergeCell ref="RDY4:REB4"/>
    <mergeCell ref="REC4:REF4"/>
    <mergeCell ref="REG4:REJ4"/>
    <mergeCell ref="REK4:REN4"/>
    <mergeCell ref="RCS4:RCV4"/>
    <mergeCell ref="RCW4:RCZ4"/>
    <mergeCell ref="RDA4:RDD4"/>
    <mergeCell ref="RDE4:RDH4"/>
    <mergeCell ref="RDI4:RDL4"/>
    <mergeCell ref="RDM4:RDP4"/>
    <mergeCell ref="RBU4:RBX4"/>
    <mergeCell ref="RBY4:RCB4"/>
    <mergeCell ref="RCC4:RCF4"/>
    <mergeCell ref="RCG4:RCJ4"/>
    <mergeCell ref="RCK4:RCN4"/>
    <mergeCell ref="RCO4:RCR4"/>
    <mergeCell ref="RAW4:RAZ4"/>
    <mergeCell ref="RBA4:RBD4"/>
    <mergeCell ref="RBE4:RBH4"/>
    <mergeCell ref="RBI4:RBL4"/>
    <mergeCell ref="RBM4:RBP4"/>
    <mergeCell ref="RBQ4:RBT4"/>
    <mergeCell ref="RLA4:RLD4"/>
    <mergeCell ref="RLE4:RLH4"/>
    <mergeCell ref="RLI4:RLL4"/>
    <mergeCell ref="RLM4:RLP4"/>
    <mergeCell ref="RLQ4:RLT4"/>
    <mergeCell ref="RLU4:RLX4"/>
    <mergeCell ref="RKC4:RKF4"/>
    <mergeCell ref="RKG4:RKJ4"/>
    <mergeCell ref="RKK4:RKN4"/>
    <mergeCell ref="RKO4:RKR4"/>
    <mergeCell ref="RKS4:RKV4"/>
    <mergeCell ref="RKW4:RKZ4"/>
    <mergeCell ref="RJE4:RJH4"/>
    <mergeCell ref="RJI4:RJL4"/>
    <mergeCell ref="RJM4:RJP4"/>
    <mergeCell ref="RJQ4:RJT4"/>
    <mergeCell ref="RJU4:RJX4"/>
    <mergeCell ref="RJY4:RKB4"/>
    <mergeCell ref="RIG4:RIJ4"/>
    <mergeCell ref="RIK4:RIN4"/>
    <mergeCell ref="RIO4:RIR4"/>
    <mergeCell ref="RIS4:RIV4"/>
    <mergeCell ref="RIW4:RIZ4"/>
    <mergeCell ref="RJA4:RJD4"/>
    <mergeCell ref="RHI4:RHL4"/>
    <mergeCell ref="RHM4:RHP4"/>
    <mergeCell ref="RHQ4:RHT4"/>
    <mergeCell ref="RHU4:RHX4"/>
    <mergeCell ref="RHY4:RIB4"/>
    <mergeCell ref="RIC4:RIF4"/>
    <mergeCell ref="RGK4:RGN4"/>
    <mergeCell ref="RGO4:RGR4"/>
    <mergeCell ref="RGS4:RGV4"/>
    <mergeCell ref="RGW4:RGZ4"/>
    <mergeCell ref="RHA4:RHD4"/>
    <mergeCell ref="RHE4:RHH4"/>
    <mergeCell ref="RQO4:RQR4"/>
    <mergeCell ref="RQS4:RQV4"/>
    <mergeCell ref="RQW4:RQZ4"/>
    <mergeCell ref="RRA4:RRD4"/>
    <mergeCell ref="RRE4:RRH4"/>
    <mergeCell ref="RRI4:RRL4"/>
    <mergeCell ref="RPQ4:RPT4"/>
    <mergeCell ref="RPU4:RPX4"/>
    <mergeCell ref="RPY4:RQB4"/>
    <mergeCell ref="RQC4:RQF4"/>
    <mergeCell ref="RQG4:RQJ4"/>
    <mergeCell ref="RQK4:RQN4"/>
    <mergeCell ref="ROS4:ROV4"/>
    <mergeCell ref="ROW4:ROZ4"/>
    <mergeCell ref="RPA4:RPD4"/>
    <mergeCell ref="RPE4:RPH4"/>
    <mergeCell ref="RPI4:RPL4"/>
    <mergeCell ref="RPM4:RPP4"/>
    <mergeCell ref="RNU4:RNX4"/>
    <mergeCell ref="RNY4:ROB4"/>
    <mergeCell ref="ROC4:ROF4"/>
    <mergeCell ref="ROG4:ROJ4"/>
    <mergeCell ref="ROK4:RON4"/>
    <mergeCell ref="ROO4:ROR4"/>
    <mergeCell ref="RMW4:RMZ4"/>
    <mergeCell ref="RNA4:RND4"/>
    <mergeCell ref="RNE4:RNH4"/>
    <mergeCell ref="RNI4:RNL4"/>
    <mergeCell ref="RNM4:RNP4"/>
    <mergeCell ref="RNQ4:RNT4"/>
    <mergeCell ref="RLY4:RMB4"/>
    <mergeCell ref="RMC4:RMF4"/>
    <mergeCell ref="RMG4:RMJ4"/>
    <mergeCell ref="RMK4:RMN4"/>
    <mergeCell ref="RMO4:RMR4"/>
    <mergeCell ref="RMS4:RMV4"/>
    <mergeCell ref="RWC4:RWF4"/>
    <mergeCell ref="RWG4:RWJ4"/>
    <mergeCell ref="RWK4:RWN4"/>
    <mergeCell ref="RWO4:RWR4"/>
    <mergeCell ref="RWS4:RWV4"/>
    <mergeCell ref="RWW4:RWZ4"/>
    <mergeCell ref="RVE4:RVH4"/>
    <mergeCell ref="RVI4:RVL4"/>
    <mergeCell ref="RVM4:RVP4"/>
    <mergeCell ref="RVQ4:RVT4"/>
    <mergeCell ref="RVU4:RVX4"/>
    <mergeCell ref="RVY4:RWB4"/>
    <mergeCell ref="RUG4:RUJ4"/>
    <mergeCell ref="RUK4:RUN4"/>
    <mergeCell ref="RUO4:RUR4"/>
    <mergeCell ref="RUS4:RUV4"/>
    <mergeCell ref="RUW4:RUZ4"/>
    <mergeCell ref="RVA4:RVD4"/>
    <mergeCell ref="RTI4:RTL4"/>
    <mergeCell ref="RTM4:RTP4"/>
    <mergeCell ref="RTQ4:RTT4"/>
    <mergeCell ref="RTU4:RTX4"/>
    <mergeCell ref="RTY4:RUB4"/>
    <mergeCell ref="RUC4:RUF4"/>
    <mergeCell ref="RSK4:RSN4"/>
    <mergeCell ref="RSO4:RSR4"/>
    <mergeCell ref="RSS4:RSV4"/>
    <mergeCell ref="RSW4:RSZ4"/>
    <mergeCell ref="RTA4:RTD4"/>
    <mergeCell ref="RTE4:RTH4"/>
    <mergeCell ref="RRM4:RRP4"/>
    <mergeCell ref="RRQ4:RRT4"/>
    <mergeCell ref="RRU4:RRX4"/>
    <mergeCell ref="RRY4:RSB4"/>
    <mergeCell ref="RSC4:RSF4"/>
    <mergeCell ref="RSG4:RSJ4"/>
    <mergeCell ref="SBQ4:SBT4"/>
    <mergeCell ref="SBU4:SBX4"/>
    <mergeCell ref="SBY4:SCB4"/>
    <mergeCell ref="SCC4:SCF4"/>
    <mergeCell ref="SCG4:SCJ4"/>
    <mergeCell ref="SCK4:SCN4"/>
    <mergeCell ref="SAS4:SAV4"/>
    <mergeCell ref="SAW4:SAZ4"/>
    <mergeCell ref="SBA4:SBD4"/>
    <mergeCell ref="SBE4:SBH4"/>
    <mergeCell ref="SBI4:SBL4"/>
    <mergeCell ref="SBM4:SBP4"/>
    <mergeCell ref="RZU4:RZX4"/>
    <mergeCell ref="RZY4:SAB4"/>
    <mergeCell ref="SAC4:SAF4"/>
    <mergeCell ref="SAG4:SAJ4"/>
    <mergeCell ref="SAK4:SAN4"/>
    <mergeCell ref="SAO4:SAR4"/>
    <mergeCell ref="RYW4:RYZ4"/>
    <mergeCell ref="RZA4:RZD4"/>
    <mergeCell ref="RZE4:RZH4"/>
    <mergeCell ref="RZI4:RZL4"/>
    <mergeCell ref="RZM4:RZP4"/>
    <mergeCell ref="RZQ4:RZT4"/>
    <mergeCell ref="RXY4:RYB4"/>
    <mergeCell ref="RYC4:RYF4"/>
    <mergeCell ref="RYG4:RYJ4"/>
    <mergeCell ref="RYK4:RYN4"/>
    <mergeCell ref="RYO4:RYR4"/>
    <mergeCell ref="RYS4:RYV4"/>
    <mergeCell ref="RXA4:RXD4"/>
    <mergeCell ref="RXE4:RXH4"/>
    <mergeCell ref="RXI4:RXL4"/>
    <mergeCell ref="RXM4:RXP4"/>
    <mergeCell ref="RXQ4:RXT4"/>
    <mergeCell ref="RXU4:RXX4"/>
    <mergeCell ref="SHE4:SHH4"/>
    <mergeCell ref="SHI4:SHL4"/>
    <mergeCell ref="SHM4:SHP4"/>
    <mergeCell ref="SHQ4:SHT4"/>
    <mergeCell ref="SHU4:SHX4"/>
    <mergeCell ref="SHY4:SIB4"/>
    <mergeCell ref="SGG4:SGJ4"/>
    <mergeCell ref="SGK4:SGN4"/>
    <mergeCell ref="SGO4:SGR4"/>
    <mergeCell ref="SGS4:SGV4"/>
    <mergeCell ref="SGW4:SGZ4"/>
    <mergeCell ref="SHA4:SHD4"/>
    <mergeCell ref="SFI4:SFL4"/>
    <mergeCell ref="SFM4:SFP4"/>
    <mergeCell ref="SFQ4:SFT4"/>
    <mergeCell ref="SFU4:SFX4"/>
    <mergeCell ref="SFY4:SGB4"/>
    <mergeCell ref="SGC4:SGF4"/>
    <mergeCell ref="SEK4:SEN4"/>
    <mergeCell ref="SEO4:SER4"/>
    <mergeCell ref="SES4:SEV4"/>
    <mergeCell ref="SEW4:SEZ4"/>
    <mergeCell ref="SFA4:SFD4"/>
    <mergeCell ref="SFE4:SFH4"/>
    <mergeCell ref="SDM4:SDP4"/>
    <mergeCell ref="SDQ4:SDT4"/>
    <mergeCell ref="SDU4:SDX4"/>
    <mergeCell ref="SDY4:SEB4"/>
    <mergeCell ref="SEC4:SEF4"/>
    <mergeCell ref="SEG4:SEJ4"/>
    <mergeCell ref="SCO4:SCR4"/>
    <mergeCell ref="SCS4:SCV4"/>
    <mergeCell ref="SCW4:SCZ4"/>
    <mergeCell ref="SDA4:SDD4"/>
    <mergeCell ref="SDE4:SDH4"/>
    <mergeCell ref="SDI4:SDL4"/>
    <mergeCell ref="SMS4:SMV4"/>
    <mergeCell ref="SMW4:SMZ4"/>
    <mergeCell ref="SNA4:SND4"/>
    <mergeCell ref="SNE4:SNH4"/>
    <mergeCell ref="SNI4:SNL4"/>
    <mergeCell ref="SNM4:SNP4"/>
    <mergeCell ref="SLU4:SLX4"/>
    <mergeCell ref="SLY4:SMB4"/>
    <mergeCell ref="SMC4:SMF4"/>
    <mergeCell ref="SMG4:SMJ4"/>
    <mergeCell ref="SMK4:SMN4"/>
    <mergeCell ref="SMO4:SMR4"/>
    <mergeCell ref="SKW4:SKZ4"/>
    <mergeCell ref="SLA4:SLD4"/>
    <mergeCell ref="SLE4:SLH4"/>
    <mergeCell ref="SLI4:SLL4"/>
    <mergeCell ref="SLM4:SLP4"/>
    <mergeCell ref="SLQ4:SLT4"/>
    <mergeCell ref="SJY4:SKB4"/>
    <mergeCell ref="SKC4:SKF4"/>
    <mergeCell ref="SKG4:SKJ4"/>
    <mergeCell ref="SKK4:SKN4"/>
    <mergeCell ref="SKO4:SKR4"/>
    <mergeCell ref="SKS4:SKV4"/>
    <mergeCell ref="SJA4:SJD4"/>
    <mergeCell ref="SJE4:SJH4"/>
    <mergeCell ref="SJI4:SJL4"/>
    <mergeCell ref="SJM4:SJP4"/>
    <mergeCell ref="SJQ4:SJT4"/>
    <mergeCell ref="SJU4:SJX4"/>
    <mergeCell ref="SIC4:SIF4"/>
    <mergeCell ref="SIG4:SIJ4"/>
    <mergeCell ref="SIK4:SIN4"/>
    <mergeCell ref="SIO4:SIR4"/>
    <mergeCell ref="SIS4:SIV4"/>
    <mergeCell ref="SIW4:SIZ4"/>
    <mergeCell ref="SSG4:SSJ4"/>
    <mergeCell ref="SSK4:SSN4"/>
    <mergeCell ref="SSO4:SSR4"/>
    <mergeCell ref="SSS4:SSV4"/>
    <mergeCell ref="SSW4:SSZ4"/>
    <mergeCell ref="STA4:STD4"/>
    <mergeCell ref="SRI4:SRL4"/>
    <mergeCell ref="SRM4:SRP4"/>
    <mergeCell ref="SRQ4:SRT4"/>
    <mergeCell ref="SRU4:SRX4"/>
    <mergeCell ref="SRY4:SSB4"/>
    <mergeCell ref="SSC4:SSF4"/>
    <mergeCell ref="SQK4:SQN4"/>
    <mergeCell ref="SQO4:SQR4"/>
    <mergeCell ref="SQS4:SQV4"/>
    <mergeCell ref="SQW4:SQZ4"/>
    <mergeCell ref="SRA4:SRD4"/>
    <mergeCell ref="SRE4:SRH4"/>
    <mergeCell ref="SPM4:SPP4"/>
    <mergeCell ref="SPQ4:SPT4"/>
    <mergeCell ref="SPU4:SPX4"/>
    <mergeCell ref="SPY4:SQB4"/>
    <mergeCell ref="SQC4:SQF4"/>
    <mergeCell ref="SQG4:SQJ4"/>
    <mergeCell ref="SOO4:SOR4"/>
    <mergeCell ref="SOS4:SOV4"/>
    <mergeCell ref="SOW4:SOZ4"/>
    <mergeCell ref="SPA4:SPD4"/>
    <mergeCell ref="SPE4:SPH4"/>
    <mergeCell ref="SPI4:SPL4"/>
    <mergeCell ref="SNQ4:SNT4"/>
    <mergeCell ref="SNU4:SNX4"/>
    <mergeCell ref="SNY4:SOB4"/>
    <mergeCell ref="SOC4:SOF4"/>
    <mergeCell ref="SOG4:SOJ4"/>
    <mergeCell ref="SOK4:SON4"/>
    <mergeCell ref="SXU4:SXX4"/>
    <mergeCell ref="SXY4:SYB4"/>
    <mergeCell ref="SYC4:SYF4"/>
    <mergeCell ref="SYG4:SYJ4"/>
    <mergeCell ref="SYK4:SYN4"/>
    <mergeCell ref="SYO4:SYR4"/>
    <mergeCell ref="SWW4:SWZ4"/>
    <mergeCell ref="SXA4:SXD4"/>
    <mergeCell ref="SXE4:SXH4"/>
    <mergeCell ref="SXI4:SXL4"/>
    <mergeCell ref="SXM4:SXP4"/>
    <mergeCell ref="SXQ4:SXT4"/>
    <mergeCell ref="SVY4:SWB4"/>
    <mergeCell ref="SWC4:SWF4"/>
    <mergeCell ref="SWG4:SWJ4"/>
    <mergeCell ref="SWK4:SWN4"/>
    <mergeCell ref="SWO4:SWR4"/>
    <mergeCell ref="SWS4:SWV4"/>
    <mergeCell ref="SVA4:SVD4"/>
    <mergeCell ref="SVE4:SVH4"/>
    <mergeCell ref="SVI4:SVL4"/>
    <mergeCell ref="SVM4:SVP4"/>
    <mergeCell ref="SVQ4:SVT4"/>
    <mergeCell ref="SVU4:SVX4"/>
    <mergeCell ref="SUC4:SUF4"/>
    <mergeCell ref="SUG4:SUJ4"/>
    <mergeCell ref="SUK4:SUN4"/>
    <mergeCell ref="SUO4:SUR4"/>
    <mergeCell ref="SUS4:SUV4"/>
    <mergeCell ref="SUW4:SUZ4"/>
    <mergeCell ref="STE4:STH4"/>
    <mergeCell ref="STI4:STL4"/>
    <mergeCell ref="STM4:STP4"/>
    <mergeCell ref="STQ4:STT4"/>
    <mergeCell ref="STU4:STX4"/>
    <mergeCell ref="STY4:SUB4"/>
    <mergeCell ref="TDI4:TDL4"/>
    <mergeCell ref="TDM4:TDP4"/>
    <mergeCell ref="TDQ4:TDT4"/>
    <mergeCell ref="TDU4:TDX4"/>
    <mergeCell ref="TDY4:TEB4"/>
    <mergeCell ref="TEC4:TEF4"/>
    <mergeCell ref="TCK4:TCN4"/>
    <mergeCell ref="TCO4:TCR4"/>
    <mergeCell ref="TCS4:TCV4"/>
    <mergeCell ref="TCW4:TCZ4"/>
    <mergeCell ref="TDA4:TDD4"/>
    <mergeCell ref="TDE4:TDH4"/>
    <mergeCell ref="TBM4:TBP4"/>
    <mergeCell ref="TBQ4:TBT4"/>
    <mergeCell ref="TBU4:TBX4"/>
    <mergeCell ref="TBY4:TCB4"/>
    <mergeCell ref="TCC4:TCF4"/>
    <mergeCell ref="TCG4:TCJ4"/>
    <mergeCell ref="TAO4:TAR4"/>
    <mergeCell ref="TAS4:TAV4"/>
    <mergeCell ref="TAW4:TAZ4"/>
    <mergeCell ref="TBA4:TBD4"/>
    <mergeCell ref="TBE4:TBH4"/>
    <mergeCell ref="TBI4:TBL4"/>
    <mergeCell ref="SZQ4:SZT4"/>
    <mergeCell ref="SZU4:SZX4"/>
    <mergeCell ref="SZY4:TAB4"/>
    <mergeCell ref="TAC4:TAF4"/>
    <mergeCell ref="TAG4:TAJ4"/>
    <mergeCell ref="TAK4:TAN4"/>
    <mergeCell ref="SYS4:SYV4"/>
    <mergeCell ref="SYW4:SYZ4"/>
    <mergeCell ref="SZA4:SZD4"/>
    <mergeCell ref="SZE4:SZH4"/>
    <mergeCell ref="SZI4:SZL4"/>
    <mergeCell ref="SZM4:SZP4"/>
    <mergeCell ref="TIW4:TIZ4"/>
    <mergeCell ref="TJA4:TJD4"/>
    <mergeCell ref="TJE4:TJH4"/>
    <mergeCell ref="TJI4:TJL4"/>
    <mergeCell ref="TJM4:TJP4"/>
    <mergeCell ref="TJQ4:TJT4"/>
    <mergeCell ref="THY4:TIB4"/>
    <mergeCell ref="TIC4:TIF4"/>
    <mergeCell ref="TIG4:TIJ4"/>
    <mergeCell ref="TIK4:TIN4"/>
    <mergeCell ref="TIO4:TIR4"/>
    <mergeCell ref="TIS4:TIV4"/>
    <mergeCell ref="THA4:THD4"/>
    <mergeCell ref="THE4:THH4"/>
    <mergeCell ref="THI4:THL4"/>
    <mergeCell ref="THM4:THP4"/>
    <mergeCell ref="THQ4:THT4"/>
    <mergeCell ref="THU4:THX4"/>
    <mergeCell ref="TGC4:TGF4"/>
    <mergeCell ref="TGG4:TGJ4"/>
    <mergeCell ref="TGK4:TGN4"/>
    <mergeCell ref="TGO4:TGR4"/>
    <mergeCell ref="TGS4:TGV4"/>
    <mergeCell ref="TGW4:TGZ4"/>
    <mergeCell ref="TFE4:TFH4"/>
    <mergeCell ref="TFI4:TFL4"/>
    <mergeCell ref="TFM4:TFP4"/>
    <mergeCell ref="TFQ4:TFT4"/>
    <mergeCell ref="TFU4:TFX4"/>
    <mergeCell ref="TFY4:TGB4"/>
    <mergeCell ref="TEG4:TEJ4"/>
    <mergeCell ref="TEK4:TEN4"/>
    <mergeCell ref="TEO4:TER4"/>
    <mergeCell ref="TES4:TEV4"/>
    <mergeCell ref="TEW4:TEZ4"/>
    <mergeCell ref="TFA4:TFD4"/>
    <mergeCell ref="TOK4:TON4"/>
    <mergeCell ref="TOO4:TOR4"/>
    <mergeCell ref="TOS4:TOV4"/>
    <mergeCell ref="TOW4:TOZ4"/>
    <mergeCell ref="TPA4:TPD4"/>
    <mergeCell ref="TPE4:TPH4"/>
    <mergeCell ref="TNM4:TNP4"/>
    <mergeCell ref="TNQ4:TNT4"/>
    <mergeCell ref="TNU4:TNX4"/>
    <mergeCell ref="TNY4:TOB4"/>
    <mergeCell ref="TOC4:TOF4"/>
    <mergeCell ref="TOG4:TOJ4"/>
    <mergeCell ref="TMO4:TMR4"/>
    <mergeCell ref="TMS4:TMV4"/>
    <mergeCell ref="TMW4:TMZ4"/>
    <mergeCell ref="TNA4:TND4"/>
    <mergeCell ref="TNE4:TNH4"/>
    <mergeCell ref="TNI4:TNL4"/>
    <mergeCell ref="TLQ4:TLT4"/>
    <mergeCell ref="TLU4:TLX4"/>
    <mergeCell ref="TLY4:TMB4"/>
    <mergeCell ref="TMC4:TMF4"/>
    <mergeCell ref="TMG4:TMJ4"/>
    <mergeCell ref="TMK4:TMN4"/>
    <mergeCell ref="TKS4:TKV4"/>
    <mergeCell ref="TKW4:TKZ4"/>
    <mergeCell ref="TLA4:TLD4"/>
    <mergeCell ref="TLE4:TLH4"/>
    <mergeCell ref="TLI4:TLL4"/>
    <mergeCell ref="TLM4:TLP4"/>
    <mergeCell ref="TJU4:TJX4"/>
    <mergeCell ref="TJY4:TKB4"/>
    <mergeCell ref="TKC4:TKF4"/>
    <mergeCell ref="TKG4:TKJ4"/>
    <mergeCell ref="TKK4:TKN4"/>
    <mergeCell ref="TKO4:TKR4"/>
    <mergeCell ref="TTY4:TUB4"/>
    <mergeCell ref="TUC4:TUF4"/>
    <mergeCell ref="TUG4:TUJ4"/>
    <mergeCell ref="TUK4:TUN4"/>
    <mergeCell ref="TUO4:TUR4"/>
    <mergeCell ref="TUS4:TUV4"/>
    <mergeCell ref="TTA4:TTD4"/>
    <mergeCell ref="TTE4:TTH4"/>
    <mergeCell ref="TTI4:TTL4"/>
    <mergeCell ref="TTM4:TTP4"/>
    <mergeCell ref="TTQ4:TTT4"/>
    <mergeCell ref="TTU4:TTX4"/>
    <mergeCell ref="TSC4:TSF4"/>
    <mergeCell ref="TSG4:TSJ4"/>
    <mergeCell ref="TSK4:TSN4"/>
    <mergeCell ref="TSO4:TSR4"/>
    <mergeCell ref="TSS4:TSV4"/>
    <mergeCell ref="TSW4:TSZ4"/>
    <mergeCell ref="TRE4:TRH4"/>
    <mergeCell ref="TRI4:TRL4"/>
    <mergeCell ref="TRM4:TRP4"/>
    <mergeCell ref="TRQ4:TRT4"/>
    <mergeCell ref="TRU4:TRX4"/>
    <mergeCell ref="TRY4:TSB4"/>
    <mergeCell ref="TQG4:TQJ4"/>
    <mergeCell ref="TQK4:TQN4"/>
    <mergeCell ref="TQO4:TQR4"/>
    <mergeCell ref="TQS4:TQV4"/>
    <mergeCell ref="TQW4:TQZ4"/>
    <mergeCell ref="TRA4:TRD4"/>
    <mergeCell ref="TPI4:TPL4"/>
    <mergeCell ref="TPM4:TPP4"/>
    <mergeCell ref="TPQ4:TPT4"/>
    <mergeCell ref="TPU4:TPX4"/>
    <mergeCell ref="TPY4:TQB4"/>
    <mergeCell ref="TQC4:TQF4"/>
    <mergeCell ref="TZM4:TZP4"/>
    <mergeCell ref="TZQ4:TZT4"/>
    <mergeCell ref="TZU4:TZX4"/>
    <mergeCell ref="TZY4:UAB4"/>
    <mergeCell ref="UAC4:UAF4"/>
    <mergeCell ref="UAG4:UAJ4"/>
    <mergeCell ref="TYO4:TYR4"/>
    <mergeCell ref="TYS4:TYV4"/>
    <mergeCell ref="TYW4:TYZ4"/>
    <mergeCell ref="TZA4:TZD4"/>
    <mergeCell ref="TZE4:TZH4"/>
    <mergeCell ref="TZI4:TZL4"/>
    <mergeCell ref="TXQ4:TXT4"/>
    <mergeCell ref="TXU4:TXX4"/>
    <mergeCell ref="TXY4:TYB4"/>
    <mergeCell ref="TYC4:TYF4"/>
    <mergeCell ref="TYG4:TYJ4"/>
    <mergeCell ref="TYK4:TYN4"/>
    <mergeCell ref="TWS4:TWV4"/>
    <mergeCell ref="TWW4:TWZ4"/>
    <mergeCell ref="TXA4:TXD4"/>
    <mergeCell ref="TXE4:TXH4"/>
    <mergeCell ref="TXI4:TXL4"/>
    <mergeCell ref="TXM4:TXP4"/>
    <mergeCell ref="TVU4:TVX4"/>
    <mergeCell ref="TVY4:TWB4"/>
    <mergeCell ref="TWC4:TWF4"/>
    <mergeCell ref="TWG4:TWJ4"/>
    <mergeCell ref="TWK4:TWN4"/>
    <mergeCell ref="TWO4:TWR4"/>
    <mergeCell ref="TUW4:TUZ4"/>
    <mergeCell ref="TVA4:TVD4"/>
    <mergeCell ref="TVE4:TVH4"/>
    <mergeCell ref="TVI4:TVL4"/>
    <mergeCell ref="TVM4:TVP4"/>
    <mergeCell ref="TVQ4:TVT4"/>
    <mergeCell ref="UFA4:UFD4"/>
    <mergeCell ref="UFE4:UFH4"/>
    <mergeCell ref="UFI4:UFL4"/>
    <mergeCell ref="UFM4:UFP4"/>
    <mergeCell ref="UFQ4:UFT4"/>
    <mergeCell ref="UFU4:UFX4"/>
    <mergeCell ref="UEC4:UEF4"/>
    <mergeCell ref="UEG4:UEJ4"/>
    <mergeCell ref="UEK4:UEN4"/>
    <mergeCell ref="UEO4:UER4"/>
    <mergeCell ref="UES4:UEV4"/>
    <mergeCell ref="UEW4:UEZ4"/>
    <mergeCell ref="UDE4:UDH4"/>
    <mergeCell ref="UDI4:UDL4"/>
    <mergeCell ref="UDM4:UDP4"/>
    <mergeCell ref="UDQ4:UDT4"/>
    <mergeCell ref="UDU4:UDX4"/>
    <mergeCell ref="UDY4:UEB4"/>
    <mergeCell ref="UCG4:UCJ4"/>
    <mergeCell ref="UCK4:UCN4"/>
    <mergeCell ref="UCO4:UCR4"/>
    <mergeCell ref="UCS4:UCV4"/>
    <mergeCell ref="UCW4:UCZ4"/>
    <mergeCell ref="UDA4:UDD4"/>
    <mergeCell ref="UBI4:UBL4"/>
    <mergeCell ref="UBM4:UBP4"/>
    <mergeCell ref="UBQ4:UBT4"/>
    <mergeCell ref="UBU4:UBX4"/>
    <mergeCell ref="UBY4:UCB4"/>
    <mergeCell ref="UCC4:UCF4"/>
    <mergeCell ref="UAK4:UAN4"/>
    <mergeCell ref="UAO4:UAR4"/>
    <mergeCell ref="UAS4:UAV4"/>
    <mergeCell ref="UAW4:UAZ4"/>
    <mergeCell ref="UBA4:UBD4"/>
    <mergeCell ref="UBE4:UBH4"/>
    <mergeCell ref="UKO4:UKR4"/>
    <mergeCell ref="UKS4:UKV4"/>
    <mergeCell ref="UKW4:UKZ4"/>
    <mergeCell ref="ULA4:ULD4"/>
    <mergeCell ref="ULE4:ULH4"/>
    <mergeCell ref="ULI4:ULL4"/>
    <mergeCell ref="UJQ4:UJT4"/>
    <mergeCell ref="UJU4:UJX4"/>
    <mergeCell ref="UJY4:UKB4"/>
    <mergeCell ref="UKC4:UKF4"/>
    <mergeCell ref="UKG4:UKJ4"/>
    <mergeCell ref="UKK4:UKN4"/>
    <mergeCell ref="UIS4:UIV4"/>
    <mergeCell ref="UIW4:UIZ4"/>
    <mergeCell ref="UJA4:UJD4"/>
    <mergeCell ref="UJE4:UJH4"/>
    <mergeCell ref="UJI4:UJL4"/>
    <mergeCell ref="UJM4:UJP4"/>
    <mergeCell ref="UHU4:UHX4"/>
    <mergeCell ref="UHY4:UIB4"/>
    <mergeCell ref="UIC4:UIF4"/>
    <mergeCell ref="UIG4:UIJ4"/>
    <mergeCell ref="UIK4:UIN4"/>
    <mergeCell ref="UIO4:UIR4"/>
    <mergeCell ref="UGW4:UGZ4"/>
    <mergeCell ref="UHA4:UHD4"/>
    <mergeCell ref="UHE4:UHH4"/>
    <mergeCell ref="UHI4:UHL4"/>
    <mergeCell ref="UHM4:UHP4"/>
    <mergeCell ref="UHQ4:UHT4"/>
    <mergeCell ref="UFY4:UGB4"/>
    <mergeCell ref="UGC4:UGF4"/>
    <mergeCell ref="UGG4:UGJ4"/>
    <mergeCell ref="UGK4:UGN4"/>
    <mergeCell ref="UGO4:UGR4"/>
    <mergeCell ref="UGS4:UGV4"/>
    <mergeCell ref="UQC4:UQF4"/>
    <mergeCell ref="UQG4:UQJ4"/>
    <mergeCell ref="UQK4:UQN4"/>
    <mergeCell ref="UQO4:UQR4"/>
    <mergeCell ref="UQS4:UQV4"/>
    <mergeCell ref="UQW4:UQZ4"/>
    <mergeCell ref="UPE4:UPH4"/>
    <mergeCell ref="UPI4:UPL4"/>
    <mergeCell ref="UPM4:UPP4"/>
    <mergeCell ref="UPQ4:UPT4"/>
    <mergeCell ref="UPU4:UPX4"/>
    <mergeCell ref="UPY4:UQB4"/>
    <mergeCell ref="UOG4:UOJ4"/>
    <mergeCell ref="UOK4:UON4"/>
    <mergeCell ref="UOO4:UOR4"/>
    <mergeCell ref="UOS4:UOV4"/>
    <mergeCell ref="UOW4:UOZ4"/>
    <mergeCell ref="UPA4:UPD4"/>
    <mergeCell ref="UNI4:UNL4"/>
    <mergeCell ref="UNM4:UNP4"/>
    <mergeCell ref="UNQ4:UNT4"/>
    <mergeCell ref="UNU4:UNX4"/>
    <mergeCell ref="UNY4:UOB4"/>
    <mergeCell ref="UOC4:UOF4"/>
    <mergeCell ref="UMK4:UMN4"/>
    <mergeCell ref="UMO4:UMR4"/>
    <mergeCell ref="UMS4:UMV4"/>
    <mergeCell ref="UMW4:UMZ4"/>
    <mergeCell ref="UNA4:UND4"/>
    <mergeCell ref="UNE4:UNH4"/>
    <mergeCell ref="ULM4:ULP4"/>
    <mergeCell ref="ULQ4:ULT4"/>
    <mergeCell ref="ULU4:ULX4"/>
    <mergeCell ref="ULY4:UMB4"/>
    <mergeCell ref="UMC4:UMF4"/>
    <mergeCell ref="UMG4:UMJ4"/>
    <mergeCell ref="UVQ4:UVT4"/>
    <mergeCell ref="UVU4:UVX4"/>
    <mergeCell ref="UVY4:UWB4"/>
    <mergeCell ref="UWC4:UWF4"/>
    <mergeCell ref="UWG4:UWJ4"/>
    <mergeCell ref="UWK4:UWN4"/>
    <mergeCell ref="UUS4:UUV4"/>
    <mergeCell ref="UUW4:UUZ4"/>
    <mergeCell ref="UVA4:UVD4"/>
    <mergeCell ref="UVE4:UVH4"/>
    <mergeCell ref="UVI4:UVL4"/>
    <mergeCell ref="UVM4:UVP4"/>
    <mergeCell ref="UTU4:UTX4"/>
    <mergeCell ref="UTY4:UUB4"/>
    <mergeCell ref="UUC4:UUF4"/>
    <mergeCell ref="UUG4:UUJ4"/>
    <mergeCell ref="UUK4:UUN4"/>
    <mergeCell ref="UUO4:UUR4"/>
    <mergeCell ref="USW4:USZ4"/>
    <mergeCell ref="UTA4:UTD4"/>
    <mergeCell ref="UTE4:UTH4"/>
    <mergeCell ref="UTI4:UTL4"/>
    <mergeCell ref="UTM4:UTP4"/>
    <mergeCell ref="UTQ4:UTT4"/>
    <mergeCell ref="URY4:USB4"/>
    <mergeCell ref="USC4:USF4"/>
    <mergeCell ref="USG4:USJ4"/>
    <mergeCell ref="USK4:USN4"/>
    <mergeCell ref="USO4:USR4"/>
    <mergeCell ref="USS4:USV4"/>
    <mergeCell ref="URA4:URD4"/>
    <mergeCell ref="URE4:URH4"/>
    <mergeCell ref="URI4:URL4"/>
    <mergeCell ref="URM4:URP4"/>
    <mergeCell ref="URQ4:URT4"/>
    <mergeCell ref="URU4:URX4"/>
    <mergeCell ref="VBE4:VBH4"/>
    <mergeCell ref="VBI4:VBL4"/>
    <mergeCell ref="VBM4:VBP4"/>
    <mergeCell ref="VBQ4:VBT4"/>
    <mergeCell ref="VBU4:VBX4"/>
    <mergeCell ref="VBY4:VCB4"/>
    <mergeCell ref="VAG4:VAJ4"/>
    <mergeCell ref="VAK4:VAN4"/>
    <mergeCell ref="VAO4:VAR4"/>
    <mergeCell ref="VAS4:VAV4"/>
    <mergeCell ref="VAW4:VAZ4"/>
    <mergeCell ref="VBA4:VBD4"/>
    <mergeCell ref="UZI4:UZL4"/>
    <mergeCell ref="UZM4:UZP4"/>
    <mergeCell ref="UZQ4:UZT4"/>
    <mergeCell ref="UZU4:UZX4"/>
    <mergeCell ref="UZY4:VAB4"/>
    <mergeCell ref="VAC4:VAF4"/>
    <mergeCell ref="UYK4:UYN4"/>
    <mergeCell ref="UYO4:UYR4"/>
    <mergeCell ref="UYS4:UYV4"/>
    <mergeCell ref="UYW4:UYZ4"/>
    <mergeCell ref="UZA4:UZD4"/>
    <mergeCell ref="UZE4:UZH4"/>
    <mergeCell ref="UXM4:UXP4"/>
    <mergeCell ref="UXQ4:UXT4"/>
    <mergeCell ref="UXU4:UXX4"/>
    <mergeCell ref="UXY4:UYB4"/>
    <mergeCell ref="UYC4:UYF4"/>
    <mergeCell ref="UYG4:UYJ4"/>
    <mergeCell ref="UWO4:UWR4"/>
    <mergeCell ref="UWS4:UWV4"/>
    <mergeCell ref="UWW4:UWZ4"/>
    <mergeCell ref="UXA4:UXD4"/>
    <mergeCell ref="UXE4:UXH4"/>
    <mergeCell ref="UXI4:UXL4"/>
    <mergeCell ref="VGS4:VGV4"/>
    <mergeCell ref="VGW4:VGZ4"/>
    <mergeCell ref="VHA4:VHD4"/>
    <mergeCell ref="VHE4:VHH4"/>
    <mergeCell ref="VHI4:VHL4"/>
    <mergeCell ref="VHM4:VHP4"/>
    <mergeCell ref="VFU4:VFX4"/>
    <mergeCell ref="VFY4:VGB4"/>
    <mergeCell ref="VGC4:VGF4"/>
    <mergeCell ref="VGG4:VGJ4"/>
    <mergeCell ref="VGK4:VGN4"/>
    <mergeCell ref="VGO4:VGR4"/>
    <mergeCell ref="VEW4:VEZ4"/>
    <mergeCell ref="VFA4:VFD4"/>
    <mergeCell ref="VFE4:VFH4"/>
    <mergeCell ref="VFI4:VFL4"/>
    <mergeCell ref="VFM4:VFP4"/>
    <mergeCell ref="VFQ4:VFT4"/>
    <mergeCell ref="VDY4:VEB4"/>
    <mergeCell ref="VEC4:VEF4"/>
    <mergeCell ref="VEG4:VEJ4"/>
    <mergeCell ref="VEK4:VEN4"/>
    <mergeCell ref="VEO4:VER4"/>
    <mergeCell ref="VES4:VEV4"/>
    <mergeCell ref="VDA4:VDD4"/>
    <mergeCell ref="VDE4:VDH4"/>
    <mergeCell ref="VDI4:VDL4"/>
    <mergeCell ref="VDM4:VDP4"/>
    <mergeCell ref="VDQ4:VDT4"/>
    <mergeCell ref="VDU4:VDX4"/>
    <mergeCell ref="VCC4:VCF4"/>
    <mergeCell ref="VCG4:VCJ4"/>
    <mergeCell ref="VCK4:VCN4"/>
    <mergeCell ref="VCO4:VCR4"/>
    <mergeCell ref="VCS4:VCV4"/>
    <mergeCell ref="VCW4:VCZ4"/>
    <mergeCell ref="VMG4:VMJ4"/>
    <mergeCell ref="VMK4:VMN4"/>
    <mergeCell ref="VMO4:VMR4"/>
    <mergeCell ref="VMS4:VMV4"/>
    <mergeCell ref="VMW4:VMZ4"/>
    <mergeCell ref="VNA4:VND4"/>
    <mergeCell ref="VLI4:VLL4"/>
    <mergeCell ref="VLM4:VLP4"/>
    <mergeCell ref="VLQ4:VLT4"/>
    <mergeCell ref="VLU4:VLX4"/>
    <mergeCell ref="VLY4:VMB4"/>
    <mergeCell ref="VMC4:VMF4"/>
    <mergeCell ref="VKK4:VKN4"/>
    <mergeCell ref="VKO4:VKR4"/>
    <mergeCell ref="VKS4:VKV4"/>
    <mergeCell ref="VKW4:VKZ4"/>
    <mergeCell ref="VLA4:VLD4"/>
    <mergeCell ref="VLE4:VLH4"/>
    <mergeCell ref="VJM4:VJP4"/>
    <mergeCell ref="VJQ4:VJT4"/>
    <mergeCell ref="VJU4:VJX4"/>
    <mergeCell ref="VJY4:VKB4"/>
    <mergeCell ref="VKC4:VKF4"/>
    <mergeCell ref="VKG4:VKJ4"/>
    <mergeCell ref="VIO4:VIR4"/>
    <mergeCell ref="VIS4:VIV4"/>
    <mergeCell ref="VIW4:VIZ4"/>
    <mergeCell ref="VJA4:VJD4"/>
    <mergeCell ref="VJE4:VJH4"/>
    <mergeCell ref="VJI4:VJL4"/>
    <mergeCell ref="VHQ4:VHT4"/>
    <mergeCell ref="VHU4:VHX4"/>
    <mergeCell ref="VHY4:VIB4"/>
    <mergeCell ref="VIC4:VIF4"/>
    <mergeCell ref="VIG4:VIJ4"/>
    <mergeCell ref="VIK4:VIN4"/>
    <mergeCell ref="VRU4:VRX4"/>
    <mergeCell ref="VRY4:VSB4"/>
    <mergeCell ref="VSC4:VSF4"/>
    <mergeCell ref="VSG4:VSJ4"/>
    <mergeCell ref="VSK4:VSN4"/>
    <mergeCell ref="VSO4:VSR4"/>
    <mergeCell ref="VQW4:VQZ4"/>
    <mergeCell ref="VRA4:VRD4"/>
    <mergeCell ref="VRE4:VRH4"/>
    <mergeCell ref="VRI4:VRL4"/>
    <mergeCell ref="VRM4:VRP4"/>
    <mergeCell ref="VRQ4:VRT4"/>
    <mergeCell ref="VPY4:VQB4"/>
    <mergeCell ref="VQC4:VQF4"/>
    <mergeCell ref="VQG4:VQJ4"/>
    <mergeCell ref="VQK4:VQN4"/>
    <mergeCell ref="VQO4:VQR4"/>
    <mergeCell ref="VQS4:VQV4"/>
    <mergeCell ref="VPA4:VPD4"/>
    <mergeCell ref="VPE4:VPH4"/>
    <mergeCell ref="VPI4:VPL4"/>
    <mergeCell ref="VPM4:VPP4"/>
    <mergeCell ref="VPQ4:VPT4"/>
    <mergeCell ref="VPU4:VPX4"/>
    <mergeCell ref="VOC4:VOF4"/>
    <mergeCell ref="VOG4:VOJ4"/>
    <mergeCell ref="VOK4:VON4"/>
    <mergeCell ref="VOO4:VOR4"/>
    <mergeCell ref="VOS4:VOV4"/>
    <mergeCell ref="VOW4:VOZ4"/>
    <mergeCell ref="VNE4:VNH4"/>
    <mergeCell ref="VNI4:VNL4"/>
    <mergeCell ref="VNM4:VNP4"/>
    <mergeCell ref="VNQ4:VNT4"/>
    <mergeCell ref="VNU4:VNX4"/>
    <mergeCell ref="VNY4:VOB4"/>
    <mergeCell ref="VXI4:VXL4"/>
    <mergeCell ref="VXM4:VXP4"/>
    <mergeCell ref="VXQ4:VXT4"/>
    <mergeCell ref="VXU4:VXX4"/>
    <mergeCell ref="VXY4:VYB4"/>
    <mergeCell ref="VYC4:VYF4"/>
    <mergeCell ref="VWK4:VWN4"/>
    <mergeCell ref="VWO4:VWR4"/>
    <mergeCell ref="VWS4:VWV4"/>
    <mergeCell ref="VWW4:VWZ4"/>
    <mergeCell ref="VXA4:VXD4"/>
    <mergeCell ref="VXE4:VXH4"/>
    <mergeCell ref="VVM4:VVP4"/>
    <mergeCell ref="VVQ4:VVT4"/>
    <mergeCell ref="VVU4:VVX4"/>
    <mergeCell ref="VVY4:VWB4"/>
    <mergeCell ref="VWC4:VWF4"/>
    <mergeCell ref="VWG4:VWJ4"/>
    <mergeCell ref="VUO4:VUR4"/>
    <mergeCell ref="VUS4:VUV4"/>
    <mergeCell ref="VUW4:VUZ4"/>
    <mergeCell ref="VVA4:VVD4"/>
    <mergeCell ref="VVE4:VVH4"/>
    <mergeCell ref="VVI4:VVL4"/>
    <mergeCell ref="VTQ4:VTT4"/>
    <mergeCell ref="VTU4:VTX4"/>
    <mergeCell ref="VTY4:VUB4"/>
    <mergeCell ref="VUC4:VUF4"/>
    <mergeCell ref="VUG4:VUJ4"/>
    <mergeCell ref="VUK4:VUN4"/>
    <mergeCell ref="VSS4:VSV4"/>
    <mergeCell ref="VSW4:VSZ4"/>
    <mergeCell ref="VTA4:VTD4"/>
    <mergeCell ref="VTE4:VTH4"/>
    <mergeCell ref="VTI4:VTL4"/>
    <mergeCell ref="VTM4:VTP4"/>
    <mergeCell ref="WCW4:WCZ4"/>
    <mergeCell ref="WDA4:WDD4"/>
    <mergeCell ref="WDE4:WDH4"/>
    <mergeCell ref="WDI4:WDL4"/>
    <mergeCell ref="WDM4:WDP4"/>
    <mergeCell ref="WDQ4:WDT4"/>
    <mergeCell ref="WBY4:WCB4"/>
    <mergeCell ref="WCC4:WCF4"/>
    <mergeCell ref="WCG4:WCJ4"/>
    <mergeCell ref="WCK4:WCN4"/>
    <mergeCell ref="WCO4:WCR4"/>
    <mergeCell ref="WCS4:WCV4"/>
    <mergeCell ref="WBA4:WBD4"/>
    <mergeCell ref="WBE4:WBH4"/>
    <mergeCell ref="WBI4:WBL4"/>
    <mergeCell ref="WBM4:WBP4"/>
    <mergeCell ref="WBQ4:WBT4"/>
    <mergeCell ref="WBU4:WBX4"/>
    <mergeCell ref="WAC4:WAF4"/>
    <mergeCell ref="WAG4:WAJ4"/>
    <mergeCell ref="WAK4:WAN4"/>
    <mergeCell ref="WAO4:WAR4"/>
    <mergeCell ref="WAS4:WAV4"/>
    <mergeCell ref="WAW4:WAZ4"/>
    <mergeCell ref="VZE4:VZH4"/>
    <mergeCell ref="VZI4:VZL4"/>
    <mergeCell ref="VZM4:VZP4"/>
    <mergeCell ref="VZQ4:VZT4"/>
    <mergeCell ref="VZU4:VZX4"/>
    <mergeCell ref="VZY4:WAB4"/>
    <mergeCell ref="VYG4:VYJ4"/>
    <mergeCell ref="VYK4:VYN4"/>
    <mergeCell ref="VYO4:VYR4"/>
    <mergeCell ref="VYS4:VYV4"/>
    <mergeCell ref="VYW4:VYZ4"/>
    <mergeCell ref="VZA4:VZD4"/>
    <mergeCell ref="WIK4:WIN4"/>
    <mergeCell ref="WIO4:WIR4"/>
    <mergeCell ref="WIS4:WIV4"/>
    <mergeCell ref="WIW4:WIZ4"/>
    <mergeCell ref="WJA4:WJD4"/>
    <mergeCell ref="WJE4:WJH4"/>
    <mergeCell ref="WHM4:WHP4"/>
    <mergeCell ref="WHQ4:WHT4"/>
    <mergeCell ref="WHU4:WHX4"/>
    <mergeCell ref="WHY4:WIB4"/>
    <mergeCell ref="WIC4:WIF4"/>
    <mergeCell ref="WIG4:WIJ4"/>
    <mergeCell ref="WGO4:WGR4"/>
    <mergeCell ref="WGS4:WGV4"/>
    <mergeCell ref="WGW4:WGZ4"/>
    <mergeCell ref="WHA4:WHD4"/>
    <mergeCell ref="WHE4:WHH4"/>
    <mergeCell ref="WHI4:WHL4"/>
    <mergeCell ref="WFQ4:WFT4"/>
    <mergeCell ref="WFU4:WFX4"/>
    <mergeCell ref="WFY4:WGB4"/>
    <mergeCell ref="WGC4:WGF4"/>
    <mergeCell ref="WGG4:WGJ4"/>
    <mergeCell ref="WGK4:WGN4"/>
    <mergeCell ref="WES4:WEV4"/>
    <mergeCell ref="WEW4:WEZ4"/>
    <mergeCell ref="WFA4:WFD4"/>
    <mergeCell ref="WFE4:WFH4"/>
    <mergeCell ref="WFI4:WFL4"/>
    <mergeCell ref="WFM4:WFP4"/>
    <mergeCell ref="WDU4:WDX4"/>
    <mergeCell ref="WDY4:WEB4"/>
    <mergeCell ref="WEC4:WEF4"/>
    <mergeCell ref="WEG4:WEJ4"/>
    <mergeCell ref="WEK4:WEN4"/>
    <mergeCell ref="WEO4:WER4"/>
    <mergeCell ref="WNY4:WOB4"/>
    <mergeCell ref="WOC4:WOF4"/>
    <mergeCell ref="WOG4:WOJ4"/>
    <mergeCell ref="WOK4:WON4"/>
    <mergeCell ref="WOO4:WOR4"/>
    <mergeCell ref="WOS4:WOV4"/>
    <mergeCell ref="WNA4:WND4"/>
    <mergeCell ref="WNE4:WNH4"/>
    <mergeCell ref="WNI4:WNL4"/>
    <mergeCell ref="WNM4:WNP4"/>
    <mergeCell ref="WNQ4:WNT4"/>
    <mergeCell ref="WNU4:WNX4"/>
    <mergeCell ref="WMC4:WMF4"/>
    <mergeCell ref="WMG4:WMJ4"/>
    <mergeCell ref="WMK4:WMN4"/>
    <mergeCell ref="WMO4:WMR4"/>
    <mergeCell ref="WMS4:WMV4"/>
    <mergeCell ref="WMW4:WMZ4"/>
    <mergeCell ref="WLE4:WLH4"/>
    <mergeCell ref="WLI4:WLL4"/>
    <mergeCell ref="WLM4:WLP4"/>
    <mergeCell ref="WLQ4:WLT4"/>
    <mergeCell ref="WLU4:WLX4"/>
    <mergeCell ref="WLY4:WMB4"/>
    <mergeCell ref="WKG4:WKJ4"/>
    <mergeCell ref="WKK4:WKN4"/>
    <mergeCell ref="WKO4:WKR4"/>
    <mergeCell ref="WKS4:WKV4"/>
    <mergeCell ref="WKW4:WKZ4"/>
    <mergeCell ref="WLA4:WLD4"/>
    <mergeCell ref="WJI4:WJL4"/>
    <mergeCell ref="WJM4:WJP4"/>
    <mergeCell ref="WJQ4:WJT4"/>
    <mergeCell ref="WJU4:WJX4"/>
    <mergeCell ref="WJY4:WKB4"/>
    <mergeCell ref="WKC4:WKF4"/>
    <mergeCell ref="WTQ4:WTT4"/>
    <mergeCell ref="WTU4:WTX4"/>
    <mergeCell ref="WTY4:WUB4"/>
    <mergeCell ref="WUC4:WUF4"/>
    <mergeCell ref="WUG4:WUJ4"/>
    <mergeCell ref="WSO4:WSR4"/>
    <mergeCell ref="WSS4:WSV4"/>
    <mergeCell ref="WSW4:WSZ4"/>
    <mergeCell ref="WTA4:WTD4"/>
    <mergeCell ref="WTE4:WTH4"/>
    <mergeCell ref="WTI4:WTL4"/>
    <mergeCell ref="WRQ4:WRT4"/>
    <mergeCell ref="WRU4:WRX4"/>
    <mergeCell ref="WRY4:WSB4"/>
    <mergeCell ref="WSC4:WSF4"/>
    <mergeCell ref="WSG4:WSJ4"/>
    <mergeCell ref="WSK4:WSN4"/>
    <mergeCell ref="WQS4:WQV4"/>
    <mergeCell ref="WQW4:WQZ4"/>
    <mergeCell ref="WRA4:WRD4"/>
    <mergeCell ref="WRE4:WRH4"/>
    <mergeCell ref="WRI4:WRL4"/>
    <mergeCell ref="WRM4:WRP4"/>
    <mergeCell ref="WPU4:WPX4"/>
    <mergeCell ref="WPY4:WQB4"/>
    <mergeCell ref="WQC4:WQF4"/>
    <mergeCell ref="WQG4:WQJ4"/>
    <mergeCell ref="WQK4:WQN4"/>
    <mergeCell ref="WQO4:WQR4"/>
    <mergeCell ref="WOW4:WOZ4"/>
    <mergeCell ref="WPA4:WPD4"/>
    <mergeCell ref="WPE4:WPH4"/>
    <mergeCell ref="WPI4:WPL4"/>
    <mergeCell ref="WPM4:WPP4"/>
    <mergeCell ref="WPQ4:WPT4"/>
    <mergeCell ref="XFA4:XFD4"/>
    <mergeCell ref="XDQ4:XDT4"/>
    <mergeCell ref="XDU4:XDX4"/>
    <mergeCell ref="XDY4:XEB4"/>
    <mergeCell ref="XEC4:XEF4"/>
    <mergeCell ref="XEG4:XEJ4"/>
    <mergeCell ref="XEK4:XEN4"/>
    <mergeCell ref="XCS4:XCV4"/>
    <mergeCell ref="XCW4:XCZ4"/>
    <mergeCell ref="XDA4:XDD4"/>
    <mergeCell ref="XDE4:XDH4"/>
    <mergeCell ref="XDI4:XDL4"/>
    <mergeCell ref="XDM4:XDP4"/>
    <mergeCell ref="XBU4:XBX4"/>
    <mergeCell ref="XBY4:XCB4"/>
    <mergeCell ref="XCC4:XCF4"/>
    <mergeCell ref="XCG4:XCJ4"/>
    <mergeCell ref="XCK4:XCN4"/>
    <mergeCell ref="XCO4:XCR4"/>
    <mergeCell ref="XAW4:XAZ4"/>
    <mergeCell ref="XBA4:XBD4"/>
    <mergeCell ref="XBE4:XBH4"/>
    <mergeCell ref="XBI4:XBL4"/>
    <mergeCell ref="XBM4:XBP4"/>
    <mergeCell ref="XBQ4:XBT4"/>
    <mergeCell ref="WZY4:XAB4"/>
    <mergeCell ref="XAC4:XAF4"/>
    <mergeCell ref="XAG4:XAJ4"/>
    <mergeCell ref="XAK4:XAN4"/>
    <mergeCell ref="XAO4:XAR4"/>
    <mergeCell ref="XAS4:XAV4"/>
    <mergeCell ref="WZA4:WZD4"/>
    <mergeCell ref="WZE4:WZH4"/>
    <mergeCell ref="WZI4:WZL4"/>
    <mergeCell ref="WZM4:WZP4"/>
    <mergeCell ref="WZQ4:WZT4"/>
    <mergeCell ref="WZU4:WZX4"/>
    <mergeCell ref="CS5:CV5"/>
    <mergeCell ref="CW5:CZ5"/>
    <mergeCell ref="DA5:DD5"/>
    <mergeCell ref="DE5:DH5"/>
    <mergeCell ref="DI5:DL5"/>
    <mergeCell ref="DM5:DP5"/>
    <mergeCell ref="BU5:BX5"/>
    <mergeCell ref="BY5:CB5"/>
    <mergeCell ref="CC5:CF5"/>
    <mergeCell ref="CG5:CJ5"/>
    <mergeCell ref="CK5:CN5"/>
    <mergeCell ref="CO5:CR5"/>
    <mergeCell ref="AW5:AZ5"/>
    <mergeCell ref="BA5:BD5"/>
    <mergeCell ref="BE5:BH5"/>
    <mergeCell ref="BI5:BL5"/>
    <mergeCell ref="BM5:BP5"/>
    <mergeCell ref="BQ5:BT5"/>
    <mergeCell ref="Y5:AB5"/>
    <mergeCell ref="AC5:AF5"/>
    <mergeCell ref="AG5:AJ5"/>
    <mergeCell ref="AK5:AN5"/>
    <mergeCell ref="AO5:AR5"/>
    <mergeCell ref="AS5:AV5"/>
    <mergeCell ref="A5:D5"/>
    <mergeCell ref="E5:H5"/>
    <mergeCell ref="I5:L5"/>
    <mergeCell ref="M5:P5"/>
    <mergeCell ref="Q5:T5"/>
    <mergeCell ref="U5:X5"/>
    <mergeCell ref="XEO4:XER4"/>
    <mergeCell ref="XES4:XEV4"/>
    <mergeCell ref="XEW4:XEZ4"/>
    <mergeCell ref="WYC4:WYF4"/>
    <mergeCell ref="WYG4:WYJ4"/>
    <mergeCell ref="WYK4:WYN4"/>
    <mergeCell ref="WYO4:WYR4"/>
    <mergeCell ref="WYS4:WYV4"/>
    <mergeCell ref="WYW4:WYZ4"/>
    <mergeCell ref="WXE4:WXH4"/>
    <mergeCell ref="WXI4:WXL4"/>
    <mergeCell ref="WXM4:WXP4"/>
    <mergeCell ref="WXQ4:WXT4"/>
    <mergeCell ref="WXU4:WXX4"/>
    <mergeCell ref="WXY4:WYB4"/>
    <mergeCell ref="WWG4:WWJ4"/>
    <mergeCell ref="WWK4:WWN4"/>
    <mergeCell ref="WWO4:WWR4"/>
    <mergeCell ref="WWS4:WWV4"/>
    <mergeCell ref="WWW4:WWZ4"/>
    <mergeCell ref="WXA4:WXD4"/>
    <mergeCell ref="WVI4:WVL4"/>
    <mergeCell ref="WVM4:WVP4"/>
    <mergeCell ref="WVQ4:WVT4"/>
    <mergeCell ref="WVU4:WVX4"/>
    <mergeCell ref="WVY4:WWB4"/>
    <mergeCell ref="WWC4:WWF4"/>
    <mergeCell ref="WUK4:WUN4"/>
    <mergeCell ref="WUO4:WUR4"/>
    <mergeCell ref="WUS4:WUV4"/>
    <mergeCell ref="WUW4:WUZ4"/>
    <mergeCell ref="WVA4:WVD4"/>
    <mergeCell ref="WVE4:WVH4"/>
    <mergeCell ref="WTM4:WTP4"/>
    <mergeCell ref="IG5:IJ5"/>
    <mergeCell ref="IK5:IN5"/>
    <mergeCell ref="IO5:IR5"/>
    <mergeCell ref="IS5:IV5"/>
    <mergeCell ref="IW5:IZ5"/>
    <mergeCell ref="JA5:JD5"/>
    <mergeCell ref="HI5:HL5"/>
    <mergeCell ref="HM5:HP5"/>
    <mergeCell ref="HQ5:HT5"/>
    <mergeCell ref="HU5:HX5"/>
    <mergeCell ref="HY5:IB5"/>
    <mergeCell ref="IC5:IF5"/>
    <mergeCell ref="GK5:GN5"/>
    <mergeCell ref="GO5:GR5"/>
    <mergeCell ref="GS5:GV5"/>
    <mergeCell ref="GW5:GZ5"/>
    <mergeCell ref="HA5:HD5"/>
    <mergeCell ref="HE5:HH5"/>
    <mergeCell ref="FM5:FP5"/>
    <mergeCell ref="FQ5:FT5"/>
    <mergeCell ref="FU5:FX5"/>
    <mergeCell ref="FY5:GB5"/>
    <mergeCell ref="GC5:GF5"/>
    <mergeCell ref="GG5:GJ5"/>
    <mergeCell ref="EO5:ER5"/>
    <mergeCell ref="ES5:EV5"/>
    <mergeCell ref="EW5:EZ5"/>
    <mergeCell ref="FA5:FD5"/>
    <mergeCell ref="FE5:FH5"/>
    <mergeCell ref="FI5:FL5"/>
    <mergeCell ref="DQ5:DT5"/>
    <mergeCell ref="DU5:DX5"/>
    <mergeCell ref="DY5:EB5"/>
    <mergeCell ref="EC5:EF5"/>
    <mergeCell ref="EG5:EJ5"/>
    <mergeCell ref="EK5:EN5"/>
    <mergeCell ref="NU5:NX5"/>
    <mergeCell ref="NY5:OB5"/>
    <mergeCell ref="OC5:OF5"/>
    <mergeCell ref="OG5:OJ5"/>
    <mergeCell ref="OK5:ON5"/>
    <mergeCell ref="OO5:OR5"/>
    <mergeCell ref="MW5:MZ5"/>
    <mergeCell ref="NA5:ND5"/>
    <mergeCell ref="NE5:NH5"/>
    <mergeCell ref="NI5:NL5"/>
    <mergeCell ref="NM5:NP5"/>
    <mergeCell ref="NQ5:NT5"/>
    <mergeCell ref="LY5:MB5"/>
    <mergeCell ref="MC5:MF5"/>
    <mergeCell ref="MG5:MJ5"/>
    <mergeCell ref="MK5:MN5"/>
    <mergeCell ref="MO5:MR5"/>
    <mergeCell ref="MS5:MV5"/>
    <mergeCell ref="LA5:LD5"/>
    <mergeCell ref="LE5:LH5"/>
    <mergeCell ref="LI5:LL5"/>
    <mergeCell ref="LM5:LP5"/>
    <mergeCell ref="LQ5:LT5"/>
    <mergeCell ref="LU5:LX5"/>
    <mergeCell ref="KC5:KF5"/>
    <mergeCell ref="KG5:KJ5"/>
    <mergeCell ref="KK5:KN5"/>
    <mergeCell ref="KO5:KR5"/>
    <mergeCell ref="KS5:KV5"/>
    <mergeCell ref="KW5:KZ5"/>
    <mergeCell ref="JE5:JH5"/>
    <mergeCell ref="JI5:JL5"/>
    <mergeCell ref="JM5:JP5"/>
    <mergeCell ref="JQ5:JT5"/>
    <mergeCell ref="JU5:JX5"/>
    <mergeCell ref="JY5:KB5"/>
    <mergeCell ref="TI5:TL5"/>
    <mergeCell ref="TM5:TP5"/>
    <mergeCell ref="TQ5:TT5"/>
    <mergeCell ref="TU5:TX5"/>
    <mergeCell ref="TY5:UB5"/>
    <mergeCell ref="UC5:UF5"/>
    <mergeCell ref="SK5:SN5"/>
    <mergeCell ref="SO5:SR5"/>
    <mergeCell ref="SS5:SV5"/>
    <mergeCell ref="SW5:SZ5"/>
    <mergeCell ref="TA5:TD5"/>
    <mergeCell ref="TE5:TH5"/>
    <mergeCell ref="RM5:RP5"/>
    <mergeCell ref="RQ5:RT5"/>
    <mergeCell ref="RU5:RX5"/>
    <mergeCell ref="RY5:SB5"/>
    <mergeCell ref="SC5:SF5"/>
    <mergeCell ref="SG5:SJ5"/>
    <mergeCell ref="QO5:QR5"/>
    <mergeCell ref="QS5:QV5"/>
    <mergeCell ref="QW5:QZ5"/>
    <mergeCell ref="RA5:RD5"/>
    <mergeCell ref="RE5:RH5"/>
    <mergeCell ref="RI5:RL5"/>
    <mergeCell ref="PQ5:PT5"/>
    <mergeCell ref="PU5:PX5"/>
    <mergeCell ref="PY5:QB5"/>
    <mergeCell ref="QC5:QF5"/>
    <mergeCell ref="QG5:QJ5"/>
    <mergeCell ref="QK5:QN5"/>
    <mergeCell ref="OS5:OV5"/>
    <mergeCell ref="OW5:OZ5"/>
    <mergeCell ref="PA5:PD5"/>
    <mergeCell ref="PE5:PH5"/>
    <mergeCell ref="PI5:PL5"/>
    <mergeCell ref="PM5:PP5"/>
    <mergeCell ref="YW5:YZ5"/>
    <mergeCell ref="ZA5:ZD5"/>
    <mergeCell ref="ZE5:ZH5"/>
    <mergeCell ref="ZI5:ZL5"/>
    <mergeCell ref="ZM5:ZP5"/>
    <mergeCell ref="ZQ5:ZT5"/>
    <mergeCell ref="XY5:YB5"/>
    <mergeCell ref="YC5:YF5"/>
    <mergeCell ref="YG5:YJ5"/>
    <mergeCell ref="YK5:YN5"/>
    <mergeCell ref="YO5:YR5"/>
    <mergeCell ref="YS5:YV5"/>
    <mergeCell ref="XA5:XD5"/>
    <mergeCell ref="XE5:XH5"/>
    <mergeCell ref="XI5:XL5"/>
    <mergeCell ref="XM5:XP5"/>
    <mergeCell ref="XQ5:XT5"/>
    <mergeCell ref="XU5:XX5"/>
    <mergeCell ref="WC5:WF5"/>
    <mergeCell ref="WG5:WJ5"/>
    <mergeCell ref="WK5:WN5"/>
    <mergeCell ref="WO5:WR5"/>
    <mergeCell ref="WS5:WV5"/>
    <mergeCell ref="WW5:WZ5"/>
    <mergeCell ref="VE5:VH5"/>
    <mergeCell ref="VI5:VL5"/>
    <mergeCell ref="VM5:VP5"/>
    <mergeCell ref="VQ5:VT5"/>
    <mergeCell ref="VU5:VX5"/>
    <mergeCell ref="VY5:WB5"/>
    <mergeCell ref="UG5:UJ5"/>
    <mergeCell ref="UK5:UN5"/>
    <mergeCell ref="UO5:UR5"/>
    <mergeCell ref="US5:UV5"/>
    <mergeCell ref="UW5:UZ5"/>
    <mergeCell ref="VA5:VD5"/>
    <mergeCell ref="AEK5:AEN5"/>
    <mergeCell ref="AEO5:AER5"/>
    <mergeCell ref="AES5:AEV5"/>
    <mergeCell ref="AEW5:AEZ5"/>
    <mergeCell ref="AFA5:AFD5"/>
    <mergeCell ref="AFE5:AFH5"/>
    <mergeCell ref="ADM5:ADP5"/>
    <mergeCell ref="ADQ5:ADT5"/>
    <mergeCell ref="ADU5:ADX5"/>
    <mergeCell ref="ADY5:AEB5"/>
    <mergeCell ref="AEC5:AEF5"/>
    <mergeCell ref="AEG5:AEJ5"/>
    <mergeCell ref="ACO5:ACR5"/>
    <mergeCell ref="ACS5:ACV5"/>
    <mergeCell ref="ACW5:ACZ5"/>
    <mergeCell ref="ADA5:ADD5"/>
    <mergeCell ref="ADE5:ADH5"/>
    <mergeCell ref="ADI5:ADL5"/>
    <mergeCell ref="ABQ5:ABT5"/>
    <mergeCell ref="ABU5:ABX5"/>
    <mergeCell ref="ABY5:ACB5"/>
    <mergeCell ref="ACC5:ACF5"/>
    <mergeCell ref="ACG5:ACJ5"/>
    <mergeCell ref="ACK5:ACN5"/>
    <mergeCell ref="AAS5:AAV5"/>
    <mergeCell ref="AAW5:AAZ5"/>
    <mergeCell ref="ABA5:ABD5"/>
    <mergeCell ref="ABE5:ABH5"/>
    <mergeCell ref="ABI5:ABL5"/>
    <mergeCell ref="ABM5:ABP5"/>
    <mergeCell ref="ZU5:ZX5"/>
    <mergeCell ref="ZY5:AAB5"/>
    <mergeCell ref="AAC5:AAF5"/>
    <mergeCell ref="AAG5:AAJ5"/>
    <mergeCell ref="AAK5:AAN5"/>
    <mergeCell ref="AAO5:AAR5"/>
    <mergeCell ref="AJY5:AKB5"/>
    <mergeCell ref="AKC5:AKF5"/>
    <mergeCell ref="AKG5:AKJ5"/>
    <mergeCell ref="AKK5:AKN5"/>
    <mergeCell ref="AKO5:AKR5"/>
    <mergeCell ref="AKS5:AKV5"/>
    <mergeCell ref="AJA5:AJD5"/>
    <mergeCell ref="AJE5:AJH5"/>
    <mergeCell ref="AJI5:AJL5"/>
    <mergeCell ref="AJM5:AJP5"/>
    <mergeCell ref="AJQ5:AJT5"/>
    <mergeCell ref="AJU5:AJX5"/>
    <mergeCell ref="AIC5:AIF5"/>
    <mergeCell ref="AIG5:AIJ5"/>
    <mergeCell ref="AIK5:AIN5"/>
    <mergeCell ref="AIO5:AIR5"/>
    <mergeCell ref="AIS5:AIV5"/>
    <mergeCell ref="AIW5:AIZ5"/>
    <mergeCell ref="AHE5:AHH5"/>
    <mergeCell ref="AHI5:AHL5"/>
    <mergeCell ref="AHM5:AHP5"/>
    <mergeCell ref="AHQ5:AHT5"/>
    <mergeCell ref="AHU5:AHX5"/>
    <mergeCell ref="AHY5:AIB5"/>
    <mergeCell ref="AGG5:AGJ5"/>
    <mergeCell ref="AGK5:AGN5"/>
    <mergeCell ref="AGO5:AGR5"/>
    <mergeCell ref="AGS5:AGV5"/>
    <mergeCell ref="AGW5:AGZ5"/>
    <mergeCell ref="AHA5:AHD5"/>
    <mergeCell ref="AFI5:AFL5"/>
    <mergeCell ref="AFM5:AFP5"/>
    <mergeCell ref="AFQ5:AFT5"/>
    <mergeCell ref="AFU5:AFX5"/>
    <mergeCell ref="AFY5:AGB5"/>
    <mergeCell ref="AGC5:AGF5"/>
    <mergeCell ref="APM5:APP5"/>
    <mergeCell ref="APQ5:APT5"/>
    <mergeCell ref="APU5:APX5"/>
    <mergeCell ref="APY5:AQB5"/>
    <mergeCell ref="AQC5:AQF5"/>
    <mergeCell ref="AQG5:AQJ5"/>
    <mergeCell ref="AOO5:AOR5"/>
    <mergeCell ref="AOS5:AOV5"/>
    <mergeCell ref="AOW5:AOZ5"/>
    <mergeCell ref="APA5:APD5"/>
    <mergeCell ref="APE5:APH5"/>
    <mergeCell ref="API5:APL5"/>
    <mergeCell ref="ANQ5:ANT5"/>
    <mergeCell ref="ANU5:ANX5"/>
    <mergeCell ref="ANY5:AOB5"/>
    <mergeCell ref="AOC5:AOF5"/>
    <mergeCell ref="AOG5:AOJ5"/>
    <mergeCell ref="AOK5:AON5"/>
    <mergeCell ref="AMS5:AMV5"/>
    <mergeCell ref="AMW5:AMZ5"/>
    <mergeCell ref="ANA5:AND5"/>
    <mergeCell ref="ANE5:ANH5"/>
    <mergeCell ref="ANI5:ANL5"/>
    <mergeCell ref="ANM5:ANP5"/>
    <mergeCell ref="ALU5:ALX5"/>
    <mergeCell ref="ALY5:AMB5"/>
    <mergeCell ref="AMC5:AMF5"/>
    <mergeCell ref="AMG5:AMJ5"/>
    <mergeCell ref="AMK5:AMN5"/>
    <mergeCell ref="AMO5:AMR5"/>
    <mergeCell ref="AKW5:AKZ5"/>
    <mergeCell ref="ALA5:ALD5"/>
    <mergeCell ref="ALE5:ALH5"/>
    <mergeCell ref="ALI5:ALL5"/>
    <mergeCell ref="ALM5:ALP5"/>
    <mergeCell ref="ALQ5:ALT5"/>
    <mergeCell ref="AVA5:AVD5"/>
    <mergeCell ref="AVE5:AVH5"/>
    <mergeCell ref="AVI5:AVL5"/>
    <mergeCell ref="AVM5:AVP5"/>
    <mergeCell ref="AVQ5:AVT5"/>
    <mergeCell ref="AVU5:AVX5"/>
    <mergeCell ref="AUC5:AUF5"/>
    <mergeCell ref="AUG5:AUJ5"/>
    <mergeCell ref="AUK5:AUN5"/>
    <mergeCell ref="AUO5:AUR5"/>
    <mergeCell ref="AUS5:AUV5"/>
    <mergeCell ref="AUW5:AUZ5"/>
    <mergeCell ref="ATE5:ATH5"/>
    <mergeCell ref="ATI5:ATL5"/>
    <mergeCell ref="ATM5:ATP5"/>
    <mergeCell ref="ATQ5:ATT5"/>
    <mergeCell ref="ATU5:ATX5"/>
    <mergeCell ref="ATY5:AUB5"/>
    <mergeCell ref="ASG5:ASJ5"/>
    <mergeCell ref="ASK5:ASN5"/>
    <mergeCell ref="ASO5:ASR5"/>
    <mergeCell ref="ASS5:ASV5"/>
    <mergeCell ref="ASW5:ASZ5"/>
    <mergeCell ref="ATA5:ATD5"/>
    <mergeCell ref="ARI5:ARL5"/>
    <mergeCell ref="ARM5:ARP5"/>
    <mergeCell ref="ARQ5:ART5"/>
    <mergeCell ref="ARU5:ARX5"/>
    <mergeCell ref="ARY5:ASB5"/>
    <mergeCell ref="ASC5:ASF5"/>
    <mergeCell ref="AQK5:AQN5"/>
    <mergeCell ref="AQO5:AQR5"/>
    <mergeCell ref="AQS5:AQV5"/>
    <mergeCell ref="AQW5:AQZ5"/>
    <mergeCell ref="ARA5:ARD5"/>
    <mergeCell ref="ARE5:ARH5"/>
    <mergeCell ref="BAO5:BAR5"/>
    <mergeCell ref="BAS5:BAV5"/>
    <mergeCell ref="BAW5:BAZ5"/>
    <mergeCell ref="BBA5:BBD5"/>
    <mergeCell ref="BBE5:BBH5"/>
    <mergeCell ref="BBI5:BBL5"/>
    <mergeCell ref="AZQ5:AZT5"/>
    <mergeCell ref="AZU5:AZX5"/>
    <mergeCell ref="AZY5:BAB5"/>
    <mergeCell ref="BAC5:BAF5"/>
    <mergeCell ref="BAG5:BAJ5"/>
    <mergeCell ref="BAK5:BAN5"/>
    <mergeCell ref="AYS5:AYV5"/>
    <mergeCell ref="AYW5:AYZ5"/>
    <mergeCell ref="AZA5:AZD5"/>
    <mergeCell ref="AZE5:AZH5"/>
    <mergeCell ref="AZI5:AZL5"/>
    <mergeCell ref="AZM5:AZP5"/>
    <mergeCell ref="AXU5:AXX5"/>
    <mergeCell ref="AXY5:AYB5"/>
    <mergeCell ref="AYC5:AYF5"/>
    <mergeCell ref="AYG5:AYJ5"/>
    <mergeCell ref="AYK5:AYN5"/>
    <mergeCell ref="AYO5:AYR5"/>
    <mergeCell ref="AWW5:AWZ5"/>
    <mergeCell ref="AXA5:AXD5"/>
    <mergeCell ref="AXE5:AXH5"/>
    <mergeCell ref="AXI5:AXL5"/>
    <mergeCell ref="AXM5:AXP5"/>
    <mergeCell ref="AXQ5:AXT5"/>
    <mergeCell ref="AVY5:AWB5"/>
    <mergeCell ref="AWC5:AWF5"/>
    <mergeCell ref="AWG5:AWJ5"/>
    <mergeCell ref="AWK5:AWN5"/>
    <mergeCell ref="AWO5:AWR5"/>
    <mergeCell ref="AWS5:AWV5"/>
    <mergeCell ref="BGC5:BGF5"/>
    <mergeCell ref="BGG5:BGJ5"/>
    <mergeCell ref="BGK5:BGN5"/>
    <mergeCell ref="BGO5:BGR5"/>
    <mergeCell ref="BGS5:BGV5"/>
    <mergeCell ref="BGW5:BGZ5"/>
    <mergeCell ref="BFE5:BFH5"/>
    <mergeCell ref="BFI5:BFL5"/>
    <mergeCell ref="BFM5:BFP5"/>
    <mergeCell ref="BFQ5:BFT5"/>
    <mergeCell ref="BFU5:BFX5"/>
    <mergeCell ref="BFY5:BGB5"/>
    <mergeCell ref="BEG5:BEJ5"/>
    <mergeCell ref="BEK5:BEN5"/>
    <mergeCell ref="BEO5:BER5"/>
    <mergeCell ref="BES5:BEV5"/>
    <mergeCell ref="BEW5:BEZ5"/>
    <mergeCell ref="BFA5:BFD5"/>
    <mergeCell ref="BDI5:BDL5"/>
    <mergeCell ref="BDM5:BDP5"/>
    <mergeCell ref="BDQ5:BDT5"/>
    <mergeCell ref="BDU5:BDX5"/>
    <mergeCell ref="BDY5:BEB5"/>
    <mergeCell ref="BEC5:BEF5"/>
    <mergeCell ref="BCK5:BCN5"/>
    <mergeCell ref="BCO5:BCR5"/>
    <mergeCell ref="BCS5:BCV5"/>
    <mergeCell ref="BCW5:BCZ5"/>
    <mergeCell ref="BDA5:BDD5"/>
    <mergeCell ref="BDE5:BDH5"/>
    <mergeCell ref="BBM5:BBP5"/>
    <mergeCell ref="BBQ5:BBT5"/>
    <mergeCell ref="BBU5:BBX5"/>
    <mergeCell ref="BBY5:BCB5"/>
    <mergeCell ref="BCC5:BCF5"/>
    <mergeCell ref="BCG5:BCJ5"/>
    <mergeCell ref="BLQ5:BLT5"/>
    <mergeCell ref="BLU5:BLX5"/>
    <mergeCell ref="BLY5:BMB5"/>
    <mergeCell ref="BMC5:BMF5"/>
    <mergeCell ref="BMG5:BMJ5"/>
    <mergeCell ref="BMK5:BMN5"/>
    <mergeCell ref="BKS5:BKV5"/>
    <mergeCell ref="BKW5:BKZ5"/>
    <mergeCell ref="BLA5:BLD5"/>
    <mergeCell ref="BLE5:BLH5"/>
    <mergeCell ref="BLI5:BLL5"/>
    <mergeCell ref="BLM5:BLP5"/>
    <mergeCell ref="BJU5:BJX5"/>
    <mergeCell ref="BJY5:BKB5"/>
    <mergeCell ref="BKC5:BKF5"/>
    <mergeCell ref="BKG5:BKJ5"/>
    <mergeCell ref="BKK5:BKN5"/>
    <mergeCell ref="BKO5:BKR5"/>
    <mergeCell ref="BIW5:BIZ5"/>
    <mergeCell ref="BJA5:BJD5"/>
    <mergeCell ref="BJE5:BJH5"/>
    <mergeCell ref="BJI5:BJL5"/>
    <mergeCell ref="BJM5:BJP5"/>
    <mergeCell ref="BJQ5:BJT5"/>
    <mergeCell ref="BHY5:BIB5"/>
    <mergeCell ref="BIC5:BIF5"/>
    <mergeCell ref="BIG5:BIJ5"/>
    <mergeCell ref="BIK5:BIN5"/>
    <mergeCell ref="BIO5:BIR5"/>
    <mergeCell ref="BIS5:BIV5"/>
    <mergeCell ref="BHA5:BHD5"/>
    <mergeCell ref="BHE5:BHH5"/>
    <mergeCell ref="BHI5:BHL5"/>
    <mergeCell ref="BHM5:BHP5"/>
    <mergeCell ref="BHQ5:BHT5"/>
    <mergeCell ref="BHU5:BHX5"/>
    <mergeCell ref="BRE5:BRH5"/>
    <mergeCell ref="BRI5:BRL5"/>
    <mergeCell ref="BRM5:BRP5"/>
    <mergeCell ref="BRQ5:BRT5"/>
    <mergeCell ref="BRU5:BRX5"/>
    <mergeCell ref="BRY5:BSB5"/>
    <mergeCell ref="BQG5:BQJ5"/>
    <mergeCell ref="BQK5:BQN5"/>
    <mergeCell ref="BQO5:BQR5"/>
    <mergeCell ref="BQS5:BQV5"/>
    <mergeCell ref="BQW5:BQZ5"/>
    <mergeCell ref="BRA5:BRD5"/>
    <mergeCell ref="BPI5:BPL5"/>
    <mergeCell ref="BPM5:BPP5"/>
    <mergeCell ref="BPQ5:BPT5"/>
    <mergeCell ref="BPU5:BPX5"/>
    <mergeCell ref="BPY5:BQB5"/>
    <mergeCell ref="BQC5:BQF5"/>
    <mergeCell ref="BOK5:BON5"/>
    <mergeCell ref="BOO5:BOR5"/>
    <mergeCell ref="BOS5:BOV5"/>
    <mergeCell ref="BOW5:BOZ5"/>
    <mergeCell ref="BPA5:BPD5"/>
    <mergeCell ref="BPE5:BPH5"/>
    <mergeCell ref="BNM5:BNP5"/>
    <mergeCell ref="BNQ5:BNT5"/>
    <mergeCell ref="BNU5:BNX5"/>
    <mergeCell ref="BNY5:BOB5"/>
    <mergeCell ref="BOC5:BOF5"/>
    <mergeCell ref="BOG5:BOJ5"/>
    <mergeCell ref="BMO5:BMR5"/>
    <mergeCell ref="BMS5:BMV5"/>
    <mergeCell ref="BMW5:BMZ5"/>
    <mergeCell ref="BNA5:BND5"/>
    <mergeCell ref="BNE5:BNH5"/>
    <mergeCell ref="BNI5:BNL5"/>
    <mergeCell ref="BWS5:BWV5"/>
    <mergeCell ref="BWW5:BWZ5"/>
    <mergeCell ref="BXA5:BXD5"/>
    <mergeCell ref="BXE5:BXH5"/>
    <mergeCell ref="BXI5:BXL5"/>
    <mergeCell ref="BXM5:BXP5"/>
    <mergeCell ref="BVU5:BVX5"/>
    <mergeCell ref="BVY5:BWB5"/>
    <mergeCell ref="BWC5:BWF5"/>
    <mergeCell ref="BWG5:BWJ5"/>
    <mergeCell ref="BWK5:BWN5"/>
    <mergeCell ref="BWO5:BWR5"/>
    <mergeCell ref="BUW5:BUZ5"/>
    <mergeCell ref="BVA5:BVD5"/>
    <mergeCell ref="BVE5:BVH5"/>
    <mergeCell ref="BVI5:BVL5"/>
    <mergeCell ref="BVM5:BVP5"/>
    <mergeCell ref="BVQ5:BVT5"/>
    <mergeCell ref="BTY5:BUB5"/>
    <mergeCell ref="BUC5:BUF5"/>
    <mergeCell ref="BUG5:BUJ5"/>
    <mergeCell ref="BUK5:BUN5"/>
    <mergeCell ref="BUO5:BUR5"/>
    <mergeCell ref="BUS5:BUV5"/>
    <mergeCell ref="BTA5:BTD5"/>
    <mergeCell ref="BTE5:BTH5"/>
    <mergeCell ref="BTI5:BTL5"/>
    <mergeCell ref="BTM5:BTP5"/>
    <mergeCell ref="BTQ5:BTT5"/>
    <mergeCell ref="BTU5:BTX5"/>
    <mergeCell ref="BSC5:BSF5"/>
    <mergeCell ref="BSG5:BSJ5"/>
    <mergeCell ref="BSK5:BSN5"/>
    <mergeCell ref="BSO5:BSR5"/>
    <mergeCell ref="BSS5:BSV5"/>
    <mergeCell ref="BSW5:BSZ5"/>
    <mergeCell ref="CCG5:CCJ5"/>
    <mergeCell ref="CCK5:CCN5"/>
    <mergeCell ref="CCO5:CCR5"/>
    <mergeCell ref="CCS5:CCV5"/>
    <mergeCell ref="CCW5:CCZ5"/>
    <mergeCell ref="CDA5:CDD5"/>
    <mergeCell ref="CBI5:CBL5"/>
    <mergeCell ref="CBM5:CBP5"/>
    <mergeCell ref="CBQ5:CBT5"/>
    <mergeCell ref="CBU5:CBX5"/>
    <mergeCell ref="CBY5:CCB5"/>
    <mergeCell ref="CCC5:CCF5"/>
    <mergeCell ref="CAK5:CAN5"/>
    <mergeCell ref="CAO5:CAR5"/>
    <mergeCell ref="CAS5:CAV5"/>
    <mergeCell ref="CAW5:CAZ5"/>
    <mergeCell ref="CBA5:CBD5"/>
    <mergeCell ref="CBE5:CBH5"/>
    <mergeCell ref="BZM5:BZP5"/>
    <mergeCell ref="BZQ5:BZT5"/>
    <mergeCell ref="BZU5:BZX5"/>
    <mergeCell ref="BZY5:CAB5"/>
    <mergeCell ref="CAC5:CAF5"/>
    <mergeCell ref="CAG5:CAJ5"/>
    <mergeCell ref="BYO5:BYR5"/>
    <mergeCell ref="BYS5:BYV5"/>
    <mergeCell ref="BYW5:BYZ5"/>
    <mergeCell ref="BZA5:BZD5"/>
    <mergeCell ref="BZE5:BZH5"/>
    <mergeCell ref="BZI5:BZL5"/>
    <mergeCell ref="BXQ5:BXT5"/>
    <mergeCell ref="BXU5:BXX5"/>
    <mergeCell ref="BXY5:BYB5"/>
    <mergeCell ref="BYC5:BYF5"/>
    <mergeCell ref="BYG5:BYJ5"/>
    <mergeCell ref="BYK5:BYN5"/>
    <mergeCell ref="CHU5:CHX5"/>
    <mergeCell ref="CHY5:CIB5"/>
    <mergeCell ref="CIC5:CIF5"/>
    <mergeCell ref="CIG5:CIJ5"/>
    <mergeCell ref="CIK5:CIN5"/>
    <mergeCell ref="CIO5:CIR5"/>
    <mergeCell ref="CGW5:CGZ5"/>
    <mergeCell ref="CHA5:CHD5"/>
    <mergeCell ref="CHE5:CHH5"/>
    <mergeCell ref="CHI5:CHL5"/>
    <mergeCell ref="CHM5:CHP5"/>
    <mergeCell ref="CHQ5:CHT5"/>
    <mergeCell ref="CFY5:CGB5"/>
    <mergeCell ref="CGC5:CGF5"/>
    <mergeCell ref="CGG5:CGJ5"/>
    <mergeCell ref="CGK5:CGN5"/>
    <mergeCell ref="CGO5:CGR5"/>
    <mergeCell ref="CGS5:CGV5"/>
    <mergeCell ref="CFA5:CFD5"/>
    <mergeCell ref="CFE5:CFH5"/>
    <mergeCell ref="CFI5:CFL5"/>
    <mergeCell ref="CFM5:CFP5"/>
    <mergeCell ref="CFQ5:CFT5"/>
    <mergeCell ref="CFU5:CFX5"/>
    <mergeCell ref="CEC5:CEF5"/>
    <mergeCell ref="CEG5:CEJ5"/>
    <mergeCell ref="CEK5:CEN5"/>
    <mergeCell ref="CEO5:CER5"/>
    <mergeCell ref="CES5:CEV5"/>
    <mergeCell ref="CEW5:CEZ5"/>
    <mergeCell ref="CDE5:CDH5"/>
    <mergeCell ref="CDI5:CDL5"/>
    <mergeCell ref="CDM5:CDP5"/>
    <mergeCell ref="CDQ5:CDT5"/>
    <mergeCell ref="CDU5:CDX5"/>
    <mergeCell ref="CDY5:CEB5"/>
    <mergeCell ref="CNI5:CNL5"/>
    <mergeCell ref="CNM5:CNP5"/>
    <mergeCell ref="CNQ5:CNT5"/>
    <mergeCell ref="CNU5:CNX5"/>
    <mergeCell ref="CNY5:COB5"/>
    <mergeCell ref="COC5:COF5"/>
    <mergeCell ref="CMK5:CMN5"/>
    <mergeCell ref="CMO5:CMR5"/>
    <mergeCell ref="CMS5:CMV5"/>
    <mergeCell ref="CMW5:CMZ5"/>
    <mergeCell ref="CNA5:CND5"/>
    <mergeCell ref="CNE5:CNH5"/>
    <mergeCell ref="CLM5:CLP5"/>
    <mergeCell ref="CLQ5:CLT5"/>
    <mergeCell ref="CLU5:CLX5"/>
    <mergeCell ref="CLY5:CMB5"/>
    <mergeCell ref="CMC5:CMF5"/>
    <mergeCell ref="CMG5:CMJ5"/>
    <mergeCell ref="CKO5:CKR5"/>
    <mergeCell ref="CKS5:CKV5"/>
    <mergeCell ref="CKW5:CKZ5"/>
    <mergeCell ref="CLA5:CLD5"/>
    <mergeCell ref="CLE5:CLH5"/>
    <mergeCell ref="CLI5:CLL5"/>
    <mergeCell ref="CJQ5:CJT5"/>
    <mergeCell ref="CJU5:CJX5"/>
    <mergeCell ref="CJY5:CKB5"/>
    <mergeCell ref="CKC5:CKF5"/>
    <mergeCell ref="CKG5:CKJ5"/>
    <mergeCell ref="CKK5:CKN5"/>
    <mergeCell ref="CIS5:CIV5"/>
    <mergeCell ref="CIW5:CIZ5"/>
    <mergeCell ref="CJA5:CJD5"/>
    <mergeCell ref="CJE5:CJH5"/>
    <mergeCell ref="CJI5:CJL5"/>
    <mergeCell ref="CJM5:CJP5"/>
    <mergeCell ref="CSW5:CSZ5"/>
    <mergeCell ref="CTA5:CTD5"/>
    <mergeCell ref="CTE5:CTH5"/>
    <mergeCell ref="CTI5:CTL5"/>
    <mergeCell ref="CTM5:CTP5"/>
    <mergeCell ref="CTQ5:CTT5"/>
    <mergeCell ref="CRY5:CSB5"/>
    <mergeCell ref="CSC5:CSF5"/>
    <mergeCell ref="CSG5:CSJ5"/>
    <mergeCell ref="CSK5:CSN5"/>
    <mergeCell ref="CSO5:CSR5"/>
    <mergeCell ref="CSS5:CSV5"/>
    <mergeCell ref="CRA5:CRD5"/>
    <mergeCell ref="CRE5:CRH5"/>
    <mergeCell ref="CRI5:CRL5"/>
    <mergeCell ref="CRM5:CRP5"/>
    <mergeCell ref="CRQ5:CRT5"/>
    <mergeCell ref="CRU5:CRX5"/>
    <mergeCell ref="CQC5:CQF5"/>
    <mergeCell ref="CQG5:CQJ5"/>
    <mergeCell ref="CQK5:CQN5"/>
    <mergeCell ref="CQO5:CQR5"/>
    <mergeCell ref="CQS5:CQV5"/>
    <mergeCell ref="CQW5:CQZ5"/>
    <mergeCell ref="CPE5:CPH5"/>
    <mergeCell ref="CPI5:CPL5"/>
    <mergeCell ref="CPM5:CPP5"/>
    <mergeCell ref="CPQ5:CPT5"/>
    <mergeCell ref="CPU5:CPX5"/>
    <mergeCell ref="CPY5:CQB5"/>
    <mergeCell ref="COG5:COJ5"/>
    <mergeCell ref="COK5:CON5"/>
    <mergeCell ref="COO5:COR5"/>
    <mergeCell ref="COS5:COV5"/>
    <mergeCell ref="COW5:COZ5"/>
    <mergeCell ref="CPA5:CPD5"/>
    <mergeCell ref="CYK5:CYN5"/>
    <mergeCell ref="CYO5:CYR5"/>
    <mergeCell ref="CYS5:CYV5"/>
    <mergeCell ref="CYW5:CYZ5"/>
    <mergeCell ref="CZA5:CZD5"/>
    <mergeCell ref="CZE5:CZH5"/>
    <mergeCell ref="CXM5:CXP5"/>
    <mergeCell ref="CXQ5:CXT5"/>
    <mergeCell ref="CXU5:CXX5"/>
    <mergeCell ref="CXY5:CYB5"/>
    <mergeCell ref="CYC5:CYF5"/>
    <mergeCell ref="CYG5:CYJ5"/>
    <mergeCell ref="CWO5:CWR5"/>
    <mergeCell ref="CWS5:CWV5"/>
    <mergeCell ref="CWW5:CWZ5"/>
    <mergeCell ref="CXA5:CXD5"/>
    <mergeCell ref="CXE5:CXH5"/>
    <mergeCell ref="CXI5:CXL5"/>
    <mergeCell ref="CVQ5:CVT5"/>
    <mergeCell ref="CVU5:CVX5"/>
    <mergeCell ref="CVY5:CWB5"/>
    <mergeCell ref="CWC5:CWF5"/>
    <mergeCell ref="CWG5:CWJ5"/>
    <mergeCell ref="CWK5:CWN5"/>
    <mergeCell ref="CUS5:CUV5"/>
    <mergeCell ref="CUW5:CUZ5"/>
    <mergeCell ref="CVA5:CVD5"/>
    <mergeCell ref="CVE5:CVH5"/>
    <mergeCell ref="CVI5:CVL5"/>
    <mergeCell ref="CVM5:CVP5"/>
    <mergeCell ref="CTU5:CTX5"/>
    <mergeCell ref="CTY5:CUB5"/>
    <mergeCell ref="CUC5:CUF5"/>
    <mergeCell ref="CUG5:CUJ5"/>
    <mergeCell ref="CUK5:CUN5"/>
    <mergeCell ref="CUO5:CUR5"/>
    <mergeCell ref="DDY5:DEB5"/>
    <mergeCell ref="DEC5:DEF5"/>
    <mergeCell ref="DEG5:DEJ5"/>
    <mergeCell ref="DEK5:DEN5"/>
    <mergeCell ref="DEO5:DER5"/>
    <mergeCell ref="DES5:DEV5"/>
    <mergeCell ref="DDA5:DDD5"/>
    <mergeCell ref="DDE5:DDH5"/>
    <mergeCell ref="DDI5:DDL5"/>
    <mergeCell ref="DDM5:DDP5"/>
    <mergeCell ref="DDQ5:DDT5"/>
    <mergeCell ref="DDU5:DDX5"/>
    <mergeCell ref="DCC5:DCF5"/>
    <mergeCell ref="DCG5:DCJ5"/>
    <mergeCell ref="DCK5:DCN5"/>
    <mergeCell ref="DCO5:DCR5"/>
    <mergeCell ref="DCS5:DCV5"/>
    <mergeCell ref="DCW5:DCZ5"/>
    <mergeCell ref="DBE5:DBH5"/>
    <mergeCell ref="DBI5:DBL5"/>
    <mergeCell ref="DBM5:DBP5"/>
    <mergeCell ref="DBQ5:DBT5"/>
    <mergeCell ref="DBU5:DBX5"/>
    <mergeCell ref="DBY5:DCB5"/>
    <mergeCell ref="DAG5:DAJ5"/>
    <mergeCell ref="DAK5:DAN5"/>
    <mergeCell ref="DAO5:DAR5"/>
    <mergeCell ref="DAS5:DAV5"/>
    <mergeCell ref="DAW5:DAZ5"/>
    <mergeCell ref="DBA5:DBD5"/>
    <mergeCell ref="CZI5:CZL5"/>
    <mergeCell ref="CZM5:CZP5"/>
    <mergeCell ref="CZQ5:CZT5"/>
    <mergeCell ref="CZU5:CZX5"/>
    <mergeCell ref="CZY5:DAB5"/>
    <mergeCell ref="DAC5:DAF5"/>
    <mergeCell ref="DJM5:DJP5"/>
    <mergeCell ref="DJQ5:DJT5"/>
    <mergeCell ref="DJU5:DJX5"/>
    <mergeCell ref="DJY5:DKB5"/>
    <mergeCell ref="DKC5:DKF5"/>
    <mergeCell ref="DKG5:DKJ5"/>
    <mergeCell ref="DIO5:DIR5"/>
    <mergeCell ref="DIS5:DIV5"/>
    <mergeCell ref="DIW5:DIZ5"/>
    <mergeCell ref="DJA5:DJD5"/>
    <mergeCell ref="DJE5:DJH5"/>
    <mergeCell ref="DJI5:DJL5"/>
    <mergeCell ref="DHQ5:DHT5"/>
    <mergeCell ref="DHU5:DHX5"/>
    <mergeCell ref="DHY5:DIB5"/>
    <mergeCell ref="DIC5:DIF5"/>
    <mergeCell ref="DIG5:DIJ5"/>
    <mergeCell ref="DIK5:DIN5"/>
    <mergeCell ref="DGS5:DGV5"/>
    <mergeCell ref="DGW5:DGZ5"/>
    <mergeCell ref="DHA5:DHD5"/>
    <mergeCell ref="DHE5:DHH5"/>
    <mergeCell ref="DHI5:DHL5"/>
    <mergeCell ref="DHM5:DHP5"/>
    <mergeCell ref="DFU5:DFX5"/>
    <mergeCell ref="DFY5:DGB5"/>
    <mergeCell ref="DGC5:DGF5"/>
    <mergeCell ref="DGG5:DGJ5"/>
    <mergeCell ref="DGK5:DGN5"/>
    <mergeCell ref="DGO5:DGR5"/>
    <mergeCell ref="DEW5:DEZ5"/>
    <mergeCell ref="DFA5:DFD5"/>
    <mergeCell ref="DFE5:DFH5"/>
    <mergeCell ref="DFI5:DFL5"/>
    <mergeCell ref="DFM5:DFP5"/>
    <mergeCell ref="DFQ5:DFT5"/>
    <mergeCell ref="DPA5:DPD5"/>
    <mergeCell ref="DPE5:DPH5"/>
    <mergeCell ref="DPI5:DPL5"/>
    <mergeCell ref="DPM5:DPP5"/>
    <mergeCell ref="DPQ5:DPT5"/>
    <mergeCell ref="DPU5:DPX5"/>
    <mergeCell ref="DOC5:DOF5"/>
    <mergeCell ref="DOG5:DOJ5"/>
    <mergeCell ref="DOK5:DON5"/>
    <mergeCell ref="DOO5:DOR5"/>
    <mergeCell ref="DOS5:DOV5"/>
    <mergeCell ref="DOW5:DOZ5"/>
    <mergeCell ref="DNE5:DNH5"/>
    <mergeCell ref="DNI5:DNL5"/>
    <mergeCell ref="DNM5:DNP5"/>
    <mergeCell ref="DNQ5:DNT5"/>
    <mergeCell ref="DNU5:DNX5"/>
    <mergeCell ref="DNY5:DOB5"/>
    <mergeCell ref="DMG5:DMJ5"/>
    <mergeCell ref="DMK5:DMN5"/>
    <mergeCell ref="DMO5:DMR5"/>
    <mergeCell ref="DMS5:DMV5"/>
    <mergeCell ref="DMW5:DMZ5"/>
    <mergeCell ref="DNA5:DND5"/>
    <mergeCell ref="DLI5:DLL5"/>
    <mergeCell ref="DLM5:DLP5"/>
    <mergeCell ref="DLQ5:DLT5"/>
    <mergeCell ref="DLU5:DLX5"/>
    <mergeCell ref="DLY5:DMB5"/>
    <mergeCell ref="DMC5:DMF5"/>
    <mergeCell ref="DKK5:DKN5"/>
    <mergeCell ref="DKO5:DKR5"/>
    <mergeCell ref="DKS5:DKV5"/>
    <mergeCell ref="DKW5:DKZ5"/>
    <mergeCell ref="DLA5:DLD5"/>
    <mergeCell ref="DLE5:DLH5"/>
    <mergeCell ref="DUO5:DUR5"/>
    <mergeCell ref="DUS5:DUV5"/>
    <mergeCell ref="DUW5:DUZ5"/>
    <mergeCell ref="DVA5:DVD5"/>
    <mergeCell ref="DVE5:DVH5"/>
    <mergeCell ref="DVI5:DVL5"/>
    <mergeCell ref="DTQ5:DTT5"/>
    <mergeCell ref="DTU5:DTX5"/>
    <mergeCell ref="DTY5:DUB5"/>
    <mergeCell ref="DUC5:DUF5"/>
    <mergeCell ref="DUG5:DUJ5"/>
    <mergeCell ref="DUK5:DUN5"/>
    <mergeCell ref="DSS5:DSV5"/>
    <mergeCell ref="DSW5:DSZ5"/>
    <mergeCell ref="DTA5:DTD5"/>
    <mergeCell ref="DTE5:DTH5"/>
    <mergeCell ref="DTI5:DTL5"/>
    <mergeCell ref="DTM5:DTP5"/>
    <mergeCell ref="DRU5:DRX5"/>
    <mergeCell ref="DRY5:DSB5"/>
    <mergeCell ref="DSC5:DSF5"/>
    <mergeCell ref="DSG5:DSJ5"/>
    <mergeCell ref="DSK5:DSN5"/>
    <mergeCell ref="DSO5:DSR5"/>
    <mergeCell ref="DQW5:DQZ5"/>
    <mergeCell ref="DRA5:DRD5"/>
    <mergeCell ref="DRE5:DRH5"/>
    <mergeCell ref="DRI5:DRL5"/>
    <mergeCell ref="DRM5:DRP5"/>
    <mergeCell ref="DRQ5:DRT5"/>
    <mergeCell ref="DPY5:DQB5"/>
    <mergeCell ref="DQC5:DQF5"/>
    <mergeCell ref="DQG5:DQJ5"/>
    <mergeCell ref="DQK5:DQN5"/>
    <mergeCell ref="DQO5:DQR5"/>
    <mergeCell ref="DQS5:DQV5"/>
    <mergeCell ref="EAC5:EAF5"/>
    <mergeCell ref="EAG5:EAJ5"/>
    <mergeCell ref="EAK5:EAN5"/>
    <mergeCell ref="EAO5:EAR5"/>
    <mergeCell ref="EAS5:EAV5"/>
    <mergeCell ref="EAW5:EAZ5"/>
    <mergeCell ref="DZE5:DZH5"/>
    <mergeCell ref="DZI5:DZL5"/>
    <mergeCell ref="DZM5:DZP5"/>
    <mergeCell ref="DZQ5:DZT5"/>
    <mergeCell ref="DZU5:DZX5"/>
    <mergeCell ref="DZY5:EAB5"/>
    <mergeCell ref="DYG5:DYJ5"/>
    <mergeCell ref="DYK5:DYN5"/>
    <mergeCell ref="DYO5:DYR5"/>
    <mergeCell ref="DYS5:DYV5"/>
    <mergeCell ref="DYW5:DYZ5"/>
    <mergeCell ref="DZA5:DZD5"/>
    <mergeCell ref="DXI5:DXL5"/>
    <mergeCell ref="DXM5:DXP5"/>
    <mergeCell ref="DXQ5:DXT5"/>
    <mergeCell ref="DXU5:DXX5"/>
    <mergeCell ref="DXY5:DYB5"/>
    <mergeCell ref="DYC5:DYF5"/>
    <mergeCell ref="DWK5:DWN5"/>
    <mergeCell ref="DWO5:DWR5"/>
    <mergeCell ref="DWS5:DWV5"/>
    <mergeCell ref="DWW5:DWZ5"/>
    <mergeCell ref="DXA5:DXD5"/>
    <mergeCell ref="DXE5:DXH5"/>
    <mergeCell ref="DVM5:DVP5"/>
    <mergeCell ref="DVQ5:DVT5"/>
    <mergeCell ref="DVU5:DVX5"/>
    <mergeCell ref="DVY5:DWB5"/>
    <mergeCell ref="DWC5:DWF5"/>
    <mergeCell ref="DWG5:DWJ5"/>
    <mergeCell ref="EFQ5:EFT5"/>
    <mergeCell ref="EFU5:EFX5"/>
    <mergeCell ref="EFY5:EGB5"/>
    <mergeCell ref="EGC5:EGF5"/>
    <mergeCell ref="EGG5:EGJ5"/>
    <mergeCell ref="EGK5:EGN5"/>
    <mergeCell ref="EES5:EEV5"/>
    <mergeCell ref="EEW5:EEZ5"/>
    <mergeCell ref="EFA5:EFD5"/>
    <mergeCell ref="EFE5:EFH5"/>
    <mergeCell ref="EFI5:EFL5"/>
    <mergeCell ref="EFM5:EFP5"/>
    <mergeCell ref="EDU5:EDX5"/>
    <mergeCell ref="EDY5:EEB5"/>
    <mergeCell ref="EEC5:EEF5"/>
    <mergeCell ref="EEG5:EEJ5"/>
    <mergeCell ref="EEK5:EEN5"/>
    <mergeCell ref="EEO5:EER5"/>
    <mergeCell ref="ECW5:ECZ5"/>
    <mergeCell ref="EDA5:EDD5"/>
    <mergeCell ref="EDE5:EDH5"/>
    <mergeCell ref="EDI5:EDL5"/>
    <mergeCell ref="EDM5:EDP5"/>
    <mergeCell ref="EDQ5:EDT5"/>
    <mergeCell ref="EBY5:ECB5"/>
    <mergeCell ref="ECC5:ECF5"/>
    <mergeCell ref="ECG5:ECJ5"/>
    <mergeCell ref="ECK5:ECN5"/>
    <mergeCell ref="ECO5:ECR5"/>
    <mergeCell ref="ECS5:ECV5"/>
    <mergeCell ref="EBA5:EBD5"/>
    <mergeCell ref="EBE5:EBH5"/>
    <mergeCell ref="EBI5:EBL5"/>
    <mergeCell ref="EBM5:EBP5"/>
    <mergeCell ref="EBQ5:EBT5"/>
    <mergeCell ref="EBU5:EBX5"/>
    <mergeCell ref="ELE5:ELH5"/>
    <mergeCell ref="ELI5:ELL5"/>
    <mergeCell ref="ELM5:ELP5"/>
    <mergeCell ref="ELQ5:ELT5"/>
    <mergeCell ref="ELU5:ELX5"/>
    <mergeCell ref="ELY5:EMB5"/>
    <mergeCell ref="EKG5:EKJ5"/>
    <mergeCell ref="EKK5:EKN5"/>
    <mergeCell ref="EKO5:EKR5"/>
    <mergeCell ref="EKS5:EKV5"/>
    <mergeCell ref="EKW5:EKZ5"/>
    <mergeCell ref="ELA5:ELD5"/>
    <mergeCell ref="EJI5:EJL5"/>
    <mergeCell ref="EJM5:EJP5"/>
    <mergeCell ref="EJQ5:EJT5"/>
    <mergeCell ref="EJU5:EJX5"/>
    <mergeCell ref="EJY5:EKB5"/>
    <mergeCell ref="EKC5:EKF5"/>
    <mergeCell ref="EIK5:EIN5"/>
    <mergeCell ref="EIO5:EIR5"/>
    <mergeCell ref="EIS5:EIV5"/>
    <mergeCell ref="EIW5:EIZ5"/>
    <mergeCell ref="EJA5:EJD5"/>
    <mergeCell ref="EJE5:EJH5"/>
    <mergeCell ref="EHM5:EHP5"/>
    <mergeCell ref="EHQ5:EHT5"/>
    <mergeCell ref="EHU5:EHX5"/>
    <mergeCell ref="EHY5:EIB5"/>
    <mergeCell ref="EIC5:EIF5"/>
    <mergeCell ref="EIG5:EIJ5"/>
    <mergeCell ref="EGO5:EGR5"/>
    <mergeCell ref="EGS5:EGV5"/>
    <mergeCell ref="EGW5:EGZ5"/>
    <mergeCell ref="EHA5:EHD5"/>
    <mergeCell ref="EHE5:EHH5"/>
    <mergeCell ref="EHI5:EHL5"/>
    <mergeCell ref="EQS5:EQV5"/>
    <mergeCell ref="EQW5:EQZ5"/>
    <mergeCell ref="ERA5:ERD5"/>
    <mergeCell ref="ERE5:ERH5"/>
    <mergeCell ref="ERI5:ERL5"/>
    <mergeCell ref="ERM5:ERP5"/>
    <mergeCell ref="EPU5:EPX5"/>
    <mergeCell ref="EPY5:EQB5"/>
    <mergeCell ref="EQC5:EQF5"/>
    <mergeCell ref="EQG5:EQJ5"/>
    <mergeCell ref="EQK5:EQN5"/>
    <mergeCell ref="EQO5:EQR5"/>
    <mergeCell ref="EOW5:EOZ5"/>
    <mergeCell ref="EPA5:EPD5"/>
    <mergeCell ref="EPE5:EPH5"/>
    <mergeCell ref="EPI5:EPL5"/>
    <mergeCell ref="EPM5:EPP5"/>
    <mergeCell ref="EPQ5:EPT5"/>
    <mergeCell ref="ENY5:EOB5"/>
    <mergeCell ref="EOC5:EOF5"/>
    <mergeCell ref="EOG5:EOJ5"/>
    <mergeCell ref="EOK5:EON5"/>
    <mergeCell ref="EOO5:EOR5"/>
    <mergeCell ref="EOS5:EOV5"/>
    <mergeCell ref="ENA5:END5"/>
    <mergeCell ref="ENE5:ENH5"/>
    <mergeCell ref="ENI5:ENL5"/>
    <mergeCell ref="ENM5:ENP5"/>
    <mergeCell ref="ENQ5:ENT5"/>
    <mergeCell ref="ENU5:ENX5"/>
    <mergeCell ref="EMC5:EMF5"/>
    <mergeCell ref="EMG5:EMJ5"/>
    <mergeCell ref="EMK5:EMN5"/>
    <mergeCell ref="EMO5:EMR5"/>
    <mergeCell ref="EMS5:EMV5"/>
    <mergeCell ref="EMW5:EMZ5"/>
    <mergeCell ref="EWG5:EWJ5"/>
    <mergeCell ref="EWK5:EWN5"/>
    <mergeCell ref="EWO5:EWR5"/>
    <mergeCell ref="EWS5:EWV5"/>
    <mergeCell ref="EWW5:EWZ5"/>
    <mergeCell ref="EXA5:EXD5"/>
    <mergeCell ref="EVI5:EVL5"/>
    <mergeCell ref="EVM5:EVP5"/>
    <mergeCell ref="EVQ5:EVT5"/>
    <mergeCell ref="EVU5:EVX5"/>
    <mergeCell ref="EVY5:EWB5"/>
    <mergeCell ref="EWC5:EWF5"/>
    <mergeCell ref="EUK5:EUN5"/>
    <mergeCell ref="EUO5:EUR5"/>
    <mergeCell ref="EUS5:EUV5"/>
    <mergeCell ref="EUW5:EUZ5"/>
    <mergeCell ref="EVA5:EVD5"/>
    <mergeCell ref="EVE5:EVH5"/>
    <mergeCell ref="ETM5:ETP5"/>
    <mergeCell ref="ETQ5:ETT5"/>
    <mergeCell ref="ETU5:ETX5"/>
    <mergeCell ref="ETY5:EUB5"/>
    <mergeCell ref="EUC5:EUF5"/>
    <mergeCell ref="EUG5:EUJ5"/>
    <mergeCell ref="ESO5:ESR5"/>
    <mergeCell ref="ESS5:ESV5"/>
    <mergeCell ref="ESW5:ESZ5"/>
    <mergeCell ref="ETA5:ETD5"/>
    <mergeCell ref="ETE5:ETH5"/>
    <mergeCell ref="ETI5:ETL5"/>
    <mergeCell ref="ERQ5:ERT5"/>
    <mergeCell ref="ERU5:ERX5"/>
    <mergeCell ref="ERY5:ESB5"/>
    <mergeCell ref="ESC5:ESF5"/>
    <mergeCell ref="ESG5:ESJ5"/>
    <mergeCell ref="ESK5:ESN5"/>
    <mergeCell ref="FBU5:FBX5"/>
    <mergeCell ref="FBY5:FCB5"/>
    <mergeCell ref="FCC5:FCF5"/>
    <mergeCell ref="FCG5:FCJ5"/>
    <mergeCell ref="FCK5:FCN5"/>
    <mergeCell ref="FCO5:FCR5"/>
    <mergeCell ref="FAW5:FAZ5"/>
    <mergeCell ref="FBA5:FBD5"/>
    <mergeCell ref="FBE5:FBH5"/>
    <mergeCell ref="FBI5:FBL5"/>
    <mergeCell ref="FBM5:FBP5"/>
    <mergeCell ref="FBQ5:FBT5"/>
    <mergeCell ref="EZY5:FAB5"/>
    <mergeCell ref="FAC5:FAF5"/>
    <mergeCell ref="FAG5:FAJ5"/>
    <mergeCell ref="FAK5:FAN5"/>
    <mergeCell ref="FAO5:FAR5"/>
    <mergeCell ref="FAS5:FAV5"/>
    <mergeCell ref="EZA5:EZD5"/>
    <mergeCell ref="EZE5:EZH5"/>
    <mergeCell ref="EZI5:EZL5"/>
    <mergeCell ref="EZM5:EZP5"/>
    <mergeCell ref="EZQ5:EZT5"/>
    <mergeCell ref="EZU5:EZX5"/>
    <mergeCell ref="EYC5:EYF5"/>
    <mergeCell ref="EYG5:EYJ5"/>
    <mergeCell ref="EYK5:EYN5"/>
    <mergeCell ref="EYO5:EYR5"/>
    <mergeCell ref="EYS5:EYV5"/>
    <mergeCell ref="EYW5:EYZ5"/>
    <mergeCell ref="EXE5:EXH5"/>
    <mergeCell ref="EXI5:EXL5"/>
    <mergeCell ref="EXM5:EXP5"/>
    <mergeCell ref="EXQ5:EXT5"/>
    <mergeCell ref="EXU5:EXX5"/>
    <mergeCell ref="EXY5:EYB5"/>
    <mergeCell ref="FHI5:FHL5"/>
    <mergeCell ref="FHM5:FHP5"/>
    <mergeCell ref="FHQ5:FHT5"/>
    <mergeCell ref="FHU5:FHX5"/>
    <mergeCell ref="FHY5:FIB5"/>
    <mergeCell ref="FIC5:FIF5"/>
    <mergeCell ref="FGK5:FGN5"/>
    <mergeCell ref="FGO5:FGR5"/>
    <mergeCell ref="FGS5:FGV5"/>
    <mergeCell ref="FGW5:FGZ5"/>
    <mergeCell ref="FHA5:FHD5"/>
    <mergeCell ref="FHE5:FHH5"/>
    <mergeCell ref="FFM5:FFP5"/>
    <mergeCell ref="FFQ5:FFT5"/>
    <mergeCell ref="FFU5:FFX5"/>
    <mergeCell ref="FFY5:FGB5"/>
    <mergeCell ref="FGC5:FGF5"/>
    <mergeCell ref="FGG5:FGJ5"/>
    <mergeCell ref="FEO5:FER5"/>
    <mergeCell ref="FES5:FEV5"/>
    <mergeCell ref="FEW5:FEZ5"/>
    <mergeCell ref="FFA5:FFD5"/>
    <mergeCell ref="FFE5:FFH5"/>
    <mergeCell ref="FFI5:FFL5"/>
    <mergeCell ref="FDQ5:FDT5"/>
    <mergeCell ref="FDU5:FDX5"/>
    <mergeCell ref="FDY5:FEB5"/>
    <mergeCell ref="FEC5:FEF5"/>
    <mergeCell ref="FEG5:FEJ5"/>
    <mergeCell ref="FEK5:FEN5"/>
    <mergeCell ref="FCS5:FCV5"/>
    <mergeCell ref="FCW5:FCZ5"/>
    <mergeCell ref="FDA5:FDD5"/>
    <mergeCell ref="FDE5:FDH5"/>
    <mergeCell ref="FDI5:FDL5"/>
    <mergeCell ref="FDM5:FDP5"/>
    <mergeCell ref="FMW5:FMZ5"/>
    <mergeCell ref="FNA5:FND5"/>
    <mergeCell ref="FNE5:FNH5"/>
    <mergeCell ref="FNI5:FNL5"/>
    <mergeCell ref="FNM5:FNP5"/>
    <mergeCell ref="FNQ5:FNT5"/>
    <mergeCell ref="FLY5:FMB5"/>
    <mergeCell ref="FMC5:FMF5"/>
    <mergeCell ref="FMG5:FMJ5"/>
    <mergeCell ref="FMK5:FMN5"/>
    <mergeCell ref="FMO5:FMR5"/>
    <mergeCell ref="FMS5:FMV5"/>
    <mergeCell ref="FLA5:FLD5"/>
    <mergeCell ref="FLE5:FLH5"/>
    <mergeCell ref="FLI5:FLL5"/>
    <mergeCell ref="FLM5:FLP5"/>
    <mergeCell ref="FLQ5:FLT5"/>
    <mergeCell ref="FLU5:FLX5"/>
    <mergeCell ref="FKC5:FKF5"/>
    <mergeCell ref="FKG5:FKJ5"/>
    <mergeCell ref="FKK5:FKN5"/>
    <mergeCell ref="FKO5:FKR5"/>
    <mergeCell ref="FKS5:FKV5"/>
    <mergeCell ref="FKW5:FKZ5"/>
    <mergeCell ref="FJE5:FJH5"/>
    <mergeCell ref="FJI5:FJL5"/>
    <mergeCell ref="FJM5:FJP5"/>
    <mergeCell ref="FJQ5:FJT5"/>
    <mergeCell ref="FJU5:FJX5"/>
    <mergeCell ref="FJY5:FKB5"/>
    <mergeCell ref="FIG5:FIJ5"/>
    <mergeCell ref="FIK5:FIN5"/>
    <mergeCell ref="FIO5:FIR5"/>
    <mergeCell ref="FIS5:FIV5"/>
    <mergeCell ref="FIW5:FIZ5"/>
    <mergeCell ref="FJA5:FJD5"/>
    <mergeCell ref="FSK5:FSN5"/>
    <mergeCell ref="FSO5:FSR5"/>
    <mergeCell ref="FSS5:FSV5"/>
    <mergeCell ref="FSW5:FSZ5"/>
    <mergeCell ref="FTA5:FTD5"/>
    <mergeCell ref="FTE5:FTH5"/>
    <mergeCell ref="FRM5:FRP5"/>
    <mergeCell ref="FRQ5:FRT5"/>
    <mergeCell ref="FRU5:FRX5"/>
    <mergeCell ref="FRY5:FSB5"/>
    <mergeCell ref="FSC5:FSF5"/>
    <mergeCell ref="FSG5:FSJ5"/>
    <mergeCell ref="FQO5:FQR5"/>
    <mergeCell ref="FQS5:FQV5"/>
    <mergeCell ref="FQW5:FQZ5"/>
    <mergeCell ref="FRA5:FRD5"/>
    <mergeCell ref="FRE5:FRH5"/>
    <mergeCell ref="FRI5:FRL5"/>
    <mergeCell ref="FPQ5:FPT5"/>
    <mergeCell ref="FPU5:FPX5"/>
    <mergeCell ref="FPY5:FQB5"/>
    <mergeCell ref="FQC5:FQF5"/>
    <mergeCell ref="FQG5:FQJ5"/>
    <mergeCell ref="FQK5:FQN5"/>
    <mergeCell ref="FOS5:FOV5"/>
    <mergeCell ref="FOW5:FOZ5"/>
    <mergeCell ref="FPA5:FPD5"/>
    <mergeCell ref="FPE5:FPH5"/>
    <mergeCell ref="FPI5:FPL5"/>
    <mergeCell ref="FPM5:FPP5"/>
    <mergeCell ref="FNU5:FNX5"/>
    <mergeCell ref="FNY5:FOB5"/>
    <mergeCell ref="FOC5:FOF5"/>
    <mergeCell ref="FOG5:FOJ5"/>
    <mergeCell ref="FOK5:FON5"/>
    <mergeCell ref="FOO5:FOR5"/>
    <mergeCell ref="FXY5:FYB5"/>
    <mergeCell ref="FYC5:FYF5"/>
    <mergeCell ref="FYG5:FYJ5"/>
    <mergeCell ref="FYK5:FYN5"/>
    <mergeCell ref="FYO5:FYR5"/>
    <mergeCell ref="FYS5:FYV5"/>
    <mergeCell ref="FXA5:FXD5"/>
    <mergeCell ref="FXE5:FXH5"/>
    <mergeCell ref="FXI5:FXL5"/>
    <mergeCell ref="FXM5:FXP5"/>
    <mergeCell ref="FXQ5:FXT5"/>
    <mergeCell ref="FXU5:FXX5"/>
    <mergeCell ref="FWC5:FWF5"/>
    <mergeCell ref="FWG5:FWJ5"/>
    <mergeCell ref="FWK5:FWN5"/>
    <mergeCell ref="FWO5:FWR5"/>
    <mergeCell ref="FWS5:FWV5"/>
    <mergeCell ref="FWW5:FWZ5"/>
    <mergeCell ref="FVE5:FVH5"/>
    <mergeCell ref="FVI5:FVL5"/>
    <mergeCell ref="FVM5:FVP5"/>
    <mergeCell ref="FVQ5:FVT5"/>
    <mergeCell ref="FVU5:FVX5"/>
    <mergeCell ref="FVY5:FWB5"/>
    <mergeCell ref="FUG5:FUJ5"/>
    <mergeCell ref="FUK5:FUN5"/>
    <mergeCell ref="FUO5:FUR5"/>
    <mergeCell ref="FUS5:FUV5"/>
    <mergeCell ref="FUW5:FUZ5"/>
    <mergeCell ref="FVA5:FVD5"/>
    <mergeCell ref="FTI5:FTL5"/>
    <mergeCell ref="FTM5:FTP5"/>
    <mergeCell ref="FTQ5:FTT5"/>
    <mergeCell ref="FTU5:FTX5"/>
    <mergeCell ref="FTY5:FUB5"/>
    <mergeCell ref="FUC5:FUF5"/>
    <mergeCell ref="GDM5:GDP5"/>
    <mergeCell ref="GDQ5:GDT5"/>
    <mergeCell ref="GDU5:GDX5"/>
    <mergeCell ref="GDY5:GEB5"/>
    <mergeCell ref="GEC5:GEF5"/>
    <mergeCell ref="GEG5:GEJ5"/>
    <mergeCell ref="GCO5:GCR5"/>
    <mergeCell ref="GCS5:GCV5"/>
    <mergeCell ref="GCW5:GCZ5"/>
    <mergeCell ref="GDA5:GDD5"/>
    <mergeCell ref="GDE5:GDH5"/>
    <mergeCell ref="GDI5:GDL5"/>
    <mergeCell ref="GBQ5:GBT5"/>
    <mergeCell ref="GBU5:GBX5"/>
    <mergeCell ref="GBY5:GCB5"/>
    <mergeCell ref="GCC5:GCF5"/>
    <mergeCell ref="GCG5:GCJ5"/>
    <mergeCell ref="GCK5:GCN5"/>
    <mergeCell ref="GAS5:GAV5"/>
    <mergeCell ref="GAW5:GAZ5"/>
    <mergeCell ref="GBA5:GBD5"/>
    <mergeCell ref="GBE5:GBH5"/>
    <mergeCell ref="GBI5:GBL5"/>
    <mergeCell ref="GBM5:GBP5"/>
    <mergeCell ref="FZU5:FZX5"/>
    <mergeCell ref="FZY5:GAB5"/>
    <mergeCell ref="GAC5:GAF5"/>
    <mergeCell ref="GAG5:GAJ5"/>
    <mergeCell ref="GAK5:GAN5"/>
    <mergeCell ref="GAO5:GAR5"/>
    <mergeCell ref="FYW5:FYZ5"/>
    <mergeCell ref="FZA5:FZD5"/>
    <mergeCell ref="FZE5:FZH5"/>
    <mergeCell ref="FZI5:FZL5"/>
    <mergeCell ref="FZM5:FZP5"/>
    <mergeCell ref="FZQ5:FZT5"/>
    <mergeCell ref="GJA5:GJD5"/>
    <mergeCell ref="GJE5:GJH5"/>
    <mergeCell ref="GJI5:GJL5"/>
    <mergeCell ref="GJM5:GJP5"/>
    <mergeCell ref="GJQ5:GJT5"/>
    <mergeCell ref="GJU5:GJX5"/>
    <mergeCell ref="GIC5:GIF5"/>
    <mergeCell ref="GIG5:GIJ5"/>
    <mergeCell ref="GIK5:GIN5"/>
    <mergeCell ref="GIO5:GIR5"/>
    <mergeCell ref="GIS5:GIV5"/>
    <mergeCell ref="GIW5:GIZ5"/>
    <mergeCell ref="GHE5:GHH5"/>
    <mergeCell ref="GHI5:GHL5"/>
    <mergeCell ref="GHM5:GHP5"/>
    <mergeCell ref="GHQ5:GHT5"/>
    <mergeCell ref="GHU5:GHX5"/>
    <mergeCell ref="GHY5:GIB5"/>
    <mergeCell ref="GGG5:GGJ5"/>
    <mergeCell ref="GGK5:GGN5"/>
    <mergeCell ref="GGO5:GGR5"/>
    <mergeCell ref="GGS5:GGV5"/>
    <mergeCell ref="GGW5:GGZ5"/>
    <mergeCell ref="GHA5:GHD5"/>
    <mergeCell ref="GFI5:GFL5"/>
    <mergeCell ref="GFM5:GFP5"/>
    <mergeCell ref="GFQ5:GFT5"/>
    <mergeCell ref="GFU5:GFX5"/>
    <mergeCell ref="GFY5:GGB5"/>
    <mergeCell ref="GGC5:GGF5"/>
    <mergeCell ref="GEK5:GEN5"/>
    <mergeCell ref="GEO5:GER5"/>
    <mergeCell ref="GES5:GEV5"/>
    <mergeCell ref="GEW5:GEZ5"/>
    <mergeCell ref="GFA5:GFD5"/>
    <mergeCell ref="GFE5:GFH5"/>
    <mergeCell ref="GOO5:GOR5"/>
    <mergeCell ref="GOS5:GOV5"/>
    <mergeCell ref="GOW5:GOZ5"/>
    <mergeCell ref="GPA5:GPD5"/>
    <mergeCell ref="GPE5:GPH5"/>
    <mergeCell ref="GPI5:GPL5"/>
    <mergeCell ref="GNQ5:GNT5"/>
    <mergeCell ref="GNU5:GNX5"/>
    <mergeCell ref="GNY5:GOB5"/>
    <mergeCell ref="GOC5:GOF5"/>
    <mergeCell ref="GOG5:GOJ5"/>
    <mergeCell ref="GOK5:GON5"/>
    <mergeCell ref="GMS5:GMV5"/>
    <mergeCell ref="GMW5:GMZ5"/>
    <mergeCell ref="GNA5:GND5"/>
    <mergeCell ref="GNE5:GNH5"/>
    <mergeCell ref="GNI5:GNL5"/>
    <mergeCell ref="GNM5:GNP5"/>
    <mergeCell ref="GLU5:GLX5"/>
    <mergeCell ref="GLY5:GMB5"/>
    <mergeCell ref="GMC5:GMF5"/>
    <mergeCell ref="GMG5:GMJ5"/>
    <mergeCell ref="GMK5:GMN5"/>
    <mergeCell ref="GMO5:GMR5"/>
    <mergeCell ref="GKW5:GKZ5"/>
    <mergeCell ref="GLA5:GLD5"/>
    <mergeCell ref="GLE5:GLH5"/>
    <mergeCell ref="GLI5:GLL5"/>
    <mergeCell ref="GLM5:GLP5"/>
    <mergeCell ref="GLQ5:GLT5"/>
    <mergeCell ref="GJY5:GKB5"/>
    <mergeCell ref="GKC5:GKF5"/>
    <mergeCell ref="GKG5:GKJ5"/>
    <mergeCell ref="GKK5:GKN5"/>
    <mergeCell ref="GKO5:GKR5"/>
    <mergeCell ref="GKS5:GKV5"/>
    <mergeCell ref="GUC5:GUF5"/>
    <mergeCell ref="GUG5:GUJ5"/>
    <mergeCell ref="GUK5:GUN5"/>
    <mergeCell ref="GUO5:GUR5"/>
    <mergeCell ref="GUS5:GUV5"/>
    <mergeCell ref="GUW5:GUZ5"/>
    <mergeCell ref="GTE5:GTH5"/>
    <mergeCell ref="GTI5:GTL5"/>
    <mergeCell ref="GTM5:GTP5"/>
    <mergeCell ref="GTQ5:GTT5"/>
    <mergeCell ref="GTU5:GTX5"/>
    <mergeCell ref="GTY5:GUB5"/>
    <mergeCell ref="GSG5:GSJ5"/>
    <mergeCell ref="GSK5:GSN5"/>
    <mergeCell ref="GSO5:GSR5"/>
    <mergeCell ref="GSS5:GSV5"/>
    <mergeCell ref="GSW5:GSZ5"/>
    <mergeCell ref="GTA5:GTD5"/>
    <mergeCell ref="GRI5:GRL5"/>
    <mergeCell ref="GRM5:GRP5"/>
    <mergeCell ref="GRQ5:GRT5"/>
    <mergeCell ref="GRU5:GRX5"/>
    <mergeCell ref="GRY5:GSB5"/>
    <mergeCell ref="GSC5:GSF5"/>
    <mergeCell ref="GQK5:GQN5"/>
    <mergeCell ref="GQO5:GQR5"/>
    <mergeCell ref="GQS5:GQV5"/>
    <mergeCell ref="GQW5:GQZ5"/>
    <mergeCell ref="GRA5:GRD5"/>
    <mergeCell ref="GRE5:GRH5"/>
    <mergeCell ref="GPM5:GPP5"/>
    <mergeCell ref="GPQ5:GPT5"/>
    <mergeCell ref="GPU5:GPX5"/>
    <mergeCell ref="GPY5:GQB5"/>
    <mergeCell ref="GQC5:GQF5"/>
    <mergeCell ref="GQG5:GQJ5"/>
    <mergeCell ref="GZQ5:GZT5"/>
    <mergeCell ref="GZU5:GZX5"/>
    <mergeCell ref="GZY5:HAB5"/>
    <mergeCell ref="HAC5:HAF5"/>
    <mergeCell ref="HAG5:HAJ5"/>
    <mergeCell ref="HAK5:HAN5"/>
    <mergeCell ref="GYS5:GYV5"/>
    <mergeCell ref="GYW5:GYZ5"/>
    <mergeCell ref="GZA5:GZD5"/>
    <mergeCell ref="GZE5:GZH5"/>
    <mergeCell ref="GZI5:GZL5"/>
    <mergeCell ref="GZM5:GZP5"/>
    <mergeCell ref="GXU5:GXX5"/>
    <mergeCell ref="GXY5:GYB5"/>
    <mergeCell ref="GYC5:GYF5"/>
    <mergeCell ref="GYG5:GYJ5"/>
    <mergeCell ref="GYK5:GYN5"/>
    <mergeCell ref="GYO5:GYR5"/>
    <mergeCell ref="GWW5:GWZ5"/>
    <mergeCell ref="GXA5:GXD5"/>
    <mergeCell ref="GXE5:GXH5"/>
    <mergeCell ref="GXI5:GXL5"/>
    <mergeCell ref="GXM5:GXP5"/>
    <mergeCell ref="GXQ5:GXT5"/>
    <mergeCell ref="GVY5:GWB5"/>
    <mergeCell ref="GWC5:GWF5"/>
    <mergeCell ref="GWG5:GWJ5"/>
    <mergeCell ref="GWK5:GWN5"/>
    <mergeCell ref="GWO5:GWR5"/>
    <mergeCell ref="GWS5:GWV5"/>
    <mergeCell ref="GVA5:GVD5"/>
    <mergeCell ref="GVE5:GVH5"/>
    <mergeCell ref="GVI5:GVL5"/>
    <mergeCell ref="GVM5:GVP5"/>
    <mergeCell ref="GVQ5:GVT5"/>
    <mergeCell ref="GVU5:GVX5"/>
    <mergeCell ref="HFE5:HFH5"/>
    <mergeCell ref="HFI5:HFL5"/>
    <mergeCell ref="HFM5:HFP5"/>
    <mergeCell ref="HFQ5:HFT5"/>
    <mergeCell ref="HFU5:HFX5"/>
    <mergeCell ref="HFY5:HGB5"/>
    <mergeCell ref="HEG5:HEJ5"/>
    <mergeCell ref="HEK5:HEN5"/>
    <mergeCell ref="HEO5:HER5"/>
    <mergeCell ref="HES5:HEV5"/>
    <mergeCell ref="HEW5:HEZ5"/>
    <mergeCell ref="HFA5:HFD5"/>
    <mergeCell ref="HDI5:HDL5"/>
    <mergeCell ref="HDM5:HDP5"/>
    <mergeCell ref="HDQ5:HDT5"/>
    <mergeCell ref="HDU5:HDX5"/>
    <mergeCell ref="HDY5:HEB5"/>
    <mergeCell ref="HEC5:HEF5"/>
    <mergeCell ref="HCK5:HCN5"/>
    <mergeCell ref="HCO5:HCR5"/>
    <mergeCell ref="HCS5:HCV5"/>
    <mergeCell ref="HCW5:HCZ5"/>
    <mergeCell ref="HDA5:HDD5"/>
    <mergeCell ref="HDE5:HDH5"/>
    <mergeCell ref="HBM5:HBP5"/>
    <mergeCell ref="HBQ5:HBT5"/>
    <mergeCell ref="HBU5:HBX5"/>
    <mergeCell ref="HBY5:HCB5"/>
    <mergeCell ref="HCC5:HCF5"/>
    <mergeCell ref="HCG5:HCJ5"/>
    <mergeCell ref="HAO5:HAR5"/>
    <mergeCell ref="HAS5:HAV5"/>
    <mergeCell ref="HAW5:HAZ5"/>
    <mergeCell ref="HBA5:HBD5"/>
    <mergeCell ref="HBE5:HBH5"/>
    <mergeCell ref="HBI5:HBL5"/>
    <mergeCell ref="HKS5:HKV5"/>
    <mergeCell ref="HKW5:HKZ5"/>
    <mergeCell ref="HLA5:HLD5"/>
    <mergeCell ref="HLE5:HLH5"/>
    <mergeCell ref="HLI5:HLL5"/>
    <mergeCell ref="HLM5:HLP5"/>
    <mergeCell ref="HJU5:HJX5"/>
    <mergeCell ref="HJY5:HKB5"/>
    <mergeCell ref="HKC5:HKF5"/>
    <mergeCell ref="HKG5:HKJ5"/>
    <mergeCell ref="HKK5:HKN5"/>
    <mergeCell ref="HKO5:HKR5"/>
    <mergeCell ref="HIW5:HIZ5"/>
    <mergeCell ref="HJA5:HJD5"/>
    <mergeCell ref="HJE5:HJH5"/>
    <mergeCell ref="HJI5:HJL5"/>
    <mergeCell ref="HJM5:HJP5"/>
    <mergeCell ref="HJQ5:HJT5"/>
    <mergeCell ref="HHY5:HIB5"/>
    <mergeCell ref="HIC5:HIF5"/>
    <mergeCell ref="HIG5:HIJ5"/>
    <mergeCell ref="HIK5:HIN5"/>
    <mergeCell ref="HIO5:HIR5"/>
    <mergeCell ref="HIS5:HIV5"/>
    <mergeCell ref="HHA5:HHD5"/>
    <mergeCell ref="HHE5:HHH5"/>
    <mergeCell ref="HHI5:HHL5"/>
    <mergeCell ref="HHM5:HHP5"/>
    <mergeCell ref="HHQ5:HHT5"/>
    <mergeCell ref="HHU5:HHX5"/>
    <mergeCell ref="HGC5:HGF5"/>
    <mergeCell ref="HGG5:HGJ5"/>
    <mergeCell ref="HGK5:HGN5"/>
    <mergeCell ref="HGO5:HGR5"/>
    <mergeCell ref="HGS5:HGV5"/>
    <mergeCell ref="HGW5:HGZ5"/>
    <mergeCell ref="HQG5:HQJ5"/>
    <mergeCell ref="HQK5:HQN5"/>
    <mergeCell ref="HQO5:HQR5"/>
    <mergeCell ref="HQS5:HQV5"/>
    <mergeCell ref="HQW5:HQZ5"/>
    <mergeCell ref="HRA5:HRD5"/>
    <mergeCell ref="HPI5:HPL5"/>
    <mergeCell ref="HPM5:HPP5"/>
    <mergeCell ref="HPQ5:HPT5"/>
    <mergeCell ref="HPU5:HPX5"/>
    <mergeCell ref="HPY5:HQB5"/>
    <mergeCell ref="HQC5:HQF5"/>
    <mergeCell ref="HOK5:HON5"/>
    <mergeCell ref="HOO5:HOR5"/>
    <mergeCell ref="HOS5:HOV5"/>
    <mergeCell ref="HOW5:HOZ5"/>
    <mergeCell ref="HPA5:HPD5"/>
    <mergeCell ref="HPE5:HPH5"/>
    <mergeCell ref="HNM5:HNP5"/>
    <mergeCell ref="HNQ5:HNT5"/>
    <mergeCell ref="HNU5:HNX5"/>
    <mergeCell ref="HNY5:HOB5"/>
    <mergeCell ref="HOC5:HOF5"/>
    <mergeCell ref="HOG5:HOJ5"/>
    <mergeCell ref="HMO5:HMR5"/>
    <mergeCell ref="HMS5:HMV5"/>
    <mergeCell ref="HMW5:HMZ5"/>
    <mergeCell ref="HNA5:HND5"/>
    <mergeCell ref="HNE5:HNH5"/>
    <mergeCell ref="HNI5:HNL5"/>
    <mergeCell ref="HLQ5:HLT5"/>
    <mergeCell ref="HLU5:HLX5"/>
    <mergeCell ref="HLY5:HMB5"/>
    <mergeCell ref="HMC5:HMF5"/>
    <mergeCell ref="HMG5:HMJ5"/>
    <mergeCell ref="HMK5:HMN5"/>
    <mergeCell ref="HVU5:HVX5"/>
    <mergeCell ref="HVY5:HWB5"/>
    <mergeCell ref="HWC5:HWF5"/>
    <mergeCell ref="HWG5:HWJ5"/>
    <mergeCell ref="HWK5:HWN5"/>
    <mergeCell ref="HWO5:HWR5"/>
    <mergeCell ref="HUW5:HUZ5"/>
    <mergeCell ref="HVA5:HVD5"/>
    <mergeCell ref="HVE5:HVH5"/>
    <mergeCell ref="HVI5:HVL5"/>
    <mergeCell ref="HVM5:HVP5"/>
    <mergeCell ref="HVQ5:HVT5"/>
    <mergeCell ref="HTY5:HUB5"/>
    <mergeCell ref="HUC5:HUF5"/>
    <mergeCell ref="HUG5:HUJ5"/>
    <mergeCell ref="HUK5:HUN5"/>
    <mergeCell ref="HUO5:HUR5"/>
    <mergeCell ref="HUS5:HUV5"/>
    <mergeCell ref="HTA5:HTD5"/>
    <mergeCell ref="HTE5:HTH5"/>
    <mergeCell ref="HTI5:HTL5"/>
    <mergeCell ref="HTM5:HTP5"/>
    <mergeCell ref="HTQ5:HTT5"/>
    <mergeCell ref="HTU5:HTX5"/>
    <mergeCell ref="HSC5:HSF5"/>
    <mergeCell ref="HSG5:HSJ5"/>
    <mergeCell ref="HSK5:HSN5"/>
    <mergeCell ref="HSO5:HSR5"/>
    <mergeCell ref="HSS5:HSV5"/>
    <mergeCell ref="HSW5:HSZ5"/>
    <mergeCell ref="HRE5:HRH5"/>
    <mergeCell ref="HRI5:HRL5"/>
    <mergeCell ref="HRM5:HRP5"/>
    <mergeCell ref="HRQ5:HRT5"/>
    <mergeCell ref="HRU5:HRX5"/>
    <mergeCell ref="HRY5:HSB5"/>
    <mergeCell ref="IBI5:IBL5"/>
    <mergeCell ref="IBM5:IBP5"/>
    <mergeCell ref="IBQ5:IBT5"/>
    <mergeCell ref="IBU5:IBX5"/>
    <mergeCell ref="IBY5:ICB5"/>
    <mergeCell ref="ICC5:ICF5"/>
    <mergeCell ref="IAK5:IAN5"/>
    <mergeCell ref="IAO5:IAR5"/>
    <mergeCell ref="IAS5:IAV5"/>
    <mergeCell ref="IAW5:IAZ5"/>
    <mergeCell ref="IBA5:IBD5"/>
    <mergeCell ref="IBE5:IBH5"/>
    <mergeCell ref="HZM5:HZP5"/>
    <mergeCell ref="HZQ5:HZT5"/>
    <mergeCell ref="HZU5:HZX5"/>
    <mergeCell ref="HZY5:IAB5"/>
    <mergeCell ref="IAC5:IAF5"/>
    <mergeCell ref="IAG5:IAJ5"/>
    <mergeCell ref="HYO5:HYR5"/>
    <mergeCell ref="HYS5:HYV5"/>
    <mergeCell ref="HYW5:HYZ5"/>
    <mergeCell ref="HZA5:HZD5"/>
    <mergeCell ref="HZE5:HZH5"/>
    <mergeCell ref="HZI5:HZL5"/>
    <mergeCell ref="HXQ5:HXT5"/>
    <mergeCell ref="HXU5:HXX5"/>
    <mergeCell ref="HXY5:HYB5"/>
    <mergeCell ref="HYC5:HYF5"/>
    <mergeCell ref="HYG5:HYJ5"/>
    <mergeCell ref="HYK5:HYN5"/>
    <mergeCell ref="HWS5:HWV5"/>
    <mergeCell ref="HWW5:HWZ5"/>
    <mergeCell ref="HXA5:HXD5"/>
    <mergeCell ref="HXE5:HXH5"/>
    <mergeCell ref="HXI5:HXL5"/>
    <mergeCell ref="HXM5:HXP5"/>
    <mergeCell ref="IGW5:IGZ5"/>
    <mergeCell ref="IHA5:IHD5"/>
    <mergeCell ref="IHE5:IHH5"/>
    <mergeCell ref="IHI5:IHL5"/>
    <mergeCell ref="IHM5:IHP5"/>
    <mergeCell ref="IHQ5:IHT5"/>
    <mergeCell ref="IFY5:IGB5"/>
    <mergeCell ref="IGC5:IGF5"/>
    <mergeCell ref="IGG5:IGJ5"/>
    <mergeCell ref="IGK5:IGN5"/>
    <mergeCell ref="IGO5:IGR5"/>
    <mergeCell ref="IGS5:IGV5"/>
    <mergeCell ref="IFA5:IFD5"/>
    <mergeCell ref="IFE5:IFH5"/>
    <mergeCell ref="IFI5:IFL5"/>
    <mergeCell ref="IFM5:IFP5"/>
    <mergeCell ref="IFQ5:IFT5"/>
    <mergeCell ref="IFU5:IFX5"/>
    <mergeCell ref="IEC5:IEF5"/>
    <mergeCell ref="IEG5:IEJ5"/>
    <mergeCell ref="IEK5:IEN5"/>
    <mergeCell ref="IEO5:IER5"/>
    <mergeCell ref="IES5:IEV5"/>
    <mergeCell ref="IEW5:IEZ5"/>
    <mergeCell ref="IDE5:IDH5"/>
    <mergeCell ref="IDI5:IDL5"/>
    <mergeCell ref="IDM5:IDP5"/>
    <mergeCell ref="IDQ5:IDT5"/>
    <mergeCell ref="IDU5:IDX5"/>
    <mergeCell ref="IDY5:IEB5"/>
    <mergeCell ref="ICG5:ICJ5"/>
    <mergeCell ref="ICK5:ICN5"/>
    <mergeCell ref="ICO5:ICR5"/>
    <mergeCell ref="ICS5:ICV5"/>
    <mergeCell ref="ICW5:ICZ5"/>
    <mergeCell ref="IDA5:IDD5"/>
    <mergeCell ref="IMK5:IMN5"/>
    <mergeCell ref="IMO5:IMR5"/>
    <mergeCell ref="IMS5:IMV5"/>
    <mergeCell ref="IMW5:IMZ5"/>
    <mergeCell ref="INA5:IND5"/>
    <mergeCell ref="INE5:INH5"/>
    <mergeCell ref="ILM5:ILP5"/>
    <mergeCell ref="ILQ5:ILT5"/>
    <mergeCell ref="ILU5:ILX5"/>
    <mergeCell ref="ILY5:IMB5"/>
    <mergeCell ref="IMC5:IMF5"/>
    <mergeCell ref="IMG5:IMJ5"/>
    <mergeCell ref="IKO5:IKR5"/>
    <mergeCell ref="IKS5:IKV5"/>
    <mergeCell ref="IKW5:IKZ5"/>
    <mergeCell ref="ILA5:ILD5"/>
    <mergeCell ref="ILE5:ILH5"/>
    <mergeCell ref="ILI5:ILL5"/>
    <mergeCell ref="IJQ5:IJT5"/>
    <mergeCell ref="IJU5:IJX5"/>
    <mergeCell ref="IJY5:IKB5"/>
    <mergeCell ref="IKC5:IKF5"/>
    <mergeCell ref="IKG5:IKJ5"/>
    <mergeCell ref="IKK5:IKN5"/>
    <mergeCell ref="IIS5:IIV5"/>
    <mergeCell ref="IIW5:IIZ5"/>
    <mergeCell ref="IJA5:IJD5"/>
    <mergeCell ref="IJE5:IJH5"/>
    <mergeCell ref="IJI5:IJL5"/>
    <mergeCell ref="IJM5:IJP5"/>
    <mergeCell ref="IHU5:IHX5"/>
    <mergeCell ref="IHY5:IIB5"/>
    <mergeCell ref="IIC5:IIF5"/>
    <mergeCell ref="IIG5:IIJ5"/>
    <mergeCell ref="IIK5:IIN5"/>
    <mergeCell ref="IIO5:IIR5"/>
    <mergeCell ref="IRY5:ISB5"/>
    <mergeCell ref="ISC5:ISF5"/>
    <mergeCell ref="ISG5:ISJ5"/>
    <mergeCell ref="ISK5:ISN5"/>
    <mergeCell ref="ISO5:ISR5"/>
    <mergeCell ref="ISS5:ISV5"/>
    <mergeCell ref="IRA5:IRD5"/>
    <mergeCell ref="IRE5:IRH5"/>
    <mergeCell ref="IRI5:IRL5"/>
    <mergeCell ref="IRM5:IRP5"/>
    <mergeCell ref="IRQ5:IRT5"/>
    <mergeCell ref="IRU5:IRX5"/>
    <mergeCell ref="IQC5:IQF5"/>
    <mergeCell ref="IQG5:IQJ5"/>
    <mergeCell ref="IQK5:IQN5"/>
    <mergeCell ref="IQO5:IQR5"/>
    <mergeCell ref="IQS5:IQV5"/>
    <mergeCell ref="IQW5:IQZ5"/>
    <mergeCell ref="IPE5:IPH5"/>
    <mergeCell ref="IPI5:IPL5"/>
    <mergeCell ref="IPM5:IPP5"/>
    <mergeCell ref="IPQ5:IPT5"/>
    <mergeCell ref="IPU5:IPX5"/>
    <mergeCell ref="IPY5:IQB5"/>
    <mergeCell ref="IOG5:IOJ5"/>
    <mergeCell ref="IOK5:ION5"/>
    <mergeCell ref="IOO5:IOR5"/>
    <mergeCell ref="IOS5:IOV5"/>
    <mergeCell ref="IOW5:IOZ5"/>
    <mergeCell ref="IPA5:IPD5"/>
    <mergeCell ref="INI5:INL5"/>
    <mergeCell ref="INM5:INP5"/>
    <mergeCell ref="INQ5:INT5"/>
    <mergeCell ref="INU5:INX5"/>
    <mergeCell ref="INY5:IOB5"/>
    <mergeCell ref="IOC5:IOF5"/>
    <mergeCell ref="IXM5:IXP5"/>
    <mergeCell ref="IXQ5:IXT5"/>
    <mergeCell ref="IXU5:IXX5"/>
    <mergeCell ref="IXY5:IYB5"/>
    <mergeCell ref="IYC5:IYF5"/>
    <mergeCell ref="IYG5:IYJ5"/>
    <mergeCell ref="IWO5:IWR5"/>
    <mergeCell ref="IWS5:IWV5"/>
    <mergeCell ref="IWW5:IWZ5"/>
    <mergeCell ref="IXA5:IXD5"/>
    <mergeCell ref="IXE5:IXH5"/>
    <mergeCell ref="IXI5:IXL5"/>
    <mergeCell ref="IVQ5:IVT5"/>
    <mergeCell ref="IVU5:IVX5"/>
    <mergeCell ref="IVY5:IWB5"/>
    <mergeCell ref="IWC5:IWF5"/>
    <mergeCell ref="IWG5:IWJ5"/>
    <mergeCell ref="IWK5:IWN5"/>
    <mergeCell ref="IUS5:IUV5"/>
    <mergeCell ref="IUW5:IUZ5"/>
    <mergeCell ref="IVA5:IVD5"/>
    <mergeCell ref="IVE5:IVH5"/>
    <mergeCell ref="IVI5:IVL5"/>
    <mergeCell ref="IVM5:IVP5"/>
    <mergeCell ref="ITU5:ITX5"/>
    <mergeCell ref="ITY5:IUB5"/>
    <mergeCell ref="IUC5:IUF5"/>
    <mergeCell ref="IUG5:IUJ5"/>
    <mergeCell ref="IUK5:IUN5"/>
    <mergeCell ref="IUO5:IUR5"/>
    <mergeCell ref="ISW5:ISZ5"/>
    <mergeCell ref="ITA5:ITD5"/>
    <mergeCell ref="ITE5:ITH5"/>
    <mergeCell ref="ITI5:ITL5"/>
    <mergeCell ref="ITM5:ITP5"/>
    <mergeCell ref="ITQ5:ITT5"/>
    <mergeCell ref="JDA5:JDD5"/>
    <mergeCell ref="JDE5:JDH5"/>
    <mergeCell ref="JDI5:JDL5"/>
    <mergeCell ref="JDM5:JDP5"/>
    <mergeCell ref="JDQ5:JDT5"/>
    <mergeCell ref="JDU5:JDX5"/>
    <mergeCell ref="JCC5:JCF5"/>
    <mergeCell ref="JCG5:JCJ5"/>
    <mergeCell ref="JCK5:JCN5"/>
    <mergeCell ref="JCO5:JCR5"/>
    <mergeCell ref="JCS5:JCV5"/>
    <mergeCell ref="JCW5:JCZ5"/>
    <mergeCell ref="JBE5:JBH5"/>
    <mergeCell ref="JBI5:JBL5"/>
    <mergeCell ref="JBM5:JBP5"/>
    <mergeCell ref="JBQ5:JBT5"/>
    <mergeCell ref="JBU5:JBX5"/>
    <mergeCell ref="JBY5:JCB5"/>
    <mergeCell ref="JAG5:JAJ5"/>
    <mergeCell ref="JAK5:JAN5"/>
    <mergeCell ref="JAO5:JAR5"/>
    <mergeCell ref="JAS5:JAV5"/>
    <mergeCell ref="JAW5:JAZ5"/>
    <mergeCell ref="JBA5:JBD5"/>
    <mergeCell ref="IZI5:IZL5"/>
    <mergeCell ref="IZM5:IZP5"/>
    <mergeCell ref="IZQ5:IZT5"/>
    <mergeCell ref="IZU5:IZX5"/>
    <mergeCell ref="IZY5:JAB5"/>
    <mergeCell ref="JAC5:JAF5"/>
    <mergeCell ref="IYK5:IYN5"/>
    <mergeCell ref="IYO5:IYR5"/>
    <mergeCell ref="IYS5:IYV5"/>
    <mergeCell ref="IYW5:IYZ5"/>
    <mergeCell ref="IZA5:IZD5"/>
    <mergeCell ref="IZE5:IZH5"/>
    <mergeCell ref="JIO5:JIR5"/>
    <mergeCell ref="JIS5:JIV5"/>
    <mergeCell ref="JIW5:JIZ5"/>
    <mergeCell ref="JJA5:JJD5"/>
    <mergeCell ref="JJE5:JJH5"/>
    <mergeCell ref="JJI5:JJL5"/>
    <mergeCell ref="JHQ5:JHT5"/>
    <mergeCell ref="JHU5:JHX5"/>
    <mergeCell ref="JHY5:JIB5"/>
    <mergeCell ref="JIC5:JIF5"/>
    <mergeCell ref="JIG5:JIJ5"/>
    <mergeCell ref="JIK5:JIN5"/>
    <mergeCell ref="JGS5:JGV5"/>
    <mergeCell ref="JGW5:JGZ5"/>
    <mergeCell ref="JHA5:JHD5"/>
    <mergeCell ref="JHE5:JHH5"/>
    <mergeCell ref="JHI5:JHL5"/>
    <mergeCell ref="JHM5:JHP5"/>
    <mergeCell ref="JFU5:JFX5"/>
    <mergeCell ref="JFY5:JGB5"/>
    <mergeCell ref="JGC5:JGF5"/>
    <mergeCell ref="JGG5:JGJ5"/>
    <mergeCell ref="JGK5:JGN5"/>
    <mergeCell ref="JGO5:JGR5"/>
    <mergeCell ref="JEW5:JEZ5"/>
    <mergeCell ref="JFA5:JFD5"/>
    <mergeCell ref="JFE5:JFH5"/>
    <mergeCell ref="JFI5:JFL5"/>
    <mergeCell ref="JFM5:JFP5"/>
    <mergeCell ref="JFQ5:JFT5"/>
    <mergeCell ref="JDY5:JEB5"/>
    <mergeCell ref="JEC5:JEF5"/>
    <mergeCell ref="JEG5:JEJ5"/>
    <mergeCell ref="JEK5:JEN5"/>
    <mergeCell ref="JEO5:JER5"/>
    <mergeCell ref="JES5:JEV5"/>
    <mergeCell ref="JOC5:JOF5"/>
    <mergeCell ref="JOG5:JOJ5"/>
    <mergeCell ref="JOK5:JON5"/>
    <mergeCell ref="JOO5:JOR5"/>
    <mergeCell ref="JOS5:JOV5"/>
    <mergeCell ref="JOW5:JOZ5"/>
    <mergeCell ref="JNE5:JNH5"/>
    <mergeCell ref="JNI5:JNL5"/>
    <mergeCell ref="JNM5:JNP5"/>
    <mergeCell ref="JNQ5:JNT5"/>
    <mergeCell ref="JNU5:JNX5"/>
    <mergeCell ref="JNY5:JOB5"/>
    <mergeCell ref="JMG5:JMJ5"/>
    <mergeCell ref="JMK5:JMN5"/>
    <mergeCell ref="JMO5:JMR5"/>
    <mergeCell ref="JMS5:JMV5"/>
    <mergeCell ref="JMW5:JMZ5"/>
    <mergeCell ref="JNA5:JND5"/>
    <mergeCell ref="JLI5:JLL5"/>
    <mergeCell ref="JLM5:JLP5"/>
    <mergeCell ref="JLQ5:JLT5"/>
    <mergeCell ref="JLU5:JLX5"/>
    <mergeCell ref="JLY5:JMB5"/>
    <mergeCell ref="JMC5:JMF5"/>
    <mergeCell ref="JKK5:JKN5"/>
    <mergeCell ref="JKO5:JKR5"/>
    <mergeCell ref="JKS5:JKV5"/>
    <mergeCell ref="JKW5:JKZ5"/>
    <mergeCell ref="JLA5:JLD5"/>
    <mergeCell ref="JLE5:JLH5"/>
    <mergeCell ref="JJM5:JJP5"/>
    <mergeCell ref="JJQ5:JJT5"/>
    <mergeCell ref="JJU5:JJX5"/>
    <mergeCell ref="JJY5:JKB5"/>
    <mergeCell ref="JKC5:JKF5"/>
    <mergeCell ref="JKG5:JKJ5"/>
    <mergeCell ref="JTQ5:JTT5"/>
    <mergeCell ref="JTU5:JTX5"/>
    <mergeCell ref="JTY5:JUB5"/>
    <mergeCell ref="JUC5:JUF5"/>
    <mergeCell ref="JUG5:JUJ5"/>
    <mergeCell ref="JUK5:JUN5"/>
    <mergeCell ref="JSS5:JSV5"/>
    <mergeCell ref="JSW5:JSZ5"/>
    <mergeCell ref="JTA5:JTD5"/>
    <mergeCell ref="JTE5:JTH5"/>
    <mergeCell ref="JTI5:JTL5"/>
    <mergeCell ref="JTM5:JTP5"/>
    <mergeCell ref="JRU5:JRX5"/>
    <mergeCell ref="JRY5:JSB5"/>
    <mergeCell ref="JSC5:JSF5"/>
    <mergeCell ref="JSG5:JSJ5"/>
    <mergeCell ref="JSK5:JSN5"/>
    <mergeCell ref="JSO5:JSR5"/>
    <mergeCell ref="JQW5:JQZ5"/>
    <mergeCell ref="JRA5:JRD5"/>
    <mergeCell ref="JRE5:JRH5"/>
    <mergeCell ref="JRI5:JRL5"/>
    <mergeCell ref="JRM5:JRP5"/>
    <mergeCell ref="JRQ5:JRT5"/>
    <mergeCell ref="JPY5:JQB5"/>
    <mergeCell ref="JQC5:JQF5"/>
    <mergeCell ref="JQG5:JQJ5"/>
    <mergeCell ref="JQK5:JQN5"/>
    <mergeCell ref="JQO5:JQR5"/>
    <mergeCell ref="JQS5:JQV5"/>
    <mergeCell ref="JPA5:JPD5"/>
    <mergeCell ref="JPE5:JPH5"/>
    <mergeCell ref="JPI5:JPL5"/>
    <mergeCell ref="JPM5:JPP5"/>
    <mergeCell ref="JPQ5:JPT5"/>
    <mergeCell ref="JPU5:JPX5"/>
    <mergeCell ref="JZE5:JZH5"/>
    <mergeCell ref="JZI5:JZL5"/>
    <mergeCell ref="JZM5:JZP5"/>
    <mergeCell ref="JZQ5:JZT5"/>
    <mergeCell ref="JZU5:JZX5"/>
    <mergeCell ref="JZY5:KAB5"/>
    <mergeCell ref="JYG5:JYJ5"/>
    <mergeCell ref="JYK5:JYN5"/>
    <mergeCell ref="JYO5:JYR5"/>
    <mergeCell ref="JYS5:JYV5"/>
    <mergeCell ref="JYW5:JYZ5"/>
    <mergeCell ref="JZA5:JZD5"/>
    <mergeCell ref="JXI5:JXL5"/>
    <mergeCell ref="JXM5:JXP5"/>
    <mergeCell ref="JXQ5:JXT5"/>
    <mergeCell ref="JXU5:JXX5"/>
    <mergeCell ref="JXY5:JYB5"/>
    <mergeCell ref="JYC5:JYF5"/>
    <mergeCell ref="JWK5:JWN5"/>
    <mergeCell ref="JWO5:JWR5"/>
    <mergeCell ref="JWS5:JWV5"/>
    <mergeCell ref="JWW5:JWZ5"/>
    <mergeCell ref="JXA5:JXD5"/>
    <mergeCell ref="JXE5:JXH5"/>
    <mergeCell ref="JVM5:JVP5"/>
    <mergeCell ref="JVQ5:JVT5"/>
    <mergeCell ref="JVU5:JVX5"/>
    <mergeCell ref="JVY5:JWB5"/>
    <mergeCell ref="JWC5:JWF5"/>
    <mergeCell ref="JWG5:JWJ5"/>
    <mergeCell ref="JUO5:JUR5"/>
    <mergeCell ref="JUS5:JUV5"/>
    <mergeCell ref="JUW5:JUZ5"/>
    <mergeCell ref="JVA5:JVD5"/>
    <mergeCell ref="JVE5:JVH5"/>
    <mergeCell ref="JVI5:JVL5"/>
    <mergeCell ref="KES5:KEV5"/>
    <mergeCell ref="KEW5:KEZ5"/>
    <mergeCell ref="KFA5:KFD5"/>
    <mergeCell ref="KFE5:KFH5"/>
    <mergeCell ref="KFI5:KFL5"/>
    <mergeCell ref="KFM5:KFP5"/>
    <mergeCell ref="KDU5:KDX5"/>
    <mergeCell ref="KDY5:KEB5"/>
    <mergeCell ref="KEC5:KEF5"/>
    <mergeCell ref="KEG5:KEJ5"/>
    <mergeCell ref="KEK5:KEN5"/>
    <mergeCell ref="KEO5:KER5"/>
    <mergeCell ref="KCW5:KCZ5"/>
    <mergeCell ref="KDA5:KDD5"/>
    <mergeCell ref="KDE5:KDH5"/>
    <mergeCell ref="KDI5:KDL5"/>
    <mergeCell ref="KDM5:KDP5"/>
    <mergeCell ref="KDQ5:KDT5"/>
    <mergeCell ref="KBY5:KCB5"/>
    <mergeCell ref="KCC5:KCF5"/>
    <mergeCell ref="KCG5:KCJ5"/>
    <mergeCell ref="KCK5:KCN5"/>
    <mergeCell ref="KCO5:KCR5"/>
    <mergeCell ref="KCS5:KCV5"/>
    <mergeCell ref="KBA5:KBD5"/>
    <mergeCell ref="KBE5:KBH5"/>
    <mergeCell ref="KBI5:KBL5"/>
    <mergeCell ref="KBM5:KBP5"/>
    <mergeCell ref="KBQ5:KBT5"/>
    <mergeCell ref="KBU5:KBX5"/>
    <mergeCell ref="KAC5:KAF5"/>
    <mergeCell ref="KAG5:KAJ5"/>
    <mergeCell ref="KAK5:KAN5"/>
    <mergeCell ref="KAO5:KAR5"/>
    <mergeCell ref="KAS5:KAV5"/>
    <mergeCell ref="KAW5:KAZ5"/>
    <mergeCell ref="KKG5:KKJ5"/>
    <mergeCell ref="KKK5:KKN5"/>
    <mergeCell ref="KKO5:KKR5"/>
    <mergeCell ref="KKS5:KKV5"/>
    <mergeCell ref="KKW5:KKZ5"/>
    <mergeCell ref="KLA5:KLD5"/>
    <mergeCell ref="KJI5:KJL5"/>
    <mergeCell ref="KJM5:KJP5"/>
    <mergeCell ref="KJQ5:KJT5"/>
    <mergeCell ref="KJU5:KJX5"/>
    <mergeCell ref="KJY5:KKB5"/>
    <mergeCell ref="KKC5:KKF5"/>
    <mergeCell ref="KIK5:KIN5"/>
    <mergeCell ref="KIO5:KIR5"/>
    <mergeCell ref="KIS5:KIV5"/>
    <mergeCell ref="KIW5:KIZ5"/>
    <mergeCell ref="KJA5:KJD5"/>
    <mergeCell ref="KJE5:KJH5"/>
    <mergeCell ref="KHM5:KHP5"/>
    <mergeCell ref="KHQ5:KHT5"/>
    <mergeCell ref="KHU5:KHX5"/>
    <mergeCell ref="KHY5:KIB5"/>
    <mergeCell ref="KIC5:KIF5"/>
    <mergeCell ref="KIG5:KIJ5"/>
    <mergeCell ref="KGO5:KGR5"/>
    <mergeCell ref="KGS5:KGV5"/>
    <mergeCell ref="KGW5:KGZ5"/>
    <mergeCell ref="KHA5:KHD5"/>
    <mergeCell ref="KHE5:KHH5"/>
    <mergeCell ref="KHI5:KHL5"/>
    <mergeCell ref="KFQ5:KFT5"/>
    <mergeCell ref="KFU5:KFX5"/>
    <mergeCell ref="KFY5:KGB5"/>
    <mergeCell ref="KGC5:KGF5"/>
    <mergeCell ref="KGG5:KGJ5"/>
    <mergeCell ref="KGK5:KGN5"/>
    <mergeCell ref="KPU5:KPX5"/>
    <mergeCell ref="KPY5:KQB5"/>
    <mergeCell ref="KQC5:KQF5"/>
    <mergeCell ref="KQG5:KQJ5"/>
    <mergeCell ref="KQK5:KQN5"/>
    <mergeCell ref="KQO5:KQR5"/>
    <mergeCell ref="KOW5:KOZ5"/>
    <mergeCell ref="KPA5:KPD5"/>
    <mergeCell ref="KPE5:KPH5"/>
    <mergeCell ref="KPI5:KPL5"/>
    <mergeCell ref="KPM5:KPP5"/>
    <mergeCell ref="KPQ5:KPT5"/>
    <mergeCell ref="KNY5:KOB5"/>
    <mergeCell ref="KOC5:KOF5"/>
    <mergeCell ref="KOG5:KOJ5"/>
    <mergeCell ref="KOK5:KON5"/>
    <mergeCell ref="KOO5:KOR5"/>
    <mergeCell ref="KOS5:KOV5"/>
    <mergeCell ref="KNA5:KND5"/>
    <mergeCell ref="KNE5:KNH5"/>
    <mergeCell ref="KNI5:KNL5"/>
    <mergeCell ref="KNM5:KNP5"/>
    <mergeCell ref="KNQ5:KNT5"/>
    <mergeCell ref="KNU5:KNX5"/>
    <mergeCell ref="KMC5:KMF5"/>
    <mergeCell ref="KMG5:KMJ5"/>
    <mergeCell ref="KMK5:KMN5"/>
    <mergeCell ref="KMO5:KMR5"/>
    <mergeCell ref="KMS5:KMV5"/>
    <mergeCell ref="KMW5:KMZ5"/>
    <mergeCell ref="KLE5:KLH5"/>
    <mergeCell ref="KLI5:KLL5"/>
    <mergeCell ref="KLM5:KLP5"/>
    <mergeCell ref="KLQ5:KLT5"/>
    <mergeCell ref="KLU5:KLX5"/>
    <mergeCell ref="KLY5:KMB5"/>
    <mergeCell ref="KVI5:KVL5"/>
    <mergeCell ref="KVM5:KVP5"/>
    <mergeCell ref="KVQ5:KVT5"/>
    <mergeCell ref="KVU5:KVX5"/>
    <mergeCell ref="KVY5:KWB5"/>
    <mergeCell ref="KWC5:KWF5"/>
    <mergeCell ref="KUK5:KUN5"/>
    <mergeCell ref="KUO5:KUR5"/>
    <mergeCell ref="KUS5:KUV5"/>
    <mergeCell ref="KUW5:KUZ5"/>
    <mergeCell ref="KVA5:KVD5"/>
    <mergeCell ref="KVE5:KVH5"/>
    <mergeCell ref="KTM5:KTP5"/>
    <mergeCell ref="KTQ5:KTT5"/>
    <mergeCell ref="KTU5:KTX5"/>
    <mergeCell ref="KTY5:KUB5"/>
    <mergeCell ref="KUC5:KUF5"/>
    <mergeCell ref="KUG5:KUJ5"/>
    <mergeCell ref="KSO5:KSR5"/>
    <mergeCell ref="KSS5:KSV5"/>
    <mergeCell ref="KSW5:KSZ5"/>
    <mergeCell ref="KTA5:KTD5"/>
    <mergeCell ref="KTE5:KTH5"/>
    <mergeCell ref="KTI5:KTL5"/>
    <mergeCell ref="KRQ5:KRT5"/>
    <mergeCell ref="KRU5:KRX5"/>
    <mergeCell ref="KRY5:KSB5"/>
    <mergeCell ref="KSC5:KSF5"/>
    <mergeCell ref="KSG5:KSJ5"/>
    <mergeCell ref="KSK5:KSN5"/>
    <mergeCell ref="KQS5:KQV5"/>
    <mergeCell ref="KQW5:KQZ5"/>
    <mergeCell ref="KRA5:KRD5"/>
    <mergeCell ref="KRE5:KRH5"/>
    <mergeCell ref="KRI5:KRL5"/>
    <mergeCell ref="KRM5:KRP5"/>
    <mergeCell ref="LAW5:LAZ5"/>
    <mergeCell ref="LBA5:LBD5"/>
    <mergeCell ref="LBE5:LBH5"/>
    <mergeCell ref="LBI5:LBL5"/>
    <mergeCell ref="LBM5:LBP5"/>
    <mergeCell ref="LBQ5:LBT5"/>
    <mergeCell ref="KZY5:LAB5"/>
    <mergeCell ref="LAC5:LAF5"/>
    <mergeCell ref="LAG5:LAJ5"/>
    <mergeCell ref="LAK5:LAN5"/>
    <mergeCell ref="LAO5:LAR5"/>
    <mergeCell ref="LAS5:LAV5"/>
    <mergeCell ref="KZA5:KZD5"/>
    <mergeCell ref="KZE5:KZH5"/>
    <mergeCell ref="KZI5:KZL5"/>
    <mergeCell ref="KZM5:KZP5"/>
    <mergeCell ref="KZQ5:KZT5"/>
    <mergeCell ref="KZU5:KZX5"/>
    <mergeCell ref="KYC5:KYF5"/>
    <mergeCell ref="KYG5:KYJ5"/>
    <mergeCell ref="KYK5:KYN5"/>
    <mergeCell ref="KYO5:KYR5"/>
    <mergeCell ref="KYS5:KYV5"/>
    <mergeCell ref="KYW5:KYZ5"/>
    <mergeCell ref="KXE5:KXH5"/>
    <mergeCell ref="KXI5:KXL5"/>
    <mergeCell ref="KXM5:KXP5"/>
    <mergeCell ref="KXQ5:KXT5"/>
    <mergeCell ref="KXU5:KXX5"/>
    <mergeCell ref="KXY5:KYB5"/>
    <mergeCell ref="KWG5:KWJ5"/>
    <mergeCell ref="KWK5:KWN5"/>
    <mergeCell ref="KWO5:KWR5"/>
    <mergeCell ref="KWS5:KWV5"/>
    <mergeCell ref="KWW5:KWZ5"/>
    <mergeCell ref="KXA5:KXD5"/>
    <mergeCell ref="LGK5:LGN5"/>
    <mergeCell ref="LGO5:LGR5"/>
    <mergeCell ref="LGS5:LGV5"/>
    <mergeCell ref="LGW5:LGZ5"/>
    <mergeCell ref="LHA5:LHD5"/>
    <mergeCell ref="LHE5:LHH5"/>
    <mergeCell ref="LFM5:LFP5"/>
    <mergeCell ref="LFQ5:LFT5"/>
    <mergeCell ref="LFU5:LFX5"/>
    <mergeCell ref="LFY5:LGB5"/>
    <mergeCell ref="LGC5:LGF5"/>
    <mergeCell ref="LGG5:LGJ5"/>
    <mergeCell ref="LEO5:LER5"/>
    <mergeCell ref="LES5:LEV5"/>
    <mergeCell ref="LEW5:LEZ5"/>
    <mergeCell ref="LFA5:LFD5"/>
    <mergeCell ref="LFE5:LFH5"/>
    <mergeCell ref="LFI5:LFL5"/>
    <mergeCell ref="LDQ5:LDT5"/>
    <mergeCell ref="LDU5:LDX5"/>
    <mergeCell ref="LDY5:LEB5"/>
    <mergeCell ref="LEC5:LEF5"/>
    <mergeCell ref="LEG5:LEJ5"/>
    <mergeCell ref="LEK5:LEN5"/>
    <mergeCell ref="LCS5:LCV5"/>
    <mergeCell ref="LCW5:LCZ5"/>
    <mergeCell ref="LDA5:LDD5"/>
    <mergeCell ref="LDE5:LDH5"/>
    <mergeCell ref="LDI5:LDL5"/>
    <mergeCell ref="LDM5:LDP5"/>
    <mergeCell ref="LBU5:LBX5"/>
    <mergeCell ref="LBY5:LCB5"/>
    <mergeCell ref="LCC5:LCF5"/>
    <mergeCell ref="LCG5:LCJ5"/>
    <mergeCell ref="LCK5:LCN5"/>
    <mergeCell ref="LCO5:LCR5"/>
    <mergeCell ref="LLY5:LMB5"/>
    <mergeCell ref="LMC5:LMF5"/>
    <mergeCell ref="LMG5:LMJ5"/>
    <mergeCell ref="LMK5:LMN5"/>
    <mergeCell ref="LMO5:LMR5"/>
    <mergeCell ref="LMS5:LMV5"/>
    <mergeCell ref="LLA5:LLD5"/>
    <mergeCell ref="LLE5:LLH5"/>
    <mergeCell ref="LLI5:LLL5"/>
    <mergeCell ref="LLM5:LLP5"/>
    <mergeCell ref="LLQ5:LLT5"/>
    <mergeCell ref="LLU5:LLX5"/>
    <mergeCell ref="LKC5:LKF5"/>
    <mergeCell ref="LKG5:LKJ5"/>
    <mergeCell ref="LKK5:LKN5"/>
    <mergeCell ref="LKO5:LKR5"/>
    <mergeCell ref="LKS5:LKV5"/>
    <mergeCell ref="LKW5:LKZ5"/>
    <mergeCell ref="LJE5:LJH5"/>
    <mergeCell ref="LJI5:LJL5"/>
    <mergeCell ref="LJM5:LJP5"/>
    <mergeCell ref="LJQ5:LJT5"/>
    <mergeCell ref="LJU5:LJX5"/>
    <mergeCell ref="LJY5:LKB5"/>
    <mergeCell ref="LIG5:LIJ5"/>
    <mergeCell ref="LIK5:LIN5"/>
    <mergeCell ref="LIO5:LIR5"/>
    <mergeCell ref="LIS5:LIV5"/>
    <mergeCell ref="LIW5:LIZ5"/>
    <mergeCell ref="LJA5:LJD5"/>
    <mergeCell ref="LHI5:LHL5"/>
    <mergeCell ref="LHM5:LHP5"/>
    <mergeCell ref="LHQ5:LHT5"/>
    <mergeCell ref="LHU5:LHX5"/>
    <mergeCell ref="LHY5:LIB5"/>
    <mergeCell ref="LIC5:LIF5"/>
    <mergeCell ref="LRM5:LRP5"/>
    <mergeCell ref="LRQ5:LRT5"/>
    <mergeCell ref="LRU5:LRX5"/>
    <mergeCell ref="LRY5:LSB5"/>
    <mergeCell ref="LSC5:LSF5"/>
    <mergeCell ref="LSG5:LSJ5"/>
    <mergeCell ref="LQO5:LQR5"/>
    <mergeCell ref="LQS5:LQV5"/>
    <mergeCell ref="LQW5:LQZ5"/>
    <mergeCell ref="LRA5:LRD5"/>
    <mergeCell ref="LRE5:LRH5"/>
    <mergeCell ref="LRI5:LRL5"/>
    <mergeCell ref="LPQ5:LPT5"/>
    <mergeCell ref="LPU5:LPX5"/>
    <mergeCell ref="LPY5:LQB5"/>
    <mergeCell ref="LQC5:LQF5"/>
    <mergeCell ref="LQG5:LQJ5"/>
    <mergeCell ref="LQK5:LQN5"/>
    <mergeCell ref="LOS5:LOV5"/>
    <mergeCell ref="LOW5:LOZ5"/>
    <mergeCell ref="LPA5:LPD5"/>
    <mergeCell ref="LPE5:LPH5"/>
    <mergeCell ref="LPI5:LPL5"/>
    <mergeCell ref="LPM5:LPP5"/>
    <mergeCell ref="LNU5:LNX5"/>
    <mergeCell ref="LNY5:LOB5"/>
    <mergeCell ref="LOC5:LOF5"/>
    <mergeCell ref="LOG5:LOJ5"/>
    <mergeCell ref="LOK5:LON5"/>
    <mergeCell ref="LOO5:LOR5"/>
    <mergeCell ref="LMW5:LMZ5"/>
    <mergeCell ref="LNA5:LND5"/>
    <mergeCell ref="LNE5:LNH5"/>
    <mergeCell ref="LNI5:LNL5"/>
    <mergeCell ref="LNM5:LNP5"/>
    <mergeCell ref="LNQ5:LNT5"/>
    <mergeCell ref="LXA5:LXD5"/>
    <mergeCell ref="LXE5:LXH5"/>
    <mergeCell ref="LXI5:LXL5"/>
    <mergeCell ref="LXM5:LXP5"/>
    <mergeCell ref="LXQ5:LXT5"/>
    <mergeCell ref="LXU5:LXX5"/>
    <mergeCell ref="LWC5:LWF5"/>
    <mergeCell ref="LWG5:LWJ5"/>
    <mergeCell ref="LWK5:LWN5"/>
    <mergeCell ref="LWO5:LWR5"/>
    <mergeCell ref="LWS5:LWV5"/>
    <mergeCell ref="LWW5:LWZ5"/>
    <mergeCell ref="LVE5:LVH5"/>
    <mergeCell ref="LVI5:LVL5"/>
    <mergeCell ref="LVM5:LVP5"/>
    <mergeCell ref="LVQ5:LVT5"/>
    <mergeCell ref="LVU5:LVX5"/>
    <mergeCell ref="LVY5:LWB5"/>
    <mergeCell ref="LUG5:LUJ5"/>
    <mergeCell ref="LUK5:LUN5"/>
    <mergeCell ref="LUO5:LUR5"/>
    <mergeCell ref="LUS5:LUV5"/>
    <mergeCell ref="LUW5:LUZ5"/>
    <mergeCell ref="LVA5:LVD5"/>
    <mergeCell ref="LTI5:LTL5"/>
    <mergeCell ref="LTM5:LTP5"/>
    <mergeCell ref="LTQ5:LTT5"/>
    <mergeCell ref="LTU5:LTX5"/>
    <mergeCell ref="LTY5:LUB5"/>
    <mergeCell ref="LUC5:LUF5"/>
    <mergeCell ref="LSK5:LSN5"/>
    <mergeCell ref="LSO5:LSR5"/>
    <mergeCell ref="LSS5:LSV5"/>
    <mergeCell ref="LSW5:LSZ5"/>
    <mergeCell ref="LTA5:LTD5"/>
    <mergeCell ref="LTE5:LTH5"/>
    <mergeCell ref="MCO5:MCR5"/>
    <mergeCell ref="MCS5:MCV5"/>
    <mergeCell ref="MCW5:MCZ5"/>
    <mergeCell ref="MDA5:MDD5"/>
    <mergeCell ref="MDE5:MDH5"/>
    <mergeCell ref="MDI5:MDL5"/>
    <mergeCell ref="MBQ5:MBT5"/>
    <mergeCell ref="MBU5:MBX5"/>
    <mergeCell ref="MBY5:MCB5"/>
    <mergeCell ref="MCC5:MCF5"/>
    <mergeCell ref="MCG5:MCJ5"/>
    <mergeCell ref="MCK5:MCN5"/>
    <mergeCell ref="MAS5:MAV5"/>
    <mergeCell ref="MAW5:MAZ5"/>
    <mergeCell ref="MBA5:MBD5"/>
    <mergeCell ref="MBE5:MBH5"/>
    <mergeCell ref="MBI5:MBL5"/>
    <mergeCell ref="MBM5:MBP5"/>
    <mergeCell ref="LZU5:LZX5"/>
    <mergeCell ref="LZY5:MAB5"/>
    <mergeCell ref="MAC5:MAF5"/>
    <mergeCell ref="MAG5:MAJ5"/>
    <mergeCell ref="MAK5:MAN5"/>
    <mergeCell ref="MAO5:MAR5"/>
    <mergeCell ref="LYW5:LYZ5"/>
    <mergeCell ref="LZA5:LZD5"/>
    <mergeCell ref="LZE5:LZH5"/>
    <mergeCell ref="LZI5:LZL5"/>
    <mergeCell ref="LZM5:LZP5"/>
    <mergeCell ref="LZQ5:LZT5"/>
    <mergeCell ref="LXY5:LYB5"/>
    <mergeCell ref="LYC5:LYF5"/>
    <mergeCell ref="LYG5:LYJ5"/>
    <mergeCell ref="LYK5:LYN5"/>
    <mergeCell ref="LYO5:LYR5"/>
    <mergeCell ref="LYS5:LYV5"/>
    <mergeCell ref="MIC5:MIF5"/>
    <mergeCell ref="MIG5:MIJ5"/>
    <mergeCell ref="MIK5:MIN5"/>
    <mergeCell ref="MIO5:MIR5"/>
    <mergeCell ref="MIS5:MIV5"/>
    <mergeCell ref="MIW5:MIZ5"/>
    <mergeCell ref="MHE5:MHH5"/>
    <mergeCell ref="MHI5:MHL5"/>
    <mergeCell ref="MHM5:MHP5"/>
    <mergeCell ref="MHQ5:MHT5"/>
    <mergeCell ref="MHU5:MHX5"/>
    <mergeCell ref="MHY5:MIB5"/>
    <mergeCell ref="MGG5:MGJ5"/>
    <mergeCell ref="MGK5:MGN5"/>
    <mergeCell ref="MGO5:MGR5"/>
    <mergeCell ref="MGS5:MGV5"/>
    <mergeCell ref="MGW5:MGZ5"/>
    <mergeCell ref="MHA5:MHD5"/>
    <mergeCell ref="MFI5:MFL5"/>
    <mergeCell ref="MFM5:MFP5"/>
    <mergeCell ref="MFQ5:MFT5"/>
    <mergeCell ref="MFU5:MFX5"/>
    <mergeCell ref="MFY5:MGB5"/>
    <mergeCell ref="MGC5:MGF5"/>
    <mergeCell ref="MEK5:MEN5"/>
    <mergeCell ref="MEO5:MER5"/>
    <mergeCell ref="MES5:MEV5"/>
    <mergeCell ref="MEW5:MEZ5"/>
    <mergeCell ref="MFA5:MFD5"/>
    <mergeCell ref="MFE5:MFH5"/>
    <mergeCell ref="MDM5:MDP5"/>
    <mergeCell ref="MDQ5:MDT5"/>
    <mergeCell ref="MDU5:MDX5"/>
    <mergeCell ref="MDY5:MEB5"/>
    <mergeCell ref="MEC5:MEF5"/>
    <mergeCell ref="MEG5:MEJ5"/>
    <mergeCell ref="MNQ5:MNT5"/>
    <mergeCell ref="MNU5:MNX5"/>
    <mergeCell ref="MNY5:MOB5"/>
    <mergeCell ref="MOC5:MOF5"/>
    <mergeCell ref="MOG5:MOJ5"/>
    <mergeCell ref="MOK5:MON5"/>
    <mergeCell ref="MMS5:MMV5"/>
    <mergeCell ref="MMW5:MMZ5"/>
    <mergeCell ref="MNA5:MND5"/>
    <mergeCell ref="MNE5:MNH5"/>
    <mergeCell ref="MNI5:MNL5"/>
    <mergeCell ref="MNM5:MNP5"/>
    <mergeCell ref="MLU5:MLX5"/>
    <mergeCell ref="MLY5:MMB5"/>
    <mergeCell ref="MMC5:MMF5"/>
    <mergeCell ref="MMG5:MMJ5"/>
    <mergeCell ref="MMK5:MMN5"/>
    <mergeCell ref="MMO5:MMR5"/>
    <mergeCell ref="MKW5:MKZ5"/>
    <mergeCell ref="MLA5:MLD5"/>
    <mergeCell ref="MLE5:MLH5"/>
    <mergeCell ref="MLI5:MLL5"/>
    <mergeCell ref="MLM5:MLP5"/>
    <mergeCell ref="MLQ5:MLT5"/>
    <mergeCell ref="MJY5:MKB5"/>
    <mergeCell ref="MKC5:MKF5"/>
    <mergeCell ref="MKG5:MKJ5"/>
    <mergeCell ref="MKK5:MKN5"/>
    <mergeCell ref="MKO5:MKR5"/>
    <mergeCell ref="MKS5:MKV5"/>
    <mergeCell ref="MJA5:MJD5"/>
    <mergeCell ref="MJE5:MJH5"/>
    <mergeCell ref="MJI5:MJL5"/>
    <mergeCell ref="MJM5:MJP5"/>
    <mergeCell ref="MJQ5:MJT5"/>
    <mergeCell ref="MJU5:MJX5"/>
    <mergeCell ref="MTE5:MTH5"/>
    <mergeCell ref="MTI5:MTL5"/>
    <mergeCell ref="MTM5:MTP5"/>
    <mergeCell ref="MTQ5:MTT5"/>
    <mergeCell ref="MTU5:MTX5"/>
    <mergeCell ref="MTY5:MUB5"/>
    <mergeCell ref="MSG5:MSJ5"/>
    <mergeCell ref="MSK5:MSN5"/>
    <mergeCell ref="MSO5:MSR5"/>
    <mergeCell ref="MSS5:MSV5"/>
    <mergeCell ref="MSW5:MSZ5"/>
    <mergeCell ref="MTA5:MTD5"/>
    <mergeCell ref="MRI5:MRL5"/>
    <mergeCell ref="MRM5:MRP5"/>
    <mergeCell ref="MRQ5:MRT5"/>
    <mergeCell ref="MRU5:MRX5"/>
    <mergeCell ref="MRY5:MSB5"/>
    <mergeCell ref="MSC5:MSF5"/>
    <mergeCell ref="MQK5:MQN5"/>
    <mergeCell ref="MQO5:MQR5"/>
    <mergeCell ref="MQS5:MQV5"/>
    <mergeCell ref="MQW5:MQZ5"/>
    <mergeCell ref="MRA5:MRD5"/>
    <mergeCell ref="MRE5:MRH5"/>
    <mergeCell ref="MPM5:MPP5"/>
    <mergeCell ref="MPQ5:MPT5"/>
    <mergeCell ref="MPU5:MPX5"/>
    <mergeCell ref="MPY5:MQB5"/>
    <mergeCell ref="MQC5:MQF5"/>
    <mergeCell ref="MQG5:MQJ5"/>
    <mergeCell ref="MOO5:MOR5"/>
    <mergeCell ref="MOS5:MOV5"/>
    <mergeCell ref="MOW5:MOZ5"/>
    <mergeCell ref="MPA5:MPD5"/>
    <mergeCell ref="MPE5:MPH5"/>
    <mergeCell ref="MPI5:MPL5"/>
    <mergeCell ref="MYS5:MYV5"/>
    <mergeCell ref="MYW5:MYZ5"/>
    <mergeCell ref="MZA5:MZD5"/>
    <mergeCell ref="MZE5:MZH5"/>
    <mergeCell ref="MZI5:MZL5"/>
    <mergeCell ref="MZM5:MZP5"/>
    <mergeCell ref="MXU5:MXX5"/>
    <mergeCell ref="MXY5:MYB5"/>
    <mergeCell ref="MYC5:MYF5"/>
    <mergeCell ref="MYG5:MYJ5"/>
    <mergeCell ref="MYK5:MYN5"/>
    <mergeCell ref="MYO5:MYR5"/>
    <mergeCell ref="MWW5:MWZ5"/>
    <mergeCell ref="MXA5:MXD5"/>
    <mergeCell ref="MXE5:MXH5"/>
    <mergeCell ref="MXI5:MXL5"/>
    <mergeCell ref="MXM5:MXP5"/>
    <mergeCell ref="MXQ5:MXT5"/>
    <mergeCell ref="MVY5:MWB5"/>
    <mergeCell ref="MWC5:MWF5"/>
    <mergeCell ref="MWG5:MWJ5"/>
    <mergeCell ref="MWK5:MWN5"/>
    <mergeCell ref="MWO5:MWR5"/>
    <mergeCell ref="MWS5:MWV5"/>
    <mergeCell ref="MVA5:MVD5"/>
    <mergeCell ref="MVE5:MVH5"/>
    <mergeCell ref="MVI5:MVL5"/>
    <mergeCell ref="MVM5:MVP5"/>
    <mergeCell ref="MVQ5:MVT5"/>
    <mergeCell ref="MVU5:MVX5"/>
    <mergeCell ref="MUC5:MUF5"/>
    <mergeCell ref="MUG5:MUJ5"/>
    <mergeCell ref="MUK5:MUN5"/>
    <mergeCell ref="MUO5:MUR5"/>
    <mergeCell ref="MUS5:MUV5"/>
    <mergeCell ref="MUW5:MUZ5"/>
    <mergeCell ref="NEG5:NEJ5"/>
    <mergeCell ref="NEK5:NEN5"/>
    <mergeCell ref="NEO5:NER5"/>
    <mergeCell ref="NES5:NEV5"/>
    <mergeCell ref="NEW5:NEZ5"/>
    <mergeCell ref="NFA5:NFD5"/>
    <mergeCell ref="NDI5:NDL5"/>
    <mergeCell ref="NDM5:NDP5"/>
    <mergeCell ref="NDQ5:NDT5"/>
    <mergeCell ref="NDU5:NDX5"/>
    <mergeCell ref="NDY5:NEB5"/>
    <mergeCell ref="NEC5:NEF5"/>
    <mergeCell ref="NCK5:NCN5"/>
    <mergeCell ref="NCO5:NCR5"/>
    <mergeCell ref="NCS5:NCV5"/>
    <mergeCell ref="NCW5:NCZ5"/>
    <mergeCell ref="NDA5:NDD5"/>
    <mergeCell ref="NDE5:NDH5"/>
    <mergeCell ref="NBM5:NBP5"/>
    <mergeCell ref="NBQ5:NBT5"/>
    <mergeCell ref="NBU5:NBX5"/>
    <mergeCell ref="NBY5:NCB5"/>
    <mergeCell ref="NCC5:NCF5"/>
    <mergeCell ref="NCG5:NCJ5"/>
    <mergeCell ref="NAO5:NAR5"/>
    <mergeCell ref="NAS5:NAV5"/>
    <mergeCell ref="NAW5:NAZ5"/>
    <mergeCell ref="NBA5:NBD5"/>
    <mergeCell ref="NBE5:NBH5"/>
    <mergeCell ref="NBI5:NBL5"/>
    <mergeCell ref="MZQ5:MZT5"/>
    <mergeCell ref="MZU5:MZX5"/>
    <mergeCell ref="MZY5:NAB5"/>
    <mergeCell ref="NAC5:NAF5"/>
    <mergeCell ref="NAG5:NAJ5"/>
    <mergeCell ref="NAK5:NAN5"/>
    <mergeCell ref="NJU5:NJX5"/>
    <mergeCell ref="NJY5:NKB5"/>
    <mergeCell ref="NKC5:NKF5"/>
    <mergeCell ref="NKG5:NKJ5"/>
    <mergeCell ref="NKK5:NKN5"/>
    <mergeCell ref="NKO5:NKR5"/>
    <mergeCell ref="NIW5:NIZ5"/>
    <mergeCell ref="NJA5:NJD5"/>
    <mergeCell ref="NJE5:NJH5"/>
    <mergeCell ref="NJI5:NJL5"/>
    <mergeCell ref="NJM5:NJP5"/>
    <mergeCell ref="NJQ5:NJT5"/>
    <mergeCell ref="NHY5:NIB5"/>
    <mergeCell ref="NIC5:NIF5"/>
    <mergeCell ref="NIG5:NIJ5"/>
    <mergeCell ref="NIK5:NIN5"/>
    <mergeCell ref="NIO5:NIR5"/>
    <mergeCell ref="NIS5:NIV5"/>
    <mergeCell ref="NHA5:NHD5"/>
    <mergeCell ref="NHE5:NHH5"/>
    <mergeCell ref="NHI5:NHL5"/>
    <mergeCell ref="NHM5:NHP5"/>
    <mergeCell ref="NHQ5:NHT5"/>
    <mergeCell ref="NHU5:NHX5"/>
    <mergeCell ref="NGC5:NGF5"/>
    <mergeCell ref="NGG5:NGJ5"/>
    <mergeCell ref="NGK5:NGN5"/>
    <mergeCell ref="NGO5:NGR5"/>
    <mergeCell ref="NGS5:NGV5"/>
    <mergeCell ref="NGW5:NGZ5"/>
    <mergeCell ref="NFE5:NFH5"/>
    <mergeCell ref="NFI5:NFL5"/>
    <mergeCell ref="NFM5:NFP5"/>
    <mergeCell ref="NFQ5:NFT5"/>
    <mergeCell ref="NFU5:NFX5"/>
    <mergeCell ref="NFY5:NGB5"/>
    <mergeCell ref="NPI5:NPL5"/>
    <mergeCell ref="NPM5:NPP5"/>
    <mergeCell ref="NPQ5:NPT5"/>
    <mergeCell ref="NPU5:NPX5"/>
    <mergeCell ref="NPY5:NQB5"/>
    <mergeCell ref="NQC5:NQF5"/>
    <mergeCell ref="NOK5:NON5"/>
    <mergeCell ref="NOO5:NOR5"/>
    <mergeCell ref="NOS5:NOV5"/>
    <mergeCell ref="NOW5:NOZ5"/>
    <mergeCell ref="NPA5:NPD5"/>
    <mergeCell ref="NPE5:NPH5"/>
    <mergeCell ref="NNM5:NNP5"/>
    <mergeCell ref="NNQ5:NNT5"/>
    <mergeCell ref="NNU5:NNX5"/>
    <mergeCell ref="NNY5:NOB5"/>
    <mergeCell ref="NOC5:NOF5"/>
    <mergeCell ref="NOG5:NOJ5"/>
    <mergeCell ref="NMO5:NMR5"/>
    <mergeCell ref="NMS5:NMV5"/>
    <mergeCell ref="NMW5:NMZ5"/>
    <mergeCell ref="NNA5:NND5"/>
    <mergeCell ref="NNE5:NNH5"/>
    <mergeCell ref="NNI5:NNL5"/>
    <mergeCell ref="NLQ5:NLT5"/>
    <mergeCell ref="NLU5:NLX5"/>
    <mergeCell ref="NLY5:NMB5"/>
    <mergeCell ref="NMC5:NMF5"/>
    <mergeCell ref="NMG5:NMJ5"/>
    <mergeCell ref="NMK5:NMN5"/>
    <mergeCell ref="NKS5:NKV5"/>
    <mergeCell ref="NKW5:NKZ5"/>
    <mergeCell ref="NLA5:NLD5"/>
    <mergeCell ref="NLE5:NLH5"/>
    <mergeCell ref="NLI5:NLL5"/>
    <mergeCell ref="NLM5:NLP5"/>
    <mergeCell ref="NUW5:NUZ5"/>
    <mergeCell ref="NVA5:NVD5"/>
    <mergeCell ref="NVE5:NVH5"/>
    <mergeCell ref="NVI5:NVL5"/>
    <mergeCell ref="NVM5:NVP5"/>
    <mergeCell ref="NVQ5:NVT5"/>
    <mergeCell ref="NTY5:NUB5"/>
    <mergeCell ref="NUC5:NUF5"/>
    <mergeCell ref="NUG5:NUJ5"/>
    <mergeCell ref="NUK5:NUN5"/>
    <mergeCell ref="NUO5:NUR5"/>
    <mergeCell ref="NUS5:NUV5"/>
    <mergeCell ref="NTA5:NTD5"/>
    <mergeCell ref="NTE5:NTH5"/>
    <mergeCell ref="NTI5:NTL5"/>
    <mergeCell ref="NTM5:NTP5"/>
    <mergeCell ref="NTQ5:NTT5"/>
    <mergeCell ref="NTU5:NTX5"/>
    <mergeCell ref="NSC5:NSF5"/>
    <mergeCell ref="NSG5:NSJ5"/>
    <mergeCell ref="NSK5:NSN5"/>
    <mergeCell ref="NSO5:NSR5"/>
    <mergeCell ref="NSS5:NSV5"/>
    <mergeCell ref="NSW5:NSZ5"/>
    <mergeCell ref="NRE5:NRH5"/>
    <mergeCell ref="NRI5:NRL5"/>
    <mergeCell ref="NRM5:NRP5"/>
    <mergeCell ref="NRQ5:NRT5"/>
    <mergeCell ref="NRU5:NRX5"/>
    <mergeCell ref="NRY5:NSB5"/>
    <mergeCell ref="NQG5:NQJ5"/>
    <mergeCell ref="NQK5:NQN5"/>
    <mergeCell ref="NQO5:NQR5"/>
    <mergeCell ref="NQS5:NQV5"/>
    <mergeCell ref="NQW5:NQZ5"/>
    <mergeCell ref="NRA5:NRD5"/>
    <mergeCell ref="OAK5:OAN5"/>
    <mergeCell ref="OAO5:OAR5"/>
    <mergeCell ref="OAS5:OAV5"/>
    <mergeCell ref="OAW5:OAZ5"/>
    <mergeCell ref="OBA5:OBD5"/>
    <mergeCell ref="OBE5:OBH5"/>
    <mergeCell ref="NZM5:NZP5"/>
    <mergeCell ref="NZQ5:NZT5"/>
    <mergeCell ref="NZU5:NZX5"/>
    <mergeCell ref="NZY5:OAB5"/>
    <mergeCell ref="OAC5:OAF5"/>
    <mergeCell ref="OAG5:OAJ5"/>
    <mergeCell ref="NYO5:NYR5"/>
    <mergeCell ref="NYS5:NYV5"/>
    <mergeCell ref="NYW5:NYZ5"/>
    <mergeCell ref="NZA5:NZD5"/>
    <mergeCell ref="NZE5:NZH5"/>
    <mergeCell ref="NZI5:NZL5"/>
    <mergeCell ref="NXQ5:NXT5"/>
    <mergeCell ref="NXU5:NXX5"/>
    <mergeCell ref="NXY5:NYB5"/>
    <mergeCell ref="NYC5:NYF5"/>
    <mergeCell ref="NYG5:NYJ5"/>
    <mergeCell ref="NYK5:NYN5"/>
    <mergeCell ref="NWS5:NWV5"/>
    <mergeCell ref="NWW5:NWZ5"/>
    <mergeCell ref="NXA5:NXD5"/>
    <mergeCell ref="NXE5:NXH5"/>
    <mergeCell ref="NXI5:NXL5"/>
    <mergeCell ref="NXM5:NXP5"/>
    <mergeCell ref="NVU5:NVX5"/>
    <mergeCell ref="NVY5:NWB5"/>
    <mergeCell ref="NWC5:NWF5"/>
    <mergeCell ref="NWG5:NWJ5"/>
    <mergeCell ref="NWK5:NWN5"/>
    <mergeCell ref="NWO5:NWR5"/>
    <mergeCell ref="OFY5:OGB5"/>
    <mergeCell ref="OGC5:OGF5"/>
    <mergeCell ref="OGG5:OGJ5"/>
    <mergeCell ref="OGK5:OGN5"/>
    <mergeCell ref="OGO5:OGR5"/>
    <mergeCell ref="OGS5:OGV5"/>
    <mergeCell ref="OFA5:OFD5"/>
    <mergeCell ref="OFE5:OFH5"/>
    <mergeCell ref="OFI5:OFL5"/>
    <mergeCell ref="OFM5:OFP5"/>
    <mergeCell ref="OFQ5:OFT5"/>
    <mergeCell ref="OFU5:OFX5"/>
    <mergeCell ref="OEC5:OEF5"/>
    <mergeCell ref="OEG5:OEJ5"/>
    <mergeCell ref="OEK5:OEN5"/>
    <mergeCell ref="OEO5:OER5"/>
    <mergeCell ref="OES5:OEV5"/>
    <mergeCell ref="OEW5:OEZ5"/>
    <mergeCell ref="ODE5:ODH5"/>
    <mergeCell ref="ODI5:ODL5"/>
    <mergeCell ref="ODM5:ODP5"/>
    <mergeCell ref="ODQ5:ODT5"/>
    <mergeCell ref="ODU5:ODX5"/>
    <mergeCell ref="ODY5:OEB5"/>
    <mergeCell ref="OCG5:OCJ5"/>
    <mergeCell ref="OCK5:OCN5"/>
    <mergeCell ref="OCO5:OCR5"/>
    <mergeCell ref="OCS5:OCV5"/>
    <mergeCell ref="OCW5:OCZ5"/>
    <mergeCell ref="ODA5:ODD5"/>
    <mergeCell ref="OBI5:OBL5"/>
    <mergeCell ref="OBM5:OBP5"/>
    <mergeCell ref="OBQ5:OBT5"/>
    <mergeCell ref="OBU5:OBX5"/>
    <mergeCell ref="OBY5:OCB5"/>
    <mergeCell ref="OCC5:OCF5"/>
    <mergeCell ref="OLM5:OLP5"/>
    <mergeCell ref="OLQ5:OLT5"/>
    <mergeCell ref="OLU5:OLX5"/>
    <mergeCell ref="OLY5:OMB5"/>
    <mergeCell ref="OMC5:OMF5"/>
    <mergeCell ref="OMG5:OMJ5"/>
    <mergeCell ref="OKO5:OKR5"/>
    <mergeCell ref="OKS5:OKV5"/>
    <mergeCell ref="OKW5:OKZ5"/>
    <mergeCell ref="OLA5:OLD5"/>
    <mergeCell ref="OLE5:OLH5"/>
    <mergeCell ref="OLI5:OLL5"/>
    <mergeCell ref="OJQ5:OJT5"/>
    <mergeCell ref="OJU5:OJX5"/>
    <mergeCell ref="OJY5:OKB5"/>
    <mergeCell ref="OKC5:OKF5"/>
    <mergeCell ref="OKG5:OKJ5"/>
    <mergeCell ref="OKK5:OKN5"/>
    <mergeCell ref="OIS5:OIV5"/>
    <mergeCell ref="OIW5:OIZ5"/>
    <mergeCell ref="OJA5:OJD5"/>
    <mergeCell ref="OJE5:OJH5"/>
    <mergeCell ref="OJI5:OJL5"/>
    <mergeCell ref="OJM5:OJP5"/>
    <mergeCell ref="OHU5:OHX5"/>
    <mergeCell ref="OHY5:OIB5"/>
    <mergeCell ref="OIC5:OIF5"/>
    <mergeCell ref="OIG5:OIJ5"/>
    <mergeCell ref="OIK5:OIN5"/>
    <mergeCell ref="OIO5:OIR5"/>
    <mergeCell ref="OGW5:OGZ5"/>
    <mergeCell ref="OHA5:OHD5"/>
    <mergeCell ref="OHE5:OHH5"/>
    <mergeCell ref="OHI5:OHL5"/>
    <mergeCell ref="OHM5:OHP5"/>
    <mergeCell ref="OHQ5:OHT5"/>
    <mergeCell ref="ORA5:ORD5"/>
    <mergeCell ref="ORE5:ORH5"/>
    <mergeCell ref="ORI5:ORL5"/>
    <mergeCell ref="ORM5:ORP5"/>
    <mergeCell ref="ORQ5:ORT5"/>
    <mergeCell ref="ORU5:ORX5"/>
    <mergeCell ref="OQC5:OQF5"/>
    <mergeCell ref="OQG5:OQJ5"/>
    <mergeCell ref="OQK5:OQN5"/>
    <mergeCell ref="OQO5:OQR5"/>
    <mergeCell ref="OQS5:OQV5"/>
    <mergeCell ref="OQW5:OQZ5"/>
    <mergeCell ref="OPE5:OPH5"/>
    <mergeCell ref="OPI5:OPL5"/>
    <mergeCell ref="OPM5:OPP5"/>
    <mergeCell ref="OPQ5:OPT5"/>
    <mergeCell ref="OPU5:OPX5"/>
    <mergeCell ref="OPY5:OQB5"/>
    <mergeCell ref="OOG5:OOJ5"/>
    <mergeCell ref="OOK5:OON5"/>
    <mergeCell ref="OOO5:OOR5"/>
    <mergeCell ref="OOS5:OOV5"/>
    <mergeCell ref="OOW5:OOZ5"/>
    <mergeCell ref="OPA5:OPD5"/>
    <mergeCell ref="ONI5:ONL5"/>
    <mergeCell ref="ONM5:ONP5"/>
    <mergeCell ref="ONQ5:ONT5"/>
    <mergeCell ref="ONU5:ONX5"/>
    <mergeCell ref="ONY5:OOB5"/>
    <mergeCell ref="OOC5:OOF5"/>
    <mergeCell ref="OMK5:OMN5"/>
    <mergeCell ref="OMO5:OMR5"/>
    <mergeCell ref="OMS5:OMV5"/>
    <mergeCell ref="OMW5:OMZ5"/>
    <mergeCell ref="ONA5:OND5"/>
    <mergeCell ref="ONE5:ONH5"/>
    <mergeCell ref="OWO5:OWR5"/>
    <mergeCell ref="OWS5:OWV5"/>
    <mergeCell ref="OWW5:OWZ5"/>
    <mergeCell ref="OXA5:OXD5"/>
    <mergeCell ref="OXE5:OXH5"/>
    <mergeCell ref="OXI5:OXL5"/>
    <mergeCell ref="OVQ5:OVT5"/>
    <mergeCell ref="OVU5:OVX5"/>
    <mergeCell ref="OVY5:OWB5"/>
    <mergeCell ref="OWC5:OWF5"/>
    <mergeCell ref="OWG5:OWJ5"/>
    <mergeCell ref="OWK5:OWN5"/>
    <mergeCell ref="OUS5:OUV5"/>
    <mergeCell ref="OUW5:OUZ5"/>
    <mergeCell ref="OVA5:OVD5"/>
    <mergeCell ref="OVE5:OVH5"/>
    <mergeCell ref="OVI5:OVL5"/>
    <mergeCell ref="OVM5:OVP5"/>
    <mergeCell ref="OTU5:OTX5"/>
    <mergeCell ref="OTY5:OUB5"/>
    <mergeCell ref="OUC5:OUF5"/>
    <mergeCell ref="OUG5:OUJ5"/>
    <mergeCell ref="OUK5:OUN5"/>
    <mergeCell ref="OUO5:OUR5"/>
    <mergeCell ref="OSW5:OSZ5"/>
    <mergeCell ref="OTA5:OTD5"/>
    <mergeCell ref="OTE5:OTH5"/>
    <mergeCell ref="OTI5:OTL5"/>
    <mergeCell ref="OTM5:OTP5"/>
    <mergeCell ref="OTQ5:OTT5"/>
    <mergeCell ref="ORY5:OSB5"/>
    <mergeCell ref="OSC5:OSF5"/>
    <mergeCell ref="OSG5:OSJ5"/>
    <mergeCell ref="OSK5:OSN5"/>
    <mergeCell ref="OSO5:OSR5"/>
    <mergeCell ref="OSS5:OSV5"/>
    <mergeCell ref="PCC5:PCF5"/>
    <mergeCell ref="PCG5:PCJ5"/>
    <mergeCell ref="PCK5:PCN5"/>
    <mergeCell ref="PCO5:PCR5"/>
    <mergeCell ref="PCS5:PCV5"/>
    <mergeCell ref="PCW5:PCZ5"/>
    <mergeCell ref="PBE5:PBH5"/>
    <mergeCell ref="PBI5:PBL5"/>
    <mergeCell ref="PBM5:PBP5"/>
    <mergeCell ref="PBQ5:PBT5"/>
    <mergeCell ref="PBU5:PBX5"/>
    <mergeCell ref="PBY5:PCB5"/>
    <mergeCell ref="PAG5:PAJ5"/>
    <mergeCell ref="PAK5:PAN5"/>
    <mergeCell ref="PAO5:PAR5"/>
    <mergeCell ref="PAS5:PAV5"/>
    <mergeCell ref="PAW5:PAZ5"/>
    <mergeCell ref="PBA5:PBD5"/>
    <mergeCell ref="OZI5:OZL5"/>
    <mergeCell ref="OZM5:OZP5"/>
    <mergeCell ref="OZQ5:OZT5"/>
    <mergeCell ref="OZU5:OZX5"/>
    <mergeCell ref="OZY5:PAB5"/>
    <mergeCell ref="PAC5:PAF5"/>
    <mergeCell ref="OYK5:OYN5"/>
    <mergeCell ref="OYO5:OYR5"/>
    <mergeCell ref="OYS5:OYV5"/>
    <mergeCell ref="OYW5:OYZ5"/>
    <mergeCell ref="OZA5:OZD5"/>
    <mergeCell ref="OZE5:OZH5"/>
    <mergeCell ref="OXM5:OXP5"/>
    <mergeCell ref="OXQ5:OXT5"/>
    <mergeCell ref="OXU5:OXX5"/>
    <mergeCell ref="OXY5:OYB5"/>
    <mergeCell ref="OYC5:OYF5"/>
    <mergeCell ref="OYG5:OYJ5"/>
    <mergeCell ref="PHQ5:PHT5"/>
    <mergeCell ref="PHU5:PHX5"/>
    <mergeCell ref="PHY5:PIB5"/>
    <mergeCell ref="PIC5:PIF5"/>
    <mergeCell ref="PIG5:PIJ5"/>
    <mergeCell ref="PIK5:PIN5"/>
    <mergeCell ref="PGS5:PGV5"/>
    <mergeCell ref="PGW5:PGZ5"/>
    <mergeCell ref="PHA5:PHD5"/>
    <mergeCell ref="PHE5:PHH5"/>
    <mergeCell ref="PHI5:PHL5"/>
    <mergeCell ref="PHM5:PHP5"/>
    <mergeCell ref="PFU5:PFX5"/>
    <mergeCell ref="PFY5:PGB5"/>
    <mergeCell ref="PGC5:PGF5"/>
    <mergeCell ref="PGG5:PGJ5"/>
    <mergeCell ref="PGK5:PGN5"/>
    <mergeCell ref="PGO5:PGR5"/>
    <mergeCell ref="PEW5:PEZ5"/>
    <mergeCell ref="PFA5:PFD5"/>
    <mergeCell ref="PFE5:PFH5"/>
    <mergeCell ref="PFI5:PFL5"/>
    <mergeCell ref="PFM5:PFP5"/>
    <mergeCell ref="PFQ5:PFT5"/>
    <mergeCell ref="PDY5:PEB5"/>
    <mergeCell ref="PEC5:PEF5"/>
    <mergeCell ref="PEG5:PEJ5"/>
    <mergeCell ref="PEK5:PEN5"/>
    <mergeCell ref="PEO5:PER5"/>
    <mergeCell ref="PES5:PEV5"/>
    <mergeCell ref="PDA5:PDD5"/>
    <mergeCell ref="PDE5:PDH5"/>
    <mergeCell ref="PDI5:PDL5"/>
    <mergeCell ref="PDM5:PDP5"/>
    <mergeCell ref="PDQ5:PDT5"/>
    <mergeCell ref="PDU5:PDX5"/>
    <mergeCell ref="PNE5:PNH5"/>
    <mergeCell ref="PNI5:PNL5"/>
    <mergeCell ref="PNM5:PNP5"/>
    <mergeCell ref="PNQ5:PNT5"/>
    <mergeCell ref="PNU5:PNX5"/>
    <mergeCell ref="PNY5:POB5"/>
    <mergeCell ref="PMG5:PMJ5"/>
    <mergeCell ref="PMK5:PMN5"/>
    <mergeCell ref="PMO5:PMR5"/>
    <mergeCell ref="PMS5:PMV5"/>
    <mergeCell ref="PMW5:PMZ5"/>
    <mergeCell ref="PNA5:PND5"/>
    <mergeCell ref="PLI5:PLL5"/>
    <mergeCell ref="PLM5:PLP5"/>
    <mergeCell ref="PLQ5:PLT5"/>
    <mergeCell ref="PLU5:PLX5"/>
    <mergeCell ref="PLY5:PMB5"/>
    <mergeCell ref="PMC5:PMF5"/>
    <mergeCell ref="PKK5:PKN5"/>
    <mergeCell ref="PKO5:PKR5"/>
    <mergeCell ref="PKS5:PKV5"/>
    <mergeCell ref="PKW5:PKZ5"/>
    <mergeCell ref="PLA5:PLD5"/>
    <mergeCell ref="PLE5:PLH5"/>
    <mergeCell ref="PJM5:PJP5"/>
    <mergeCell ref="PJQ5:PJT5"/>
    <mergeCell ref="PJU5:PJX5"/>
    <mergeCell ref="PJY5:PKB5"/>
    <mergeCell ref="PKC5:PKF5"/>
    <mergeCell ref="PKG5:PKJ5"/>
    <mergeCell ref="PIO5:PIR5"/>
    <mergeCell ref="PIS5:PIV5"/>
    <mergeCell ref="PIW5:PIZ5"/>
    <mergeCell ref="PJA5:PJD5"/>
    <mergeCell ref="PJE5:PJH5"/>
    <mergeCell ref="PJI5:PJL5"/>
    <mergeCell ref="PSS5:PSV5"/>
    <mergeCell ref="PSW5:PSZ5"/>
    <mergeCell ref="PTA5:PTD5"/>
    <mergeCell ref="PTE5:PTH5"/>
    <mergeCell ref="PTI5:PTL5"/>
    <mergeCell ref="PTM5:PTP5"/>
    <mergeCell ref="PRU5:PRX5"/>
    <mergeCell ref="PRY5:PSB5"/>
    <mergeCell ref="PSC5:PSF5"/>
    <mergeCell ref="PSG5:PSJ5"/>
    <mergeCell ref="PSK5:PSN5"/>
    <mergeCell ref="PSO5:PSR5"/>
    <mergeCell ref="PQW5:PQZ5"/>
    <mergeCell ref="PRA5:PRD5"/>
    <mergeCell ref="PRE5:PRH5"/>
    <mergeCell ref="PRI5:PRL5"/>
    <mergeCell ref="PRM5:PRP5"/>
    <mergeCell ref="PRQ5:PRT5"/>
    <mergeCell ref="PPY5:PQB5"/>
    <mergeCell ref="PQC5:PQF5"/>
    <mergeCell ref="PQG5:PQJ5"/>
    <mergeCell ref="PQK5:PQN5"/>
    <mergeCell ref="PQO5:PQR5"/>
    <mergeCell ref="PQS5:PQV5"/>
    <mergeCell ref="PPA5:PPD5"/>
    <mergeCell ref="PPE5:PPH5"/>
    <mergeCell ref="PPI5:PPL5"/>
    <mergeCell ref="PPM5:PPP5"/>
    <mergeCell ref="PPQ5:PPT5"/>
    <mergeCell ref="PPU5:PPX5"/>
    <mergeCell ref="POC5:POF5"/>
    <mergeCell ref="POG5:POJ5"/>
    <mergeCell ref="POK5:PON5"/>
    <mergeCell ref="POO5:POR5"/>
    <mergeCell ref="POS5:POV5"/>
    <mergeCell ref="POW5:POZ5"/>
    <mergeCell ref="PYG5:PYJ5"/>
    <mergeCell ref="PYK5:PYN5"/>
    <mergeCell ref="PYO5:PYR5"/>
    <mergeCell ref="PYS5:PYV5"/>
    <mergeCell ref="PYW5:PYZ5"/>
    <mergeCell ref="PZA5:PZD5"/>
    <mergeCell ref="PXI5:PXL5"/>
    <mergeCell ref="PXM5:PXP5"/>
    <mergeCell ref="PXQ5:PXT5"/>
    <mergeCell ref="PXU5:PXX5"/>
    <mergeCell ref="PXY5:PYB5"/>
    <mergeCell ref="PYC5:PYF5"/>
    <mergeCell ref="PWK5:PWN5"/>
    <mergeCell ref="PWO5:PWR5"/>
    <mergeCell ref="PWS5:PWV5"/>
    <mergeCell ref="PWW5:PWZ5"/>
    <mergeCell ref="PXA5:PXD5"/>
    <mergeCell ref="PXE5:PXH5"/>
    <mergeCell ref="PVM5:PVP5"/>
    <mergeCell ref="PVQ5:PVT5"/>
    <mergeCell ref="PVU5:PVX5"/>
    <mergeCell ref="PVY5:PWB5"/>
    <mergeCell ref="PWC5:PWF5"/>
    <mergeCell ref="PWG5:PWJ5"/>
    <mergeCell ref="PUO5:PUR5"/>
    <mergeCell ref="PUS5:PUV5"/>
    <mergeCell ref="PUW5:PUZ5"/>
    <mergeCell ref="PVA5:PVD5"/>
    <mergeCell ref="PVE5:PVH5"/>
    <mergeCell ref="PVI5:PVL5"/>
    <mergeCell ref="PTQ5:PTT5"/>
    <mergeCell ref="PTU5:PTX5"/>
    <mergeCell ref="PTY5:PUB5"/>
    <mergeCell ref="PUC5:PUF5"/>
    <mergeCell ref="PUG5:PUJ5"/>
    <mergeCell ref="PUK5:PUN5"/>
    <mergeCell ref="QDU5:QDX5"/>
    <mergeCell ref="QDY5:QEB5"/>
    <mergeCell ref="QEC5:QEF5"/>
    <mergeCell ref="QEG5:QEJ5"/>
    <mergeCell ref="QEK5:QEN5"/>
    <mergeCell ref="QEO5:QER5"/>
    <mergeCell ref="QCW5:QCZ5"/>
    <mergeCell ref="QDA5:QDD5"/>
    <mergeCell ref="QDE5:QDH5"/>
    <mergeCell ref="QDI5:QDL5"/>
    <mergeCell ref="QDM5:QDP5"/>
    <mergeCell ref="QDQ5:QDT5"/>
    <mergeCell ref="QBY5:QCB5"/>
    <mergeCell ref="QCC5:QCF5"/>
    <mergeCell ref="QCG5:QCJ5"/>
    <mergeCell ref="QCK5:QCN5"/>
    <mergeCell ref="QCO5:QCR5"/>
    <mergeCell ref="QCS5:QCV5"/>
    <mergeCell ref="QBA5:QBD5"/>
    <mergeCell ref="QBE5:QBH5"/>
    <mergeCell ref="QBI5:QBL5"/>
    <mergeCell ref="QBM5:QBP5"/>
    <mergeCell ref="QBQ5:QBT5"/>
    <mergeCell ref="QBU5:QBX5"/>
    <mergeCell ref="QAC5:QAF5"/>
    <mergeCell ref="QAG5:QAJ5"/>
    <mergeCell ref="QAK5:QAN5"/>
    <mergeCell ref="QAO5:QAR5"/>
    <mergeCell ref="QAS5:QAV5"/>
    <mergeCell ref="QAW5:QAZ5"/>
    <mergeCell ref="PZE5:PZH5"/>
    <mergeCell ref="PZI5:PZL5"/>
    <mergeCell ref="PZM5:PZP5"/>
    <mergeCell ref="PZQ5:PZT5"/>
    <mergeCell ref="PZU5:PZX5"/>
    <mergeCell ref="PZY5:QAB5"/>
    <mergeCell ref="QJI5:QJL5"/>
    <mergeCell ref="QJM5:QJP5"/>
    <mergeCell ref="QJQ5:QJT5"/>
    <mergeCell ref="QJU5:QJX5"/>
    <mergeCell ref="QJY5:QKB5"/>
    <mergeCell ref="QKC5:QKF5"/>
    <mergeCell ref="QIK5:QIN5"/>
    <mergeCell ref="QIO5:QIR5"/>
    <mergeCell ref="QIS5:QIV5"/>
    <mergeCell ref="QIW5:QIZ5"/>
    <mergeCell ref="QJA5:QJD5"/>
    <mergeCell ref="QJE5:QJH5"/>
    <mergeCell ref="QHM5:QHP5"/>
    <mergeCell ref="QHQ5:QHT5"/>
    <mergeCell ref="QHU5:QHX5"/>
    <mergeCell ref="QHY5:QIB5"/>
    <mergeCell ref="QIC5:QIF5"/>
    <mergeCell ref="QIG5:QIJ5"/>
    <mergeCell ref="QGO5:QGR5"/>
    <mergeCell ref="QGS5:QGV5"/>
    <mergeCell ref="QGW5:QGZ5"/>
    <mergeCell ref="QHA5:QHD5"/>
    <mergeCell ref="QHE5:QHH5"/>
    <mergeCell ref="QHI5:QHL5"/>
    <mergeCell ref="QFQ5:QFT5"/>
    <mergeCell ref="QFU5:QFX5"/>
    <mergeCell ref="QFY5:QGB5"/>
    <mergeCell ref="QGC5:QGF5"/>
    <mergeCell ref="QGG5:QGJ5"/>
    <mergeCell ref="QGK5:QGN5"/>
    <mergeCell ref="QES5:QEV5"/>
    <mergeCell ref="QEW5:QEZ5"/>
    <mergeCell ref="QFA5:QFD5"/>
    <mergeCell ref="QFE5:QFH5"/>
    <mergeCell ref="QFI5:QFL5"/>
    <mergeCell ref="QFM5:QFP5"/>
    <mergeCell ref="QOW5:QOZ5"/>
    <mergeCell ref="QPA5:QPD5"/>
    <mergeCell ref="QPE5:QPH5"/>
    <mergeCell ref="QPI5:QPL5"/>
    <mergeCell ref="QPM5:QPP5"/>
    <mergeCell ref="QPQ5:QPT5"/>
    <mergeCell ref="QNY5:QOB5"/>
    <mergeCell ref="QOC5:QOF5"/>
    <mergeCell ref="QOG5:QOJ5"/>
    <mergeCell ref="QOK5:QON5"/>
    <mergeCell ref="QOO5:QOR5"/>
    <mergeCell ref="QOS5:QOV5"/>
    <mergeCell ref="QNA5:QND5"/>
    <mergeCell ref="QNE5:QNH5"/>
    <mergeCell ref="QNI5:QNL5"/>
    <mergeCell ref="QNM5:QNP5"/>
    <mergeCell ref="QNQ5:QNT5"/>
    <mergeCell ref="QNU5:QNX5"/>
    <mergeCell ref="QMC5:QMF5"/>
    <mergeCell ref="QMG5:QMJ5"/>
    <mergeCell ref="QMK5:QMN5"/>
    <mergeCell ref="QMO5:QMR5"/>
    <mergeCell ref="QMS5:QMV5"/>
    <mergeCell ref="QMW5:QMZ5"/>
    <mergeCell ref="QLE5:QLH5"/>
    <mergeCell ref="QLI5:QLL5"/>
    <mergeCell ref="QLM5:QLP5"/>
    <mergeCell ref="QLQ5:QLT5"/>
    <mergeCell ref="QLU5:QLX5"/>
    <mergeCell ref="QLY5:QMB5"/>
    <mergeCell ref="QKG5:QKJ5"/>
    <mergeCell ref="QKK5:QKN5"/>
    <mergeCell ref="QKO5:QKR5"/>
    <mergeCell ref="QKS5:QKV5"/>
    <mergeCell ref="QKW5:QKZ5"/>
    <mergeCell ref="QLA5:QLD5"/>
    <mergeCell ref="QUK5:QUN5"/>
    <mergeCell ref="QUO5:QUR5"/>
    <mergeCell ref="QUS5:QUV5"/>
    <mergeCell ref="QUW5:QUZ5"/>
    <mergeCell ref="QVA5:QVD5"/>
    <mergeCell ref="QVE5:QVH5"/>
    <mergeCell ref="QTM5:QTP5"/>
    <mergeCell ref="QTQ5:QTT5"/>
    <mergeCell ref="QTU5:QTX5"/>
    <mergeCell ref="QTY5:QUB5"/>
    <mergeCell ref="QUC5:QUF5"/>
    <mergeCell ref="QUG5:QUJ5"/>
    <mergeCell ref="QSO5:QSR5"/>
    <mergeCell ref="QSS5:QSV5"/>
    <mergeCell ref="QSW5:QSZ5"/>
    <mergeCell ref="QTA5:QTD5"/>
    <mergeCell ref="QTE5:QTH5"/>
    <mergeCell ref="QTI5:QTL5"/>
    <mergeCell ref="QRQ5:QRT5"/>
    <mergeCell ref="QRU5:QRX5"/>
    <mergeCell ref="QRY5:QSB5"/>
    <mergeCell ref="QSC5:QSF5"/>
    <mergeCell ref="QSG5:QSJ5"/>
    <mergeCell ref="QSK5:QSN5"/>
    <mergeCell ref="QQS5:QQV5"/>
    <mergeCell ref="QQW5:QQZ5"/>
    <mergeCell ref="QRA5:QRD5"/>
    <mergeCell ref="QRE5:QRH5"/>
    <mergeCell ref="QRI5:QRL5"/>
    <mergeCell ref="QRM5:QRP5"/>
    <mergeCell ref="QPU5:QPX5"/>
    <mergeCell ref="QPY5:QQB5"/>
    <mergeCell ref="QQC5:QQF5"/>
    <mergeCell ref="QQG5:QQJ5"/>
    <mergeCell ref="QQK5:QQN5"/>
    <mergeCell ref="QQO5:QQR5"/>
    <mergeCell ref="QZY5:RAB5"/>
    <mergeCell ref="RAC5:RAF5"/>
    <mergeCell ref="RAG5:RAJ5"/>
    <mergeCell ref="RAK5:RAN5"/>
    <mergeCell ref="RAO5:RAR5"/>
    <mergeCell ref="RAS5:RAV5"/>
    <mergeCell ref="QZA5:QZD5"/>
    <mergeCell ref="QZE5:QZH5"/>
    <mergeCell ref="QZI5:QZL5"/>
    <mergeCell ref="QZM5:QZP5"/>
    <mergeCell ref="QZQ5:QZT5"/>
    <mergeCell ref="QZU5:QZX5"/>
    <mergeCell ref="QYC5:QYF5"/>
    <mergeCell ref="QYG5:QYJ5"/>
    <mergeCell ref="QYK5:QYN5"/>
    <mergeCell ref="QYO5:QYR5"/>
    <mergeCell ref="QYS5:QYV5"/>
    <mergeCell ref="QYW5:QYZ5"/>
    <mergeCell ref="QXE5:QXH5"/>
    <mergeCell ref="QXI5:QXL5"/>
    <mergeCell ref="QXM5:QXP5"/>
    <mergeCell ref="QXQ5:QXT5"/>
    <mergeCell ref="QXU5:QXX5"/>
    <mergeCell ref="QXY5:QYB5"/>
    <mergeCell ref="QWG5:QWJ5"/>
    <mergeCell ref="QWK5:QWN5"/>
    <mergeCell ref="QWO5:QWR5"/>
    <mergeCell ref="QWS5:QWV5"/>
    <mergeCell ref="QWW5:QWZ5"/>
    <mergeCell ref="QXA5:QXD5"/>
    <mergeCell ref="QVI5:QVL5"/>
    <mergeCell ref="QVM5:QVP5"/>
    <mergeCell ref="QVQ5:QVT5"/>
    <mergeCell ref="QVU5:QVX5"/>
    <mergeCell ref="QVY5:QWB5"/>
    <mergeCell ref="QWC5:QWF5"/>
    <mergeCell ref="RFM5:RFP5"/>
    <mergeCell ref="RFQ5:RFT5"/>
    <mergeCell ref="RFU5:RFX5"/>
    <mergeCell ref="RFY5:RGB5"/>
    <mergeCell ref="RGC5:RGF5"/>
    <mergeCell ref="RGG5:RGJ5"/>
    <mergeCell ref="REO5:RER5"/>
    <mergeCell ref="RES5:REV5"/>
    <mergeCell ref="REW5:REZ5"/>
    <mergeCell ref="RFA5:RFD5"/>
    <mergeCell ref="RFE5:RFH5"/>
    <mergeCell ref="RFI5:RFL5"/>
    <mergeCell ref="RDQ5:RDT5"/>
    <mergeCell ref="RDU5:RDX5"/>
    <mergeCell ref="RDY5:REB5"/>
    <mergeCell ref="REC5:REF5"/>
    <mergeCell ref="REG5:REJ5"/>
    <mergeCell ref="REK5:REN5"/>
    <mergeCell ref="RCS5:RCV5"/>
    <mergeCell ref="RCW5:RCZ5"/>
    <mergeCell ref="RDA5:RDD5"/>
    <mergeCell ref="RDE5:RDH5"/>
    <mergeCell ref="RDI5:RDL5"/>
    <mergeCell ref="RDM5:RDP5"/>
    <mergeCell ref="RBU5:RBX5"/>
    <mergeCell ref="RBY5:RCB5"/>
    <mergeCell ref="RCC5:RCF5"/>
    <mergeCell ref="RCG5:RCJ5"/>
    <mergeCell ref="RCK5:RCN5"/>
    <mergeCell ref="RCO5:RCR5"/>
    <mergeCell ref="RAW5:RAZ5"/>
    <mergeCell ref="RBA5:RBD5"/>
    <mergeCell ref="RBE5:RBH5"/>
    <mergeCell ref="RBI5:RBL5"/>
    <mergeCell ref="RBM5:RBP5"/>
    <mergeCell ref="RBQ5:RBT5"/>
    <mergeCell ref="RLA5:RLD5"/>
    <mergeCell ref="RLE5:RLH5"/>
    <mergeCell ref="RLI5:RLL5"/>
    <mergeCell ref="RLM5:RLP5"/>
    <mergeCell ref="RLQ5:RLT5"/>
    <mergeCell ref="RLU5:RLX5"/>
    <mergeCell ref="RKC5:RKF5"/>
    <mergeCell ref="RKG5:RKJ5"/>
    <mergeCell ref="RKK5:RKN5"/>
    <mergeCell ref="RKO5:RKR5"/>
    <mergeCell ref="RKS5:RKV5"/>
    <mergeCell ref="RKW5:RKZ5"/>
    <mergeCell ref="RJE5:RJH5"/>
    <mergeCell ref="RJI5:RJL5"/>
    <mergeCell ref="RJM5:RJP5"/>
    <mergeCell ref="RJQ5:RJT5"/>
    <mergeCell ref="RJU5:RJX5"/>
    <mergeCell ref="RJY5:RKB5"/>
    <mergeCell ref="RIG5:RIJ5"/>
    <mergeCell ref="RIK5:RIN5"/>
    <mergeCell ref="RIO5:RIR5"/>
    <mergeCell ref="RIS5:RIV5"/>
    <mergeCell ref="RIW5:RIZ5"/>
    <mergeCell ref="RJA5:RJD5"/>
    <mergeCell ref="RHI5:RHL5"/>
    <mergeCell ref="RHM5:RHP5"/>
    <mergeCell ref="RHQ5:RHT5"/>
    <mergeCell ref="RHU5:RHX5"/>
    <mergeCell ref="RHY5:RIB5"/>
    <mergeCell ref="RIC5:RIF5"/>
    <mergeCell ref="RGK5:RGN5"/>
    <mergeCell ref="RGO5:RGR5"/>
    <mergeCell ref="RGS5:RGV5"/>
    <mergeCell ref="RGW5:RGZ5"/>
    <mergeCell ref="RHA5:RHD5"/>
    <mergeCell ref="RHE5:RHH5"/>
    <mergeCell ref="RQO5:RQR5"/>
    <mergeCell ref="RQS5:RQV5"/>
    <mergeCell ref="RQW5:RQZ5"/>
    <mergeCell ref="RRA5:RRD5"/>
    <mergeCell ref="RRE5:RRH5"/>
    <mergeCell ref="RRI5:RRL5"/>
    <mergeCell ref="RPQ5:RPT5"/>
    <mergeCell ref="RPU5:RPX5"/>
    <mergeCell ref="RPY5:RQB5"/>
    <mergeCell ref="RQC5:RQF5"/>
    <mergeCell ref="RQG5:RQJ5"/>
    <mergeCell ref="RQK5:RQN5"/>
    <mergeCell ref="ROS5:ROV5"/>
    <mergeCell ref="ROW5:ROZ5"/>
    <mergeCell ref="RPA5:RPD5"/>
    <mergeCell ref="RPE5:RPH5"/>
    <mergeCell ref="RPI5:RPL5"/>
    <mergeCell ref="RPM5:RPP5"/>
    <mergeCell ref="RNU5:RNX5"/>
    <mergeCell ref="RNY5:ROB5"/>
    <mergeCell ref="ROC5:ROF5"/>
    <mergeCell ref="ROG5:ROJ5"/>
    <mergeCell ref="ROK5:RON5"/>
    <mergeCell ref="ROO5:ROR5"/>
    <mergeCell ref="RMW5:RMZ5"/>
    <mergeCell ref="RNA5:RND5"/>
    <mergeCell ref="RNE5:RNH5"/>
    <mergeCell ref="RNI5:RNL5"/>
    <mergeCell ref="RNM5:RNP5"/>
    <mergeCell ref="RNQ5:RNT5"/>
    <mergeCell ref="RLY5:RMB5"/>
    <mergeCell ref="RMC5:RMF5"/>
    <mergeCell ref="RMG5:RMJ5"/>
    <mergeCell ref="RMK5:RMN5"/>
    <mergeCell ref="RMO5:RMR5"/>
    <mergeCell ref="RMS5:RMV5"/>
    <mergeCell ref="RWC5:RWF5"/>
    <mergeCell ref="RWG5:RWJ5"/>
    <mergeCell ref="RWK5:RWN5"/>
    <mergeCell ref="RWO5:RWR5"/>
    <mergeCell ref="RWS5:RWV5"/>
    <mergeCell ref="RWW5:RWZ5"/>
    <mergeCell ref="RVE5:RVH5"/>
    <mergeCell ref="RVI5:RVL5"/>
    <mergeCell ref="RVM5:RVP5"/>
    <mergeCell ref="RVQ5:RVT5"/>
    <mergeCell ref="RVU5:RVX5"/>
    <mergeCell ref="RVY5:RWB5"/>
    <mergeCell ref="RUG5:RUJ5"/>
    <mergeCell ref="RUK5:RUN5"/>
    <mergeCell ref="RUO5:RUR5"/>
    <mergeCell ref="RUS5:RUV5"/>
    <mergeCell ref="RUW5:RUZ5"/>
    <mergeCell ref="RVA5:RVD5"/>
    <mergeCell ref="RTI5:RTL5"/>
    <mergeCell ref="RTM5:RTP5"/>
    <mergeCell ref="RTQ5:RTT5"/>
    <mergeCell ref="RTU5:RTX5"/>
    <mergeCell ref="RTY5:RUB5"/>
    <mergeCell ref="RUC5:RUF5"/>
    <mergeCell ref="RSK5:RSN5"/>
    <mergeCell ref="RSO5:RSR5"/>
    <mergeCell ref="RSS5:RSV5"/>
    <mergeCell ref="RSW5:RSZ5"/>
    <mergeCell ref="RTA5:RTD5"/>
    <mergeCell ref="RTE5:RTH5"/>
    <mergeCell ref="RRM5:RRP5"/>
    <mergeCell ref="RRQ5:RRT5"/>
    <mergeCell ref="RRU5:RRX5"/>
    <mergeCell ref="RRY5:RSB5"/>
    <mergeCell ref="RSC5:RSF5"/>
    <mergeCell ref="RSG5:RSJ5"/>
    <mergeCell ref="SBQ5:SBT5"/>
    <mergeCell ref="SBU5:SBX5"/>
    <mergeCell ref="SBY5:SCB5"/>
    <mergeCell ref="SCC5:SCF5"/>
    <mergeCell ref="SCG5:SCJ5"/>
    <mergeCell ref="SCK5:SCN5"/>
    <mergeCell ref="SAS5:SAV5"/>
    <mergeCell ref="SAW5:SAZ5"/>
    <mergeCell ref="SBA5:SBD5"/>
    <mergeCell ref="SBE5:SBH5"/>
    <mergeCell ref="SBI5:SBL5"/>
    <mergeCell ref="SBM5:SBP5"/>
    <mergeCell ref="RZU5:RZX5"/>
    <mergeCell ref="RZY5:SAB5"/>
    <mergeCell ref="SAC5:SAF5"/>
    <mergeCell ref="SAG5:SAJ5"/>
    <mergeCell ref="SAK5:SAN5"/>
    <mergeCell ref="SAO5:SAR5"/>
    <mergeCell ref="RYW5:RYZ5"/>
    <mergeCell ref="RZA5:RZD5"/>
    <mergeCell ref="RZE5:RZH5"/>
    <mergeCell ref="RZI5:RZL5"/>
    <mergeCell ref="RZM5:RZP5"/>
    <mergeCell ref="RZQ5:RZT5"/>
    <mergeCell ref="RXY5:RYB5"/>
    <mergeCell ref="RYC5:RYF5"/>
    <mergeCell ref="RYG5:RYJ5"/>
    <mergeCell ref="RYK5:RYN5"/>
    <mergeCell ref="RYO5:RYR5"/>
    <mergeCell ref="RYS5:RYV5"/>
    <mergeCell ref="RXA5:RXD5"/>
    <mergeCell ref="RXE5:RXH5"/>
    <mergeCell ref="RXI5:RXL5"/>
    <mergeCell ref="RXM5:RXP5"/>
    <mergeCell ref="RXQ5:RXT5"/>
    <mergeCell ref="RXU5:RXX5"/>
    <mergeCell ref="SHE5:SHH5"/>
    <mergeCell ref="SHI5:SHL5"/>
    <mergeCell ref="SHM5:SHP5"/>
    <mergeCell ref="SHQ5:SHT5"/>
    <mergeCell ref="SHU5:SHX5"/>
    <mergeCell ref="SHY5:SIB5"/>
    <mergeCell ref="SGG5:SGJ5"/>
    <mergeCell ref="SGK5:SGN5"/>
    <mergeCell ref="SGO5:SGR5"/>
    <mergeCell ref="SGS5:SGV5"/>
    <mergeCell ref="SGW5:SGZ5"/>
    <mergeCell ref="SHA5:SHD5"/>
    <mergeCell ref="SFI5:SFL5"/>
    <mergeCell ref="SFM5:SFP5"/>
    <mergeCell ref="SFQ5:SFT5"/>
    <mergeCell ref="SFU5:SFX5"/>
    <mergeCell ref="SFY5:SGB5"/>
    <mergeCell ref="SGC5:SGF5"/>
    <mergeCell ref="SEK5:SEN5"/>
    <mergeCell ref="SEO5:SER5"/>
    <mergeCell ref="SES5:SEV5"/>
    <mergeCell ref="SEW5:SEZ5"/>
    <mergeCell ref="SFA5:SFD5"/>
    <mergeCell ref="SFE5:SFH5"/>
    <mergeCell ref="SDM5:SDP5"/>
    <mergeCell ref="SDQ5:SDT5"/>
    <mergeCell ref="SDU5:SDX5"/>
    <mergeCell ref="SDY5:SEB5"/>
    <mergeCell ref="SEC5:SEF5"/>
    <mergeCell ref="SEG5:SEJ5"/>
    <mergeCell ref="SCO5:SCR5"/>
    <mergeCell ref="SCS5:SCV5"/>
    <mergeCell ref="SCW5:SCZ5"/>
    <mergeCell ref="SDA5:SDD5"/>
    <mergeCell ref="SDE5:SDH5"/>
    <mergeCell ref="SDI5:SDL5"/>
    <mergeCell ref="SMS5:SMV5"/>
    <mergeCell ref="SMW5:SMZ5"/>
    <mergeCell ref="SNA5:SND5"/>
    <mergeCell ref="SNE5:SNH5"/>
    <mergeCell ref="SNI5:SNL5"/>
    <mergeCell ref="SNM5:SNP5"/>
    <mergeCell ref="SLU5:SLX5"/>
    <mergeCell ref="SLY5:SMB5"/>
    <mergeCell ref="SMC5:SMF5"/>
    <mergeCell ref="SMG5:SMJ5"/>
    <mergeCell ref="SMK5:SMN5"/>
    <mergeCell ref="SMO5:SMR5"/>
    <mergeCell ref="SKW5:SKZ5"/>
    <mergeCell ref="SLA5:SLD5"/>
    <mergeCell ref="SLE5:SLH5"/>
    <mergeCell ref="SLI5:SLL5"/>
    <mergeCell ref="SLM5:SLP5"/>
    <mergeCell ref="SLQ5:SLT5"/>
    <mergeCell ref="SJY5:SKB5"/>
    <mergeCell ref="SKC5:SKF5"/>
    <mergeCell ref="SKG5:SKJ5"/>
    <mergeCell ref="SKK5:SKN5"/>
    <mergeCell ref="SKO5:SKR5"/>
    <mergeCell ref="SKS5:SKV5"/>
    <mergeCell ref="SJA5:SJD5"/>
    <mergeCell ref="SJE5:SJH5"/>
    <mergeCell ref="SJI5:SJL5"/>
    <mergeCell ref="SJM5:SJP5"/>
    <mergeCell ref="SJQ5:SJT5"/>
    <mergeCell ref="SJU5:SJX5"/>
    <mergeCell ref="SIC5:SIF5"/>
    <mergeCell ref="SIG5:SIJ5"/>
    <mergeCell ref="SIK5:SIN5"/>
    <mergeCell ref="SIO5:SIR5"/>
    <mergeCell ref="SIS5:SIV5"/>
    <mergeCell ref="SIW5:SIZ5"/>
    <mergeCell ref="SSG5:SSJ5"/>
    <mergeCell ref="SSK5:SSN5"/>
    <mergeCell ref="SSO5:SSR5"/>
    <mergeCell ref="SSS5:SSV5"/>
    <mergeCell ref="SSW5:SSZ5"/>
    <mergeCell ref="STA5:STD5"/>
    <mergeCell ref="SRI5:SRL5"/>
    <mergeCell ref="SRM5:SRP5"/>
    <mergeCell ref="SRQ5:SRT5"/>
    <mergeCell ref="SRU5:SRX5"/>
    <mergeCell ref="SRY5:SSB5"/>
    <mergeCell ref="SSC5:SSF5"/>
    <mergeCell ref="SQK5:SQN5"/>
    <mergeCell ref="SQO5:SQR5"/>
    <mergeCell ref="SQS5:SQV5"/>
    <mergeCell ref="SQW5:SQZ5"/>
    <mergeCell ref="SRA5:SRD5"/>
    <mergeCell ref="SRE5:SRH5"/>
    <mergeCell ref="SPM5:SPP5"/>
    <mergeCell ref="SPQ5:SPT5"/>
    <mergeCell ref="SPU5:SPX5"/>
    <mergeCell ref="SPY5:SQB5"/>
    <mergeCell ref="SQC5:SQF5"/>
    <mergeCell ref="SQG5:SQJ5"/>
    <mergeCell ref="SOO5:SOR5"/>
    <mergeCell ref="SOS5:SOV5"/>
    <mergeCell ref="SOW5:SOZ5"/>
    <mergeCell ref="SPA5:SPD5"/>
    <mergeCell ref="SPE5:SPH5"/>
    <mergeCell ref="SPI5:SPL5"/>
    <mergeCell ref="SNQ5:SNT5"/>
    <mergeCell ref="SNU5:SNX5"/>
    <mergeCell ref="SNY5:SOB5"/>
    <mergeCell ref="SOC5:SOF5"/>
    <mergeCell ref="SOG5:SOJ5"/>
    <mergeCell ref="SOK5:SON5"/>
    <mergeCell ref="SXU5:SXX5"/>
    <mergeCell ref="SXY5:SYB5"/>
    <mergeCell ref="SYC5:SYF5"/>
    <mergeCell ref="SYG5:SYJ5"/>
    <mergeCell ref="SYK5:SYN5"/>
    <mergeCell ref="SYO5:SYR5"/>
    <mergeCell ref="SWW5:SWZ5"/>
    <mergeCell ref="SXA5:SXD5"/>
    <mergeCell ref="SXE5:SXH5"/>
    <mergeCell ref="SXI5:SXL5"/>
    <mergeCell ref="SXM5:SXP5"/>
    <mergeCell ref="SXQ5:SXT5"/>
    <mergeCell ref="SVY5:SWB5"/>
    <mergeCell ref="SWC5:SWF5"/>
    <mergeCell ref="SWG5:SWJ5"/>
    <mergeCell ref="SWK5:SWN5"/>
    <mergeCell ref="SWO5:SWR5"/>
    <mergeCell ref="SWS5:SWV5"/>
    <mergeCell ref="SVA5:SVD5"/>
    <mergeCell ref="SVE5:SVH5"/>
    <mergeCell ref="SVI5:SVL5"/>
    <mergeCell ref="SVM5:SVP5"/>
    <mergeCell ref="SVQ5:SVT5"/>
    <mergeCell ref="SVU5:SVX5"/>
    <mergeCell ref="SUC5:SUF5"/>
    <mergeCell ref="SUG5:SUJ5"/>
    <mergeCell ref="SUK5:SUN5"/>
    <mergeCell ref="SUO5:SUR5"/>
    <mergeCell ref="SUS5:SUV5"/>
    <mergeCell ref="SUW5:SUZ5"/>
    <mergeCell ref="STE5:STH5"/>
    <mergeCell ref="STI5:STL5"/>
    <mergeCell ref="STM5:STP5"/>
    <mergeCell ref="STQ5:STT5"/>
    <mergeCell ref="STU5:STX5"/>
    <mergeCell ref="STY5:SUB5"/>
    <mergeCell ref="TDI5:TDL5"/>
    <mergeCell ref="TDM5:TDP5"/>
    <mergeCell ref="TDQ5:TDT5"/>
    <mergeCell ref="TDU5:TDX5"/>
    <mergeCell ref="TDY5:TEB5"/>
    <mergeCell ref="TEC5:TEF5"/>
    <mergeCell ref="TCK5:TCN5"/>
    <mergeCell ref="TCO5:TCR5"/>
    <mergeCell ref="TCS5:TCV5"/>
    <mergeCell ref="TCW5:TCZ5"/>
    <mergeCell ref="TDA5:TDD5"/>
    <mergeCell ref="TDE5:TDH5"/>
    <mergeCell ref="TBM5:TBP5"/>
    <mergeCell ref="TBQ5:TBT5"/>
    <mergeCell ref="TBU5:TBX5"/>
    <mergeCell ref="TBY5:TCB5"/>
    <mergeCell ref="TCC5:TCF5"/>
    <mergeCell ref="TCG5:TCJ5"/>
    <mergeCell ref="TAO5:TAR5"/>
    <mergeCell ref="TAS5:TAV5"/>
    <mergeCell ref="TAW5:TAZ5"/>
    <mergeCell ref="TBA5:TBD5"/>
    <mergeCell ref="TBE5:TBH5"/>
    <mergeCell ref="TBI5:TBL5"/>
    <mergeCell ref="SZQ5:SZT5"/>
    <mergeCell ref="SZU5:SZX5"/>
    <mergeCell ref="SZY5:TAB5"/>
    <mergeCell ref="TAC5:TAF5"/>
    <mergeCell ref="TAG5:TAJ5"/>
    <mergeCell ref="TAK5:TAN5"/>
    <mergeCell ref="SYS5:SYV5"/>
    <mergeCell ref="SYW5:SYZ5"/>
    <mergeCell ref="SZA5:SZD5"/>
    <mergeCell ref="SZE5:SZH5"/>
    <mergeCell ref="SZI5:SZL5"/>
    <mergeCell ref="SZM5:SZP5"/>
    <mergeCell ref="TIW5:TIZ5"/>
    <mergeCell ref="TJA5:TJD5"/>
    <mergeCell ref="TJE5:TJH5"/>
    <mergeCell ref="TJI5:TJL5"/>
    <mergeCell ref="TJM5:TJP5"/>
    <mergeCell ref="TJQ5:TJT5"/>
    <mergeCell ref="THY5:TIB5"/>
    <mergeCell ref="TIC5:TIF5"/>
    <mergeCell ref="TIG5:TIJ5"/>
    <mergeCell ref="TIK5:TIN5"/>
    <mergeCell ref="TIO5:TIR5"/>
    <mergeCell ref="TIS5:TIV5"/>
    <mergeCell ref="THA5:THD5"/>
    <mergeCell ref="THE5:THH5"/>
    <mergeCell ref="THI5:THL5"/>
    <mergeCell ref="THM5:THP5"/>
    <mergeCell ref="THQ5:THT5"/>
    <mergeCell ref="THU5:THX5"/>
    <mergeCell ref="TGC5:TGF5"/>
    <mergeCell ref="TGG5:TGJ5"/>
    <mergeCell ref="TGK5:TGN5"/>
    <mergeCell ref="TGO5:TGR5"/>
    <mergeCell ref="TGS5:TGV5"/>
    <mergeCell ref="TGW5:TGZ5"/>
    <mergeCell ref="TFE5:TFH5"/>
    <mergeCell ref="TFI5:TFL5"/>
    <mergeCell ref="TFM5:TFP5"/>
    <mergeCell ref="TFQ5:TFT5"/>
    <mergeCell ref="TFU5:TFX5"/>
    <mergeCell ref="TFY5:TGB5"/>
    <mergeCell ref="TEG5:TEJ5"/>
    <mergeCell ref="TEK5:TEN5"/>
    <mergeCell ref="TEO5:TER5"/>
    <mergeCell ref="TES5:TEV5"/>
    <mergeCell ref="TEW5:TEZ5"/>
    <mergeCell ref="TFA5:TFD5"/>
    <mergeCell ref="TOK5:TON5"/>
    <mergeCell ref="TOO5:TOR5"/>
    <mergeCell ref="TOS5:TOV5"/>
    <mergeCell ref="TOW5:TOZ5"/>
    <mergeCell ref="TPA5:TPD5"/>
    <mergeCell ref="TPE5:TPH5"/>
    <mergeCell ref="TNM5:TNP5"/>
    <mergeCell ref="TNQ5:TNT5"/>
    <mergeCell ref="TNU5:TNX5"/>
    <mergeCell ref="TNY5:TOB5"/>
    <mergeCell ref="TOC5:TOF5"/>
    <mergeCell ref="TOG5:TOJ5"/>
    <mergeCell ref="TMO5:TMR5"/>
    <mergeCell ref="TMS5:TMV5"/>
    <mergeCell ref="TMW5:TMZ5"/>
    <mergeCell ref="TNA5:TND5"/>
    <mergeCell ref="TNE5:TNH5"/>
    <mergeCell ref="TNI5:TNL5"/>
    <mergeCell ref="TLQ5:TLT5"/>
    <mergeCell ref="TLU5:TLX5"/>
    <mergeCell ref="TLY5:TMB5"/>
    <mergeCell ref="TMC5:TMF5"/>
    <mergeCell ref="TMG5:TMJ5"/>
    <mergeCell ref="TMK5:TMN5"/>
    <mergeCell ref="TKS5:TKV5"/>
    <mergeCell ref="TKW5:TKZ5"/>
    <mergeCell ref="TLA5:TLD5"/>
    <mergeCell ref="TLE5:TLH5"/>
    <mergeCell ref="TLI5:TLL5"/>
    <mergeCell ref="TLM5:TLP5"/>
    <mergeCell ref="TJU5:TJX5"/>
    <mergeCell ref="TJY5:TKB5"/>
    <mergeCell ref="TKC5:TKF5"/>
    <mergeCell ref="TKG5:TKJ5"/>
    <mergeCell ref="TKK5:TKN5"/>
    <mergeCell ref="TKO5:TKR5"/>
    <mergeCell ref="TTY5:TUB5"/>
    <mergeCell ref="TUC5:TUF5"/>
    <mergeCell ref="TUG5:TUJ5"/>
    <mergeCell ref="TUK5:TUN5"/>
    <mergeCell ref="TUO5:TUR5"/>
    <mergeCell ref="TUS5:TUV5"/>
    <mergeCell ref="TTA5:TTD5"/>
    <mergeCell ref="TTE5:TTH5"/>
    <mergeCell ref="TTI5:TTL5"/>
    <mergeCell ref="TTM5:TTP5"/>
    <mergeCell ref="TTQ5:TTT5"/>
    <mergeCell ref="TTU5:TTX5"/>
    <mergeCell ref="TSC5:TSF5"/>
    <mergeCell ref="TSG5:TSJ5"/>
    <mergeCell ref="TSK5:TSN5"/>
    <mergeCell ref="TSO5:TSR5"/>
    <mergeCell ref="TSS5:TSV5"/>
    <mergeCell ref="TSW5:TSZ5"/>
    <mergeCell ref="TRE5:TRH5"/>
    <mergeCell ref="TRI5:TRL5"/>
    <mergeCell ref="TRM5:TRP5"/>
    <mergeCell ref="TRQ5:TRT5"/>
    <mergeCell ref="TRU5:TRX5"/>
    <mergeCell ref="TRY5:TSB5"/>
    <mergeCell ref="TQG5:TQJ5"/>
    <mergeCell ref="TQK5:TQN5"/>
    <mergeCell ref="TQO5:TQR5"/>
    <mergeCell ref="TQS5:TQV5"/>
    <mergeCell ref="TQW5:TQZ5"/>
    <mergeCell ref="TRA5:TRD5"/>
    <mergeCell ref="TPI5:TPL5"/>
    <mergeCell ref="TPM5:TPP5"/>
    <mergeCell ref="TPQ5:TPT5"/>
    <mergeCell ref="TPU5:TPX5"/>
    <mergeCell ref="TPY5:TQB5"/>
    <mergeCell ref="TQC5:TQF5"/>
    <mergeCell ref="TZM5:TZP5"/>
    <mergeCell ref="TZQ5:TZT5"/>
    <mergeCell ref="TZU5:TZX5"/>
    <mergeCell ref="TZY5:UAB5"/>
    <mergeCell ref="UAC5:UAF5"/>
    <mergeCell ref="UAG5:UAJ5"/>
    <mergeCell ref="TYO5:TYR5"/>
    <mergeCell ref="TYS5:TYV5"/>
    <mergeCell ref="TYW5:TYZ5"/>
    <mergeCell ref="TZA5:TZD5"/>
    <mergeCell ref="TZE5:TZH5"/>
    <mergeCell ref="TZI5:TZL5"/>
    <mergeCell ref="TXQ5:TXT5"/>
    <mergeCell ref="TXU5:TXX5"/>
    <mergeCell ref="TXY5:TYB5"/>
    <mergeCell ref="TYC5:TYF5"/>
    <mergeCell ref="TYG5:TYJ5"/>
    <mergeCell ref="TYK5:TYN5"/>
    <mergeCell ref="TWS5:TWV5"/>
    <mergeCell ref="TWW5:TWZ5"/>
    <mergeCell ref="TXA5:TXD5"/>
    <mergeCell ref="TXE5:TXH5"/>
    <mergeCell ref="TXI5:TXL5"/>
    <mergeCell ref="TXM5:TXP5"/>
    <mergeCell ref="TVU5:TVX5"/>
    <mergeCell ref="TVY5:TWB5"/>
    <mergeCell ref="TWC5:TWF5"/>
    <mergeCell ref="TWG5:TWJ5"/>
    <mergeCell ref="TWK5:TWN5"/>
    <mergeCell ref="TWO5:TWR5"/>
    <mergeCell ref="TUW5:TUZ5"/>
    <mergeCell ref="TVA5:TVD5"/>
    <mergeCell ref="TVE5:TVH5"/>
    <mergeCell ref="TVI5:TVL5"/>
    <mergeCell ref="TVM5:TVP5"/>
    <mergeCell ref="TVQ5:TVT5"/>
    <mergeCell ref="UFA5:UFD5"/>
    <mergeCell ref="UFE5:UFH5"/>
    <mergeCell ref="UFI5:UFL5"/>
    <mergeCell ref="UFM5:UFP5"/>
    <mergeCell ref="UFQ5:UFT5"/>
    <mergeCell ref="UFU5:UFX5"/>
    <mergeCell ref="UEC5:UEF5"/>
    <mergeCell ref="UEG5:UEJ5"/>
    <mergeCell ref="UEK5:UEN5"/>
    <mergeCell ref="UEO5:UER5"/>
    <mergeCell ref="UES5:UEV5"/>
    <mergeCell ref="UEW5:UEZ5"/>
    <mergeCell ref="UDE5:UDH5"/>
    <mergeCell ref="UDI5:UDL5"/>
    <mergeCell ref="UDM5:UDP5"/>
    <mergeCell ref="UDQ5:UDT5"/>
    <mergeCell ref="UDU5:UDX5"/>
    <mergeCell ref="UDY5:UEB5"/>
    <mergeCell ref="UCG5:UCJ5"/>
    <mergeCell ref="UCK5:UCN5"/>
    <mergeCell ref="UCO5:UCR5"/>
    <mergeCell ref="UCS5:UCV5"/>
    <mergeCell ref="UCW5:UCZ5"/>
    <mergeCell ref="UDA5:UDD5"/>
    <mergeCell ref="UBI5:UBL5"/>
    <mergeCell ref="UBM5:UBP5"/>
    <mergeCell ref="UBQ5:UBT5"/>
    <mergeCell ref="UBU5:UBX5"/>
    <mergeCell ref="UBY5:UCB5"/>
    <mergeCell ref="UCC5:UCF5"/>
    <mergeCell ref="UAK5:UAN5"/>
    <mergeCell ref="UAO5:UAR5"/>
    <mergeCell ref="UAS5:UAV5"/>
    <mergeCell ref="UAW5:UAZ5"/>
    <mergeCell ref="UBA5:UBD5"/>
    <mergeCell ref="UBE5:UBH5"/>
    <mergeCell ref="UKO5:UKR5"/>
    <mergeCell ref="UKS5:UKV5"/>
    <mergeCell ref="UKW5:UKZ5"/>
    <mergeCell ref="ULA5:ULD5"/>
    <mergeCell ref="ULE5:ULH5"/>
    <mergeCell ref="ULI5:ULL5"/>
    <mergeCell ref="UJQ5:UJT5"/>
    <mergeCell ref="UJU5:UJX5"/>
    <mergeCell ref="UJY5:UKB5"/>
    <mergeCell ref="UKC5:UKF5"/>
    <mergeCell ref="UKG5:UKJ5"/>
    <mergeCell ref="UKK5:UKN5"/>
    <mergeCell ref="UIS5:UIV5"/>
    <mergeCell ref="UIW5:UIZ5"/>
    <mergeCell ref="UJA5:UJD5"/>
    <mergeCell ref="UJE5:UJH5"/>
    <mergeCell ref="UJI5:UJL5"/>
    <mergeCell ref="UJM5:UJP5"/>
    <mergeCell ref="UHU5:UHX5"/>
    <mergeCell ref="UHY5:UIB5"/>
    <mergeCell ref="UIC5:UIF5"/>
    <mergeCell ref="UIG5:UIJ5"/>
    <mergeCell ref="UIK5:UIN5"/>
    <mergeCell ref="UIO5:UIR5"/>
    <mergeCell ref="UGW5:UGZ5"/>
    <mergeCell ref="UHA5:UHD5"/>
    <mergeCell ref="UHE5:UHH5"/>
    <mergeCell ref="UHI5:UHL5"/>
    <mergeCell ref="UHM5:UHP5"/>
    <mergeCell ref="UHQ5:UHT5"/>
    <mergeCell ref="UFY5:UGB5"/>
    <mergeCell ref="UGC5:UGF5"/>
    <mergeCell ref="UGG5:UGJ5"/>
    <mergeCell ref="UGK5:UGN5"/>
    <mergeCell ref="UGO5:UGR5"/>
    <mergeCell ref="UGS5:UGV5"/>
    <mergeCell ref="UQC5:UQF5"/>
    <mergeCell ref="UQG5:UQJ5"/>
    <mergeCell ref="UQK5:UQN5"/>
    <mergeCell ref="UQO5:UQR5"/>
    <mergeCell ref="UQS5:UQV5"/>
    <mergeCell ref="UQW5:UQZ5"/>
    <mergeCell ref="UPE5:UPH5"/>
    <mergeCell ref="UPI5:UPL5"/>
    <mergeCell ref="UPM5:UPP5"/>
    <mergeCell ref="UPQ5:UPT5"/>
    <mergeCell ref="UPU5:UPX5"/>
    <mergeCell ref="UPY5:UQB5"/>
    <mergeCell ref="UOG5:UOJ5"/>
    <mergeCell ref="UOK5:UON5"/>
    <mergeCell ref="UOO5:UOR5"/>
    <mergeCell ref="UOS5:UOV5"/>
    <mergeCell ref="UOW5:UOZ5"/>
    <mergeCell ref="UPA5:UPD5"/>
    <mergeCell ref="UNI5:UNL5"/>
    <mergeCell ref="UNM5:UNP5"/>
    <mergeCell ref="UNQ5:UNT5"/>
    <mergeCell ref="UNU5:UNX5"/>
    <mergeCell ref="UNY5:UOB5"/>
    <mergeCell ref="UOC5:UOF5"/>
    <mergeCell ref="UMK5:UMN5"/>
    <mergeCell ref="UMO5:UMR5"/>
    <mergeCell ref="UMS5:UMV5"/>
    <mergeCell ref="UMW5:UMZ5"/>
    <mergeCell ref="UNA5:UND5"/>
    <mergeCell ref="UNE5:UNH5"/>
    <mergeCell ref="ULM5:ULP5"/>
    <mergeCell ref="ULQ5:ULT5"/>
    <mergeCell ref="ULU5:ULX5"/>
    <mergeCell ref="ULY5:UMB5"/>
    <mergeCell ref="UMC5:UMF5"/>
    <mergeCell ref="UMG5:UMJ5"/>
    <mergeCell ref="UVQ5:UVT5"/>
    <mergeCell ref="UVU5:UVX5"/>
    <mergeCell ref="UVY5:UWB5"/>
    <mergeCell ref="UWC5:UWF5"/>
    <mergeCell ref="UWG5:UWJ5"/>
    <mergeCell ref="UWK5:UWN5"/>
    <mergeCell ref="UUS5:UUV5"/>
    <mergeCell ref="UUW5:UUZ5"/>
    <mergeCell ref="UVA5:UVD5"/>
    <mergeCell ref="UVE5:UVH5"/>
    <mergeCell ref="UVI5:UVL5"/>
    <mergeCell ref="UVM5:UVP5"/>
    <mergeCell ref="UTU5:UTX5"/>
    <mergeCell ref="UTY5:UUB5"/>
    <mergeCell ref="UUC5:UUF5"/>
    <mergeCell ref="UUG5:UUJ5"/>
    <mergeCell ref="UUK5:UUN5"/>
    <mergeCell ref="UUO5:UUR5"/>
    <mergeCell ref="USW5:USZ5"/>
    <mergeCell ref="UTA5:UTD5"/>
    <mergeCell ref="UTE5:UTH5"/>
    <mergeCell ref="UTI5:UTL5"/>
    <mergeCell ref="UTM5:UTP5"/>
    <mergeCell ref="UTQ5:UTT5"/>
    <mergeCell ref="URY5:USB5"/>
    <mergeCell ref="USC5:USF5"/>
    <mergeCell ref="USG5:USJ5"/>
    <mergeCell ref="USK5:USN5"/>
    <mergeCell ref="USO5:USR5"/>
    <mergeCell ref="USS5:USV5"/>
    <mergeCell ref="URA5:URD5"/>
    <mergeCell ref="URE5:URH5"/>
    <mergeCell ref="URI5:URL5"/>
    <mergeCell ref="URM5:URP5"/>
    <mergeCell ref="URQ5:URT5"/>
    <mergeCell ref="URU5:URX5"/>
    <mergeCell ref="VBE5:VBH5"/>
    <mergeCell ref="VBI5:VBL5"/>
    <mergeCell ref="VBM5:VBP5"/>
    <mergeCell ref="VBQ5:VBT5"/>
    <mergeCell ref="VBU5:VBX5"/>
    <mergeCell ref="VBY5:VCB5"/>
    <mergeCell ref="VAG5:VAJ5"/>
    <mergeCell ref="VAK5:VAN5"/>
    <mergeCell ref="VAO5:VAR5"/>
    <mergeCell ref="VAS5:VAV5"/>
    <mergeCell ref="VAW5:VAZ5"/>
    <mergeCell ref="VBA5:VBD5"/>
    <mergeCell ref="UZI5:UZL5"/>
    <mergeCell ref="UZM5:UZP5"/>
    <mergeCell ref="UZQ5:UZT5"/>
    <mergeCell ref="UZU5:UZX5"/>
    <mergeCell ref="UZY5:VAB5"/>
    <mergeCell ref="VAC5:VAF5"/>
    <mergeCell ref="UYK5:UYN5"/>
    <mergeCell ref="UYO5:UYR5"/>
    <mergeCell ref="UYS5:UYV5"/>
    <mergeCell ref="UYW5:UYZ5"/>
    <mergeCell ref="UZA5:UZD5"/>
    <mergeCell ref="UZE5:UZH5"/>
    <mergeCell ref="UXM5:UXP5"/>
    <mergeCell ref="UXQ5:UXT5"/>
    <mergeCell ref="UXU5:UXX5"/>
    <mergeCell ref="UXY5:UYB5"/>
    <mergeCell ref="UYC5:UYF5"/>
    <mergeCell ref="UYG5:UYJ5"/>
    <mergeCell ref="UWO5:UWR5"/>
    <mergeCell ref="UWS5:UWV5"/>
    <mergeCell ref="UWW5:UWZ5"/>
    <mergeCell ref="UXA5:UXD5"/>
    <mergeCell ref="UXE5:UXH5"/>
    <mergeCell ref="UXI5:UXL5"/>
    <mergeCell ref="VGS5:VGV5"/>
    <mergeCell ref="VGW5:VGZ5"/>
    <mergeCell ref="VHA5:VHD5"/>
    <mergeCell ref="VHE5:VHH5"/>
    <mergeCell ref="VHI5:VHL5"/>
    <mergeCell ref="VHM5:VHP5"/>
    <mergeCell ref="VFU5:VFX5"/>
    <mergeCell ref="VFY5:VGB5"/>
    <mergeCell ref="VGC5:VGF5"/>
    <mergeCell ref="VGG5:VGJ5"/>
    <mergeCell ref="VGK5:VGN5"/>
    <mergeCell ref="VGO5:VGR5"/>
    <mergeCell ref="VEW5:VEZ5"/>
    <mergeCell ref="VFA5:VFD5"/>
    <mergeCell ref="VFE5:VFH5"/>
    <mergeCell ref="VFI5:VFL5"/>
    <mergeCell ref="VFM5:VFP5"/>
    <mergeCell ref="VFQ5:VFT5"/>
    <mergeCell ref="VDY5:VEB5"/>
    <mergeCell ref="VEC5:VEF5"/>
    <mergeCell ref="VEG5:VEJ5"/>
    <mergeCell ref="VEK5:VEN5"/>
    <mergeCell ref="VEO5:VER5"/>
    <mergeCell ref="VES5:VEV5"/>
    <mergeCell ref="VDA5:VDD5"/>
    <mergeCell ref="VDE5:VDH5"/>
    <mergeCell ref="VDI5:VDL5"/>
    <mergeCell ref="VDM5:VDP5"/>
    <mergeCell ref="VDQ5:VDT5"/>
    <mergeCell ref="VDU5:VDX5"/>
    <mergeCell ref="VCC5:VCF5"/>
    <mergeCell ref="VCG5:VCJ5"/>
    <mergeCell ref="VCK5:VCN5"/>
    <mergeCell ref="VCO5:VCR5"/>
    <mergeCell ref="VCS5:VCV5"/>
    <mergeCell ref="VCW5:VCZ5"/>
    <mergeCell ref="VMG5:VMJ5"/>
    <mergeCell ref="VMK5:VMN5"/>
    <mergeCell ref="VMO5:VMR5"/>
    <mergeCell ref="VMS5:VMV5"/>
    <mergeCell ref="VMW5:VMZ5"/>
    <mergeCell ref="VNA5:VND5"/>
    <mergeCell ref="VLI5:VLL5"/>
    <mergeCell ref="VLM5:VLP5"/>
    <mergeCell ref="VLQ5:VLT5"/>
    <mergeCell ref="VLU5:VLX5"/>
    <mergeCell ref="VLY5:VMB5"/>
    <mergeCell ref="VMC5:VMF5"/>
    <mergeCell ref="VKK5:VKN5"/>
    <mergeCell ref="VKO5:VKR5"/>
    <mergeCell ref="VKS5:VKV5"/>
    <mergeCell ref="VKW5:VKZ5"/>
    <mergeCell ref="VLA5:VLD5"/>
    <mergeCell ref="VLE5:VLH5"/>
    <mergeCell ref="VJM5:VJP5"/>
    <mergeCell ref="VJQ5:VJT5"/>
    <mergeCell ref="VJU5:VJX5"/>
    <mergeCell ref="VJY5:VKB5"/>
    <mergeCell ref="VKC5:VKF5"/>
    <mergeCell ref="VKG5:VKJ5"/>
    <mergeCell ref="VIO5:VIR5"/>
    <mergeCell ref="VIS5:VIV5"/>
    <mergeCell ref="VIW5:VIZ5"/>
    <mergeCell ref="VJA5:VJD5"/>
    <mergeCell ref="VJE5:VJH5"/>
    <mergeCell ref="VJI5:VJL5"/>
    <mergeCell ref="VHQ5:VHT5"/>
    <mergeCell ref="VHU5:VHX5"/>
    <mergeCell ref="VHY5:VIB5"/>
    <mergeCell ref="VIC5:VIF5"/>
    <mergeCell ref="VIG5:VIJ5"/>
    <mergeCell ref="VIK5:VIN5"/>
    <mergeCell ref="VRU5:VRX5"/>
    <mergeCell ref="VRY5:VSB5"/>
    <mergeCell ref="VSC5:VSF5"/>
    <mergeCell ref="VSG5:VSJ5"/>
    <mergeCell ref="VSK5:VSN5"/>
    <mergeCell ref="VSO5:VSR5"/>
    <mergeCell ref="VQW5:VQZ5"/>
    <mergeCell ref="VRA5:VRD5"/>
    <mergeCell ref="VRE5:VRH5"/>
    <mergeCell ref="VRI5:VRL5"/>
    <mergeCell ref="VRM5:VRP5"/>
    <mergeCell ref="VRQ5:VRT5"/>
    <mergeCell ref="VPY5:VQB5"/>
    <mergeCell ref="VQC5:VQF5"/>
    <mergeCell ref="VQG5:VQJ5"/>
    <mergeCell ref="VQK5:VQN5"/>
    <mergeCell ref="VQO5:VQR5"/>
    <mergeCell ref="VQS5:VQV5"/>
    <mergeCell ref="VPA5:VPD5"/>
    <mergeCell ref="VPE5:VPH5"/>
    <mergeCell ref="VPI5:VPL5"/>
    <mergeCell ref="VPM5:VPP5"/>
    <mergeCell ref="VPQ5:VPT5"/>
    <mergeCell ref="VPU5:VPX5"/>
    <mergeCell ref="VOC5:VOF5"/>
    <mergeCell ref="VOG5:VOJ5"/>
    <mergeCell ref="VOK5:VON5"/>
    <mergeCell ref="VOO5:VOR5"/>
    <mergeCell ref="VOS5:VOV5"/>
    <mergeCell ref="VOW5:VOZ5"/>
    <mergeCell ref="VNE5:VNH5"/>
    <mergeCell ref="VNI5:VNL5"/>
    <mergeCell ref="VNM5:VNP5"/>
    <mergeCell ref="VNQ5:VNT5"/>
    <mergeCell ref="VNU5:VNX5"/>
    <mergeCell ref="VNY5:VOB5"/>
    <mergeCell ref="VXI5:VXL5"/>
    <mergeCell ref="VXM5:VXP5"/>
    <mergeCell ref="VXQ5:VXT5"/>
    <mergeCell ref="VXU5:VXX5"/>
    <mergeCell ref="VXY5:VYB5"/>
    <mergeCell ref="VYC5:VYF5"/>
    <mergeCell ref="VWK5:VWN5"/>
    <mergeCell ref="VWO5:VWR5"/>
    <mergeCell ref="VWS5:VWV5"/>
    <mergeCell ref="VWW5:VWZ5"/>
    <mergeCell ref="VXA5:VXD5"/>
    <mergeCell ref="VXE5:VXH5"/>
    <mergeCell ref="VVM5:VVP5"/>
    <mergeCell ref="VVQ5:VVT5"/>
    <mergeCell ref="VVU5:VVX5"/>
    <mergeCell ref="VVY5:VWB5"/>
    <mergeCell ref="VWC5:VWF5"/>
    <mergeCell ref="VWG5:VWJ5"/>
    <mergeCell ref="VUO5:VUR5"/>
    <mergeCell ref="VUS5:VUV5"/>
    <mergeCell ref="VUW5:VUZ5"/>
    <mergeCell ref="VVA5:VVD5"/>
    <mergeCell ref="VVE5:VVH5"/>
    <mergeCell ref="VVI5:VVL5"/>
    <mergeCell ref="VTQ5:VTT5"/>
    <mergeCell ref="VTU5:VTX5"/>
    <mergeCell ref="VTY5:VUB5"/>
    <mergeCell ref="VUC5:VUF5"/>
    <mergeCell ref="VUG5:VUJ5"/>
    <mergeCell ref="VUK5:VUN5"/>
    <mergeCell ref="VSS5:VSV5"/>
    <mergeCell ref="VSW5:VSZ5"/>
    <mergeCell ref="VTA5:VTD5"/>
    <mergeCell ref="VTE5:VTH5"/>
    <mergeCell ref="VTI5:VTL5"/>
    <mergeCell ref="VTM5:VTP5"/>
    <mergeCell ref="WCW5:WCZ5"/>
    <mergeCell ref="WDA5:WDD5"/>
    <mergeCell ref="WDE5:WDH5"/>
    <mergeCell ref="WDI5:WDL5"/>
    <mergeCell ref="WDM5:WDP5"/>
    <mergeCell ref="WDQ5:WDT5"/>
    <mergeCell ref="WBY5:WCB5"/>
    <mergeCell ref="WCC5:WCF5"/>
    <mergeCell ref="WCG5:WCJ5"/>
    <mergeCell ref="WCK5:WCN5"/>
    <mergeCell ref="WCO5:WCR5"/>
    <mergeCell ref="WCS5:WCV5"/>
    <mergeCell ref="WBA5:WBD5"/>
    <mergeCell ref="WBE5:WBH5"/>
    <mergeCell ref="WBI5:WBL5"/>
    <mergeCell ref="WBM5:WBP5"/>
    <mergeCell ref="WBQ5:WBT5"/>
    <mergeCell ref="WBU5:WBX5"/>
    <mergeCell ref="WAC5:WAF5"/>
    <mergeCell ref="WAG5:WAJ5"/>
    <mergeCell ref="WAK5:WAN5"/>
    <mergeCell ref="WAO5:WAR5"/>
    <mergeCell ref="WAS5:WAV5"/>
    <mergeCell ref="WAW5:WAZ5"/>
    <mergeCell ref="VZE5:VZH5"/>
    <mergeCell ref="VZI5:VZL5"/>
    <mergeCell ref="VZM5:VZP5"/>
    <mergeCell ref="VZQ5:VZT5"/>
    <mergeCell ref="VZU5:VZX5"/>
    <mergeCell ref="VZY5:WAB5"/>
    <mergeCell ref="VYG5:VYJ5"/>
    <mergeCell ref="VYK5:VYN5"/>
    <mergeCell ref="VYO5:VYR5"/>
    <mergeCell ref="VYS5:VYV5"/>
    <mergeCell ref="VYW5:VYZ5"/>
    <mergeCell ref="VZA5:VZD5"/>
    <mergeCell ref="WIK5:WIN5"/>
    <mergeCell ref="WIO5:WIR5"/>
    <mergeCell ref="WIS5:WIV5"/>
    <mergeCell ref="WIW5:WIZ5"/>
    <mergeCell ref="WJA5:WJD5"/>
    <mergeCell ref="WJE5:WJH5"/>
    <mergeCell ref="WHM5:WHP5"/>
    <mergeCell ref="WHQ5:WHT5"/>
    <mergeCell ref="WHU5:WHX5"/>
    <mergeCell ref="WHY5:WIB5"/>
    <mergeCell ref="WIC5:WIF5"/>
    <mergeCell ref="WIG5:WIJ5"/>
    <mergeCell ref="WGO5:WGR5"/>
    <mergeCell ref="WGS5:WGV5"/>
    <mergeCell ref="WGW5:WGZ5"/>
    <mergeCell ref="WHA5:WHD5"/>
    <mergeCell ref="WHE5:WHH5"/>
    <mergeCell ref="WHI5:WHL5"/>
    <mergeCell ref="WFQ5:WFT5"/>
    <mergeCell ref="WFU5:WFX5"/>
    <mergeCell ref="WFY5:WGB5"/>
    <mergeCell ref="WGC5:WGF5"/>
    <mergeCell ref="WGG5:WGJ5"/>
    <mergeCell ref="WGK5:WGN5"/>
    <mergeCell ref="WES5:WEV5"/>
    <mergeCell ref="WEW5:WEZ5"/>
    <mergeCell ref="WFA5:WFD5"/>
    <mergeCell ref="WFE5:WFH5"/>
    <mergeCell ref="WFI5:WFL5"/>
    <mergeCell ref="WFM5:WFP5"/>
    <mergeCell ref="WDU5:WDX5"/>
    <mergeCell ref="WDY5:WEB5"/>
    <mergeCell ref="WEC5:WEF5"/>
    <mergeCell ref="WEG5:WEJ5"/>
    <mergeCell ref="WEK5:WEN5"/>
    <mergeCell ref="WEO5:WER5"/>
    <mergeCell ref="WNY5:WOB5"/>
    <mergeCell ref="WOC5:WOF5"/>
    <mergeCell ref="WOG5:WOJ5"/>
    <mergeCell ref="WOK5:WON5"/>
    <mergeCell ref="WOO5:WOR5"/>
    <mergeCell ref="WOS5:WOV5"/>
    <mergeCell ref="WNA5:WND5"/>
    <mergeCell ref="WNE5:WNH5"/>
    <mergeCell ref="WNI5:WNL5"/>
    <mergeCell ref="WNM5:WNP5"/>
    <mergeCell ref="WNQ5:WNT5"/>
    <mergeCell ref="WNU5:WNX5"/>
    <mergeCell ref="WMC5:WMF5"/>
    <mergeCell ref="WMG5:WMJ5"/>
    <mergeCell ref="WMK5:WMN5"/>
    <mergeCell ref="WMO5:WMR5"/>
    <mergeCell ref="WMS5:WMV5"/>
    <mergeCell ref="WMW5:WMZ5"/>
    <mergeCell ref="WLE5:WLH5"/>
    <mergeCell ref="WLI5:WLL5"/>
    <mergeCell ref="WLM5:WLP5"/>
    <mergeCell ref="WLQ5:WLT5"/>
    <mergeCell ref="WLU5:WLX5"/>
    <mergeCell ref="WLY5:WMB5"/>
    <mergeCell ref="WKG5:WKJ5"/>
    <mergeCell ref="WKK5:WKN5"/>
    <mergeCell ref="WKO5:WKR5"/>
    <mergeCell ref="WKS5:WKV5"/>
    <mergeCell ref="WKW5:WKZ5"/>
    <mergeCell ref="WLA5:WLD5"/>
    <mergeCell ref="WJI5:WJL5"/>
    <mergeCell ref="WJM5:WJP5"/>
    <mergeCell ref="WJQ5:WJT5"/>
    <mergeCell ref="WJU5:WJX5"/>
    <mergeCell ref="WJY5:WKB5"/>
    <mergeCell ref="WKC5:WKF5"/>
    <mergeCell ref="WTQ5:WTT5"/>
    <mergeCell ref="WTU5:WTX5"/>
    <mergeCell ref="WTY5:WUB5"/>
    <mergeCell ref="WUC5:WUF5"/>
    <mergeCell ref="WUG5:WUJ5"/>
    <mergeCell ref="WSO5:WSR5"/>
    <mergeCell ref="WSS5:WSV5"/>
    <mergeCell ref="WSW5:WSZ5"/>
    <mergeCell ref="WTA5:WTD5"/>
    <mergeCell ref="WTE5:WTH5"/>
    <mergeCell ref="WTI5:WTL5"/>
    <mergeCell ref="WRQ5:WRT5"/>
    <mergeCell ref="WRU5:WRX5"/>
    <mergeCell ref="WRY5:WSB5"/>
    <mergeCell ref="WSC5:WSF5"/>
    <mergeCell ref="WSG5:WSJ5"/>
    <mergeCell ref="WSK5:WSN5"/>
    <mergeCell ref="WQS5:WQV5"/>
    <mergeCell ref="WQW5:WQZ5"/>
    <mergeCell ref="WRA5:WRD5"/>
    <mergeCell ref="WRE5:WRH5"/>
    <mergeCell ref="WRI5:WRL5"/>
    <mergeCell ref="WRM5:WRP5"/>
    <mergeCell ref="WPU5:WPX5"/>
    <mergeCell ref="WPY5:WQB5"/>
    <mergeCell ref="WQC5:WQF5"/>
    <mergeCell ref="WQG5:WQJ5"/>
    <mergeCell ref="WQK5:WQN5"/>
    <mergeCell ref="WQO5:WQR5"/>
    <mergeCell ref="WOW5:WOZ5"/>
    <mergeCell ref="WPA5:WPD5"/>
    <mergeCell ref="WPE5:WPH5"/>
    <mergeCell ref="WPI5:WPL5"/>
    <mergeCell ref="WPM5:WPP5"/>
    <mergeCell ref="WPQ5:WPT5"/>
    <mergeCell ref="XFA5:XFD5"/>
    <mergeCell ref="XDQ5:XDT5"/>
    <mergeCell ref="XDU5:XDX5"/>
    <mergeCell ref="XDY5:XEB5"/>
    <mergeCell ref="XEC5:XEF5"/>
    <mergeCell ref="XEG5:XEJ5"/>
    <mergeCell ref="XEK5:XEN5"/>
    <mergeCell ref="XCS5:XCV5"/>
    <mergeCell ref="XCW5:XCZ5"/>
    <mergeCell ref="XDA5:XDD5"/>
    <mergeCell ref="XDE5:XDH5"/>
    <mergeCell ref="XDI5:XDL5"/>
    <mergeCell ref="XDM5:XDP5"/>
    <mergeCell ref="XBU5:XBX5"/>
    <mergeCell ref="XBY5:XCB5"/>
    <mergeCell ref="XCC5:XCF5"/>
    <mergeCell ref="XCG5:XCJ5"/>
    <mergeCell ref="XCK5:XCN5"/>
    <mergeCell ref="XCO5:XCR5"/>
    <mergeCell ref="XAW5:XAZ5"/>
    <mergeCell ref="XBA5:XBD5"/>
    <mergeCell ref="XBE5:XBH5"/>
    <mergeCell ref="XBI5:XBL5"/>
    <mergeCell ref="XBM5:XBP5"/>
    <mergeCell ref="XBQ5:XBT5"/>
    <mergeCell ref="WZY5:XAB5"/>
    <mergeCell ref="XAC5:XAF5"/>
    <mergeCell ref="XAG5:XAJ5"/>
    <mergeCell ref="XAK5:XAN5"/>
    <mergeCell ref="XAO5:XAR5"/>
    <mergeCell ref="XAS5:XAV5"/>
    <mergeCell ref="WZA5:WZD5"/>
    <mergeCell ref="WZE5:WZH5"/>
    <mergeCell ref="WZI5:WZL5"/>
    <mergeCell ref="WZM5:WZP5"/>
    <mergeCell ref="WZQ5:WZT5"/>
    <mergeCell ref="WZU5:WZX5"/>
    <mergeCell ref="CS1:CV1"/>
    <mergeCell ref="CW1:CZ1"/>
    <mergeCell ref="DA1:DD1"/>
    <mergeCell ref="DE1:DH1"/>
    <mergeCell ref="DI1:DL1"/>
    <mergeCell ref="DM1:DP1"/>
    <mergeCell ref="BU1:BX1"/>
    <mergeCell ref="BY1:CB1"/>
    <mergeCell ref="CC1:CF1"/>
    <mergeCell ref="CG1:CJ1"/>
    <mergeCell ref="CK1:CN1"/>
    <mergeCell ref="CO1:CR1"/>
    <mergeCell ref="AW1:AZ1"/>
    <mergeCell ref="BA1:BD1"/>
    <mergeCell ref="BE1:BH1"/>
    <mergeCell ref="BI1:BL1"/>
    <mergeCell ref="BM1:BP1"/>
    <mergeCell ref="BQ1:BT1"/>
    <mergeCell ref="Y1:AB1"/>
    <mergeCell ref="AC1:AF1"/>
    <mergeCell ref="AG1:AJ1"/>
    <mergeCell ref="AK1:AN1"/>
    <mergeCell ref="AO1:AR1"/>
    <mergeCell ref="AS1:AV1"/>
    <mergeCell ref="A1:D1"/>
    <mergeCell ref="E1:H1"/>
    <mergeCell ref="I1:L1"/>
    <mergeCell ref="M1:P1"/>
    <mergeCell ref="Q1:T1"/>
    <mergeCell ref="U1:X1"/>
    <mergeCell ref="XEO5:XER5"/>
    <mergeCell ref="XES5:XEV5"/>
    <mergeCell ref="XEW5:XEZ5"/>
    <mergeCell ref="WYC5:WYF5"/>
    <mergeCell ref="WYG5:WYJ5"/>
    <mergeCell ref="WYK5:WYN5"/>
    <mergeCell ref="WYO5:WYR5"/>
    <mergeCell ref="WYS5:WYV5"/>
    <mergeCell ref="WYW5:WYZ5"/>
    <mergeCell ref="WXE5:WXH5"/>
    <mergeCell ref="WXI5:WXL5"/>
    <mergeCell ref="WXM5:WXP5"/>
    <mergeCell ref="WXQ5:WXT5"/>
    <mergeCell ref="WXU5:WXX5"/>
    <mergeCell ref="WXY5:WYB5"/>
    <mergeCell ref="WWG5:WWJ5"/>
    <mergeCell ref="WWK5:WWN5"/>
    <mergeCell ref="WWO5:WWR5"/>
    <mergeCell ref="WWS5:WWV5"/>
    <mergeCell ref="WWW5:WWZ5"/>
    <mergeCell ref="WXA5:WXD5"/>
    <mergeCell ref="WVI5:WVL5"/>
    <mergeCell ref="WVM5:WVP5"/>
    <mergeCell ref="WVQ5:WVT5"/>
    <mergeCell ref="WVU5:WVX5"/>
    <mergeCell ref="WVY5:WWB5"/>
    <mergeCell ref="WWC5:WWF5"/>
    <mergeCell ref="WUK5:WUN5"/>
    <mergeCell ref="WUO5:WUR5"/>
    <mergeCell ref="WUS5:WUV5"/>
    <mergeCell ref="WUW5:WUZ5"/>
    <mergeCell ref="WVA5:WVD5"/>
    <mergeCell ref="WVE5:WVH5"/>
    <mergeCell ref="WTM5:WTP5"/>
    <mergeCell ref="IG1:IJ1"/>
    <mergeCell ref="IK1:IN1"/>
    <mergeCell ref="IO1:IR1"/>
    <mergeCell ref="IS1:IV1"/>
    <mergeCell ref="IW1:IZ1"/>
    <mergeCell ref="JA1:JD1"/>
    <mergeCell ref="HI1:HL1"/>
    <mergeCell ref="HM1:HP1"/>
    <mergeCell ref="HQ1:HT1"/>
    <mergeCell ref="HU1:HX1"/>
    <mergeCell ref="HY1:IB1"/>
    <mergeCell ref="IC1:IF1"/>
    <mergeCell ref="GK1:GN1"/>
    <mergeCell ref="GO1:GR1"/>
    <mergeCell ref="GS1:GV1"/>
    <mergeCell ref="GW1:GZ1"/>
    <mergeCell ref="HA1:HD1"/>
    <mergeCell ref="HE1:HH1"/>
    <mergeCell ref="FM1:FP1"/>
    <mergeCell ref="FQ1:FT1"/>
    <mergeCell ref="FU1:FX1"/>
    <mergeCell ref="FY1:GB1"/>
    <mergeCell ref="GC1:GF1"/>
    <mergeCell ref="GG1:GJ1"/>
    <mergeCell ref="EO1:ER1"/>
    <mergeCell ref="ES1:EV1"/>
    <mergeCell ref="EW1:EZ1"/>
    <mergeCell ref="FA1:FD1"/>
    <mergeCell ref="FE1:FH1"/>
    <mergeCell ref="FI1:FL1"/>
    <mergeCell ref="DQ1:DT1"/>
    <mergeCell ref="DU1:DX1"/>
    <mergeCell ref="DY1:EB1"/>
    <mergeCell ref="EC1:EF1"/>
    <mergeCell ref="EG1:EJ1"/>
    <mergeCell ref="EK1:EN1"/>
    <mergeCell ref="NU1:NX1"/>
    <mergeCell ref="NY1:OB1"/>
    <mergeCell ref="OC1:OF1"/>
    <mergeCell ref="OG1:OJ1"/>
    <mergeCell ref="OK1:ON1"/>
    <mergeCell ref="OO1:OR1"/>
    <mergeCell ref="MW1:MZ1"/>
    <mergeCell ref="NA1:ND1"/>
    <mergeCell ref="NE1:NH1"/>
    <mergeCell ref="NI1:NL1"/>
    <mergeCell ref="NM1:NP1"/>
    <mergeCell ref="NQ1:NT1"/>
    <mergeCell ref="LY1:MB1"/>
    <mergeCell ref="MC1:MF1"/>
    <mergeCell ref="MG1:MJ1"/>
    <mergeCell ref="MK1:MN1"/>
    <mergeCell ref="MO1:MR1"/>
    <mergeCell ref="MS1:MV1"/>
    <mergeCell ref="LA1:LD1"/>
    <mergeCell ref="LE1:LH1"/>
    <mergeCell ref="LI1:LL1"/>
    <mergeCell ref="LM1:LP1"/>
    <mergeCell ref="LQ1:LT1"/>
    <mergeCell ref="LU1:LX1"/>
    <mergeCell ref="KC1:KF1"/>
    <mergeCell ref="KG1:KJ1"/>
    <mergeCell ref="KK1:KN1"/>
    <mergeCell ref="KO1:KR1"/>
    <mergeCell ref="KS1:KV1"/>
    <mergeCell ref="KW1:KZ1"/>
    <mergeCell ref="JE1:JH1"/>
    <mergeCell ref="JI1:JL1"/>
    <mergeCell ref="JM1:JP1"/>
    <mergeCell ref="JQ1:JT1"/>
    <mergeCell ref="JU1:JX1"/>
    <mergeCell ref="JY1:KB1"/>
    <mergeCell ref="TI1:TL1"/>
    <mergeCell ref="TM1:TP1"/>
    <mergeCell ref="TQ1:TT1"/>
    <mergeCell ref="TU1:TX1"/>
    <mergeCell ref="TY1:UB1"/>
    <mergeCell ref="UC1:UF1"/>
    <mergeCell ref="SK1:SN1"/>
    <mergeCell ref="SO1:SR1"/>
    <mergeCell ref="SS1:SV1"/>
    <mergeCell ref="SW1:SZ1"/>
    <mergeCell ref="TA1:TD1"/>
    <mergeCell ref="TE1:TH1"/>
    <mergeCell ref="RM1:RP1"/>
    <mergeCell ref="RQ1:RT1"/>
    <mergeCell ref="RU1:RX1"/>
    <mergeCell ref="RY1:SB1"/>
    <mergeCell ref="SC1:SF1"/>
    <mergeCell ref="SG1:SJ1"/>
    <mergeCell ref="QO1:QR1"/>
    <mergeCell ref="QS1:QV1"/>
    <mergeCell ref="QW1:QZ1"/>
    <mergeCell ref="RA1:RD1"/>
    <mergeCell ref="RE1:RH1"/>
    <mergeCell ref="RI1:RL1"/>
    <mergeCell ref="PQ1:PT1"/>
    <mergeCell ref="PU1:PX1"/>
    <mergeCell ref="PY1:QB1"/>
    <mergeCell ref="QC1:QF1"/>
    <mergeCell ref="QG1:QJ1"/>
    <mergeCell ref="QK1:QN1"/>
    <mergeCell ref="OS1:OV1"/>
    <mergeCell ref="OW1:OZ1"/>
    <mergeCell ref="PA1:PD1"/>
    <mergeCell ref="PE1:PH1"/>
    <mergeCell ref="PI1:PL1"/>
    <mergeCell ref="PM1:PP1"/>
    <mergeCell ref="YW1:YZ1"/>
    <mergeCell ref="ZA1:ZD1"/>
    <mergeCell ref="ZE1:ZH1"/>
    <mergeCell ref="ZI1:ZL1"/>
    <mergeCell ref="ZM1:ZP1"/>
    <mergeCell ref="ZQ1:ZT1"/>
    <mergeCell ref="XY1:YB1"/>
    <mergeCell ref="YC1:YF1"/>
    <mergeCell ref="YG1:YJ1"/>
    <mergeCell ref="YK1:YN1"/>
    <mergeCell ref="YO1:YR1"/>
    <mergeCell ref="YS1:YV1"/>
    <mergeCell ref="XA1:XD1"/>
    <mergeCell ref="XE1:XH1"/>
    <mergeCell ref="XI1:XL1"/>
    <mergeCell ref="XM1:XP1"/>
    <mergeCell ref="XQ1:XT1"/>
    <mergeCell ref="XU1:XX1"/>
    <mergeCell ref="WC1:WF1"/>
    <mergeCell ref="WG1:WJ1"/>
    <mergeCell ref="WK1:WN1"/>
    <mergeCell ref="WO1:WR1"/>
    <mergeCell ref="WS1:WV1"/>
    <mergeCell ref="WW1:WZ1"/>
    <mergeCell ref="VE1:VH1"/>
    <mergeCell ref="VI1:VL1"/>
    <mergeCell ref="VM1:VP1"/>
    <mergeCell ref="VQ1:VT1"/>
    <mergeCell ref="VU1:VX1"/>
    <mergeCell ref="VY1:WB1"/>
    <mergeCell ref="UG1:UJ1"/>
    <mergeCell ref="UK1:UN1"/>
    <mergeCell ref="UO1:UR1"/>
    <mergeCell ref="US1:UV1"/>
    <mergeCell ref="UW1:UZ1"/>
    <mergeCell ref="VA1:VD1"/>
    <mergeCell ref="AEK1:AEN1"/>
    <mergeCell ref="AEO1:AER1"/>
    <mergeCell ref="AES1:AEV1"/>
    <mergeCell ref="AEW1:AEZ1"/>
    <mergeCell ref="AFA1:AFD1"/>
    <mergeCell ref="AFE1:AFH1"/>
    <mergeCell ref="ADM1:ADP1"/>
    <mergeCell ref="ADQ1:ADT1"/>
    <mergeCell ref="ADU1:ADX1"/>
    <mergeCell ref="ADY1:AEB1"/>
    <mergeCell ref="AEC1:AEF1"/>
    <mergeCell ref="AEG1:AEJ1"/>
    <mergeCell ref="ACO1:ACR1"/>
    <mergeCell ref="ACS1:ACV1"/>
    <mergeCell ref="ACW1:ACZ1"/>
    <mergeCell ref="ADA1:ADD1"/>
    <mergeCell ref="ADE1:ADH1"/>
    <mergeCell ref="ADI1:ADL1"/>
    <mergeCell ref="ABQ1:ABT1"/>
    <mergeCell ref="ABU1:ABX1"/>
    <mergeCell ref="ABY1:ACB1"/>
    <mergeCell ref="ACC1:ACF1"/>
    <mergeCell ref="ACG1:ACJ1"/>
    <mergeCell ref="ACK1:ACN1"/>
    <mergeCell ref="AAS1:AAV1"/>
    <mergeCell ref="AAW1:AAZ1"/>
    <mergeCell ref="ABA1:ABD1"/>
    <mergeCell ref="ABE1:ABH1"/>
    <mergeCell ref="ABI1:ABL1"/>
    <mergeCell ref="ABM1:ABP1"/>
    <mergeCell ref="ZU1:ZX1"/>
    <mergeCell ref="ZY1:AAB1"/>
    <mergeCell ref="AAC1:AAF1"/>
    <mergeCell ref="AAG1:AAJ1"/>
    <mergeCell ref="AAK1:AAN1"/>
    <mergeCell ref="AAO1:AAR1"/>
    <mergeCell ref="AJY1:AKB1"/>
    <mergeCell ref="AKC1:AKF1"/>
    <mergeCell ref="AKG1:AKJ1"/>
    <mergeCell ref="AKK1:AKN1"/>
    <mergeCell ref="AKO1:AKR1"/>
    <mergeCell ref="AKS1:AKV1"/>
    <mergeCell ref="AJA1:AJD1"/>
    <mergeCell ref="AJE1:AJH1"/>
    <mergeCell ref="AJI1:AJL1"/>
    <mergeCell ref="AJM1:AJP1"/>
    <mergeCell ref="AJQ1:AJT1"/>
    <mergeCell ref="AJU1:AJX1"/>
    <mergeCell ref="AIC1:AIF1"/>
    <mergeCell ref="AIG1:AIJ1"/>
    <mergeCell ref="AIK1:AIN1"/>
    <mergeCell ref="AIO1:AIR1"/>
    <mergeCell ref="AIS1:AIV1"/>
    <mergeCell ref="AIW1:AIZ1"/>
    <mergeCell ref="AHE1:AHH1"/>
    <mergeCell ref="AHI1:AHL1"/>
    <mergeCell ref="AHM1:AHP1"/>
    <mergeCell ref="AHQ1:AHT1"/>
    <mergeCell ref="AHU1:AHX1"/>
    <mergeCell ref="AHY1:AIB1"/>
    <mergeCell ref="AGG1:AGJ1"/>
    <mergeCell ref="AGK1:AGN1"/>
    <mergeCell ref="AGO1:AGR1"/>
    <mergeCell ref="AGS1:AGV1"/>
    <mergeCell ref="AGW1:AGZ1"/>
    <mergeCell ref="AHA1:AHD1"/>
    <mergeCell ref="AFI1:AFL1"/>
    <mergeCell ref="AFM1:AFP1"/>
    <mergeCell ref="AFQ1:AFT1"/>
    <mergeCell ref="AFU1:AFX1"/>
    <mergeCell ref="AFY1:AGB1"/>
    <mergeCell ref="AGC1:AGF1"/>
    <mergeCell ref="APM1:APP1"/>
    <mergeCell ref="APQ1:APT1"/>
    <mergeCell ref="APU1:APX1"/>
    <mergeCell ref="APY1:AQB1"/>
    <mergeCell ref="AQC1:AQF1"/>
    <mergeCell ref="AQG1:AQJ1"/>
    <mergeCell ref="AOO1:AOR1"/>
    <mergeCell ref="AOS1:AOV1"/>
    <mergeCell ref="AOW1:AOZ1"/>
    <mergeCell ref="APA1:APD1"/>
    <mergeCell ref="APE1:APH1"/>
    <mergeCell ref="API1:APL1"/>
    <mergeCell ref="ANQ1:ANT1"/>
    <mergeCell ref="ANU1:ANX1"/>
    <mergeCell ref="ANY1:AOB1"/>
    <mergeCell ref="AOC1:AOF1"/>
    <mergeCell ref="AOG1:AOJ1"/>
    <mergeCell ref="AOK1:AON1"/>
    <mergeCell ref="AMS1:AMV1"/>
    <mergeCell ref="AMW1:AMZ1"/>
    <mergeCell ref="ANA1:AND1"/>
    <mergeCell ref="ANE1:ANH1"/>
    <mergeCell ref="ANI1:ANL1"/>
    <mergeCell ref="ANM1:ANP1"/>
    <mergeCell ref="ALU1:ALX1"/>
    <mergeCell ref="ALY1:AMB1"/>
    <mergeCell ref="AMC1:AMF1"/>
    <mergeCell ref="AMG1:AMJ1"/>
    <mergeCell ref="AMK1:AMN1"/>
    <mergeCell ref="AMO1:AMR1"/>
    <mergeCell ref="AKW1:AKZ1"/>
    <mergeCell ref="ALA1:ALD1"/>
    <mergeCell ref="ALE1:ALH1"/>
    <mergeCell ref="ALI1:ALL1"/>
    <mergeCell ref="ALM1:ALP1"/>
    <mergeCell ref="ALQ1:ALT1"/>
    <mergeCell ref="AVA1:AVD1"/>
    <mergeCell ref="AVE1:AVH1"/>
    <mergeCell ref="AVI1:AVL1"/>
    <mergeCell ref="AVM1:AVP1"/>
    <mergeCell ref="AVQ1:AVT1"/>
    <mergeCell ref="AVU1:AVX1"/>
    <mergeCell ref="AUC1:AUF1"/>
    <mergeCell ref="AUG1:AUJ1"/>
    <mergeCell ref="AUK1:AUN1"/>
    <mergeCell ref="AUO1:AUR1"/>
    <mergeCell ref="AUS1:AUV1"/>
    <mergeCell ref="AUW1:AUZ1"/>
    <mergeCell ref="ATE1:ATH1"/>
    <mergeCell ref="ATI1:ATL1"/>
    <mergeCell ref="ATM1:ATP1"/>
    <mergeCell ref="ATQ1:ATT1"/>
    <mergeCell ref="ATU1:ATX1"/>
    <mergeCell ref="ATY1:AUB1"/>
    <mergeCell ref="ASG1:ASJ1"/>
    <mergeCell ref="ASK1:ASN1"/>
    <mergeCell ref="ASO1:ASR1"/>
    <mergeCell ref="ASS1:ASV1"/>
    <mergeCell ref="ASW1:ASZ1"/>
    <mergeCell ref="ATA1:ATD1"/>
    <mergeCell ref="ARI1:ARL1"/>
    <mergeCell ref="ARM1:ARP1"/>
    <mergeCell ref="ARQ1:ART1"/>
    <mergeCell ref="ARU1:ARX1"/>
    <mergeCell ref="ARY1:ASB1"/>
    <mergeCell ref="ASC1:ASF1"/>
    <mergeCell ref="AQK1:AQN1"/>
    <mergeCell ref="AQO1:AQR1"/>
    <mergeCell ref="AQS1:AQV1"/>
    <mergeCell ref="AQW1:AQZ1"/>
    <mergeCell ref="ARA1:ARD1"/>
    <mergeCell ref="ARE1:ARH1"/>
    <mergeCell ref="BAO1:BAR1"/>
    <mergeCell ref="BAS1:BAV1"/>
    <mergeCell ref="BAW1:BAZ1"/>
    <mergeCell ref="BBA1:BBD1"/>
    <mergeCell ref="BBE1:BBH1"/>
    <mergeCell ref="BBI1:BBL1"/>
    <mergeCell ref="AZQ1:AZT1"/>
    <mergeCell ref="AZU1:AZX1"/>
    <mergeCell ref="AZY1:BAB1"/>
    <mergeCell ref="BAC1:BAF1"/>
    <mergeCell ref="BAG1:BAJ1"/>
    <mergeCell ref="BAK1:BAN1"/>
    <mergeCell ref="AYS1:AYV1"/>
    <mergeCell ref="AYW1:AYZ1"/>
    <mergeCell ref="AZA1:AZD1"/>
    <mergeCell ref="AZE1:AZH1"/>
    <mergeCell ref="AZI1:AZL1"/>
    <mergeCell ref="AZM1:AZP1"/>
    <mergeCell ref="AXU1:AXX1"/>
    <mergeCell ref="AXY1:AYB1"/>
    <mergeCell ref="AYC1:AYF1"/>
    <mergeCell ref="AYG1:AYJ1"/>
    <mergeCell ref="AYK1:AYN1"/>
    <mergeCell ref="AYO1:AYR1"/>
    <mergeCell ref="AWW1:AWZ1"/>
    <mergeCell ref="AXA1:AXD1"/>
    <mergeCell ref="AXE1:AXH1"/>
    <mergeCell ref="AXI1:AXL1"/>
    <mergeCell ref="AXM1:AXP1"/>
    <mergeCell ref="AXQ1:AXT1"/>
    <mergeCell ref="AVY1:AWB1"/>
    <mergeCell ref="AWC1:AWF1"/>
    <mergeCell ref="AWG1:AWJ1"/>
    <mergeCell ref="AWK1:AWN1"/>
    <mergeCell ref="AWO1:AWR1"/>
    <mergeCell ref="AWS1:AWV1"/>
    <mergeCell ref="BGC1:BGF1"/>
    <mergeCell ref="BGG1:BGJ1"/>
    <mergeCell ref="BGK1:BGN1"/>
    <mergeCell ref="BGO1:BGR1"/>
    <mergeCell ref="BGS1:BGV1"/>
    <mergeCell ref="BGW1:BGZ1"/>
    <mergeCell ref="BFE1:BFH1"/>
    <mergeCell ref="BFI1:BFL1"/>
    <mergeCell ref="BFM1:BFP1"/>
    <mergeCell ref="BFQ1:BFT1"/>
    <mergeCell ref="BFU1:BFX1"/>
    <mergeCell ref="BFY1:BGB1"/>
    <mergeCell ref="BEG1:BEJ1"/>
    <mergeCell ref="BEK1:BEN1"/>
    <mergeCell ref="BEO1:BER1"/>
    <mergeCell ref="BES1:BEV1"/>
    <mergeCell ref="BEW1:BEZ1"/>
    <mergeCell ref="BFA1:BFD1"/>
    <mergeCell ref="BDI1:BDL1"/>
    <mergeCell ref="BDM1:BDP1"/>
    <mergeCell ref="BDQ1:BDT1"/>
    <mergeCell ref="BDU1:BDX1"/>
    <mergeCell ref="BDY1:BEB1"/>
    <mergeCell ref="BEC1:BEF1"/>
    <mergeCell ref="BCK1:BCN1"/>
    <mergeCell ref="BCO1:BCR1"/>
    <mergeCell ref="BCS1:BCV1"/>
    <mergeCell ref="BCW1:BCZ1"/>
    <mergeCell ref="BDA1:BDD1"/>
    <mergeCell ref="BDE1:BDH1"/>
    <mergeCell ref="BBM1:BBP1"/>
    <mergeCell ref="BBQ1:BBT1"/>
    <mergeCell ref="BBU1:BBX1"/>
    <mergeCell ref="BBY1:BCB1"/>
    <mergeCell ref="BCC1:BCF1"/>
    <mergeCell ref="BCG1:BCJ1"/>
    <mergeCell ref="BLQ1:BLT1"/>
    <mergeCell ref="BLU1:BLX1"/>
    <mergeCell ref="BLY1:BMB1"/>
    <mergeCell ref="BMC1:BMF1"/>
    <mergeCell ref="BMG1:BMJ1"/>
    <mergeCell ref="BMK1:BMN1"/>
    <mergeCell ref="BKS1:BKV1"/>
    <mergeCell ref="BKW1:BKZ1"/>
    <mergeCell ref="BLA1:BLD1"/>
    <mergeCell ref="BLE1:BLH1"/>
    <mergeCell ref="BLI1:BLL1"/>
    <mergeCell ref="BLM1:BLP1"/>
    <mergeCell ref="BJU1:BJX1"/>
    <mergeCell ref="BJY1:BKB1"/>
    <mergeCell ref="BKC1:BKF1"/>
    <mergeCell ref="BKG1:BKJ1"/>
    <mergeCell ref="BKK1:BKN1"/>
    <mergeCell ref="BKO1:BKR1"/>
    <mergeCell ref="BIW1:BIZ1"/>
    <mergeCell ref="BJA1:BJD1"/>
    <mergeCell ref="BJE1:BJH1"/>
    <mergeCell ref="BJI1:BJL1"/>
    <mergeCell ref="BJM1:BJP1"/>
    <mergeCell ref="BJQ1:BJT1"/>
    <mergeCell ref="BHY1:BIB1"/>
    <mergeCell ref="BIC1:BIF1"/>
    <mergeCell ref="BIG1:BIJ1"/>
    <mergeCell ref="BIK1:BIN1"/>
    <mergeCell ref="BIO1:BIR1"/>
    <mergeCell ref="BIS1:BIV1"/>
    <mergeCell ref="BHA1:BHD1"/>
    <mergeCell ref="BHE1:BHH1"/>
    <mergeCell ref="BHI1:BHL1"/>
    <mergeCell ref="BHM1:BHP1"/>
    <mergeCell ref="BHQ1:BHT1"/>
    <mergeCell ref="BHU1:BHX1"/>
    <mergeCell ref="BRE1:BRH1"/>
    <mergeCell ref="BRI1:BRL1"/>
    <mergeCell ref="BRM1:BRP1"/>
    <mergeCell ref="BRQ1:BRT1"/>
    <mergeCell ref="BRU1:BRX1"/>
    <mergeCell ref="BRY1:BSB1"/>
    <mergeCell ref="BQG1:BQJ1"/>
    <mergeCell ref="BQK1:BQN1"/>
    <mergeCell ref="BQO1:BQR1"/>
    <mergeCell ref="BQS1:BQV1"/>
    <mergeCell ref="BQW1:BQZ1"/>
    <mergeCell ref="BRA1:BRD1"/>
    <mergeCell ref="BPI1:BPL1"/>
    <mergeCell ref="BPM1:BPP1"/>
    <mergeCell ref="BPQ1:BPT1"/>
    <mergeCell ref="BPU1:BPX1"/>
    <mergeCell ref="BPY1:BQB1"/>
    <mergeCell ref="BQC1:BQF1"/>
    <mergeCell ref="BOK1:BON1"/>
    <mergeCell ref="BOO1:BOR1"/>
    <mergeCell ref="BOS1:BOV1"/>
    <mergeCell ref="BOW1:BOZ1"/>
    <mergeCell ref="BPA1:BPD1"/>
    <mergeCell ref="BPE1:BPH1"/>
    <mergeCell ref="BNM1:BNP1"/>
    <mergeCell ref="BNQ1:BNT1"/>
    <mergeCell ref="BNU1:BNX1"/>
    <mergeCell ref="BNY1:BOB1"/>
    <mergeCell ref="BOC1:BOF1"/>
    <mergeCell ref="BOG1:BOJ1"/>
    <mergeCell ref="BMO1:BMR1"/>
    <mergeCell ref="BMS1:BMV1"/>
    <mergeCell ref="BMW1:BMZ1"/>
    <mergeCell ref="BNA1:BND1"/>
    <mergeCell ref="BNE1:BNH1"/>
    <mergeCell ref="BNI1:BNL1"/>
    <mergeCell ref="BWS1:BWV1"/>
    <mergeCell ref="BWW1:BWZ1"/>
    <mergeCell ref="BXA1:BXD1"/>
    <mergeCell ref="BXE1:BXH1"/>
    <mergeCell ref="BXI1:BXL1"/>
    <mergeCell ref="BXM1:BXP1"/>
    <mergeCell ref="BVU1:BVX1"/>
    <mergeCell ref="BVY1:BWB1"/>
    <mergeCell ref="BWC1:BWF1"/>
    <mergeCell ref="BWG1:BWJ1"/>
    <mergeCell ref="BWK1:BWN1"/>
    <mergeCell ref="BWO1:BWR1"/>
    <mergeCell ref="BUW1:BUZ1"/>
    <mergeCell ref="BVA1:BVD1"/>
    <mergeCell ref="BVE1:BVH1"/>
    <mergeCell ref="BVI1:BVL1"/>
    <mergeCell ref="BVM1:BVP1"/>
    <mergeCell ref="BVQ1:BVT1"/>
    <mergeCell ref="BTY1:BUB1"/>
    <mergeCell ref="BUC1:BUF1"/>
    <mergeCell ref="BUG1:BUJ1"/>
    <mergeCell ref="BUK1:BUN1"/>
    <mergeCell ref="BUO1:BUR1"/>
    <mergeCell ref="BUS1:BUV1"/>
    <mergeCell ref="BTA1:BTD1"/>
    <mergeCell ref="BTE1:BTH1"/>
    <mergeCell ref="BTI1:BTL1"/>
    <mergeCell ref="BTM1:BTP1"/>
    <mergeCell ref="BTQ1:BTT1"/>
    <mergeCell ref="BTU1:BTX1"/>
    <mergeCell ref="BSC1:BSF1"/>
    <mergeCell ref="BSG1:BSJ1"/>
    <mergeCell ref="BSK1:BSN1"/>
    <mergeCell ref="BSO1:BSR1"/>
    <mergeCell ref="BSS1:BSV1"/>
    <mergeCell ref="BSW1:BSZ1"/>
    <mergeCell ref="CCG1:CCJ1"/>
    <mergeCell ref="CCK1:CCN1"/>
    <mergeCell ref="CCO1:CCR1"/>
    <mergeCell ref="CCS1:CCV1"/>
    <mergeCell ref="CCW1:CCZ1"/>
    <mergeCell ref="CDA1:CDD1"/>
    <mergeCell ref="CBI1:CBL1"/>
    <mergeCell ref="CBM1:CBP1"/>
    <mergeCell ref="CBQ1:CBT1"/>
    <mergeCell ref="CBU1:CBX1"/>
    <mergeCell ref="CBY1:CCB1"/>
    <mergeCell ref="CCC1:CCF1"/>
    <mergeCell ref="CAK1:CAN1"/>
    <mergeCell ref="CAO1:CAR1"/>
    <mergeCell ref="CAS1:CAV1"/>
    <mergeCell ref="CAW1:CAZ1"/>
    <mergeCell ref="CBA1:CBD1"/>
    <mergeCell ref="CBE1:CBH1"/>
    <mergeCell ref="BZM1:BZP1"/>
    <mergeCell ref="BZQ1:BZT1"/>
    <mergeCell ref="BZU1:BZX1"/>
    <mergeCell ref="BZY1:CAB1"/>
    <mergeCell ref="CAC1:CAF1"/>
    <mergeCell ref="CAG1:CAJ1"/>
    <mergeCell ref="BYO1:BYR1"/>
    <mergeCell ref="BYS1:BYV1"/>
    <mergeCell ref="BYW1:BYZ1"/>
    <mergeCell ref="BZA1:BZD1"/>
    <mergeCell ref="BZE1:BZH1"/>
    <mergeCell ref="BZI1:BZL1"/>
    <mergeCell ref="BXQ1:BXT1"/>
    <mergeCell ref="BXU1:BXX1"/>
    <mergeCell ref="BXY1:BYB1"/>
    <mergeCell ref="BYC1:BYF1"/>
    <mergeCell ref="BYG1:BYJ1"/>
    <mergeCell ref="BYK1:BYN1"/>
    <mergeCell ref="CHU1:CHX1"/>
    <mergeCell ref="CHY1:CIB1"/>
    <mergeCell ref="CIC1:CIF1"/>
    <mergeCell ref="CIG1:CIJ1"/>
    <mergeCell ref="CIK1:CIN1"/>
    <mergeCell ref="CIO1:CIR1"/>
    <mergeCell ref="CGW1:CGZ1"/>
    <mergeCell ref="CHA1:CHD1"/>
    <mergeCell ref="CHE1:CHH1"/>
    <mergeCell ref="CHI1:CHL1"/>
    <mergeCell ref="CHM1:CHP1"/>
    <mergeCell ref="CHQ1:CHT1"/>
    <mergeCell ref="CFY1:CGB1"/>
    <mergeCell ref="CGC1:CGF1"/>
    <mergeCell ref="CGG1:CGJ1"/>
    <mergeCell ref="CGK1:CGN1"/>
    <mergeCell ref="CGO1:CGR1"/>
    <mergeCell ref="CGS1:CGV1"/>
    <mergeCell ref="CFA1:CFD1"/>
    <mergeCell ref="CFE1:CFH1"/>
    <mergeCell ref="CFI1:CFL1"/>
    <mergeCell ref="CFM1:CFP1"/>
    <mergeCell ref="CFQ1:CFT1"/>
    <mergeCell ref="CFU1:CFX1"/>
    <mergeCell ref="CEC1:CEF1"/>
    <mergeCell ref="CEG1:CEJ1"/>
    <mergeCell ref="CEK1:CEN1"/>
    <mergeCell ref="CEO1:CER1"/>
    <mergeCell ref="CES1:CEV1"/>
    <mergeCell ref="CEW1:CEZ1"/>
    <mergeCell ref="CDE1:CDH1"/>
    <mergeCell ref="CDI1:CDL1"/>
    <mergeCell ref="CDM1:CDP1"/>
    <mergeCell ref="CDQ1:CDT1"/>
    <mergeCell ref="CDU1:CDX1"/>
    <mergeCell ref="CDY1:CEB1"/>
    <mergeCell ref="CNI1:CNL1"/>
    <mergeCell ref="CNM1:CNP1"/>
    <mergeCell ref="CNQ1:CNT1"/>
    <mergeCell ref="CNU1:CNX1"/>
    <mergeCell ref="CNY1:COB1"/>
    <mergeCell ref="COC1:COF1"/>
    <mergeCell ref="CMK1:CMN1"/>
    <mergeCell ref="CMO1:CMR1"/>
    <mergeCell ref="CMS1:CMV1"/>
    <mergeCell ref="CMW1:CMZ1"/>
    <mergeCell ref="CNA1:CND1"/>
    <mergeCell ref="CNE1:CNH1"/>
    <mergeCell ref="CLM1:CLP1"/>
    <mergeCell ref="CLQ1:CLT1"/>
    <mergeCell ref="CLU1:CLX1"/>
    <mergeCell ref="CLY1:CMB1"/>
    <mergeCell ref="CMC1:CMF1"/>
    <mergeCell ref="CMG1:CMJ1"/>
    <mergeCell ref="CKO1:CKR1"/>
    <mergeCell ref="CKS1:CKV1"/>
    <mergeCell ref="CKW1:CKZ1"/>
    <mergeCell ref="CLA1:CLD1"/>
    <mergeCell ref="CLE1:CLH1"/>
    <mergeCell ref="CLI1:CLL1"/>
    <mergeCell ref="CJQ1:CJT1"/>
    <mergeCell ref="CJU1:CJX1"/>
    <mergeCell ref="CJY1:CKB1"/>
    <mergeCell ref="CKC1:CKF1"/>
    <mergeCell ref="CKG1:CKJ1"/>
    <mergeCell ref="CKK1:CKN1"/>
    <mergeCell ref="CIS1:CIV1"/>
    <mergeCell ref="CIW1:CIZ1"/>
    <mergeCell ref="CJA1:CJD1"/>
    <mergeCell ref="CJE1:CJH1"/>
    <mergeCell ref="CJI1:CJL1"/>
    <mergeCell ref="CJM1:CJP1"/>
    <mergeCell ref="CSW1:CSZ1"/>
    <mergeCell ref="CTA1:CTD1"/>
    <mergeCell ref="CTE1:CTH1"/>
    <mergeCell ref="CTI1:CTL1"/>
    <mergeCell ref="CTM1:CTP1"/>
    <mergeCell ref="CTQ1:CTT1"/>
    <mergeCell ref="CRY1:CSB1"/>
    <mergeCell ref="CSC1:CSF1"/>
    <mergeCell ref="CSG1:CSJ1"/>
    <mergeCell ref="CSK1:CSN1"/>
    <mergeCell ref="CSO1:CSR1"/>
    <mergeCell ref="CSS1:CSV1"/>
    <mergeCell ref="CRA1:CRD1"/>
    <mergeCell ref="CRE1:CRH1"/>
    <mergeCell ref="CRI1:CRL1"/>
    <mergeCell ref="CRM1:CRP1"/>
    <mergeCell ref="CRQ1:CRT1"/>
    <mergeCell ref="CRU1:CRX1"/>
    <mergeCell ref="CQC1:CQF1"/>
    <mergeCell ref="CQG1:CQJ1"/>
    <mergeCell ref="CQK1:CQN1"/>
    <mergeCell ref="CQO1:CQR1"/>
    <mergeCell ref="CQS1:CQV1"/>
    <mergeCell ref="CQW1:CQZ1"/>
    <mergeCell ref="CPE1:CPH1"/>
    <mergeCell ref="CPI1:CPL1"/>
    <mergeCell ref="CPM1:CPP1"/>
    <mergeCell ref="CPQ1:CPT1"/>
    <mergeCell ref="CPU1:CPX1"/>
    <mergeCell ref="CPY1:CQB1"/>
    <mergeCell ref="COG1:COJ1"/>
    <mergeCell ref="COK1:CON1"/>
    <mergeCell ref="COO1:COR1"/>
    <mergeCell ref="COS1:COV1"/>
    <mergeCell ref="COW1:COZ1"/>
    <mergeCell ref="CPA1:CPD1"/>
    <mergeCell ref="CYK1:CYN1"/>
    <mergeCell ref="CYO1:CYR1"/>
    <mergeCell ref="CYS1:CYV1"/>
    <mergeCell ref="CYW1:CYZ1"/>
    <mergeCell ref="CZA1:CZD1"/>
    <mergeCell ref="CZE1:CZH1"/>
    <mergeCell ref="CXM1:CXP1"/>
    <mergeCell ref="CXQ1:CXT1"/>
    <mergeCell ref="CXU1:CXX1"/>
    <mergeCell ref="CXY1:CYB1"/>
    <mergeCell ref="CYC1:CYF1"/>
    <mergeCell ref="CYG1:CYJ1"/>
    <mergeCell ref="CWO1:CWR1"/>
    <mergeCell ref="CWS1:CWV1"/>
    <mergeCell ref="CWW1:CWZ1"/>
    <mergeCell ref="CXA1:CXD1"/>
    <mergeCell ref="CXE1:CXH1"/>
    <mergeCell ref="CXI1:CXL1"/>
    <mergeCell ref="CVQ1:CVT1"/>
    <mergeCell ref="CVU1:CVX1"/>
    <mergeCell ref="CVY1:CWB1"/>
    <mergeCell ref="CWC1:CWF1"/>
    <mergeCell ref="CWG1:CWJ1"/>
    <mergeCell ref="CWK1:CWN1"/>
    <mergeCell ref="CUS1:CUV1"/>
    <mergeCell ref="CUW1:CUZ1"/>
    <mergeCell ref="CVA1:CVD1"/>
    <mergeCell ref="CVE1:CVH1"/>
    <mergeCell ref="CVI1:CVL1"/>
    <mergeCell ref="CVM1:CVP1"/>
    <mergeCell ref="CTU1:CTX1"/>
    <mergeCell ref="CTY1:CUB1"/>
    <mergeCell ref="CUC1:CUF1"/>
    <mergeCell ref="CUG1:CUJ1"/>
    <mergeCell ref="CUK1:CUN1"/>
    <mergeCell ref="CUO1:CUR1"/>
    <mergeCell ref="DDY1:DEB1"/>
    <mergeCell ref="DEC1:DEF1"/>
    <mergeCell ref="DEG1:DEJ1"/>
    <mergeCell ref="DEK1:DEN1"/>
    <mergeCell ref="DEO1:DER1"/>
    <mergeCell ref="DES1:DEV1"/>
    <mergeCell ref="DDA1:DDD1"/>
    <mergeCell ref="DDE1:DDH1"/>
    <mergeCell ref="DDI1:DDL1"/>
    <mergeCell ref="DDM1:DDP1"/>
    <mergeCell ref="DDQ1:DDT1"/>
    <mergeCell ref="DDU1:DDX1"/>
    <mergeCell ref="DCC1:DCF1"/>
    <mergeCell ref="DCG1:DCJ1"/>
    <mergeCell ref="DCK1:DCN1"/>
    <mergeCell ref="DCO1:DCR1"/>
    <mergeCell ref="DCS1:DCV1"/>
    <mergeCell ref="DCW1:DCZ1"/>
    <mergeCell ref="DBE1:DBH1"/>
    <mergeCell ref="DBI1:DBL1"/>
    <mergeCell ref="DBM1:DBP1"/>
    <mergeCell ref="DBQ1:DBT1"/>
    <mergeCell ref="DBU1:DBX1"/>
    <mergeCell ref="DBY1:DCB1"/>
    <mergeCell ref="DAG1:DAJ1"/>
    <mergeCell ref="DAK1:DAN1"/>
    <mergeCell ref="DAO1:DAR1"/>
    <mergeCell ref="DAS1:DAV1"/>
    <mergeCell ref="DAW1:DAZ1"/>
    <mergeCell ref="DBA1:DBD1"/>
    <mergeCell ref="CZI1:CZL1"/>
    <mergeCell ref="CZM1:CZP1"/>
    <mergeCell ref="CZQ1:CZT1"/>
    <mergeCell ref="CZU1:CZX1"/>
    <mergeCell ref="CZY1:DAB1"/>
    <mergeCell ref="DAC1:DAF1"/>
    <mergeCell ref="DJM1:DJP1"/>
    <mergeCell ref="DJQ1:DJT1"/>
    <mergeCell ref="DJU1:DJX1"/>
    <mergeCell ref="DJY1:DKB1"/>
    <mergeCell ref="DKC1:DKF1"/>
    <mergeCell ref="DKG1:DKJ1"/>
    <mergeCell ref="DIO1:DIR1"/>
    <mergeCell ref="DIS1:DIV1"/>
    <mergeCell ref="DIW1:DIZ1"/>
    <mergeCell ref="DJA1:DJD1"/>
    <mergeCell ref="DJE1:DJH1"/>
    <mergeCell ref="DJI1:DJL1"/>
    <mergeCell ref="DHQ1:DHT1"/>
    <mergeCell ref="DHU1:DHX1"/>
    <mergeCell ref="DHY1:DIB1"/>
    <mergeCell ref="DIC1:DIF1"/>
    <mergeCell ref="DIG1:DIJ1"/>
    <mergeCell ref="DIK1:DIN1"/>
    <mergeCell ref="DGS1:DGV1"/>
    <mergeCell ref="DGW1:DGZ1"/>
    <mergeCell ref="DHA1:DHD1"/>
    <mergeCell ref="DHE1:DHH1"/>
    <mergeCell ref="DHI1:DHL1"/>
    <mergeCell ref="DHM1:DHP1"/>
    <mergeCell ref="DFU1:DFX1"/>
    <mergeCell ref="DFY1:DGB1"/>
    <mergeCell ref="DGC1:DGF1"/>
    <mergeCell ref="DGG1:DGJ1"/>
    <mergeCell ref="DGK1:DGN1"/>
    <mergeCell ref="DGO1:DGR1"/>
    <mergeCell ref="DEW1:DEZ1"/>
    <mergeCell ref="DFA1:DFD1"/>
    <mergeCell ref="DFE1:DFH1"/>
    <mergeCell ref="DFI1:DFL1"/>
    <mergeCell ref="DFM1:DFP1"/>
    <mergeCell ref="DFQ1:DFT1"/>
    <mergeCell ref="DPA1:DPD1"/>
    <mergeCell ref="DPE1:DPH1"/>
    <mergeCell ref="DPI1:DPL1"/>
    <mergeCell ref="DPM1:DPP1"/>
    <mergeCell ref="DPQ1:DPT1"/>
    <mergeCell ref="DPU1:DPX1"/>
    <mergeCell ref="DOC1:DOF1"/>
    <mergeCell ref="DOG1:DOJ1"/>
    <mergeCell ref="DOK1:DON1"/>
    <mergeCell ref="DOO1:DOR1"/>
    <mergeCell ref="DOS1:DOV1"/>
    <mergeCell ref="DOW1:DOZ1"/>
    <mergeCell ref="DNE1:DNH1"/>
    <mergeCell ref="DNI1:DNL1"/>
    <mergeCell ref="DNM1:DNP1"/>
    <mergeCell ref="DNQ1:DNT1"/>
    <mergeCell ref="DNU1:DNX1"/>
    <mergeCell ref="DNY1:DOB1"/>
    <mergeCell ref="DMG1:DMJ1"/>
    <mergeCell ref="DMK1:DMN1"/>
    <mergeCell ref="DMO1:DMR1"/>
    <mergeCell ref="DMS1:DMV1"/>
    <mergeCell ref="DMW1:DMZ1"/>
    <mergeCell ref="DNA1:DND1"/>
    <mergeCell ref="DLI1:DLL1"/>
    <mergeCell ref="DLM1:DLP1"/>
    <mergeCell ref="DLQ1:DLT1"/>
    <mergeCell ref="DLU1:DLX1"/>
    <mergeCell ref="DLY1:DMB1"/>
    <mergeCell ref="DMC1:DMF1"/>
    <mergeCell ref="DKK1:DKN1"/>
    <mergeCell ref="DKO1:DKR1"/>
    <mergeCell ref="DKS1:DKV1"/>
    <mergeCell ref="DKW1:DKZ1"/>
    <mergeCell ref="DLA1:DLD1"/>
    <mergeCell ref="DLE1:DLH1"/>
    <mergeCell ref="DUO1:DUR1"/>
    <mergeCell ref="DUS1:DUV1"/>
    <mergeCell ref="DUW1:DUZ1"/>
    <mergeCell ref="DVA1:DVD1"/>
    <mergeCell ref="DVE1:DVH1"/>
    <mergeCell ref="DVI1:DVL1"/>
    <mergeCell ref="DTQ1:DTT1"/>
    <mergeCell ref="DTU1:DTX1"/>
    <mergeCell ref="DTY1:DUB1"/>
    <mergeCell ref="DUC1:DUF1"/>
    <mergeCell ref="DUG1:DUJ1"/>
    <mergeCell ref="DUK1:DUN1"/>
    <mergeCell ref="DSS1:DSV1"/>
    <mergeCell ref="DSW1:DSZ1"/>
    <mergeCell ref="DTA1:DTD1"/>
    <mergeCell ref="DTE1:DTH1"/>
    <mergeCell ref="DTI1:DTL1"/>
    <mergeCell ref="DTM1:DTP1"/>
    <mergeCell ref="DRU1:DRX1"/>
    <mergeCell ref="DRY1:DSB1"/>
    <mergeCell ref="DSC1:DSF1"/>
    <mergeCell ref="DSG1:DSJ1"/>
    <mergeCell ref="DSK1:DSN1"/>
    <mergeCell ref="DSO1:DSR1"/>
    <mergeCell ref="DQW1:DQZ1"/>
    <mergeCell ref="DRA1:DRD1"/>
    <mergeCell ref="DRE1:DRH1"/>
    <mergeCell ref="DRI1:DRL1"/>
    <mergeCell ref="DRM1:DRP1"/>
    <mergeCell ref="DRQ1:DRT1"/>
    <mergeCell ref="DPY1:DQB1"/>
    <mergeCell ref="DQC1:DQF1"/>
    <mergeCell ref="DQG1:DQJ1"/>
    <mergeCell ref="DQK1:DQN1"/>
    <mergeCell ref="DQO1:DQR1"/>
    <mergeCell ref="DQS1:DQV1"/>
    <mergeCell ref="EAC1:EAF1"/>
    <mergeCell ref="EAG1:EAJ1"/>
    <mergeCell ref="EAK1:EAN1"/>
    <mergeCell ref="EAO1:EAR1"/>
    <mergeCell ref="EAS1:EAV1"/>
    <mergeCell ref="EAW1:EAZ1"/>
    <mergeCell ref="DZE1:DZH1"/>
    <mergeCell ref="DZI1:DZL1"/>
    <mergeCell ref="DZM1:DZP1"/>
    <mergeCell ref="DZQ1:DZT1"/>
    <mergeCell ref="DZU1:DZX1"/>
    <mergeCell ref="DZY1:EAB1"/>
    <mergeCell ref="DYG1:DYJ1"/>
    <mergeCell ref="DYK1:DYN1"/>
    <mergeCell ref="DYO1:DYR1"/>
    <mergeCell ref="DYS1:DYV1"/>
    <mergeCell ref="DYW1:DYZ1"/>
    <mergeCell ref="DZA1:DZD1"/>
    <mergeCell ref="DXI1:DXL1"/>
    <mergeCell ref="DXM1:DXP1"/>
    <mergeCell ref="DXQ1:DXT1"/>
    <mergeCell ref="DXU1:DXX1"/>
    <mergeCell ref="DXY1:DYB1"/>
    <mergeCell ref="DYC1:DYF1"/>
    <mergeCell ref="DWK1:DWN1"/>
    <mergeCell ref="DWO1:DWR1"/>
    <mergeCell ref="DWS1:DWV1"/>
    <mergeCell ref="DWW1:DWZ1"/>
    <mergeCell ref="DXA1:DXD1"/>
    <mergeCell ref="DXE1:DXH1"/>
    <mergeCell ref="DVM1:DVP1"/>
    <mergeCell ref="DVQ1:DVT1"/>
    <mergeCell ref="DVU1:DVX1"/>
    <mergeCell ref="DVY1:DWB1"/>
    <mergeCell ref="DWC1:DWF1"/>
    <mergeCell ref="DWG1:DWJ1"/>
    <mergeCell ref="EFQ1:EFT1"/>
    <mergeCell ref="EFU1:EFX1"/>
    <mergeCell ref="EFY1:EGB1"/>
    <mergeCell ref="EGC1:EGF1"/>
    <mergeCell ref="EGG1:EGJ1"/>
    <mergeCell ref="EGK1:EGN1"/>
    <mergeCell ref="EES1:EEV1"/>
    <mergeCell ref="EEW1:EEZ1"/>
    <mergeCell ref="EFA1:EFD1"/>
    <mergeCell ref="EFE1:EFH1"/>
    <mergeCell ref="EFI1:EFL1"/>
    <mergeCell ref="EFM1:EFP1"/>
    <mergeCell ref="EDU1:EDX1"/>
    <mergeCell ref="EDY1:EEB1"/>
    <mergeCell ref="EEC1:EEF1"/>
    <mergeCell ref="EEG1:EEJ1"/>
    <mergeCell ref="EEK1:EEN1"/>
    <mergeCell ref="EEO1:EER1"/>
    <mergeCell ref="ECW1:ECZ1"/>
    <mergeCell ref="EDA1:EDD1"/>
    <mergeCell ref="EDE1:EDH1"/>
    <mergeCell ref="EDI1:EDL1"/>
    <mergeCell ref="EDM1:EDP1"/>
    <mergeCell ref="EDQ1:EDT1"/>
    <mergeCell ref="EBY1:ECB1"/>
    <mergeCell ref="ECC1:ECF1"/>
    <mergeCell ref="ECG1:ECJ1"/>
    <mergeCell ref="ECK1:ECN1"/>
    <mergeCell ref="ECO1:ECR1"/>
    <mergeCell ref="ECS1:ECV1"/>
    <mergeCell ref="EBA1:EBD1"/>
    <mergeCell ref="EBE1:EBH1"/>
    <mergeCell ref="EBI1:EBL1"/>
    <mergeCell ref="EBM1:EBP1"/>
    <mergeCell ref="EBQ1:EBT1"/>
    <mergeCell ref="EBU1:EBX1"/>
    <mergeCell ref="ELE1:ELH1"/>
    <mergeCell ref="ELI1:ELL1"/>
    <mergeCell ref="ELM1:ELP1"/>
    <mergeCell ref="ELQ1:ELT1"/>
    <mergeCell ref="ELU1:ELX1"/>
    <mergeCell ref="ELY1:EMB1"/>
    <mergeCell ref="EKG1:EKJ1"/>
    <mergeCell ref="EKK1:EKN1"/>
    <mergeCell ref="EKO1:EKR1"/>
    <mergeCell ref="EKS1:EKV1"/>
    <mergeCell ref="EKW1:EKZ1"/>
    <mergeCell ref="ELA1:ELD1"/>
    <mergeCell ref="EJI1:EJL1"/>
    <mergeCell ref="EJM1:EJP1"/>
    <mergeCell ref="EJQ1:EJT1"/>
    <mergeCell ref="EJU1:EJX1"/>
    <mergeCell ref="EJY1:EKB1"/>
    <mergeCell ref="EKC1:EKF1"/>
    <mergeCell ref="EIK1:EIN1"/>
    <mergeCell ref="EIO1:EIR1"/>
    <mergeCell ref="EIS1:EIV1"/>
    <mergeCell ref="EIW1:EIZ1"/>
    <mergeCell ref="EJA1:EJD1"/>
    <mergeCell ref="EJE1:EJH1"/>
    <mergeCell ref="EHM1:EHP1"/>
    <mergeCell ref="EHQ1:EHT1"/>
    <mergeCell ref="EHU1:EHX1"/>
    <mergeCell ref="EHY1:EIB1"/>
    <mergeCell ref="EIC1:EIF1"/>
    <mergeCell ref="EIG1:EIJ1"/>
    <mergeCell ref="EGO1:EGR1"/>
    <mergeCell ref="EGS1:EGV1"/>
    <mergeCell ref="EGW1:EGZ1"/>
    <mergeCell ref="EHA1:EHD1"/>
    <mergeCell ref="EHE1:EHH1"/>
    <mergeCell ref="EHI1:EHL1"/>
    <mergeCell ref="EQS1:EQV1"/>
    <mergeCell ref="EQW1:EQZ1"/>
    <mergeCell ref="ERA1:ERD1"/>
    <mergeCell ref="ERE1:ERH1"/>
    <mergeCell ref="ERI1:ERL1"/>
    <mergeCell ref="ERM1:ERP1"/>
    <mergeCell ref="EPU1:EPX1"/>
    <mergeCell ref="EPY1:EQB1"/>
    <mergeCell ref="EQC1:EQF1"/>
    <mergeCell ref="EQG1:EQJ1"/>
    <mergeCell ref="EQK1:EQN1"/>
    <mergeCell ref="EQO1:EQR1"/>
    <mergeCell ref="EOW1:EOZ1"/>
    <mergeCell ref="EPA1:EPD1"/>
    <mergeCell ref="EPE1:EPH1"/>
    <mergeCell ref="EPI1:EPL1"/>
    <mergeCell ref="EPM1:EPP1"/>
    <mergeCell ref="EPQ1:EPT1"/>
    <mergeCell ref="ENY1:EOB1"/>
    <mergeCell ref="EOC1:EOF1"/>
    <mergeCell ref="EOG1:EOJ1"/>
    <mergeCell ref="EOK1:EON1"/>
    <mergeCell ref="EOO1:EOR1"/>
    <mergeCell ref="EOS1:EOV1"/>
    <mergeCell ref="ENA1:END1"/>
    <mergeCell ref="ENE1:ENH1"/>
    <mergeCell ref="ENI1:ENL1"/>
    <mergeCell ref="ENM1:ENP1"/>
    <mergeCell ref="ENQ1:ENT1"/>
    <mergeCell ref="ENU1:ENX1"/>
    <mergeCell ref="EMC1:EMF1"/>
    <mergeCell ref="EMG1:EMJ1"/>
    <mergeCell ref="EMK1:EMN1"/>
    <mergeCell ref="EMO1:EMR1"/>
    <mergeCell ref="EMS1:EMV1"/>
    <mergeCell ref="EMW1:EMZ1"/>
    <mergeCell ref="EWG1:EWJ1"/>
    <mergeCell ref="EWK1:EWN1"/>
    <mergeCell ref="EWO1:EWR1"/>
    <mergeCell ref="EWS1:EWV1"/>
    <mergeCell ref="EWW1:EWZ1"/>
    <mergeCell ref="EXA1:EXD1"/>
    <mergeCell ref="EVI1:EVL1"/>
    <mergeCell ref="EVM1:EVP1"/>
    <mergeCell ref="EVQ1:EVT1"/>
    <mergeCell ref="EVU1:EVX1"/>
    <mergeCell ref="EVY1:EWB1"/>
    <mergeCell ref="EWC1:EWF1"/>
    <mergeCell ref="EUK1:EUN1"/>
    <mergeCell ref="EUO1:EUR1"/>
    <mergeCell ref="EUS1:EUV1"/>
    <mergeCell ref="EUW1:EUZ1"/>
    <mergeCell ref="EVA1:EVD1"/>
    <mergeCell ref="EVE1:EVH1"/>
    <mergeCell ref="ETM1:ETP1"/>
    <mergeCell ref="ETQ1:ETT1"/>
    <mergeCell ref="ETU1:ETX1"/>
    <mergeCell ref="ETY1:EUB1"/>
    <mergeCell ref="EUC1:EUF1"/>
    <mergeCell ref="EUG1:EUJ1"/>
    <mergeCell ref="ESO1:ESR1"/>
    <mergeCell ref="ESS1:ESV1"/>
    <mergeCell ref="ESW1:ESZ1"/>
    <mergeCell ref="ETA1:ETD1"/>
    <mergeCell ref="ETE1:ETH1"/>
    <mergeCell ref="ETI1:ETL1"/>
    <mergeCell ref="ERQ1:ERT1"/>
    <mergeCell ref="ERU1:ERX1"/>
    <mergeCell ref="ERY1:ESB1"/>
    <mergeCell ref="ESC1:ESF1"/>
    <mergeCell ref="ESG1:ESJ1"/>
    <mergeCell ref="ESK1:ESN1"/>
    <mergeCell ref="FBU1:FBX1"/>
    <mergeCell ref="FBY1:FCB1"/>
    <mergeCell ref="FCC1:FCF1"/>
    <mergeCell ref="FCG1:FCJ1"/>
    <mergeCell ref="FCK1:FCN1"/>
    <mergeCell ref="FCO1:FCR1"/>
    <mergeCell ref="FAW1:FAZ1"/>
    <mergeCell ref="FBA1:FBD1"/>
    <mergeCell ref="FBE1:FBH1"/>
    <mergeCell ref="FBI1:FBL1"/>
    <mergeCell ref="FBM1:FBP1"/>
    <mergeCell ref="FBQ1:FBT1"/>
    <mergeCell ref="EZY1:FAB1"/>
    <mergeCell ref="FAC1:FAF1"/>
    <mergeCell ref="FAG1:FAJ1"/>
    <mergeCell ref="FAK1:FAN1"/>
    <mergeCell ref="FAO1:FAR1"/>
    <mergeCell ref="FAS1:FAV1"/>
    <mergeCell ref="EZA1:EZD1"/>
    <mergeCell ref="EZE1:EZH1"/>
    <mergeCell ref="EZI1:EZL1"/>
    <mergeCell ref="EZM1:EZP1"/>
    <mergeCell ref="EZQ1:EZT1"/>
    <mergeCell ref="EZU1:EZX1"/>
    <mergeCell ref="EYC1:EYF1"/>
    <mergeCell ref="EYG1:EYJ1"/>
    <mergeCell ref="EYK1:EYN1"/>
    <mergeCell ref="EYO1:EYR1"/>
    <mergeCell ref="EYS1:EYV1"/>
    <mergeCell ref="EYW1:EYZ1"/>
    <mergeCell ref="EXE1:EXH1"/>
    <mergeCell ref="EXI1:EXL1"/>
    <mergeCell ref="EXM1:EXP1"/>
    <mergeCell ref="EXQ1:EXT1"/>
    <mergeCell ref="EXU1:EXX1"/>
    <mergeCell ref="EXY1:EYB1"/>
    <mergeCell ref="FHI1:FHL1"/>
    <mergeCell ref="FHM1:FHP1"/>
    <mergeCell ref="FHQ1:FHT1"/>
    <mergeCell ref="FHU1:FHX1"/>
    <mergeCell ref="FHY1:FIB1"/>
    <mergeCell ref="FIC1:FIF1"/>
    <mergeCell ref="FGK1:FGN1"/>
    <mergeCell ref="FGO1:FGR1"/>
    <mergeCell ref="FGS1:FGV1"/>
    <mergeCell ref="FGW1:FGZ1"/>
    <mergeCell ref="FHA1:FHD1"/>
    <mergeCell ref="FHE1:FHH1"/>
    <mergeCell ref="FFM1:FFP1"/>
    <mergeCell ref="FFQ1:FFT1"/>
    <mergeCell ref="FFU1:FFX1"/>
    <mergeCell ref="FFY1:FGB1"/>
    <mergeCell ref="FGC1:FGF1"/>
    <mergeCell ref="FGG1:FGJ1"/>
    <mergeCell ref="FEO1:FER1"/>
    <mergeCell ref="FES1:FEV1"/>
    <mergeCell ref="FEW1:FEZ1"/>
    <mergeCell ref="FFA1:FFD1"/>
    <mergeCell ref="FFE1:FFH1"/>
    <mergeCell ref="FFI1:FFL1"/>
    <mergeCell ref="FDQ1:FDT1"/>
    <mergeCell ref="FDU1:FDX1"/>
    <mergeCell ref="FDY1:FEB1"/>
    <mergeCell ref="FEC1:FEF1"/>
    <mergeCell ref="FEG1:FEJ1"/>
    <mergeCell ref="FEK1:FEN1"/>
    <mergeCell ref="FCS1:FCV1"/>
    <mergeCell ref="FCW1:FCZ1"/>
    <mergeCell ref="FDA1:FDD1"/>
    <mergeCell ref="FDE1:FDH1"/>
    <mergeCell ref="FDI1:FDL1"/>
    <mergeCell ref="FDM1:FDP1"/>
    <mergeCell ref="FMW1:FMZ1"/>
    <mergeCell ref="FNA1:FND1"/>
    <mergeCell ref="FNE1:FNH1"/>
    <mergeCell ref="FNI1:FNL1"/>
    <mergeCell ref="FNM1:FNP1"/>
    <mergeCell ref="FNQ1:FNT1"/>
    <mergeCell ref="FLY1:FMB1"/>
    <mergeCell ref="FMC1:FMF1"/>
    <mergeCell ref="FMG1:FMJ1"/>
    <mergeCell ref="FMK1:FMN1"/>
    <mergeCell ref="FMO1:FMR1"/>
    <mergeCell ref="FMS1:FMV1"/>
    <mergeCell ref="FLA1:FLD1"/>
    <mergeCell ref="FLE1:FLH1"/>
    <mergeCell ref="FLI1:FLL1"/>
    <mergeCell ref="FLM1:FLP1"/>
    <mergeCell ref="FLQ1:FLT1"/>
    <mergeCell ref="FLU1:FLX1"/>
    <mergeCell ref="FKC1:FKF1"/>
    <mergeCell ref="FKG1:FKJ1"/>
    <mergeCell ref="FKK1:FKN1"/>
    <mergeCell ref="FKO1:FKR1"/>
    <mergeCell ref="FKS1:FKV1"/>
    <mergeCell ref="FKW1:FKZ1"/>
    <mergeCell ref="FJE1:FJH1"/>
    <mergeCell ref="FJI1:FJL1"/>
    <mergeCell ref="FJM1:FJP1"/>
    <mergeCell ref="FJQ1:FJT1"/>
    <mergeCell ref="FJU1:FJX1"/>
    <mergeCell ref="FJY1:FKB1"/>
    <mergeCell ref="FIG1:FIJ1"/>
    <mergeCell ref="FIK1:FIN1"/>
    <mergeCell ref="FIO1:FIR1"/>
    <mergeCell ref="FIS1:FIV1"/>
    <mergeCell ref="FIW1:FIZ1"/>
    <mergeCell ref="FJA1:FJD1"/>
    <mergeCell ref="FSK1:FSN1"/>
    <mergeCell ref="FSO1:FSR1"/>
    <mergeCell ref="FSS1:FSV1"/>
    <mergeCell ref="FSW1:FSZ1"/>
    <mergeCell ref="FTA1:FTD1"/>
    <mergeCell ref="FTE1:FTH1"/>
    <mergeCell ref="FRM1:FRP1"/>
    <mergeCell ref="FRQ1:FRT1"/>
    <mergeCell ref="FRU1:FRX1"/>
    <mergeCell ref="FRY1:FSB1"/>
    <mergeCell ref="FSC1:FSF1"/>
    <mergeCell ref="FSG1:FSJ1"/>
    <mergeCell ref="FQO1:FQR1"/>
    <mergeCell ref="FQS1:FQV1"/>
    <mergeCell ref="FQW1:FQZ1"/>
    <mergeCell ref="FRA1:FRD1"/>
    <mergeCell ref="FRE1:FRH1"/>
    <mergeCell ref="FRI1:FRL1"/>
    <mergeCell ref="FPQ1:FPT1"/>
    <mergeCell ref="FPU1:FPX1"/>
    <mergeCell ref="FPY1:FQB1"/>
    <mergeCell ref="FQC1:FQF1"/>
    <mergeCell ref="FQG1:FQJ1"/>
    <mergeCell ref="FQK1:FQN1"/>
    <mergeCell ref="FOS1:FOV1"/>
    <mergeCell ref="FOW1:FOZ1"/>
    <mergeCell ref="FPA1:FPD1"/>
    <mergeCell ref="FPE1:FPH1"/>
    <mergeCell ref="FPI1:FPL1"/>
    <mergeCell ref="FPM1:FPP1"/>
    <mergeCell ref="FNU1:FNX1"/>
    <mergeCell ref="FNY1:FOB1"/>
    <mergeCell ref="FOC1:FOF1"/>
    <mergeCell ref="FOG1:FOJ1"/>
    <mergeCell ref="FOK1:FON1"/>
    <mergeCell ref="FOO1:FOR1"/>
    <mergeCell ref="FXY1:FYB1"/>
    <mergeCell ref="FYC1:FYF1"/>
    <mergeCell ref="FYG1:FYJ1"/>
    <mergeCell ref="FYK1:FYN1"/>
    <mergeCell ref="FYO1:FYR1"/>
    <mergeCell ref="FYS1:FYV1"/>
    <mergeCell ref="FXA1:FXD1"/>
    <mergeCell ref="FXE1:FXH1"/>
    <mergeCell ref="FXI1:FXL1"/>
    <mergeCell ref="FXM1:FXP1"/>
    <mergeCell ref="FXQ1:FXT1"/>
    <mergeCell ref="FXU1:FXX1"/>
    <mergeCell ref="FWC1:FWF1"/>
    <mergeCell ref="FWG1:FWJ1"/>
    <mergeCell ref="FWK1:FWN1"/>
    <mergeCell ref="FWO1:FWR1"/>
    <mergeCell ref="FWS1:FWV1"/>
    <mergeCell ref="FWW1:FWZ1"/>
    <mergeCell ref="FVE1:FVH1"/>
    <mergeCell ref="FVI1:FVL1"/>
    <mergeCell ref="FVM1:FVP1"/>
    <mergeCell ref="FVQ1:FVT1"/>
    <mergeCell ref="FVU1:FVX1"/>
    <mergeCell ref="FVY1:FWB1"/>
    <mergeCell ref="FUG1:FUJ1"/>
    <mergeCell ref="FUK1:FUN1"/>
    <mergeCell ref="FUO1:FUR1"/>
    <mergeCell ref="FUS1:FUV1"/>
    <mergeCell ref="FUW1:FUZ1"/>
    <mergeCell ref="FVA1:FVD1"/>
    <mergeCell ref="FTI1:FTL1"/>
    <mergeCell ref="FTM1:FTP1"/>
    <mergeCell ref="FTQ1:FTT1"/>
    <mergeCell ref="FTU1:FTX1"/>
    <mergeCell ref="FTY1:FUB1"/>
    <mergeCell ref="FUC1:FUF1"/>
    <mergeCell ref="GDM1:GDP1"/>
    <mergeCell ref="GDQ1:GDT1"/>
    <mergeCell ref="GDU1:GDX1"/>
    <mergeCell ref="GDY1:GEB1"/>
    <mergeCell ref="GEC1:GEF1"/>
    <mergeCell ref="GEG1:GEJ1"/>
    <mergeCell ref="GCO1:GCR1"/>
    <mergeCell ref="GCS1:GCV1"/>
    <mergeCell ref="GCW1:GCZ1"/>
    <mergeCell ref="GDA1:GDD1"/>
    <mergeCell ref="GDE1:GDH1"/>
    <mergeCell ref="GDI1:GDL1"/>
    <mergeCell ref="GBQ1:GBT1"/>
    <mergeCell ref="GBU1:GBX1"/>
    <mergeCell ref="GBY1:GCB1"/>
    <mergeCell ref="GCC1:GCF1"/>
    <mergeCell ref="GCG1:GCJ1"/>
    <mergeCell ref="GCK1:GCN1"/>
    <mergeCell ref="GAS1:GAV1"/>
    <mergeCell ref="GAW1:GAZ1"/>
    <mergeCell ref="GBA1:GBD1"/>
    <mergeCell ref="GBE1:GBH1"/>
    <mergeCell ref="GBI1:GBL1"/>
    <mergeCell ref="GBM1:GBP1"/>
    <mergeCell ref="FZU1:FZX1"/>
    <mergeCell ref="FZY1:GAB1"/>
    <mergeCell ref="GAC1:GAF1"/>
    <mergeCell ref="GAG1:GAJ1"/>
    <mergeCell ref="GAK1:GAN1"/>
    <mergeCell ref="GAO1:GAR1"/>
    <mergeCell ref="FYW1:FYZ1"/>
    <mergeCell ref="FZA1:FZD1"/>
    <mergeCell ref="FZE1:FZH1"/>
    <mergeCell ref="FZI1:FZL1"/>
    <mergeCell ref="FZM1:FZP1"/>
    <mergeCell ref="FZQ1:FZT1"/>
    <mergeCell ref="GJA1:GJD1"/>
    <mergeCell ref="GJE1:GJH1"/>
    <mergeCell ref="GJI1:GJL1"/>
    <mergeCell ref="GJM1:GJP1"/>
    <mergeCell ref="GJQ1:GJT1"/>
    <mergeCell ref="GJU1:GJX1"/>
    <mergeCell ref="GIC1:GIF1"/>
    <mergeCell ref="GIG1:GIJ1"/>
    <mergeCell ref="GIK1:GIN1"/>
    <mergeCell ref="GIO1:GIR1"/>
    <mergeCell ref="GIS1:GIV1"/>
    <mergeCell ref="GIW1:GIZ1"/>
    <mergeCell ref="GHE1:GHH1"/>
    <mergeCell ref="GHI1:GHL1"/>
    <mergeCell ref="GHM1:GHP1"/>
    <mergeCell ref="GHQ1:GHT1"/>
    <mergeCell ref="GHU1:GHX1"/>
    <mergeCell ref="GHY1:GIB1"/>
    <mergeCell ref="GGG1:GGJ1"/>
    <mergeCell ref="GGK1:GGN1"/>
    <mergeCell ref="GGO1:GGR1"/>
    <mergeCell ref="GGS1:GGV1"/>
    <mergeCell ref="GGW1:GGZ1"/>
    <mergeCell ref="GHA1:GHD1"/>
    <mergeCell ref="GFI1:GFL1"/>
    <mergeCell ref="GFM1:GFP1"/>
    <mergeCell ref="GFQ1:GFT1"/>
    <mergeCell ref="GFU1:GFX1"/>
    <mergeCell ref="GFY1:GGB1"/>
    <mergeCell ref="GGC1:GGF1"/>
    <mergeCell ref="GEK1:GEN1"/>
    <mergeCell ref="GEO1:GER1"/>
    <mergeCell ref="GES1:GEV1"/>
    <mergeCell ref="GEW1:GEZ1"/>
    <mergeCell ref="GFA1:GFD1"/>
    <mergeCell ref="GFE1:GFH1"/>
    <mergeCell ref="GOO1:GOR1"/>
    <mergeCell ref="GOS1:GOV1"/>
    <mergeCell ref="GOW1:GOZ1"/>
    <mergeCell ref="GPA1:GPD1"/>
    <mergeCell ref="GPE1:GPH1"/>
    <mergeCell ref="GPI1:GPL1"/>
    <mergeCell ref="GNQ1:GNT1"/>
    <mergeCell ref="GNU1:GNX1"/>
    <mergeCell ref="GNY1:GOB1"/>
    <mergeCell ref="GOC1:GOF1"/>
    <mergeCell ref="GOG1:GOJ1"/>
    <mergeCell ref="GOK1:GON1"/>
    <mergeCell ref="GMS1:GMV1"/>
    <mergeCell ref="GMW1:GMZ1"/>
    <mergeCell ref="GNA1:GND1"/>
    <mergeCell ref="GNE1:GNH1"/>
    <mergeCell ref="GNI1:GNL1"/>
    <mergeCell ref="GNM1:GNP1"/>
    <mergeCell ref="GLU1:GLX1"/>
    <mergeCell ref="GLY1:GMB1"/>
    <mergeCell ref="GMC1:GMF1"/>
    <mergeCell ref="GMG1:GMJ1"/>
    <mergeCell ref="GMK1:GMN1"/>
    <mergeCell ref="GMO1:GMR1"/>
    <mergeCell ref="GKW1:GKZ1"/>
    <mergeCell ref="GLA1:GLD1"/>
    <mergeCell ref="GLE1:GLH1"/>
    <mergeCell ref="GLI1:GLL1"/>
    <mergeCell ref="GLM1:GLP1"/>
    <mergeCell ref="GLQ1:GLT1"/>
    <mergeCell ref="GJY1:GKB1"/>
    <mergeCell ref="GKC1:GKF1"/>
    <mergeCell ref="GKG1:GKJ1"/>
    <mergeCell ref="GKK1:GKN1"/>
    <mergeCell ref="GKO1:GKR1"/>
    <mergeCell ref="GKS1:GKV1"/>
    <mergeCell ref="GUC1:GUF1"/>
    <mergeCell ref="GUG1:GUJ1"/>
    <mergeCell ref="GUK1:GUN1"/>
    <mergeCell ref="GUO1:GUR1"/>
    <mergeCell ref="GUS1:GUV1"/>
    <mergeCell ref="GUW1:GUZ1"/>
    <mergeCell ref="GTE1:GTH1"/>
    <mergeCell ref="GTI1:GTL1"/>
    <mergeCell ref="GTM1:GTP1"/>
    <mergeCell ref="GTQ1:GTT1"/>
    <mergeCell ref="GTU1:GTX1"/>
    <mergeCell ref="GTY1:GUB1"/>
    <mergeCell ref="GSG1:GSJ1"/>
    <mergeCell ref="GSK1:GSN1"/>
    <mergeCell ref="GSO1:GSR1"/>
    <mergeCell ref="GSS1:GSV1"/>
    <mergeCell ref="GSW1:GSZ1"/>
    <mergeCell ref="GTA1:GTD1"/>
    <mergeCell ref="GRI1:GRL1"/>
    <mergeCell ref="GRM1:GRP1"/>
    <mergeCell ref="GRQ1:GRT1"/>
    <mergeCell ref="GRU1:GRX1"/>
    <mergeCell ref="GRY1:GSB1"/>
    <mergeCell ref="GSC1:GSF1"/>
    <mergeCell ref="GQK1:GQN1"/>
    <mergeCell ref="GQO1:GQR1"/>
    <mergeCell ref="GQS1:GQV1"/>
    <mergeCell ref="GQW1:GQZ1"/>
    <mergeCell ref="GRA1:GRD1"/>
    <mergeCell ref="GRE1:GRH1"/>
    <mergeCell ref="GPM1:GPP1"/>
    <mergeCell ref="GPQ1:GPT1"/>
    <mergeCell ref="GPU1:GPX1"/>
    <mergeCell ref="GPY1:GQB1"/>
    <mergeCell ref="GQC1:GQF1"/>
    <mergeCell ref="GQG1:GQJ1"/>
    <mergeCell ref="GZQ1:GZT1"/>
    <mergeCell ref="GZU1:GZX1"/>
    <mergeCell ref="GZY1:HAB1"/>
    <mergeCell ref="HAC1:HAF1"/>
    <mergeCell ref="HAG1:HAJ1"/>
    <mergeCell ref="HAK1:HAN1"/>
    <mergeCell ref="GYS1:GYV1"/>
    <mergeCell ref="GYW1:GYZ1"/>
    <mergeCell ref="GZA1:GZD1"/>
    <mergeCell ref="GZE1:GZH1"/>
    <mergeCell ref="GZI1:GZL1"/>
    <mergeCell ref="GZM1:GZP1"/>
    <mergeCell ref="GXU1:GXX1"/>
    <mergeCell ref="GXY1:GYB1"/>
    <mergeCell ref="GYC1:GYF1"/>
    <mergeCell ref="GYG1:GYJ1"/>
    <mergeCell ref="GYK1:GYN1"/>
    <mergeCell ref="GYO1:GYR1"/>
    <mergeCell ref="GWW1:GWZ1"/>
    <mergeCell ref="GXA1:GXD1"/>
    <mergeCell ref="GXE1:GXH1"/>
    <mergeCell ref="GXI1:GXL1"/>
    <mergeCell ref="GXM1:GXP1"/>
    <mergeCell ref="GXQ1:GXT1"/>
    <mergeCell ref="GVY1:GWB1"/>
    <mergeCell ref="GWC1:GWF1"/>
    <mergeCell ref="GWG1:GWJ1"/>
    <mergeCell ref="GWK1:GWN1"/>
    <mergeCell ref="GWO1:GWR1"/>
    <mergeCell ref="GWS1:GWV1"/>
    <mergeCell ref="GVA1:GVD1"/>
    <mergeCell ref="GVE1:GVH1"/>
    <mergeCell ref="GVI1:GVL1"/>
    <mergeCell ref="GVM1:GVP1"/>
    <mergeCell ref="GVQ1:GVT1"/>
    <mergeCell ref="GVU1:GVX1"/>
    <mergeCell ref="HFE1:HFH1"/>
    <mergeCell ref="HFI1:HFL1"/>
    <mergeCell ref="HFM1:HFP1"/>
    <mergeCell ref="HFQ1:HFT1"/>
    <mergeCell ref="HFU1:HFX1"/>
    <mergeCell ref="HFY1:HGB1"/>
    <mergeCell ref="HEG1:HEJ1"/>
    <mergeCell ref="HEK1:HEN1"/>
    <mergeCell ref="HEO1:HER1"/>
    <mergeCell ref="HES1:HEV1"/>
    <mergeCell ref="HEW1:HEZ1"/>
    <mergeCell ref="HFA1:HFD1"/>
    <mergeCell ref="HDI1:HDL1"/>
    <mergeCell ref="HDM1:HDP1"/>
    <mergeCell ref="HDQ1:HDT1"/>
    <mergeCell ref="HDU1:HDX1"/>
    <mergeCell ref="HDY1:HEB1"/>
    <mergeCell ref="HEC1:HEF1"/>
    <mergeCell ref="HCK1:HCN1"/>
    <mergeCell ref="HCO1:HCR1"/>
    <mergeCell ref="HCS1:HCV1"/>
    <mergeCell ref="HCW1:HCZ1"/>
    <mergeCell ref="HDA1:HDD1"/>
    <mergeCell ref="HDE1:HDH1"/>
    <mergeCell ref="HBM1:HBP1"/>
    <mergeCell ref="HBQ1:HBT1"/>
    <mergeCell ref="HBU1:HBX1"/>
    <mergeCell ref="HBY1:HCB1"/>
    <mergeCell ref="HCC1:HCF1"/>
    <mergeCell ref="HCG1:HCJ1"/>
    <mergeCell ref="HAO1:HAR1"/>
    <mergeCell ref="HAS1:HAV1"/>
    <mergeCell ref="HAW1:HAZ1"/>
    <mergeCell ref="HBA1:HBD1"/>
    <mergeCell ref="HBE1:HBH1"/>
    <mergeCell ref="HBI1:HBL1"/>
    <mergeCell ref="HKS1:HKV1"/>
    <mergeCell ref="HKW1:HKZ1"/>
    <mergeCell ref="HLA1:HLD1"/>
    <mergeCell ref="HLE1:HLH1"/>
    <mergeCell ref="HLI1:HLL1"/>
    <mergeCell ref="HLM1:HLP1"/>
    <mergeCell ref="HJU1:HJX1"/>
    <mergeCell ref="HJY1:HKB1"/>
    <mergeCell ref="HKC1:HKF1"/>
    <mergeCell ref="HKG1:HKJ1"/>
    <mergeCell ref="HKK1:HKN1"/>
    <mergeCell ref="HKO1:HKR1"/>
    <mergeCell ref="HIW1:HIZ1"/>
    <mergeCell ref="HJA1:HJD1"/>
    <mergeCell ref="HJE1:HJH1"/>
    <mergeCell ref="HJI1:HJL1"/>
    <mergeCell ref="HJM1:HJP1"/>
    <mergeCell ref="HJQ1:HJT1"/>
    <mergeCell ref="HHY1:HIB1"/>
    <mergeCell ref="HIC1:HIF1"/>
    <mergeCell ref="HIG1:HIJ1"/>
    <mergeCell ref="HIK1:HIN1"/>
    <mergeCell ref="HIO1:HIR1"/>
    <mergeCell ref="HIS1:HIV1"/>
    <mergeCell ref="HHA1:HHD1"/>
    <mergeCell ref="HHE1:HHH1"/>
    <mergeCell ref="HHI1:HHL1"/>
    <mergeCell ref="HHM1:HHP1"/>
    <mergeCell ref="HHQ1:HHT1"/>
    <mergeCell ref="HHU1:HHX1"/>
    <mergeCell ref="HGC1:HGF1"/>
    <mergeCell ref="HGG1:HGJ1"/>
    <mergeCell ref="HGK1:HGN1"/>
    <mergeCell ref="HGO1:HGR1"/>
    <mergeCell ref="HGS1:HGV1"/>
    <mergeCell ref="HGW1:HGZ1"/>
    <mergeCell ref="HQG1:HQJ1"/>
    <mergeCell ref="HQK1:HQN1"/>
    <mergeCell ref="HQO1:HQR1"/>
    <mergeCell ref="HQS1:HQV1"/>
    <mergeCell ref="HQW1:HQZ1"/>
    <mergeCell ref="HRA1:HRD1"/>
    <mergeCell ref="HPI1:HPL1"/>
    <mergeCell ref="HPM1:HPP1"/>
    <mergeCell ref="HPQ1:HPT1"/>
    <mergeCell ref="HPU1:HPX1"/>
    <mergeCell ref="HPY1:HQB1"/>
    <mergeCell ref="HQC1:HQF1"/>
    <mergeCell ref="HOK1:HON1"/>
    <mergeCell ref="HOO1:HOR1"/>
    <mergeCell ref="HOS1:HOV1"/>
    <mergeCell ref="HOW1:HOZ1"/>
    <mergeCell ref="HPA1:HPD1"/>
    <mergeCell ref="HPE1:HPH1"/>
    <mergeCell ref="HNM1:HNP1"/>
    <mergeCell ref="HNQ1:HNT1"/>
    <mergeCell ref="HNU1:HNX1"/>
    <mergeCell ref="HNY1:HOB1"/>
    <mergeCell ref="HOC1:HOF1"/>
    <mergeCell ref="HOG1:HOJ1"/>
    <mergeCell ref="HMO1:HMR1"/>
    <mergeCell ref="HMS1:HMV1"/>
    <mergeCell ref="HMW1:HMZ1"/>
    <mergeCell ref="HNA1:HND1"/>
    <mergeCell ref="HNE1:HNH1"/>
    <mergeCell ref="HNI1:HNL1"/>
    <mergeCell ref="HLQ1:HLT1"/>
    <mergeCell ref="HLU1:HLX1"/>
    <mergeCell ref="HLY1:HMB1"/>
    <mergeCell ref="HMC1:HMF1"/>
    <mergeCell ref="HMG1:HMJ1"/>
    <mergeCell ref="HMK1:HMN1"/>
    <mergeCell ref="HVU1:HVX1"/>
    <mergeCell ref="HVY1:HWB1"/>
    <mergeCell ref="HWC1:HWF1"/>
    <mergeCell ref="HWG1:HWJ1"/>
    <mergeCell ref="HWK1:HWN1"/>
    <mergeCell ref="HWO1:HWR1"/>
    <mergeCell ref="HUW1:HUZ1"/>
    <mergeCell ref="HVA1:HVD1"/>
    <mergeCell ref="HVE1:HVH1"/>
    <mergeCell ref="HVI1:HVL1"/>
    <mergeCell ref="HVM1:HVP1"/>
    <mergeCell ref="HVQ1:HVT1"/>
    <mergeCell ref="HTY1:HUB1"/>
    <mergeCell ref="HUC1:HUF1"/>
    <mergeCell ref="HUG1:HUJ1"/>
    <mergeCell ref="HUK1:HUN1"/>
    <mergeCell ref="HUO1:HUR1"/>
    <mergeCell ref="HUS1:HUV1"/>
    <mergeCell ref="HTA1:HTD1"/>
    <mergeCell ref="HTE1:HTH1"/>
    <mergeCell ref="HTI1:HTL1"/>
    <mergeCell ref="HTM1:HTP1"/>
    <mergeCell ref="HTQ1:HTT1"/>
    <mergeCell ref="HTU1:HTX1"/>
    <mergeCell ref="HSC1:HSF1"/>
    <mergeCell ref="HSG1:HSJ1"/>
    <mergeCell ref="HSK1:HSN1"/>
    <mergeCell ref="HSO1:HSR1"/>
    <mergeCell ref="HSS1:HSV1"/>
    <mergeCell ref="HSW1:HSZ1"/>
    <mergeCell ref="HRE1:HRH1"/>
    <mergeCell ref="HRI1:HRL1"/>
    <mergeCell ref="HRM1:HRP1"/>
    <mergeCell ref="HRQ1:HRT1"/>
    <mergeCell ref="HRU1:HRX1"/>
    <mergeCell ref="HRY1:HSB1"/>
    <mergeCell ref="IBI1:IBL1"/>
    <mergeCell ref="IBM1:IBP1"/>
    <mergeCell ref="IBQ1:IBT1"/>
    <mergeCell ref="IBU1:IBX1"/>
    <mergeCell ref="IBY1:ICB1"/>
    <mergeCell ref="ICC1:ICF1"/>
    <mergeCell ref="IAK1:IAN1"/>
    <mergeCell ref="IAO1:IAR1"/>
    <mergeCell ref="IAS1:IAV1"/>
    <mergeCell ref="IAW1:IAZ1"/>
    <mergeCell ref="IBA1:IBD1"/>
    <mergeCell ref="IBE1:IBH1"/>
    <mergeCell ref="HZM1:HZP1"/>
    <mergeCell ref="HZQ1:HZT1"/>
    <mergeCell ref="HZU1:HZX1"/>
    <mergeCell ref="HZY1:IAB1"/>
    <mergeCell ref="IAC1:IAF1"/>
    <mergeCell ref="IAG1:IAJ1"/>
    <mergeCell ref="HYO1:HYR1"/>
    <mergeCell ref="HYS1:HYV1"/>
    <mergeCell ref="HYW1:HYZ1"/>
    <mergeCell ref="HZA1:HZD1"/>
    <mergeCell ref="HZE1:HZH1"/>
    <mergeCell ref="HZI1:HZL1"/>
    <mergeCell ref="HXQ1:HXT1"/>
    <mergeCell ref="HXU1:HXX1"/>
    <mergeCell ref="HXY1:HYB1"/>
    <mergeCell ref="HYC1:HYF1"/>
    <mergeCell ref="HYG1:HYJ1"/>
    <mergeCell ref="HYK1:HYN1"/>
    <mergeCell ref="HWS1:HWV1"/>
    <mergeCell ref="HWW1:HWZ1"/>
    <mergeCell ref="HXA1:HXD1"/>
    <mergeCell ref="HXE1:HXH1"/>
    <mergeCell ref="HXI1:HXL1"/>
    <mergeCell ref="HXM1:HXP1"/>
    <mergeCell ref="IGW1:IGZ1"/>
    <mergeCell ref="IHA1:IHD1"/>
    <mergeCell ref="IHE1:IHH1"/>
    <mergeCell ref="IHI1:IHL1"/>
    <mergeCell ref="IHM1:IHP1"/>
    <mergeCell ref="IHQ1:IHT1"/>
    <mergeCell ref="IFY1:IGB1"/>
    <mergeCell ref="IGC1:IGF1"/>
    <mergeCell ref="IGG1:IGJ1"/>
    <mergeCell ref="IGK1:IGN1"/>
    <mergeCell ref="IGO1:IGR1"/>
    <mergeCell ref="IGS1:IGV1"/>
    <mergeCell ref="IFA1:IFD1"/>
    <mergeCell ref="IFE1:IFH1"/>
    <mergeCell ref="IFI1:IFL1"/>
    <mergeCell ref="IFM1:IFP1"/>
    <mergeCell ref="IFQ1:IFT1"/>
    <mergeCell ref="IFU1:IFX1"/>
    <mergeCell ref="IEC1:IEF1"/>
    <mergeCell ref="IEG1:IEJ1"/>
    <mergeCell ref="IEK1:IEN1"/>
    <mergeCell ref="IEO1:IER1"/>
    <mergeCell ref="IES1:IEV1"/>
    <mergeCell ref="IEW1:IEZ1"/>
    <mergeCell ref="IDE1:IDH1"/>
    <mergeCell ref="IDI1:IDL1"/>
    <mergeCell ref="IDM1:IDP1"/>
    <mergeCell ref="IDQ1:IDT1"/>
    <mergeCell ref="IDU1:IDX1"/>
    <mergeCell ref="IDY1:IEB1"/>
    <mergeCell ref="ICG1:ICJ1"/>
    <mergeCell ref="ICK1:ICN1"/>
    <mergeCell ref="ICO1:ICR1"/>
    <mergeCell ref="ICS1:ICV1"/>
    <mergeCell ref="ICW1:ICZ1"/>
    <mergeCell ref="IDA1:IDD1"/>
    <mergeCell ref="IMK1:IMN1"/>
    <mergeCell ref="IMO1:IMR1"/>
    <mergeCell ref="IMS1:IMV1"/>
    <mergeCell ref="IMW1:IMZ1"/>
    <mergeCell ref="INA1:IND1"/>
    <mergeCell ref="INE1:INH1"/>
    <mergeCell ref="ILM1:ILP1"/>
    <mergeCell ref="ILQ1:ILT1"/>
    <mergeCell ref="ILU1:ILX1"/>
    <mergeCell ref="ILY1:IMB1"/>
    <mergeCell ref="IMC1:IMF1"/>
    <mergeCell ref="IMG1:IMJ1"/>
    <mergeCell ref="IKO1:IKR1"/>
    <mergeCell ref="IKS1:IKV1"/>
    <mergeCell ref="IKW1:IKZ1"/>
    <mergeCell ref="ILA1:ILD1"/>
    <mergeCell ref="ILE1:ILH1"/>
    <mergeCell ref="ILI1:ILL1"/>
    <mergeCell ref="IJQ1:IJT1"/>
    <mergeCell ref="IJU1:IJX1"/>
    <mergeCell ref="IJY1:IKB1"/>
    <mergeCell ref="IKC1:IKF1"/>
    <mergeCell ref="IKG1:IKJ1"/>
    <mergeCell ref="IKK1:IKN1"/>
    <mergeCell ref="IIS1:IIV1"/>
    <mergeCell ref="IIW1:IIZ1"/>
    <mergeCell ref="IJA1:IJD1"/>
    <mergeCell ref="IJE1:IJH1"/>
    <mergeCell ref="IJI1:IJL1"/>
    <mergeCell ref="IJM1:IJP1"/>
    <mergeCell ref="IHU1:IHX1"/>
    <mergeCell ref="IHY1:IIB1"/>
    <mergeCell ref="IIC1:IIF1"/>
    <mergeCell ref="IIG1:IIJ1"/>
    <mergeCell ref="IIK1:IIN1"/>
    <mergeCell ref="IIO1:IIR1"/>
    <mergeCell ref="IRY1:ISB1"/>
    <mergeCell ref="ISC1:ISF1"/>
    <mergeCell ref="ISG1:ISJ1"/>
    <mergeCell ref="ISK1:ISN1"/>
    <mergeCell ref="ISO1:ISR1"/>
    <mergeCell ref="ISS1:ISV1"/>
    <mergeCell ref="IRA1:IRD1"/>
    <mergeCell ref="IRE1:IRH1"/>
    <mergeCell ref="IRI1:IRL1"/>
    <mergeCell ref="IRM1:IRP1"/>
    <mergeCell ref="IRQ1:IRT1"/>
    <mergeCell ref="IRU1:IRX1"/>
    <mergeCell ref="IQC1:IQF1"/>
    <mergeCell ref="IQG1:IQJ1"/>
    <mergeCell ref="IQK1:IQN1"/>
    <mergeCell ref="IQO1:IQR1"/>
    <mergeCell ref="IQS1:IQV1"/>
    <mergeCell ref="IQW1:IQZ1"/>
    <mergeCell ref="IPE1:IPH1"/>
    <mergeCell ref="IPI1:IPL1"/>
    <mergeCell ref="IPM1:IPP1"/>
    <mergeCell ref="IPQ1:IPT1"/>
    <mergeCell ref="IPU1:IPX1"/>
    <mergeCell ref="IPY1:IQB1"/>
    <mergeCell ref="IOG1:IOJ1"/>
    <mergeCell ref="IOK1:ION1"/>
    <mergeCell ref="IOO1:IOR1"/>
    <mergeCell ref="IOS1:IOV1"/>
    <mergeCell ref="IOW1:IOZ1"/>
    <mergeCell ref="IPA1:IPD1"/>
    <mergeCell ref="INI1:INL1"/>
    <mergeCell ref="INM1:INP1"/>
    <mergeCell ref="INQ1:INT1"/>
    <mergeCell ref="INU1:INX1"/>
    <mergeCell ref="INY1:IOB1"/>
    <mergeCell ref="IOC1:IOF1"/>
    <mergeCell ref="IXM1:IXP1"/>
    <mergeCell ref="IXQ1:IXT1"/>
    <mergeCell ref="IXU1:IXX1"/>
    <mergeCell ref="IXY1:IYB1"/>
    <mergeCell ref="IYC1:IYF1"/>
    <mergeCell ref="IYG1:IYJ1"/>
    <mergeCell ref="IWO1:IWR1"/>
    <mergeCell ref="IWS1:IWV1"/>
    <mergeCell ref="IWW1:IWZ1"/>
    <mergeCell ref="IXA1:IXD1"/>
    <mergeCell ref="IXE1:IXH1"/>
    <mergeCell ref="IXI1:IXL1"/>
    <mergeCell ref="IVQ1:IVT1"/>
    <mergeCell ref="IVU1:IVX1"/>
    <mergeCell ref="IVY1:IWB1"/>
    <mergeCell ref="IWC1:IWF1"/>
    <mergeCell ref="IWG1:IWJ1"/>
    <mergeCell ref="IWK1:IWN1"/>
    <mergeCell ref="IUS1:IUV1"/>
    <mergeCell ref="IUW1:IUZ1"/>
    <mergeCell ref="IVA1:IVD1"/>
    <mergeCell ref="IVE1:IVH1"/>
    <mergeCell ref="IVI1:IVL1"/>
    <mergeCell ref="IVM1:IVP1"/>
    <mergeCell ref="ITU1:ITX1"/>
    <mergeCell ref="ITY1:IUB1"/>
    <mergeCell ref="IUC1:IUF1"/>
    <mergeCell ref="IUG1:IUJ1"/>
    <mergeCell ref="IUK1:IUN1"/>
    <mergeCell ref="IUO1:IUR1"/>
    <mergeCell ref="ISW1:ISZ1"/>
    <mergeCell ref="ITA1:ITD1"/>
    <mergeCell ref="ITE1:ITH1"/>
    <mergeCell ref="ITI1:ITL1"/>
    <mergeCell ref="ITM1:ITP1"/>
    <mergeCell ref="ITQ1:ITT1"/>
    <mergeCell ref="JDA1:JDD1"/>
    <mergeCell ref="JDE1:JDH1"/>
    <mergeCell ref="JDI1:JDL1"/>
    <mergeCell ref="JDM1:JDP1"/>
    <mergeCell ref="JDQ1:JDT1"/>
    <mergeCell ref="JDU1:JDX1"/>
    <mergeCell ref="JCC1:JCF1"/>
    <mergeCell ref="JCG1:JCJ1"/>
    <mergeCell ref="JCK1:JCN1"/>
    <mergeCell ref="JCO1:JCR1"/>
    <mergeCell ref="JCS1:JCV1"/>
    <mergeCell ref="JCW1:JCZ1"/>
    <mergeCell ref="JBE1:JBH1"/>
    <mergeCell ref="JBI1:JBL1"/>
    <mergeCell ref="JBM1:JBP1"/>
    <mergeCell ref="JBQ1:JBT1"/>
    <mergeCell ref="JBU1:JBX1"/>
    <mergeCell ref="JBY1:JCB1"/>
    <mergeCell ref="JAG1:JAJ1"/>
    <mergeCell ref="JAK1:JAN1"/>
    <mergeCell ref="JAO1:JAR1"/>
    <mergeCell ref="JAS1:JAV1"/>
    <mergeCell ref="JAW1:JAZ1"/>
    <mergeCell ref="JBA1:JBD1"/>
    <mergeCell ref="IZI1:IZL1"/>
    <mergeCell ref="IZM1:IZP1"/>
    <mergeCell ref="IZQ1:IZT1"/>
    <mergeCell ref="IZU1:IZX1"/>
    <mergeCell ref="IZY1:JAB1"/>
    <mergeCell ref="JAC1:JAF1"/>
    <mergeCell ref="IYK1:IYN1"/>
    <mergeCell ref="IYO1:IYR1"/>
    <mergeCell ref="IYS1:IYV1"/>
    <mergeCell ref="IYW1:IYZ1"/>
    <mergeCell ref="IZA1:IZD1"/>
    <mergeCell ref="IZE1:IZH1"/>
    <mergeCell ref="JIO1:JIR1"/>
    <mergeCell ref="JIS1:JIV1"/>
    <mergeCell ref="JIW1:JIZ1"/>
    <mergeCell ref="JJA1:JJD1"/>
    <mergeCell ref="JJE1:JJH1"/>
    <mergeCell ref="JJI1:JJL1"/>
    <mergeCell ref="JHQ1:JHT1"/>
    <mergeCell ref="JHU1:JHX1"/>
    <mergeCell ref="JHY1:JIB1"/>
    <mergeCell ref="JIC1:JIF1"/>
    <mergeCell ref="JIG1:JIJ1"/>
    <mergeCell ref="JIK1:JIN1"/>
    <mergeCell ref="JGS1:JGV1"/>
    <mergeCell ref="JGW1:JGZ1"/>
    <mergeCell ref="JHA1:JHD1"/>
    <mergeCell ref="JHE1:JHH1"/>
    <mergeCell ref="JHI1:JHL1"/>
    <mergeCell ref="JHM1:JHP1"/>
    <mergeCell ref="JFU1:JFX1"/>
    <mergeCell ref="JFY1:JGB1"/>
    <mergeCell ref="JGC1:JGF1"/>
    <mergeCell ref="JGG1:JGJ1"/>
    <mergeCell ref="JGK1:JGN1"/>
    <mergeCell ref="JGO1:JGR1"/>
    <mergeCell ref="JEW1:JEZ1"/>
    <mergeCell ref="JFA1:JFD1"/>
    <mergeCell ref="JFE1:JFH1"/>
    <mergeCell ref="JFI1:JFL1"/>
    <mergeCell ref="JFM1:JFP1"/>
    <mergeCell ref="JFQ1:JFT1"/>
    <mergeCell ref="JDY1:JEB1"/>
    <mergeCell ref="JEC1:JEF1"/>
    <mergeCell ref="JEG1:JEJ1"/>
    <mergeCell ref="JEK1:JEN1"/>
    <mergeCell ref="JEO1:JER1"/>
    <mergeCell ref="JES1:JEV1"/>
    <mergeCell ref="JOC1:JOF1"/>
    <mergeCell ref="JOG1:JOJ1"/>
    <mergeCell ref="JOK1:JON1"/>
    <mergeCell ref="JOO1:JOR1"/>
    <mergeCell ref="JOS1:JOV1"/>
    <mergeCell ref="JOW1:JOZ1"/>
    <mergeCell ref="JNE1:JNH1"/>
    <mergeCell ref="JNI1:JNL1"/>
    <mergeCell ref="JNM1:JNP1"/>
    <mergeCell ref="JNQ1:JNT1"/>
    <mergeCell ref="JNU1:JNX1"/>
    <mergeCell ref="JNY1:JOB1"/>
    <mergeCell ref="JMG1:JMJ1"/>
    <mergeCell ref="JMK1:JMN1"/>
    <mergeCell ref="JMO1:JMR1"/>
    <mergeCell ref="JMS1:JMV1"/>
    <mergeCell ref="JMW1:JMZ1"/>
    <mergeCell ref="JNA1:JND1"/>
    <mergeCell ref="JLI1:JLL1"/>
    <mergeCell ref="JLM1:JLP1"/>
    <mergeCell ref="JLQ1:JLT1"/>
    <mergeCell ref="JLU1:JLX1"/>
    <mergeCell ref="JLY1:JMB1"/>
    <mergeCell ref="JMC1:JMF1"/>
    <mergeCell ref="JKK1:JKN1"/>
    <mergeCell ref="JKO1:JKR1"/>
    <mergeCell ref="JKS1:JKV1"/>
    <mergeCell ref="JKW1:JKZ1"/>
    <mergeCell ref="JLA1:JLD1"/>
    <mergeCell ref="JLE1:JLH1"/>
    <mergeCell ref="JJM1:JJP1"/>
    <mergeCell ref="JJQ1:JJT1"/>
    <mergeCell ref="JJU1:JJX1"/>
    <mergeCell ref="JJY1:JKB1"/>
    <mergeCell ref="JKC1:JKF1"/>
    <mergeCell ref="JKG1:JKJ1"/>
    <mergeCell ref="JTQ1:JTT1"/>
    <mergeCell ref="JTU1:JTX1"/>
    <mergeCell ref="JTY1:JUB1"/>
    <mergeCell ref="JUC1:JUF1"/>
    <mergeCell ref="JUG1:JUJ1"/>
    <mergeCell ref="JUK1:JUN1"/>
    <mergeCell ref="JSS1:JSV1"/>
    <mergeCell ref="JSW1:JSZ1"/>
    <mergeCell ref="JTA1:JTD1"/>
    <mergeCell ref="JTE1:JTH1"/>
    <mergeCell ref="JTI1:JTL1"/>
    <mergeCell ref="JTM1:JTP1"/>
    <mergeCell ref="JRU1:JRX1"/>
    <mergeCell ref="JRY1:JSB1"/>
    <mergeCell ref="JSC1:JSF1"/>
    <mergeCell ref="JSG1:JSJ1"/>
    <mergeCell ref="JSK1:JSN1"/>
    <mergeCell ref="JSO1:JSR1"/>
    <mergeCell ref="JQW1:JQZ1"/>
    <mergeCell ref="JRA1:JRD1"/>
    <mergeCell ref="JRE1:JRH1"/>
    <mergeCell ref="JRI1:JRL1"/>
    <mergeCell ref="JRM1:JRP1"/>
    <mergeCell ref="JRQ1:JRT1"/>
    <mergeCell ref="JPY1:JQB1"/>
    <mergeCell ref="JQC1:JQF1"/>
    <mergeCell ref="JQG1:JQJ1"/>
    <mergeCell ref="JQK1:JQN1"/>
    <mergeCell ref="JQO1:JQR1"/>
    <mergeCell ref="JQS1:JQV1"/>
    <mergeCell ref="JPA1:JPD1"/>
    <mergeCell ref="JPE1:JPH1"/>
    <mergeCell ref="JPI1:JPL1"/>
    <mergeCell ref="JPM1:JPP1"/>
    <mergeCell ref="JPQ1:JPT1"/>
    <mergeCell ref="JPU1:JPX1"/>
    <mergeCell ref="JZE1:JZH1"/>
    <mergeCell ref="JZI1:JZL1"/>
    <mergeCell ref="JZM1:JZP1"/>
    <mergeCell ref="JZQ1:JZT1"/>
    <mergeCell ref="JZU1:JZX1"/>
    <mergeCell ref="JZY1:KAB1"/>
    <mergeCell ref="JYG1:JYJ1"/>
    <mergeCell ref="JYK1:JYN1"/>
    <mergeCell ref="JYO1:JYR1"/>
    <mergeCell ref="JYS1:JYV1"/>
    <mergeCell ref="JYW1:JYZ1"/>
    <mergeCell ref="JZA1:JZD1"/>
    <mergeCell ref="JXI1:JXL1"/>
    <mergeCell ref="JXM1:JXP1"/>
    <mergeCell ref="JXQ1:JXT1"/>
    <mergeCell ref="JXU1:JXX1"/>
    <mergeCell ref="JXY1:JYB1"/>
    <mergeCell ref="JYC1:JYF1"/>
    <mergeCell ref="JWK1:JWN1"/>
    <mergeCell ref="JWO1:JWR1"/>
    <mergeCell ref="JWS1:JWV1"/>
    <mergeCell ref="JWW1:JWZ1"/>
    <mergeCell ref="JXA1:JXD1"/>
    <mergeCell ref="JXE1:JXH1"/>
    <mergeCell ref="JVM1:JVP1"/>
    <mergeCell ref="JVQ1:JVT1"/>
    <mergeCell ref="JVU1:JVX1"/>
    <mergeCell ref="JVY1:JWB1"/>
    <mergeCell ref="JWC1:JWF1"/>
    <mergeCell ref="JWG1:JWJ1"/>
    <mergeCell ref="JUO1:JUR1"/>
    <mergeCell ref="JUS1:JUV1"/>
    <mergeCell ref="JUW1:JUZ1"/>
    <mergeCell ref="JVA1:JVD1"/>
    <mergeCell ref="JVE1:JVH1"/>
    <mergeCell ref="JVI1:JVL1"/>
    <mergeCell ref="KES1:KEV1"/>
    <mergeCell ref="KEW1:KEZ1"/>
    <mergeCell ref="KFA1:KFD1"/>
    <mergeCell ref="KFE1:KFH1"/>
    <mergeCell ref="KFI1:KFL1"/>
    <mergeCell ref="KFM1:KFP1"/>
    <mergeCell ref="KDU1:KDX1"/>
    <mergeCell ref="KDY1:KEB1"/>
    <mergeCell ref="KEC1:KEF1"/>
    <mergeCell ref="KEG1:KEJ1"/>
    <mergeCell ref="KEK1:KEN1"/>
    <mergeCell ref="KEO1:KER1"/>
    <mergeCell ref="KCW1:KCZ1"/>
    <mergeCell ref="KDA1:KDD1"/>
    <mergeCell ref="KDE1:KDH1"/>
    <mergeCell ref="KDI1:KDL1"/>
    <mergeCell ref="KDM1:KDP1"/>
    <mergeCell ref="KDQ1:KDT1"/>
    <mergeCell ref="KBY1:KCB1"/>
    <mergeCell ref="KCC1:KCF1"/>
    <mergeCell ref="KCG1:KCJ1"/>
    <mergeCell ref="KCK1:KCN1"/>
    <mergeCell ref="KCO1:KCR1"/>
    <mergeCell ref="KCS1:KCV1"/>
    <mergeCell ref="KBA1:KBD1"/>
    <mergeCell ref="KBE1:KBH1"/>
    <mergeCell ref="KBI1:KBL1"/>
    <mergeCell ref="KBM1:KBP1"/>
    <mergeCell ref="KBQ1:KBT1"/>
    <mergeCell ref="KBU1:KBX1"/>
    <mergeCell ref="KAC1:KAF1"/>
    <mergeCell ref="KAG1:KAJ1"/>
    <mergeCell ref="KAK1:KAN1"/>
    <mergeCell ref="KAO1:KAR1"/>
    <mergeCell ref="KAS1:KAV1"/>
    <mergeCell ref="KAW1:KAZ1"/>
    <mergeCell ref="KKG1:KKJ1"/>
    <mergeCell ref="KKK1:KKN1"/>
    <mergeCell ref="KKO1:KKR1"/>
    <mergeCell ref="KKS1:KKV1"/>
    <mergeCell ref="KKW1:KKZ1"/>
    <mergeCell ref="KLA1:KLD1"/>
    <mergeCell ref="KJI1:KJL1"/>
    <mergeCell ref="KJM1:KJP1"/>
    <mergeCell ref="KJQ1:KJT1"/>
    <mergeCell ref="KJU1:KJX1"/>
    <mergeCell ref="KJY1:KKB1"/>
    <mergeCell ref="KKC1:KKF1"/>
    <mergeCell ref="KIK1:KIN1"/>
    <mergeCell ref="KIO1:KIR1"/>
    <mergeCell ref="KIS1:KIV1"/>
    <mergeCell ref="KIW1:KIZ1"/>
    <mergeCell ref="KJA1:KJD1"/>
    <mergeCell ref="KJE1:KJH1"/>
    <mergeCell ref="KHM1:KHP1"/>
    <mergeCell ref="KHQ1:KHT1"/>
    <mergeCell ref="KHU1:KHX1"/>
    <mergeCell ref="KHY1:KIB1"/>
    <mergeCell ref="KIC1:KIF1"/>
    <mergeCell ref="KIG1:KIJ1"/>
    <mergeCell ref="KGO1:KGR1"/>
    <mergeCell ref="KGS1:KGV1"/>
    <mergeCell ref="KGW1:KGZ1"/>
    <mergeCell ref="KHA1:KHD1"/>
    <mergeCell ref="KHE1:KHH1"/>
    <mergeCell ref="KHI1:KHL1"/>
    <mergeCell ref="KFQ1:KFT1"/>
    <mergeCell ref="KFU1:KFX1"/>
    <mergeCell ref="KFY1:KGB1"/>
    <mergeCell ref="KGC1:KGF1"/>
    <mergeCell ref="KGG1:KGJ1"/>
    <mergeCell ref="KGK1:KGN1"/>
    <mergeCell ref="KPU1:KPX1"/>
    <mergeCell ref="KPY1:KQB1"/>
    <mergeCell ref="KQC1:KQF1"/>
    <mergeCell ref="KQG1:KQJ1"/>
    <mergeCell ref="KQK1:KQN1"/>
    <mergeCell ref="KQO1:KQR1"/>
    <mergeCell ref="KOW1:KOZ1"/>
    <mergeCell ref="KPA1:KPD1"/>
    <mergeCell ref="KPE1:KPH1"/>
    <mergeCell ref="KPI1:KPL1"/>
    <mergeCell ref="KPM1:KPP1"/>
    <mergeCell ref="KPQ1:KPT1"/>
    <mergeCell ref="KNY1:KOB1"/>
    <mergeCell ref="KOC1:KOF1"/>
    <mergeCell ref="KOG1:KOJ1"/>
    <mergeCell ref="KOK1:KON1"/>
    <mergeCell ref="KOO1:KOR1"/>
    <mergeCell ref="KOS1:KOV1"/>
    <mergeCell ref="KNA1:KND1"/>
    <mergeCell ref="KNE1:KNH1"/>
    <mergeCell ref="KNI1:KNL1"/>
    <mergeCell ref="KNM1:KNP1"/>
    <mergeCell ref="KNQ1:KNT1"/>
    <mergeCell ref="KNU1:KNX1"/>
    <mergeCell ref="KMC1:KMF1"/>
    <mergeCell ref="KMG1:KMJ1"/>
    <mergeCell ref="KMK1:KMN1"/>
    <mergeCell ref="KMO1:KMR1"/>
    <mergeCell ref="KMS1:KMV1"/>
    <mergeCell ref="KMW1:KMZ1"/>
    <mergeCell ref="KLE1:KLH1"/>
    <mergeCell ref="KLI1:KLL1"/>
    <mergeCell ref="KLM1:KLP1"/>
    <mergeCell ref="KLQ1:KLT1"/>
    <mergeCell ref="KLU1:KLX1"/>
    <mergeCell ref="KLY1:KMB1"/>
    <mergeCell ref="KVI1:KVL1"/>
    <mergeCell ref="KVM1:KVP1"/>
    <mergeCell ref="KVQ1:KVT1"/>
    <mergeCell ref="KVU1:KVX1"/>
    <mergeCell ref="KVY1:KWB1"/>
    <mergeCell ref="KWC1:KWF1"/>
    <mergeCell ref="KUK1:KUN1"/>
    <mergeCell ref="KUO1:KUR1"/>
    <mergeCell ref="KUS1:KUV1"/>
    <mergeCell ref="KUW1:KUZ1"/>
    <mergeCell ref="KVA1:KVD1"/>
    <mergeCell ref="KVE1:KVH1"/>
    <mergeCell ref="KTM1:KTP1"/>
    <mergeCell ref="KTQ1:KTT1"/>
    <mergeCell ref="KTU1:KTX1"/>
    <mergeCell ref="KTY1:KUB1"/>
    <mergeCell ref="KUC1:KUF1"/>
    <mergeCell ref="KUG1:KUJ1"/>
    <mergeCell ref="KSO1:KSR1"/>
    <mergeCell ref="KSS1:KSV1"/>
    <mergeCell ref="KSW1:KSZ1"/>
    <mergeCell ref="KTA1:KTD1"/>
    <mergeCell ref="KTE1:KTH1"/>
    <mergeCell ref="KTI1:KTL1"/>
    <mergeCell ref="KRQ1:KRT1"/>
    <mergeCell ref="KRU1:KRX1"/>
    <mergeCell ref="KRY1:KSB1"/>
    <mergeCell ref="KSC1:KSF1"/>
    <mergeCell ref="KSG1:KSJ1"/>
    <mergeCell ref="KSK1:KSN1"/>
    <mergeCell ref="KQS1:KQV1"/>
    <mergeCell ref="KQW1:KQZ1"/>
    <mergeCell ref="KRA1:KRD1"/>
    <mergeCell ref="KRE1:KRH1"/>
    <mergeCell ref="KRI1:KRL1"/>
    <mergeCell ref="KRM1:KRP1"/>
    <mergeCell ref="LAW1:LAZ1"/>
    <mergeCell ref="LBA1:LBD1"/>
    <mergeCell ref="LBE1:LBH1"/>
    <mergeCell ref="LBI1:LBL1"/>
    <mergeCell ref="LBM1:LBP1"/>
    <mergeCell ref="LBQ1:LBT1"/>
    <mergeCell ref="KZY1:LAB1"/>
    <mergeCell ref="LAC1:LAF1"/>
    <mergeCell ref="LAG1:LAJ1"/>
    <mergeCell ref="LAK1:LAN1"/>
    <mergeCell ref="LAO1:LAR1"/>
    <mergeCell ref="LAS1:LAV1"/>
    <mergeCell ref="KZA1:KZD1"/>
    <mergeCell ref="KZE1:KZH1"/>
    <mergeCell ref="KZI1:KZL1"/>
    <mergeCell ref="KZM1:KZP1"/>
    <mergeCell ref="KZQ1:KZT1"/>
    <mergeCell ref="KZU1:KZX1"/>
    <mergeCell ref="KYC1:KYF1"/>
    <mergeCell ref="KYG1:KYJ1"/>
    <mergeCell ref="KYK1:KYN1"/>
    <mergeCell ref="KYO1:KYR1"/>
    <mergeCell ref="KYS1:KYV1"/>
    <mergeCell ref="KYW1:KYZ1"/>
    <mergeCell ref="KXE1:KXH1"/>
    <mergeCell ref="KXI1:KXL1"/>
    <mergeCell ref="KXM1:KXP1"/>
    <mergeCell ref="KXQ1:KXT1"/>
    <mergeCell ref="KXU1:KXX1"/>
    <mergeCell ref="KXY1:KYB1"/>
    <mergeCell ref="KWG1:KWJ1"/>
    <mergeCell ref="KWK1:KWN1"/>
    <mergeCell ref="KWO1:KWR1"/>
    <mergeCell ref="KWS1:KWV1"/>
    <mergeCell ref="KWW1:KWZ1"/>
    <mergeCell ref="KXA1:KXD1"/>
    <mergeCell ref="LGK1:LGN1"/>
    <mergeCell ref="LGO1:LGR1"/>
    <mergeCell ref="LGS1:LGV1"/>
    <mergeCell ref="LGW1:LGZ1"/>
    <mergeCell ref="LHA1:LHD1"/>
    <mergeCell ref="LHE1:LHH1"/>
    <mergeCell ref="LFM1:LFP1"/>
    <mergeCell ref="LFQ1:LFT1"/>
    <mergeCell ref="LFU1:LFX1"/>
    <mergeCell ref="LFY1:LGB1"/>
    <mergeCell ref="LGC1:LGF1"/>
    <mergeCell ref="LGG1:LGJ1"/>
    <mergeCell ref="LEO1:LER1"/>
    <mergeCell ref="LES1:LEV1"/>
    <mergeCell ref="LEW1:LEZ1"/>
    <mergeCell ref="LFA1:LFD1"/>
    <mergeCell ref="LFE1:LFH1"/>
    <mergeCell ref="LFI1:LFL1"/>
    <mergeCell ref="LDQ1:LDT1"/>
    <mergeCell ref="LDU1:LDX1"/>
    <mergeCell ref="LDY1:LEB1"/>
    <mergeCell ref="LEC1:LEF1"/>
    <mergeCell ref="LEG1:LEJ1"/>
    <mergeCell ref="LEK1:LEN1"/>
    <mergeCell ref="LCS1:LCV1"/>
    <mergeCell ref="LCW1:LCZ1"/>
    <mergeCell ref="LDA1:LDD1"/>
    <mergeCell ref="LDE1:LDH1"/>
    <mergeCell ref="LDI1:LDL1"/>
    <mergeCell ref="LDM1:LDP1"/>
    <mergeCell ref="LBU1:LBX1"/>
    <mergeCell ref="LBY1:LCB1"/>
    <mergeCell ref="LCC1:LCF1"/>
    <mergeCell ref="LCG1:LCJ1"/>
    <mergeCell ref="LCK1:LCN1"/>
    <mergeCell ref="LCO1:LCR1"/>
    <mergeCell ref="LLY1:LMB1"/>
    <mergeCell ref="LMC1:LMF1"/>
    <mergeCell ref="LMG1:LMJ1"/>
    <mergeCell ref="LMK1:LMN1"/>
    <mergeCell ref="LMO1:LMR1"/>
    <mergeCell ref="LMS1:LMV1"/>
    <mergeCell ref="LLA1:LLD1"/>
    <mergeCell ref="LLE1:LLH1"/>
    <mergeCell ref="LLI1:LLL1"/>
    <mergeCell ref="LLM1:LLP1"/>
    <mergeCell ref="LLQ1:LLT1"/>
    <mergeCell ref="LLU1:LLX1"/>
    <mergeCell ref="LKC1:LKF1"/>
    <mergeCell ref="LKG1:LKJ1"/>
    <mergeCell ref="LKK1:LKN1"/>
    <mergeCell ref="LKO1:LKR1"/>
    <mergeCell ref="LKS1:LKV1"/>
    <mergeCell ref="LKW1:LKZ1"/>
    <mergeCell ref="LJE1:LJH1"/>
    <mergeCell ref="LJI1:LJL1"/>
    <mergeCell ref="LJM1:LJP1"/>
    <mergeCell ref="LJQ1:LJT1"/>
    <mergeCell ref="LJU1:LJX1"/>
    <mergeCell ref="LJY1:LKB1"/>
    <mergeCell ref="LIG1:LIJ1"/>
    <mergeCell ref="LIK1:LIN1"/>
    <mergeCell ref="LIO1:LIR1"/>
    <mergeCell ref="LIS1:LIV1"/>
    <mergeCell ref="LIW1:LIZ1"/>
    <mergeCell ref="LJA1:LJD1"/>
    <mergeCell ref="LHI1:LHL1"/>
    <mergeCell ref="LHM1:LHP1"/>
    <mergeCell ref="LHQ1:LHT1"/>
    <mergeCell ref="LHU1:LHX1"/>
    <mergeCell ref="LHY1:LIB1"/>
    <mergeCell ref="LIC1:LIF1"/>
    <mergeCell ref="LRM1:LRP1"/>
    <mergeCell ref="LRQ1:LRT1"/>
    <mergeCell ref="LRU1:LRX1"/>
    <mergeCell ref="LRY1:LSB1"/>
    <mergeCell ref="LSC1:LSF1"/>
    <mergeCell ref="LSG1:LSJ1"/>
    <mergeCell ref="LQO1:LQR1"/>
    <mergeCell ref="LQS1:LQV1"/>
    <mergeCell ref="LQW1:LQZ1"/>
    <mergeCell ref="LRA1:LRD1"/>
    <mergeCell ref="LRE1:LRH1"/>
    <mergeCell ref="LRI1:LRL1"/>
    <mergeCell ref="LPQ1:LPT1"/>
    <mergeCell ref="LPU1:LPX1"/>
    <mergeCell ref="LPY1:LQB1"/>
    <mergeCell ref="LQC1:LQF1"/>
    <mergeCell ref="LQG1:LQJ1"/>
    <mergeCell ref="LQK1:LQN1"/>
    <mergeCell ref="LOS1:LOV1"/>
    <mergeCell ref="LOW1:LOZ1"/>
    <mergeCell ref="LPA1:LPD1"/>
    <mergeCell ref="LPE1:LPH1"/>
    <mergeCell ref="LPI1:LPL1"/>
    <mergeCell ref="LPM1:LPP1"/>
    <mergeCell ref="LNU1:LNX1"/>
    <mergeCell ref="LNY1:LOB1"/>
    <mergeCell ref="LOC1:LOF1"/>
    <mergeCell ref="LOG1:LOJ1"/>
    <mergeCell ref="LOK1:LON1"/>
    <mergeCell ref="LOO1:LOR1"/>
    <mergeCell ref="LMW1:LMZ1"/>
    <mergeCell ref="LNA1:LND1"/>
    <mergeCell ref="LNE1:LNH1"/>
    <mergeCell ref="LNI1:LNL1"/>
    <mergeCell ref="LNM1:LNP1"/>
    <mergeCell ref="LNQ1:LNT1"/>
    <mergeCell ref="LXA1:LXD1"/>
    <mergeCell ref="LXE1:LXH1"/>
    <mergeCell ref="LXI1:LXL1"/>
    <mergeCell ref="LXM1:LXP1"/>
    <mergeCell ref="LXQ1:LXT1"/>
    <mergeCell ref="LXU1:LXX1"/>
    <mergeCell ref="LWC1:LWF1"/>
    <mergeCell ref="LWG1:LWJ1"/>
    <mergeCell ref="LWK1:LWN1"/>
    <mergeCell ref="LWO1:LWR1"/>
    <mergeCell ref="LWS1:LWV1"/>
    <mergeCell ref="LWW1:LWZ1"/>
    <mergeCell ref="LVE1:LVH1"/>
    <mergeCell ref="LVI1:LVL1"/>
    <mergeCell ref="LVM1:LVP1"/>
    <mergeCell ref="LVQ1:LVT1"/>
    <mergeCell ref="LVU1:LVX1"/>
    <mergeCell ref="LVY1:LWB1"/>
    <mergeCell ref="LUG1:LUJ1"/>
    <mergeCell ref="LUK1:LUN1"/>
    <mergeCell ref="LUO1:LUR1"/>
    <mergeCell ref="LUS1:LUV1"/>
    <mergeCell ref="LUW1:LUZ1"/>
    <mergeCell ref="LVA1:LVD1"/>
    <mergeCell ref="LTI1:LTL1"/>
    <mergeCell ref="LTM1:LTP1"/>
    <mergeCell ref="LTQ1:LTT1"/>
    <mergeCell ref="LTU1:LTX1"/>
    <mergeCell ref="LTY1:LUB1"/>
    <mergeCell ref="LUC1:LUF1"/>
    <mergeCell ref="LSK1:LSN1"/>
    <mergeCell ref="LSO1:LSR1"/>
    <mergeCell ref="LSS1:LSV1"/>
    <mergeCell ref="LSW1:LSZ1"/>
    <mergeCell ref="LTA1:LTD1"/>
    <mergeCell ref="LTE1:LTH1"/>
    <mergeCell ref="MCO1:MCR1"/>
    <mergeCell ref="MCS1:MCV1"/>
    <mergeCell ref="MCW1:MCZ1"/>
    <mergeCell ref="MDA1:MDD1"/>
    <mergeCell ref="MDE1:MDH1"/>
    <mergeCell ref="MDI1:MDL1"/>
    <mergeCell ref="MBQ1:MBT1"/>
    <mergeCell ref="MBU1:MBX1"/>
    <mergeCell ref="MBY1:MCB1"/>
    <mergeCell ref="MCC1:MCF1"/>
    <mergeCell ref="MCG1:MCJ1"/>
    <mergeCell ref="MCK1:MCN1"/>
    <mergeCell ref="MAS1:MAV1"/>
    <mergeCell ref="MAW1:MAZ1"/>
    <mergeCell ref="MBA1:MBD1"/>
    <mergeCell ref="MBE1:MBH1"/>
    <mergeCell ref="MBI1:MBL1"/>
    <mergeCell ref="MBM1:MBP1"/>
    <mergeCell ref="LZU1:LZX1"/>
    <mergeCell ref="LZY1:MAB1"/>
    <mergeCell ref="MAC1:MAF1"/>
    <mergeCell ref="MAG1:MAJ1"/>
    <mergeCell ref="MAK1:MAN1"/>
    <mergeCell ref="MAO1:MAR1"/>
    <mergeCell ref="LYW1:LYZ1"/>
    <mergeCell ref="LZA1:LZD1"/>
    <mergeCell ref="LZE1:LZH1"/>
    <mergeCell ref="LZI1:LZL1"/>
    <mergeCell ref="LZM1:LZP1"/>
    <mergeCell ref="LZQ1:LZT1"/>
    <mergeCell ref="LXY1:LYB1"/>
    <mergeCell ref="LYC1:LYF1"/>
    <mergeCell ref="LYG1:LYJ1"/>
    <mergeCell ref="LYK1:LYN1"/>
    <mergeCell ref="LYO1:LYR1"/>
    <mergeCell ref="LYS1:LYV1"/>
    <mergeCell ref="MIC1:MIF1"/>
    <mergeCell ref="MIG1:MIJ1"/>
    <mergeCell ref="MIK1:MIN1"/>
    <mergeCell ref="MIO1:MIR1"/>
    <mergeCell ref="MIS1:MIV1"/>
    <mergeCell ref="MIW1:MIZ1"/>
    <mergeCell ref="MHE1:MHH1"/>
    <mergeCell ref="MHI1:MHL1"/>
    <mergeCell ref="MHM1:MHP1"/>
    <mergeCell ref="MHQ1:MHT1"/>
    <mergeCell ref="MHU1:MHX1"/>
    <mergeCell ref="MHY1:MIB1"/>
    <mergeCell ref="MGG1:MGJ1"/>
    <mergeCell ref="MGK1:MGN1"/>
    <mergeCell ref="MGO1:MGR1"/>
    <mergeCell ref="MGS1:MGV1"/>
    <mergeCell ref="MGW1:MGZ1"/>
    <mergeCell ref="MHA1:MHD1"/>
    <mergeCell ref="MFI1:MFL1"/>
    <mergeCell ref="MFM1:MFP1"/>
    <mergeCell ref="MFQ1:MFT1"/>
    <mergeCell ref="MFU1:MFX1"/>
    <mergeCell ref="MFY1:MGB1"/>
    <mergeCell ref="MGC1:MGF1"/>
    <mergeCell ref="MEK1:MEN1"/>
    <mergeCell ref="MEO1:MER1"/>
    <mergeCell ref="MES1:MEV1"/>
    <mergeCell ref="MEW1:MEZ1"/>
    <mergeCell ref="MFA1:MFD1"/>
    <mergeCell ref="MFE1:MFH1"/>
    <mergeCell ref="MDM1:MDP1"/>
    <mergeCell ref="MDQ1:MDT1"/>
    <mergeCell ref="MDU1:MDX1"/>
    <mergeCell ref="MDY1:MEB1"/>
    <mergeCell ref="MEC1:MEF1"/>
    <mergeCell ref="MEG1:MEJ1"/>
    <mergeCell ref="MNQ1:MNT1"/>
    <mergeCell ref="MNU1:MNX1"/>
    <mergeCell ref="MNY1:MOB1"/>
    <mergeCell ref="MOC1:MOF1"/>
    <mergeCell ref="MOG1:MOJ1"/>
    <mergeCell ref="MOK1:MON1"/>
    <mergeCell ref="MMS1:MMV1"/>
    <mergeCell ref="MMW1:MMZ1"/>
    <mergeCell ref="MNA1:MND1"/>
    <mergeCell ref="MNE1:MNH1"/>
    <mergeCell ref="MNI1:MNL1"/>
    <mergeCell ref="MNM1:MNP1"/>
    <mergeCell ref="MLU1:MLX1"/>
    <mergeCell ref="MLY1:MMB1"/>
    <mergeCell ref="MMC1:MMF1"/>
    <mergeCell ref="MMG1:MMJ1"/>
    <mergeCell ref="MMK1:MMN1"/>
    <mergeCell ref="MMO1:MMR1"/>
    <mergeCell ref="MKW1:MKZ1"/>
    <mergeCell ref="MLA1:MLD1"/>
    <mergeCell ref="MLE1:MLH1"/>
    <mergeCell ref="MLI1:MLL1"/>
    <mergeCell ref="MLM1:MLP1"/>
    <mergeCell ref="MLQ1:MLT1"/>
    <mergeCell ref="MJY1:MKB1"/>
    <mergeCell ref="MKC1:MKF1"/>
    <mergeCell ref="MKG1:MKJ1"/>
    <mergeCell ref="MKK1:MKN1"/>
    <mergeCell ref="MKO1:MKR1"/>
    <mergeCell ref="MKS1:MKV1"/>
    <mergeCell ref="MJA1:MJD1"/>
    <mergeCell ref="MJE1:MJH1"/>
    <mergeCell ref="MJI1:MJL1"/>
    <mergeCell ref="MJM1:MJP1"/>
    <mergeCell ref="MJQ1:MJT1"/>
    <mergeCell ref="MJU1:MJX1"/>
    <mergeCell ref="MTE1:MTH1"/>
    <mergeCell ref="MTI1:MTL1"/>
    <mergeCell ref="MTM1:MTP1"/>
    <mergeCell ref="MTQ1:MTT1"/>
    <mergeCell ref="MTU1:MTX1"/>
    <mergeCell ref="MTY1:MUB1"/>
    <mergeCell ref="MSG1:MSJ1"/>
    <mergeCell ref="MSK1:MSN1"/>
    <mergeCell ref="MSO1:MSR1"/>
    <mergeCell ref="MSS1:MSV1"/>
    <mergeCell ref="MSW1:MSZ1"/>
    <mergeCell ref="MTA1:MTD1"/>
    <mergeCell ref="MRI1:MRL1"/>
    <mergeCell ref="MRM1:MRP1"/>
    <mergeCell ref="MRQ1:MRT1"/>
    <mergeCell ref="MRU1:MRX1"/>
    <mergeCell ref="MRY1:MSB1"/>
    <mergeCell ref="MSC1:MSF1"/>
    <mergeCell ref="MQK1:MQN1"/>
    <mergeCell ref="MQO1:MQR1"/>
    <mergeCell ref="MQS1:MQV1"/>
    <mergeCell ref="MQW1:MQZ1"/>
    <mergeCell ref="MRA1:MRD1"/>
    <mergeCell ref="MRE1:MRH1"/>
    <mergeCell ref="MPM1:MPP1"/>
    <mergeCell ref="MPQ1:MPT1"/>
    <mergeCell ref="MPU1:MPX1"/>
    <mergeCell ref="MPY1:MQB1"/>
    <mergeCell ref="MQC1:MQF1"/>
    <mergeCell ref="MQG1:MQJ1"/>
    <mergeCell ref="MOO1:MOR1"/>
    <mergeCell ref="MOS1:MOV1"/>
    <mergeCell ref="MOW1:MOZ1"/>
    <mergeCell ref="MPA1:MPD1"/>
    <mergeCell ref="MPE1:MPH1"/>
    <mergeCell ref="MPI1:MPL1"/>
    <mergeCell ref="MYS1:MYV1"/>
    <mergeCell ref="MYW1:MYZ1"/>
    <mergeCell ref="MZA1:MZD1"/>
    <mergeCell ref="MZE1:MZH1"/>
    <mergeCell ref="MZI1:MZL1"/>
    <mergeCell ref="MZM1:MZP1"/>
    <mergeCell ref="MXU1:MXX1"/>
    <mergeCell ref="MXY1:MYB1"/>
    <mergeCell ref="MYC1:MYF1"/>
    <mergeCell ref="MYG1:MYJ1"/>
    <mergeCell ref="MYK1:MYN1"/>
    <mergeCell ref="MYO1:MYR1"/>
    <mergeCell ref="MWW1:MWZ1"/>
    <mergeCell ref="MXA1:MXD1"/>
    <mergeCell ref="MXE1:MXH1"/>
    <mergeCell ref="MXI1:MXL1"/>
    <mergeCell ref="MXM1:MXP1"/>
    <mergeCell ref="MXQ1:MXT1"/>
    <mergeCell ref="MVY1:MWB1"/>
    <mergeCell ref="MWC1:MWF1"/>
    <mergeCell ref="MWG1:MWJ1"/>
    <mergeCell ref="MWK1:MWN1"/>
    <mergeCell ref="MWO1:MWR1"/>
    <mergeCell ref="MWS1:MWV1"/>
    <mergeCell ref="MVA1:MVD1"/>
    <mergeCell ref="MVE1:MVH1"/>
    <mergeCell ref="MVI1:MVL1"/>
    <mergeCell ref="MVM1:MVP1"/>
    <mergeCell ref="MVQ1:MVT1"/>
    <mergeCell ref="MVU1:MVX1"/>
    <mergeCell ref="MUC1:MUF1"/>
    <mergeCell ref="MUG1:MUJ1"/>
    <mergeCell ref="MUK1:MUN1"/>
    <mergeCell ref="MUO1:MUR1"/>
    <mergeCell ref="MUS1:MUV1"/>
    <mergeCell ref="MUW1:MUZ1"/>
    <mergeCell ref="NEG1:NEJ1"/>
    <mergeCell ref="NEK1:NEN1"/>
    <mergeCell ref="NEO1:NER1"/>
    <mergeCell ref="NES1:NEV1"/>
    <mergeCell ref="NEW1:NEZ1"/>
    <mergeCell ref="NFA1:NFD1"/>
    <mergeCell ref="NDI1:NDL1"/>
    <mergeCell ref="NDM1:NDP1"/>
    <mergeCell ref="NDQ1:NDT1"/>
    <mergeCell ref="NDU1:NDX1"/>
    <mergeCell ref="NDY1:NEB1"/>
    <mergeCell ref="NEC1:NEF1"/>
    <mergeCell ref="NCK1:NCN1"/>
    <mergeCell ref="NCO1:NCR1"/>
    <mergeCell ref="NCS1:NCV1"/>
    <mergeCell ref="NCW1:NCZ1"/>
    <mergeCell ref="NDA1:NDD1"/>
    <mergeCell ref="NDE1:NDH1"/>
    <mergeCell ref="NBM1:NBP1"/>
    <mergeCell ref="NBQ1:NBT1"/>
    <mergeCell ref="NBU1:NBX1"/>
    <mergeCell ref="NBY1:NCB1"/>
    <mergeCell ref="NCC1:NCF1"/>
    <mergeCell ref="NCG1:NCJ1"/>
    <mergeCell ref="NAO1:NAR1"/>
    <mergeCell ref="NAS1:NAV1"/>
    <mergeCell ref="NAW1:NAZ1"/>
    <mergeCell ref="NBA1:NBD1"/>
    <mergeCell ref="NBE1:NBH1"/>
    <mergeCell ref="NBI1:NBL1"/>
    <mergeCell ref="MZQ1:MZT1"/>
    <mergeCell ref="MZU1:MZX1"/>
    <mergeCell ref="MZY1:NAB1"/>
    <mergeCell ref="NAC1:NAF1"/>
    <mergeCell ref="NAG1:NAJ1"/>
    <mergeCell ref="NAK1:NAN1"/>
    <mergeCell ref="NJU1:NJX1"/>
    <mergeCell ref="NJY1:NKB1"/>
    <mergeCell ref="NKC1:NKF1"/>
    <mergeCell ref="NKG1:NKJ1"/>
    <mergeCell ref="NKK1:NKN1"/>
    <mergeCell ref="NKO1:NKR1"/>
    <mergeCell ref="NIW1:NIZ1"/>
    <mergeCell ref="NJA1:NJD1"/>
    <mergeCell ref="NJE1:NJH1"/>
    <mergeCell ref="NJI1:NJL1"/>
    <mergeCell ref="NJM1:NJP1"/>
    <mergeCell ref="NJQ1:NJT1"/>
    <mergeCell ref="NHY1:NIB1"/>
    <mergeCell ref="NIC1:NIF1"/>
    <mergeCell ref="NIG1:NIJ1"/>
    <mergeCell ref="NIK1:NIN1"/>
    <mergeCell ref="NIO1:NIR1"/>
    <mergeCell ref="NIS1:NIV1"/>
    <mergeCell ref="NHA1:NHD1"/>
    <mergeCell ref="NHE1:NHH1"/>
    <mergeCell ref="NHI1:NHL1"/>
    <mergeCell ref="NHM1:NHP1"/>
    <mergeCell ref="NHQ1:NHT1"/>
    <mergeCell ref="NHU1:NHX1"/>
    <mergeCell ref="NGC1:NGF1"/>
    <mergeCell ref="NGG1:NGJ1"/>
    <mergeCell ref="NGK1:NGN1"/>
    <mergeCell ref="NGO1:NGR1"/>
    <mergeCell ref="NGS1:NGV1"/>
    <mergeCell ref="NGW1:NGZ1"/>
    <mergeCell ref="NFE1:NFH1"/>
    <mergeCell ref="NFI1:NFL1"/>
    <mergeCell ref="NFM1:NFP1"/>
    <mergeCell ref="NFQ1:NFT1"/>
    <mergeCell ref="NFU1:NFX1"/>
    <mergeCell ref="NFY1:NGB1"/>
    <mergeCell ref="NPI1:NPL1"/>
    <mergeCell ref="NPM1:NPP1"/>
    <mergeCell ref="NPQ1:NPT1"/>
    <mergeCell ref="NPU1:NPX1"/>
    <mergeCell ref="NPY1:NQB1"/>
    <mergeCell ref="NQC1:NQF1"/>
    <mergeCell ref="NOK1:NON1"/>
    <mergeCell ref="NOO1:NOR1"/>
    <mergeCell ref="NOS1:NOV1"/>
    <mergeCell ref="NOW1:NOZ1"/>
    <mergeCell ref="NPA1:NPD1"/>
    <mergeCell ref="NPE1:NPH1"/>
    <mergeCell ref="NNM1:NNP1"/>
    <mergeCell ref="NNQ1:NNT1"/>
    <mergeCell ref="NNU1:NNX1"/>
    <mergeCell ref="NNY1:NOB1"/>
    <mergeCell ref="NOC1:NOF1"/>
    <mergeCell ref="NOG1:NOJ1"/>
    <mergeCell ref="NMO1:NMR1"/>
    <mergeCell ref="NMS1:NMV1"/>
    <mergeCell ref="NMW1:NMZ1"/>
    <mergeCell ref="NNA1:NND1"/>
    <mergeCell ref="NNE1:NNH1"/>
    <mergeCell ref="NNI1:NNL1"/>
    <mergeCell ref="NLQ1:NLT1"/>
    <mergeCell ref="NLU1:NLX1"/>
    <mergeCell ref="NLY1:NMB1"/>
    <mergeCell ref="NMC1:NMF1"/>
    <mergeCell ref="NMG1:NMJ1"/>
    <mergeCell ref="NMK1:NMN1"/>
    <mergeCell ref="NKS1:NKV1"/>
    <mergeCell ref="NKW1:NKZ1"/>
    <mergeCell ref="NLA1:NLD1"/>
    <mergeCell ref="NLE1:NLH1"/>
    <mergeCell ref="NLI1:NLL1"/>
    <mergeCell ref="NLM1:NLP1"/>
    <mergeCell ref="NUW1:NUZ1"/>
    <mergeCell ref="NVA1:NVD1"/>
    <mergeCell ref="NVE1:NVH1"/>
    <mergeCell ref="NVI1:NVL1"/>
    <mergeCell ref="NVM1:NVP1"/>
    <mergeCell ref="NVQ1:NVT1"/>
    <mergeCell ref="NTY1:NUB1"/>
    <mergeCell ref="NUC1:NUF1"/>
    <mergeCell ref="NUG1:NUJ1"/>
    <mergeCell ref="NUK1:NUN1"/>
    <mergeCell ref="NUO1:NUR1"/>
    <mergeCell ref="NUS1:NUV1"/>
    <mergeCell ref="NTA1:NTD1"/>
    <mergeCell ref="NTE1:NTH1"/>
    <mergeCell ref="NTI1:NTL1"/>
    <mergeCell ref="NTM1:NTP1"/>
    <mergeCell ref="NTQ1:NTT1"/>
    <mergeCell ref="NTU1:NTX1"/>
    <mergeCell ref="NSC1:NSF1"/>
    <mergeCell ref="NSG1:NSJ1"/>
    <mergeCell ref="NSK1:NSN1"/>
    <mergeCell ref="NSO1:NSR1"/>
    <mergeCell ref="NSS1:NSV1"/>
    <mergeCell ref="NSW1:NSZ1"/>
    <mergeCell ref="NRE1:NRH1"/>
    <mergeCell ref="NRI1:NRL1"/>
    <mergeCell ref="NRM1:NRP1"/>
    <mergeCell ref="NRQ1:NRT1"/>
    <mergeCell ref="NRU1:NRX1"/>
    <mergeCell ref="NRY1:NSB1"/>
    <mergeCell ref="NQG1:NQJ1"/>
    <mergeCell ref="NQK1:NQN1"/>
    <mergeCell ref="NQO1:NQR1"/>
    <mergeCell ref="NQS1:NQV1"/>
    <mergeCell ref="NQW1:NQZ1"/>
    <mergeCell ref="NRA1:NRD1"/>
    <mergeCell ref="OAK1:OAN1"/>
    <mergeCell ref="OAO1:OAR1"/>
    <mergeCell ref="OAS1:OAV1"/>
    <mergeCell ref="OAW1:OAZ1"/>
    <mergeCell ref="OBA1:OBD1"/>
    <mergeCell ref="OBE1:OBH1"/>
    <mergeCell ref="NZM1:NZP1"/>
    <mergeCell ref="NZQ1:NZT1"/>
    <mergeCell ref="NZU1:NZX1"/>
    <mergeCell ref="NZY1:OAB1"/>
    <mergeCell ref="OAC1:OAF1"/>
    <mergeCell ref="OAG1:OAJ1"/>
    <mergeCell ref="NYO1:NYR1"/>
    <mergeCell ref="NYS1:NYV1"/>
    <mergeCell ref="NYW1:NYZ1"/>
    <mergeCell ref="NZA1:NZD1"/>
    <mergeCell ref="NZE1:NZH1"/>
    <mergeCell ref="NZI1:NZL1"/>
    <mergeCell ref="NXQ1:NXT1"/>
    <mergeCell ref="NXU1:NXX1"/>
    <mergeCell ref="NXY1:NYB1"/>
    <mergeCell ref="NYC1:NYF1"/>
    <mergeCell ref="NYG1:NYJ1"/>
    <mergeCell ref="NYK1:NYN1"/>
    <mergeCell ref="NWS1:NWV1"/>
    <mergeCell ref="NWW1:NWZ1"/>
    <mergeCell ref="NXA1:NXD1"/>
    <mergeCell ref="NXE1:NXH1"/>
    <mergeCell ref="NXI1:NXL1"/>
    <mergeCell ref="NXM1:NXP1"/>
    <mergeCell ref="NVU1:NVX1"/>
    <mergeCell ref="NVY1:NWB1"/>
    <mergeCell ref="NWC1:NWF1"/>
    <mergeCell ref="NWG1:NWJ1"/>
    <mergeCell ref="NWK1:NWN1"/>
    <mergeCell ref="NWO1:NWR1"/>
    <mergeCell ref="OFY1:OGB1"/>
    <mergeCell ref="OGC1:OGF1"/>
    <mergeCell ref="OGG1:OGJ1"/>
    <mergeCell ref="OGK1:OGN1"/>
    <mergeCell ref="OGO1:OGR1"/>
    <mergeCell ref="OGS1:OGV1"/>
    <mergeCell ref="OFA1:OFD1"/>
    <mergeCell ref="OFE1:OFH1"/>
    <mergeCell ref="OFI1:OFL1"/>
    <mergeCell ref="OFM1:OFP1"/>
    <mergeCell ref="OFQ1:OFT1"/>
    <mergeCell ref="OFU1:OFX1"/>
    <mergeCell ref="OEC1:OEF1"/>
    <mergeCell ref="OEG1:OEJ1"/>
    <mergeCell ref="OEK1:OEN1"/>
    <mergeCell ref="OEO1:OER1"/>
    <mergeCell ref="OES1:OEV1"/>
    <mergeCell ref="OEW1:OEZ1"/>
    <mergeCell ref="ODE1:ODH1"/>
    <mergeCell ref="ODI1:ODL1"/>
    <mergeCell ref="ODM1:ODP1"/>
    <mergeCell ref="ODQ1:ODT1"/>
    <mergeCell ref="ODU1:ODX1"/>
    <mergeCell ref="ODY1:OEB1"/>
    <mergeCell ref="OCG1:OCJ1"/>
    <mergeCell ref="OCK1:OCN1"/>
    <mergeCell ref="OCO1:OCR1"/>
    <mergeCell ref="OCS1:OCV1"/>
    <mergeCell ref="OCW1:OCZ1"/>
    <mergeCell ref="ODA1:ODD1"/>
    <mergeCell ref="OBI1:OBL1"/>
    <mergeCell ref="OBM1:OBP1"/>
    <mergeCell ref="OBQ1:OBT1"/>
    <mergeCell ref="OBU1:OBX1"/>
    <mergeCell ref="OBY1:OCB1"/>
    <mergeCell ref="OCC1:OCF1"/>
    <mergeCell ref="OLM1:OLP1"/>
    <mergeCell ref="OLQ1:OLT1"/>
    <mergeCell ref="OLU1:OLX1"/>
    <mergeCell ref="OLY1:OMB1"/>
    <mergeCell ref="OMC1:OMF1"/>
    <mergeCell ref="OMG1:OMJ1"/>
    <mergeCell ref="OKO1:OKR1"/>
    <mergeCell ref="OKS1:OKV1"/>
    <mergeCell ref="OKW1:OKZ1"/>
    <mergeCell ref="OLA1:OLD1"/>
    <mergeCell ref="OLE1:OLH1"/>
    <mergeCell ref="OLI1:OLL1"/>
    <mergeCell ref="OJQ1:OJT1"/>
    <mergeCell ref="OJU1:OJX1"/>
    <mergeCell ref="OJY1:OKB1"/>
    <mergeCell ref="OKC1:OKF1"/>
    <mergeCell ref="OKG1:OKJ1"/>
    <mergeCell ref="OKK1:OKN1"/>
    <mergeCell ref="OIS1:OIV1"/>
    <mergeCell ref="OIW1:OIZ1"/>
    <mergeCell ref="OJA1:OJD1"/>
    <mergeCell ref="OJE1:OJH1"/>
    <mergeCell ref="OJI1:OJL1"/>
    <mergeCell ref="OJM1:OJP1"/>
    <mergeCell ref="OHU1:OHX1"/>
    <mergeCell ref="OHY1:OIB1"/>
    <mergeCell ref="OIC1:OIF1"/>
    <mergeCell ref="OIG1:OIJ1"/>
    <mergeCell ref="OIK1:OIN1"/>
    <mergeCell ref="OIO1:OIR1"/>
    <mergeCell ref="OGW1:OGZ1"/>
    <mergeCell ref="OHA1:OHD1"/>
    <mergeCell ref="OHE1:OHH1"/>
    <mergeCell ref="OHI1:OHL1"/>
    <mergeCell ref="OHM1:OHP1"/>
    <mergeCell ref="OHQ1:OHT1"/>
    <mergeCell ref="ORA1:ORD1"/>
    <mergeCell ref="ORE1:ORH1"/>
    <mergeCell ref="ORI1:ORL1"/>
    <mergeCell ref="ORM1:ORP1"/>
    <mergeCell ref="ORQ1:ORT1"/>
    <mergeCell ref="ORU1:ORX1"/>
    <mergeCell ref="OQC1:OQF1"/>
    <mergeCell ref="OQG1:OQJ1"/>
    <mergeCell ref="OQK1:OQN1"/>
    <mergeCell ref="OQO1:OQR1"/>
    <mergeCell ref="OQS1:OQV1"/>
    <mergeCell ref="OQW1:OQZ1"/>
    <mergeCell ref="OPE1:OPH1"/>
    <mergeCell ref="OPI1:OPL1"/>
    <mergeCell ref="OPM1:OPP1"/>
    <mergeCell ref="OPQ1:OPT1"/>
    <mergeCell ref="OPU1:OPX1"/>
    <mergeCell ref="OPY1:OQB1"/>
    <mergeCell ref="OOG1:OOJ1"/>
    <mergeCell ref="OOK1:OON1"/>
    <mergeCell ref="OOO1:OOR1"/>
    <mergeCell ref="OOS1:OOV1"/>
    <mergeCell ref="OOW1:OOZ1"/>
    <mergeCell ref="OPA1:OPD1"/>
    <mergeCell ref="ONI1:ONL1"/>
    <mergeCell ref="ONM1:ONP1"/>
    <mergeCell ref="ONQ1:ONT1"/>
    <mergeCell ref="ONU1:ONX1"/>
    <mergeCell ref="ONY1:OOB1"/>
    <mergeCell ref="OOC1:OOF1"/>
    <mergeCell ref="OMK1:OMN1"/>
    <mergeCell ref="OMO1:OMR1"/>
    <mergeCell ref="OMS1:OMV1"/>
    <mergeCell ref="OMW1:OMZ1"/>
    <mergeCell ref="ONA1:OND1"/>
    <mergeCell ref="ONE1:ONH1"/>
    <mergeCell ref="OWO1:OWR1"/>
    <mergeCell ref="OWS1:OWV1"/>
    <mergeCell ref="OWW1:OWZ1"/>
    <mergeCell ref="OXA1:OXD1"/>
    <mergeCell ref="OXE1:OXH1"/>
    <mergeCell ref="OXI1:OXL1"/>
    <mergeCell ref="OVQ1:OVT1"/>
    <mergeCell ref="OVU1:OVX1"/>
    <mergeCell ref="OVY1:OWB1"/>
    <mergeCell ref="OWC1:OWF1"/>
    <mergeCell ref="OWG1:OWJ1"/>
    <mergeCell ref="OWK1:OWN1"/>
    <mergeCell ref="OUS1:OUV1"/>
    <mergeCell ref="OUW1:OUZ1"/>
    <mergeCell ref="OVA1:OVD1"/>
    <mergeCell ref="OVE1:OVH1"/>
    <mergeCell ref="OVI1:OVL1"/>
    <mergeCell ref="OVM1:OVP1"/>
    <mergeCell ref="OTU1:OTX1"/>
    <mergeCell ref="OTY1:OUB1"/>
    <mergeCell ref="OUC1:OUF1"/>
    <mergeCell ref="OUG1:OUJ1"/>
    <mergeCell ref="OUK1:OUN1"/>
    <mergeCell ref="OUO1:OUR1"/>
    <mergeCell ref="OSW1:OSZ1"/>
    <mergeCell ref="OTA1:OTD1"/>
    <mergeCell ref="OTE1:OTH1"/>
    <mergeCell ref="OTI1:OTL1"/>
    <mergeCell ref="OTM1:OTP1"/>
    <mergeCell ref="OTQ1:OTT1"/>
    <mergeCell ref="ORY1:OSB1"/>
    <mergeCell ref="OSC1:OSF1"/>
    <mergeCell ref="OSG1:OSJ1"/>
    <mergeCell ref="OSK1:OSN1"/>
    <mergeCell ref="OSO1:OSR1"/>
    <mergeCell ref="OSS1:OSV1"/>
    <mergeCell ref="PCC1:PCF1"/>
    <mergeCell ref="PCG1:PCJ1"/>
    <mergeCell ref="PCK1:PCN1"/>
    <mergeCell ref="PCO1:PCR1"/>
    <mergeCell ref="PCS1:PCV1"/>
    <mergeCell ref="PCW1:PCZ1"/>
    <mergeCell ref="PBE1:PBH1"/>
    <mergeCell ref="PBI1:PBL1"/>
    <mergeCell ref="PBM1:PBP1"/>
    <mergeCell ref="PBQ1:PBT1"/>
    <mergeCell ref="PBU1:PBX1"/>
    <mergeCell ref="PBY1:PCB1"/>
    <mergeCell ref="PAG1:PAJ1"/>
    <mergeCell ref="PAK1:PAN1"/>
    <mergeCell ref="PAO1:PAR1"/>
    <mergeCell ref="PAS1:PAV1"/>
    <mergeCell ref="PAW1:PAZ1"/>
    <mergeCell ref="PBA1:PBD1"/>
    <mergeCell ref="OZI1:OZL1"/>
    <mergeCell ref="OZM1:OZP1"/>
    <mergeCell ref="OZQ1:OZT1"/>
    <mergeCell ref="OZU1:OZX1"/>
    <mergeCell ref="OZY1:PAB1"/>
    <mergeCell ref="PAC1:PAF1"/>
    <mergeCell ref="OYK1:OYN1"/>
    <mergeCell ref="OYO1:OYR1"/>
    <mergeCell ref="OYS1:OYV1"/>
    <mergeCell ref="OYW1:OYZ1"/>
    <mergeCell ref="OZA1:OZD1"/>
    <mergeCell ref="OZE1:OZH1"/>
    <mergeCell ref="OXM1:OXP1"/>
    <mergeCell ref="OXQ1:OXT1"/>
    <mergeCell ref="OXU1:OXX1"/>
    <mergeCell ref="OXY1:OYB1"/>
    <mergeCell ref="OYC1:OYF1"/>
    <mergeCell ref="OYG1:OYJ1"/>
    <mergeCell ref="PHQ1:PHT1"/>
    <mergeCell ref="PHU1:PHX1"/>
    <mergeCell ref="PHY1:PIB1"/>
    <mergeCell ref="PIC1:PIF1"/>
    <mergeCell ref="PIG1:PIJ1"/>
    <mergeCell ref="PIK1:PIN1"/>
    <mergeCell ref="PGS1:PGV1"/>
    <mergeCell ref="PGW1:PGZ1"/>
    <mergeCell ref="PHA1:PHD1"/>
    <mergeCell ref="PHE1:PHH1"/>
    <mergeCell ref="PHI1:PHL1"/>
    <mergeCell ref="PHM1:PHP1"/>
    <mergeCell ref="PFU1:PFX1"/>
    <mergeCell ref="PFY1:PGB1"/>
    <mergeCell ref="PGC1:PGF1"/>
    <mergeCell ref="PGG1:PGJ1"/>
    <mergeCell ref="PGK1:PGN1"/>
    <mergeCell ref="PGO1:PGR1"/>
    <mergeCell ref="PEW1:PEZ1"/>
    <mergeCell ref="PFA1:PFD1"/>
    <mergeCell ref="PFE1:PFH1"/>
    <mergeCell ref="PFI1:PFL1"/>
    <mergeCell ref="PFM1:PFP1"/>
    <mergeCell ref="PFQ1:PFT1"/>
    <mergeCell ref="PDY1:PEB1"/>
    <mergeCell ref="PEC1:PEF1"/>
    <mergeCell ref="PEG1:PEJ1"/>
    <mergeCell ref="PEK1:PEN1"/>
    <mergeCell ref="PEO1:PER1"/>
    <mergeCell ref="PES1:PEV1"/>
    <mergeCell ref="PDA1:PDD1"/>
    <mergeCell ref="PDE1:PDH1"/>
    <mergeCell ref="PDI1:PDL1"/>
    <mergeCell ref="PDM1:PDP1"/>
    <mergeCell ref="PDQ1:PDT1"/>
    <mergeCell ref="PDU1:PDX1"/>
    <mergeCell ref="PNE1:PNH1"/>
    <mergeCell ref="PNI1:PNL1"/>
    <mergeCell ref="PNM1:PNP1"/>
    <mergeCell ref="PNQ1:PNT1"/>
    <mergeCell ref="PNU1:PNX1"/>
    <mergeCell ref="PNY1:POB1"/>
    <mergeCell ref="PMG1:PMJ1"/>
    <mergeCell ref="PMK1:PMN1"/>
    <mergeCell ref="PMO1:PMR1"/>
    <mergeCell ref="PMS1:PMV1"/>
    <mergeCell ref="PMW1:PMZ1"/>
    <mergeCell ref="PNA1:PND1"/>
    <mergeCell ref="PLI1:PLL1"/>
    <mergeCell ref="PLM1:PLP1"/>
    <mergeCell ref="PLQ1:PLT1"/>
    <mergeCell ref="PLU1:PLX1"/>
    <mergeCell ref="PLY1:PMB1"/>
    <mergeCell ref="PMC1:PMF1"/>
    <mergeCell ref="PKK1:PKN1"/>
    <mergeCell ref="PKO1:PKR1"/>
    <mergeCell ref="PKS1:PKV1"/>
    <mergeCell ref="PKW1:PKZ1"/>
    <mergeCell ref="PLA1:PLD1"/>
    <mergeCell ref="PLE1:PLH1"/>
    <mergeCell ref="PJM1:PJP1"/>
    <mergeCell ref="PJQ1:PJT1"/>
    <mergeCell ref="PJU1:PJX1"/>
    <mergeCell ref="PJY1:PKB1"/>
    <mergeCell ref="PKC1:PKF1"/>
    <mergeCell ref="PKG1:PKJ1"/>
    <mergeCell ref="PIO1:PIR1"/>
    <mergeCell ref="PIS1:PIV1"/>
    <mergeCell ref="PIW1:PIZ1"/>
    <mergeCell ref="PJA1:PJD1"/>
    <mergeCell ref="PJE1:PJH1"/>
    <mergeCell ref="PJI1:PJL1"/>
    <mergeCell ref="PSS1:PSV1"/>
    <mergeCell ref="PSW1:PSZ1"/>
    <mergeCell ref="PTA1:PTD1"/>
    <mergeCell ref="PTE1:PTH1"/>
    <mergeCell ref="PTI1:PTL1"/>
    <mergeCell ref="PTM1:PTP1"/>
    <mergeCell ref="PRU1:PRX1"/>
    <mergeCell ref="PRY1:PSB1"/>
    <mergeCell ref="PSC1:PSF1"/>
    <mergeCell ref="PSG1:PSJ1"/>
    <mergeCell ref="PSK1:PSN1"/>
    <mergeCell ref="PSO1:PSR1"/>
    <mergeCell ref="PQW1:PQZ1"/>
    <mergeCell ref="PRA1:PRD1"/>
    <mergeCell ref="PRE1:PRH1"/>
    <mergeCell ref="PRI1:PRL1"/>
    <mergeCell ref="PRM1:PRP1"/>
    <mergeCell ref="PRQ1:PRT1"/>
    <mergeCell ref="PPY1:PQB1"/>
    <mergeCell ref="PQC1:PQF1"/>
    <mergeCell ref="PQG1:PQJ1"/>
    <mergeCell ref="PQK1:PQN1"/>
    <mergeCell ref="PQO1:PQR1"/>
    <mergeCell ref="PQS1:PQV1"/>
    <mergeCell ref="PPA1:PPD1"/>
    <mergeCell ref="PPE1:PPH1"/>
    <mergeCell ref="PPI1:PPL1"/>
    <mergeCell ref="PPM1:PPP1"/>
    <mergeCell ref="PPQ1:PPT1"/>
    <mergeCell ref="PPU1:PPX1"/>
    <mergeCell ref="POC1:POF1"/>
    <mergeCell ref="POG1:POJ1"/>
    <mergeCell ref="POK1:PON1"/>
    <mergeCell ref="POO1:POR1"/>
    <mergeCell ref="POS1:POV1"/>
    <mergeCell ref="POW1:POZ1"/>
    <mergeCell ref="PYG1:PYJ1"/>
    <mergeCell ref="PYK1:PYN1"/>
    <mergeCell ref="PYO1:PYR1"/>
    <mergeCell ref="PYS1:PYV1"/>
    <mergeCell ref="PYW1:PYZ1"/>
    <mergeCell ref="PZA1:PZD1"/>
    <mergeCell ref="PXI1:PXL1"/>
    <mergeCell ref="PXM1:PXP1"/>
    <mergeCell ref="PXQ1:PXT1"/>
    <mergeCell ref="PXU1:PXX1"/>
    <mergeCell ref="PXY1:PYB1"/>
    <mergeCell ref="PYC1:PYF1"/>
    <mergeCell ref="PWK1:PWN1"/>
    <mergeCell ref="PWO1:PWR1"/>
    <mergeCell ref="PWS1:PWV1"/>
    <mergeCell ref="PWW1:PWZ1"/>
    <mergeCell ref="PXA1:PXD1"/>
    <mergeCell ref="PXE1:PXH1"/>
    <mergeCell ref="PVM1:PVP1"/>
    <mergeCell ref="PVQ1:PVT1"/>
    <mergeCell ref="PVU1:PVX1"/>
    <mergeCell ref="PVY1:PWB1"/>
    <mergeCell ref="PWC1:PWF1"/>
    <mergeCell ref="PWG1:PWJ1"/>
    <mergeCell ref="PUO1:PUR1"/>
    <mergeCell ref="PUS1:PUV1"/>
    <mergeCell ref="PUW1:PUZ1"/>
    <mergeCell ref="PVA1:PVD1"/>
    <mergeCell ref="PVE1:PVH1"/>
    <mergeCell ref="PVI1:PVL1"/>
    <mergeCell ref="PTQ1:PTT1"/>
    <mergeCell ref="PTU1:PTX1"/>
    <mergeCell ref="PTY1:PUB1"/>
    <mergeCell ref="PUC1:PUF1"/>
    <mergeCell ref="PUG1:PUJ1"/>
    <mergeCell ref="PUK1:PUN1"/>
    <mergeCell ref="QDU1:QDX1"/>
    <mergeCell ref="QDY1:QEB1"/>
    <mergeCell ref="QEC1:QEF1"/>
    <mergeCell ref="QEG1:QEJ1"/>
    <mergeCell ref="QEK1:QEN1"/>
    <mergeCell ref="QEO1:QER1"/>
    <mergeCell ref="QCW1:QCZ1"/>
    <mergeCell ref="QDA1:QDD1"/>
    <mergeCell ref="QDE1:QDH1"/>
    <mergeCell ref="QDI1:QDL1"/>
    <mergeCell ref="QDM1:QDP1"/>
    <mergeCell ref="QDQ1:QDT1"/>
    <mergeCell ref="QBY1:QCB1"/>
    <mergeCell ref="QCC1:QCF1"/>
    <mergeCell ref="QCG1:QCJ1"/>
    <mergeCell ref="QCK1:QCN1"/>
    <mergeCell ref="QCO1:QCR1"/>
    <mergeCell ref="QCS1:QCV1"/>
    <mergeCell ref="QBA1:QBD1"/>
    <mergeCell ref="QBE1:QBH1"/>
    <mergeCell ref="QBI1:QBL1"/>
    <mergeCell ref="QBM1:QBP1"/>
    <mergeCell ref="QBQ1:QBT1"/>
    <mergeCell ref="QBU1:QBX1"/>
    <mergeCell ref="QAC1:QAF1"/>
    <mergeCell ref="QAG1:QAJ1"/>
    <mergeCell ref="QAK1:QAN1"/>
    <mergeCell ref="QAO1:QAR1"/>
    <mergeCell ref="QAS1:QAV1"/>
    <mergeCell ref="QAW1:QAZ1"/>
    <mergeCell ref="PZE1:PZH1"/>
    <mergeCell ref="PZI1:PZL1"/>
    <mergeCell ref="PZM1:PZP1"/>
    <mergeCell ref="PZQ1:PZT1"/>
    <mergeCell ref="PZU1:PZX1"/>
    <mergeCell ref="PZY1:QAB1"/>
    <mergeCell ref="QJI1:QJL1"/>
    <mergeCell ref="QJM1:QJP1"/>
    <mergeCell ref="QJQ1:QJT1"/>
    <mergeCell ref="QJU1:QJX1"/>
    <mergeCell ref="QJY1:QKB1"/>
    <mergeCell ref="QKC1:QKF1"/>
    <mergeCell ref="QIK1:QIN1"/>
    <mergeCell ref="QIO1:QIR1"/>
    <mergeCell ref="QIS1:QIV1"/>
    <mergeCell ref="QIW1:QIZ1"/>
    <mergeCell ref="QJA1:QJD1"/>
    <mergeCell ref="QJE1:QJH1"/>
    <mergeCell ref="QHM1:QHP1"/>
    <mergeCell ref="QHQ1:QHT1"/>
    <mergeCell ref="QHU1:QHX1"/>
    <mergeCell ref="QHY1:QIB1"/>
    <mergeCell ref="QIC1:QIF1"/>
    <mergeCell ref="QIG1:QIJ1"/>
    <mergeCell ref="QGO1:QGR1"/>
    <mergeCell ref="QGS1:QGV1"/>
    <mergeCell ref="QGW1:QGZ1"/>
    <mergeCell ref="QHA1:QHD1"/>
    <mergeCell ref="QHE1:QHH1"/>
    <mergeCell ref="QHI1:QHL1"/>
    <mergeCell ref="QFQ1:QFT1"/>
    <mergeCell ref="QFU1:QFX1"/>
    <mergeCell ref="QFY1:QGB1"/>
    <mergeCell ref="QGC1:QGF1"/>
    <mergeCell ref="QGG1:QGJ1"/>
    <mergeCell ref="QGK1:QGN1"/>
    <mergeCell ref="QES1:QEV1"/>
    <mergeCell ref="QEW1:QEZ1"/>
    <mergeCell ref="QFA1:QFD1"/>
    <mergeCell ref="QFE1:QFH1"/>
    <mergeCell ref="QFI1:QFL1"/>
    <mergeCell ref="QFM1:QFP1"/>
    <mergeCell ref="QOW1:QOZ1"/>
    <mergeCell ref="QPA1:QPD1"/>
    <mergeCell ref="QPE1:QPH1"/>
    <mergeCell ref="QPI1:QPL1"/>
    <mergeCell ref="QPM1:QPP1"/>
    <mergeCell ref="QPQ1:QPT1"/>
    <mergeCell ref="QNY1:QOB1"/>
    <mergeCell ref="QOC1:QOF1"/>
    <mergeCell ref="QOG1:QOJ1"/>
    <mergeCell ref="QOK1:QON1"/>
    <mergeCell ref="QOO1:QOR1"/>
    <mergeCell ref="QOS1:QOV1"/>
    <mergeCell ref="QNA1:QND1"/>
    <mergeCell ref="QNE1:QNH1"/>
    <mergeCell ref="QNI1:QNL1"/>
    <mergeCell ref="QNM1:QNP1"/>
    <mergeCell ref="QNQ1:QNT1"/>
    <mergeCell ref="QNU1:QNX1"/>
    <mergeCell ref="QMC1:QMF1"/>
    <mergeCell ref="QMG1:QMJ1"/>
    <mergeCell ref="QMK1:QMN1"/>
    <mergeCell ref="QMO1:QMR1"/>
    <mergeCell ref="QMS1:QMV1"/>
    <mergeCell ref="QMW1:QMZ1"/>
    <mergeCell ref="QLE1:QLH1"/>
    <mergeCell ref="QLI1:QLL1"/>
    <mergeCell ref="QLM1:QLP1"/>
    <mergeCell ref="QLQ1:QLT1"/>
    <mergeCell ref="QLU1:QLX1"/>
    <mergeCell ref="QLY1:QMB1"/>
    <mergeCell ref="QKG1:QKJ1"/>
    <mergeCell ref="QKK1:QKN1"/>
    <mergeCell ref="QKO1:QKR1"/>
    <mergeCell ref="QKS1:QKV1"/>
    <mergeCell ref="QKW1:QKZ1"/>
    <mergeCell ref="QLA1:QLD1"/>
    <mergeCell ref="QUK1:QUN1"/>
    <mergeCell ref="QUO1:QUR1"/>
    <mergeCell ref="QUS1:QUV1"/>
    <mergeCell ref="QUW1:QUZ1"/>
    <mergeCell ref="QVA1:QVD1"/>
    <mergeCell ref="QVE1:QVH1"/>
    <mergeCell ref="QTM1:QTP1"/>
    <mergeCell ref="QTQ1:QTT1"/>
    <mergeCell ref="QTU1:QTX1"/>
    <mergeCell ref="QTY1:QUB1"/>
    <mergeCell ref="QUC1:QUF1"/>
    <mergeCell ref="QUG1:QUJ1"/>
    <mergeCell ref="QSO1:QSR1"/>
    <mergeCell ref="QSS1:QSV1"/>
    <mergeCell ref="QSW1:QSZ1"/>
    <mergeCell ref="QTA1:QTD1"/>
    <mergeCell ref="QTE1:QTH1"/>
    <mergeCell ref="QTI1:QTL1"/>
    <mergeCell ref="QRQ1:QRT1"/>
    <mergeCell ref="QRU1:QRX1"/>
    <mergeCell ref="QRY1:QSB1"/>
    <mergeCell ref="QSC1:QSF1"/>
    <mergeCell ref="QSG1:QSJ1"/>
    <mergeCell ref="QSK1:QSN1"/>
    <mergeCell ref="QQS1:QQV1"/>
    <mergeCell ref="QQW1:QQZ1"/>
    <mergeCell ref="QRA1:QRD1"/>
    <mergeCell ref="QRE1:QRH1"/>
    <mergeCell ref="QRI1:QRL1"/>
    <mergeCell ref="QRM1:QRP1"/>
    <mergeCell ref="QPU1:QPX1"/>
    <mergeCell ref="QPY1:QQB1"/>
    <mergeCell ref="QQC1:QQF1"/>
    <mergeCell ref="QQG1:QQJ1"/>
    <mergeCell ref="QQK1:QQN1"/>
    <mergeCell ref="QQO1:QQR1"/>
    <mergeCell ref="QZY1:RAB1"/>
    <mergeCell ref="RAC1:RAF1"/>
    <mergeCell ref="RAG1:RAJ1"/>
    <mergeCell ref="RAK1:RAN1"/>
    <mergeCell ref="RAO1:RAR1"/>
    <mergeCell ref="RAS1:RAV1"/>
    <mergeCell ref="QZA1:QZD1"/>
    <mergeCell ref="QZE1:QZH1"/>
    <mergeCell ref="QZI1:QZL1"/>
    <mergeCell ref="QZM1:QZP1"/>
    <mergeCell ref="QZQ1:QZT1"/>
    <mergeCell ref="QZU1:QZX1"/>
    <mergeCell ref="QYC1:QYF1"/>
    <mergeCell ref="QYG1:QYJ1"/>
    <mergeCell ref="QYK1:QYN1"/>
    <mergeCell ref="QYO1:QYR1"/>
    <mergeCell ref="QYS1:QYV1"/>
    <mergeCell ref="QYW1:QYZ1"/>
    <mergeCell ref="QXE1:QXH1"/>
    <mergeCell ref="QXI1:QXL1"/>
    <mergeCell ref="QXM1:QXP1"/>
    <mergeCell ref="QXQ1:QXT1"/>
    <mergeCell ref="QXU1:QXX1"/>
    <mergeCell ref="QXY1:QYB1"/>
    <mergeCell ref="QWG1:QWJ1"/>
    <mergeCell ref="QWK1:QWN1"/>
    <mergeCell ref="QWO1:QWR1"/>
    <mergeCell ref="QWS1:QWV1"/>
    <mergeCell ref="QWW1:QWZ1"/>
    <mergeCell ref="QXA1:QXD1"/>
    <mergeCell ref="QVI1:QVL1"/>
    <mergeCell ref="QVM1:QVP1"/>
    <mergeCell ref="QVQ1:QVT1"/>
    <mergeCell ref="QVU1:QVX1"/>
    <mergeCell ref="QVY1:QWB1"/>
    <mergeCell ref="QWC1:QWF1"/>
    <mergeCell ref="RFM1:RFP1"/>
    <mergeCell ref="RFQ1:RFT1"/>
    <mergeCell ref="RFU1:RFX1"/>
    <mergeCell ref="RFY1:RGB1"/>
    <mergeCell ref="RGC1:RGF1"/>
    <mergeCell ref="RGG1:RGJ1"/>
    <mergeCell ref="REO1:RER1"/>
    <mergeCell ref="RES1:REV1"/>
    <mergeCell ref="REW1:REZ1"/>
    <mergeCell ref="RFA1:RFD1"/>
    <mergeCell ref="RFE1:RFH1"/>
    <mergeCell ref="RFI1:RFL1"/>
    <mergeCell ref="RDQ1:RDT1"/>
    <mergeCell ref="RDU1:RDX1"/>
    <mergeCell ref="RDY1:REB1"/>
    <mergeCell ref="REC1:REF1"/>
    <mergeCell ref="REG1:REJ1"/>
    <mergeCell ref="REK1:REN1"/>
    <mergeCell ref="RCS1:RCV1"/>
    <mergeCell ref="RCW1:RCZ1"/>
    <mergeCell ref="RDA1:RDD1"/>
    <mergeCell ref="RDE1:RDH1"/>
    <mergeCell ref="RDI1:RDL1"/>
    <mergeCell ref="RDM1:RDP1"/>
    <mergeCell ref="RBU1:RBX1"/>
    <mergeCell ref="RBY1:RCB1"/>
    <mergeCell ref="RCC1:RCF1"/>
    <mergeCell ref="RCG1:RCJ1"/>
    <mergeCell ref="RCK1:RCN1"/>
    <mergeCell ref="RCO1:RCR1"/>
    <mergeCell ref="RAW1:RAZ1"/>
    <mergeCell ref="RBA1:RBD1"/>
    <mergeCell ref="RBE1:RBH1"/>
    <mergeCell ref="RBI1:RBL1"/>
    <mergeCell ref="RBM1:RBP1"/>
    <mergeCell ref="RBQ1:RBT1"/>
    <mergeCell ref="RLA1:RLD1"/>
    <mergeCell ref="RLE1:RLH1"/>
    <mergeCell ref="RLI1:RLL1"/>
    <mergeCell ref="RLM1:RLP1"/>
    <mergeCell ref="RLQ1:RLT1"/>
    <mergeCell ref="RLU1:RLX1"/>
    <mergeCell ref="RKC1:RKF1"/>
    <mergeCell ref="RKG1:RKJ1"/>
    <mergeCell ref="RKK1:RKN1"/>
    <mergeCell ref="RKO1:RKR1"/>
    <mergeCell ref="RKS1:RKV1"/>
    <mergeCell ref="RKW1:RKZ1"/>
    <mergeCell ref="RJE1:RJH1"/>
    <mergeCell ref="RJI1:RJL1"/>
    <mergeCell ref="RJM1:RJP1"/>
    <mergeCell ref="RJQ1:RJT1"/>
    <mergeCell ref="RJU1:RJX1"/>
    <mergeCell ref="RJY1:RKB1"/>
    <mergeCell ref="RIG1:RIJ1"/>
    <mergeCell ref="RIK1:RIN1"/>
    <mergeCell ref="RIO1:RIR1"/>
    <mergeCell ref="RIS1:RIV1"/>
    <mergeCell ref="RIW1:RIZ1"/>
    <mergeCell ref="RJA1:RJD1"/>
    <mergeCell ref="RHI1:RHL1"/>
    <mergeCell ref="RHM1:RHP1"/>
    <mergeCell ref="RHQ1:RHT1"/>
    <mergeCell ref="RHU1:RHX1"/>
    <mergeCell ref="RHY1:RIB1"/>
    <mergeCell ref="RIC1:RIF1"/>
    <mergeCell ref="RGK1:RGN1"/>
    <mergeCell ref="RGO1:RGR1"/>
    <mergeCell ref="RGS1:RGV1"/>
    <mergeCell ref="RGW1:RGZ1"/>
    <mergeCell ref="RHA1:RHD1"/>
    <mergeCell ref="RHE1:RHH1"/>
    <mergeCell ref="RQO1:RQR1"/>
    <mergeCell ref="RQS1:RQV1"/>
    <mergeCell ref="RQW1:RQZ1"/>
    <mergeCell ref="RRA1:RRD1"/>
    <mergeCell ref="RRE1:RRH1"/>
    <mergeCell ref="RRI1:RRL1"/>
    <mergeCell ref="RPQ1:RPT1"/>
    <mergeCell ref="RPU1:RPX1"/>
    <mergeCell ref="RPY1:RQB1"/>
    <mergeCell ref="RQC1:RQF1"/>
    <mergeCell ref="RQG1:RQJ1"/>
    <mergeCell ref="RQK1:RQN1"/>
    <mergeCell ref="ROS1:ROV1"/>
    <mergeCell ref="ROW1:ROZ1"/>
    <mergeCell ref="RPA1:RPD1"/>
    <mergeCell ref="RPE1:RPH1"/>
    <mergeCell ref="RPI1:RPL1"/>
    <mergeCell ref="RPM1:RPP1"/>
    <mergeCell ref="RNU1:RNX1"/>
    <mergeCell ref="RNY1:ROB1"/>
    <mergeCell ref="ROC1:ROF1"/>
    <mergeCell ref="ROG1:ROJ1"/>
    <mergeCell ref="ROK1:RON1"/>
    <mergeCell ref="ROO1:ROR1"/>
    <mergeCell ref="RMW1:RMZ1"/>
    <mergeCell ref="RNA1:RND1"/>
    <mergeCell ref="RNE1:RNH1"/>
    <mergeCell ref="RNI1:RNL1"/>
    <mergeCell ref="RNM1:RNP1"/>
    <mergeCell ref="RNQ1:RNT1"/>
    <mergeCell ref="RLY1:RMB1"/>
    <mergeCell ref="RMC1:RMF1"/>
    <mergeCell ref="RMG1:RMJ1"/>
    <mergeCell ref="RMK1:RMN1"/>
    <mergeCell ref="RMO1:RMR1"/>
    <mergeCell ref="RMS1:RMV1"/>
    <mergeCell ref="RWC1:RWF1"/>
    <mergeCell ref="RWG1:RWJ1"/>
    <mergeCell ref="RWK1:RWN1"/>
    <mergeCell ref="RWO1:RWR1"/>
    <mergeCell ref="RWS1:RWV1"/>
    <mergeCell ref="RWW1:RWZ1"/>
    <mergeCell ref="RVE1:RVH1"/>
    <mergeCell ref="RVI1:RVL1"/>
    <mergeCell ref="RVM1:RVP1"/>
    <mergeCell ref="RVQ1:RVT1"/>
    <mergeCell ref="RVU1:RVX1"/>
    <mergeCell ref="RVY1:RWB1"/>
    <mergeCell ref="RUG1:RUJ1"/>
    <mergeCell ref="RUK1:RUN1"/>
    <mergeCell ref="RUO1:RUR1"/>
    <mergeCell ref="RUS1:RUV1"/>
    <mergeCell ref="RUW1:RUZ1"/>
    <mergeCell ref="RVA1:RVD1"/>
    <mergeCell ref="RTI1:RTL1"/>
    <mergeCell ref="RTM1:RTP1"/>
    <mergeCell ref="RTQ1:RTT1"/>
    <mergeCell ref="RTU1:RTX1"/>
    <mergeCell ref="RTY1:RUB1"/>
    <mergeCell ref="RUC1:RUF1"/>
    <mergeCell ref="RSK1:RSN1"/>
    <mergeCell ref="RSO1:RSR1"/>
    <mergeCell ref="RSS1:RSV1"/>
    <mergeCell ref="RSW1:RSZ1"/>
    <mergeCell ref="RTA1:RTD1"/>
    <mergeCell ref="RTE1:RTH1"/>
    <mergeCell ref="RRM1:RRP1"/>
    <mergeCell ref="RRQ1:RRT1"/>
    <mergeCell ref="RRU1:RRX1"/>
    <mergeCell ref="RRY1:RSB1"/>
    <mergeCell ref="RSC1:RSF1"/>
    <mergeCell ref="RSG1:RSJ1"/>
    <mergeCell ref="SBQ1:SBT1"/>
    <mergeCell ref="SBU1:SBX1"/>
    <mergeCell ref="SBY1:SCB1"/>
    <mergeCell ref="SCC1:SCF1"/>
    <mergeCell ref="SCG1:SCJ1"/>
    <mergeCell ref="SCK1:SCN1"/>
    <mergeCell ref="SAS1:SAV1"/>
    <mergeCell ref="SAW1:SAZ1"/>
    <mergeCell ref="SBA1:SBD1"/>
    <mergeCell ref="SBE1:SBH1"/>
    <mergeCell ref="SBI1:SBL1"/>
    <mergeCell ref="SBM1:SBP1"/>
    <mergeCell ref="RZU1:RZX1"/>
    <mergeCell ref="RZY1:SAB1"/>
    <mergeCell ref="SAC1:SAF1"/>
    <mergeCell ref="SAG1:SAJ1"/>
    <mergeCell ref="SAK1:SAN1"/>
    <mergeCell ref="SAO1:SAR1"/>
    <mergeCell ref="RYW1:RYZ1"/>
    <mergeCell ref="RZA1:RZD1"/>
    <mergeCell ref="RZE1:RZH1"/>
    <mergeCell ref="RZI1:RZL1"/>
    <mergeCell ref="RZM1:RZP1"/>
    <mergeCell ref="RZQ1:RZT1"/>
    <mergeCell ref="RXY1:RYB1"/>
    <mergeCell ref="RYC1:RYF1"/>
    <mergeCell ref="RYG1:RYJ1"/>
    <mergeCell ref="RYK1:RYN1"/>
    <mergeCell ref="RYO1:RYR1"/>
    <mergeCell ref="RYS1:RYV1"/>
    <mergeCell ref="RXA1:RXD1"/>
    <mergeCell ref="RXE1:RXH1"/>
    <mergeCell ref="RXI1:RXL1"/>
    <mergeCell ref="RXM1:RXP1"/>
    <mergeCell ref="RXQ1:RXT1"/>
    <mergeCell ref="RXU1:RXX1"/>
    <mergeCell ref="SHE1:SHH1"/>
    <mergeCell ref="SHI1:SHL1"/>
    <mergeCell ref="SHM1:SHP1"/>
    <mergeCell ref="SHQ1:SHT1"/>
    <mergeCell ref="SHU1:SHX1"/>
    <mergeCell ref="SHY1:SIB1"/>
    <mergeCell ref="SGG1:SGJ1"/>
    <mergeCell ref="SGK1:SGN1"/>
    <mergeCell ref="SGO1:SGR1"/>
    <mergeCell ref="SGS1:SGV1"/>
    <mergeCell ref="SGW1:SGZ1"/>
    <mergeCell ref="SHA1:SHD1"/>
    <mergeCell ref="SFI1:SFL1"/>
    <mergeCell ref="SFM1:SFP1"/>
    <mergeCell ref="SFQ1:SFT1"/>
    <mergeCell ref="SFU1:SFX1"/>
    <mergeCell ref="SFY1:SGB1"/>
    <mergeCell ref="SGC1:SGF1"/>
    <mergeCell ref="SEK1:SEN1"/>
    <mergeCell ref="SEO1:SER1"/>
    <mergeCell ref="SES1:SEV1"/>
    <mergeCell ref="SEW1:SEZ1"/>
    <mergeCell ref="SFA1:SFD1"/>
    <mergeCell ref="SFE1:SFH1"/>
    <mergeCell ref="SDM1:SDP1"/>
    <mergeCell ref="SDQ1:SDT1"/>
    <mergeCell ref="SDU1:SDX1"/>
    <mergeCell ref="SDY1:SEB1"/>
    <mergeCell ref="SEC1:SEF1"/>
    <mergeCell ref="SEG1:SEJ1"/>
    <mergeCell ref="SCO1:SCR1"/>
    <mergeCell ref="SCS1:SCV1"/>
    <mergeCell ref="SCW1:SCZ1"/>
    <mergeCell ref="SDA1:SDD1"/>
    <mergeCell ref="SDE1:SDH1"/>
    <mergeCell ref="SDI1:SDL1"/>
    <mergeCell ref="SMS1:SMV1"/>
    <mergeCell ref="SMW1:SMZ1"/>
    <mergeCell ref="SNA1:SND1"/>
    <mergeCell ref="SNE1:SNH1"/>
    <mergeCell ref="SNI1:SNL1"/>
    <mergeCell ref="SNM1:SNP1"/>
    <mergeCell ref="SLU1:SLX1"/>
    <mergeCell ref="SLY1:SMB1"/>
    <mergeCell ref="SMC1:SMF1"/>
    <mergeCell ref="SMG1:SMJ1"/>
    <mergeCell ref="SMK1:SMN1"/>
    <mergeCell ref="SMO1:SMR1"/>
    <mergeCell ref="SKW1:SKZ1"/>
    <mergeCell ref="SLA1:SLD1"/>
    <mergeCell ref="SLE1:SLH1"/>
    <mergeCell ref="SLI1:SLL1"/>
    <mergeCell ref="SLM1:SLP1"/>
    <mergeCell ref="SLQ1:SLT1"/>
    <mergeCell ref="SJY1:SKB1"/>
    <mergeCell ref="SKC1:SKF1"/>
    <mergeCell ref="SKG1:SKJ1"/>
    <mergeCell ref="SKK1:SKN1"/>
    <mergeCell ref="SKO1:SKR1"/>
    <mergeCell ref="SKS1:SKV1"/>
    <mergeCell ref="SJA1:SJD1"/>
    <mergeCell ref="SJE1:SJH1"/>
    <mergeCell ref="SJI1:SJL1"/>
    <mergeCell ref="SJM1:SJP1"/>
    <mergeCell ref="SJQ1:SJT1"/>
    <mergeCell ref="SJU1:SJX1"/>
    <mergeCell ref="SIC1:SIF1"/>
    <mergeCell ref="SIG1:SIJ1"/>
    <mergeCell ref="SIK1:SIN1"/>
    <mergeCell ref="SIO1:SIR1"/>
    <mergeCell ref="SIS1:SIV1"/>
    <mergeCell ref="SIW1:SIZ1"/>
    <mergeCell ref="SSG1:SSJ1"/>
    <mergeCell ref="SSK1:SSN1"/>
    <mergeCell ref="SSO1:SSR1"/>
    <mergeCell ref="SSS1:SSV1"/>
    <mergeCell ref="SSW1:SSZ1"/>
    <mergeCell ref="STA1:STD1"/>
    <mergeCell ref="SRI1:SRL1"/>
    <mergeCell ref="SRM1:SRP1"/>
    <mergeCell ref="SRQ1:SRT1"/>
    <mergeCell ref="SRU1:SRX1"/>
    <mergeCell ref="SRY1:SSB1"/>
    <mergeCell ref="SSC1:SSF1"/>
    <mergeCell ref="SQK1:SQN1"/>
    <mergeCell ref="SQO1:SQR1"/>
    <mergeCell ref="SQS1:SQV1"/>
    <mergeCell ref="SQW1:SQZ1"/>
    <mergeCell ref="SRA1:SRD1"/>
    <mergeCell ref="SRE1:SRH1"/>
    <mergeCell ref="SPM1:SPP1"/>
    <mergeCell ref="SPQ1:SPT1"/>
    <mergeCell ref="SPU1:SPX1"/>
    <mergeCell ref="SPY1:SQB1"/>
    <mergeCell ref="SQC1:SQF1"/>
    <mergeCell ref="SQG1:SQJ1"/>
    <mergeCell ref="SOO1:SOR1"/>
    <mergeCell ref="SOS1:SOV1"/>
    <mergeCell ref="SOW1:SOZ1"/>
    <mergeCell ref="SPA1:SPD1"/>
    <mergeCell ref="SPE1:SPH1"/>
    <mergeCell ref="SPI1:SPL1"/>
    <mergeCell ref="SNQ1:SNT1"/>
    <mergeCell ref="SNU1:SNX1"/>
    <mergeCell ref="SNY1:SOB1"/>
    <mergeCell ref="SOC1:SOF1"/>
    <mergeCell ref="SOG1:SOJ1"/>
    <mergeCell ref="SOK1:SON1"/>
    <mergeCell ref="SXU1:SXX1"/>
    <mergeCell ref="SXY1:SYB1"/>
    <mergeCell ref="SYC1:SYF1"/>
    <mergeCell ref="SYG1:SYJ1"/>
    <mergeCell ref="SYK1:SYN1"/>
    <mergeCell ref="SYO1:SYR1"/>
    <mergeCell ref="SWW1:SWZ1"/>
    <mergeCell ref="SXA1:SXD1"/>
    <mergeCell ref="SXE1:SXH1"/>
    <mergeCell ref="SXI1:SXL1"/>
    <mergeCell ref="SXM1:SXP1"/>
    <mergeCell ref="SXQ1:SXT1"/>
    <mergeCell ref="SVY1:SWB1"/>
    <mergeCell ref="SWC1:SWF1"/>
    <mergeCell ref="SWG1:SWJ1"/>
    <mergeCell ref="SWK1:SWN1"/>
    <mergeCell ref="SWO1:SWR1"/>
    <mergeCell ref="SWS1:SWV1"/>
    <mergeCell ref="SVA1:SVD1"/>
    <mergeCell ref="SVE1:SVH1"/>
    <mergeCell ref="SVI1:SVL1"/>
    <mergeCell ref="SVM1:SVP1"/>
    <mergeCell ref="SVQ1:SVT1"/>
    <mergeCell ref="SVU1:SVX1"/>
    <mergeCell ref="SUC1:SUF1"/>
    <mergeCell ref="SUG1:SUJ1"/>
    <mergeCell ref="SUK1:SUN1"/>
    <mergeCell ref="SUO1:SUR1"/>
    <mergeCell ref="SUS1:SUV1"/>
    <mergeCell ref="SUW1:SUZ1"/>
    <mergeCell ref="STE1:STH1"/>
    <mergeCell ref="STI1:STL1"/>
    <mergeCell ref="STM1:STP1"/>
    <mergeCell ref="STQ1:STT1"/>
    <mergeCell ref="STU1:STX1"/>
    <mergeCell ref="STY1:SUB1"/>
    <mergeCell ref="TDI1:TDL1"/>
    <mergeCell ref="TDM1:TDP1"/>
    <mergeCell ref="TDQ1:TDT1"/>
    <mergeCell ref="TDU1:TDX1"/>
    <mergeCell ref="TDY1:TEB1"/>
    <mergeCell ref="TEC1:TEF1"/>
    <mergeCell ref="TCK1:TCN1"/>
    <mergeCell ref="TCO1:TCR1"/>
    <mergeCell ref="TCS1:TCV1"/>
    <mergeCell ref="TCW1:TCZ1"/>
    <mergeCell ref="TDA1:TDD1"/>
    <mergeCell ref="TDE1:TDH1"/>
    <mergeCell ref="TBM1:TBP1"/>
    <mergeCell ref="TBQ1:TBT1"/>
    <mergeCell ref="TBU1:TBX1"/>
    <mergeCell ref="TBY1:TCB1"/>
    <mergeCell ref="TCC1:TCF1"/>
    <mergeCell ref="TCG1:TCJ1"/>
    <mergeCell ref="TAO1:TAR1"/>
    <mergeCell ref="TAS1:TAV1"/>
    <mergeCell ref="TAW1:TAZ1"/>
    <mergeCell ref="TBA1:TBD1"/>
    <mergeCell ref="TBE1:TBH1"/>
    <mergeCell ref="TBI1:TBL1"/>
    <mergeCell ref="SZQ1:SZT1"/>
    <mergeCell ref="SZU1:SZX1"/>
    <mergeCell ref="SZY1:TAB1"/>
    <mergeCell ref="TAC1:TAF1"/>
    <mergeCell ref="TAG1:TAJ1"/>
    <mergeCell ref="TAK1:TAN1"/>
    <mergeCell ref="SYS1:SYV1"/>
    <mergeCell ref="SYW1:SYZ1"/>
    <mergeCell ref="SZA1:SZD1"/>
    <mergeCell ref="SZE1:SZH1"/>
    <mergeCell ref="SZI1:SZL1"/>
    <mergeCell ref="SZM1:SZP1"/>
    <mergeCell ref="TIW1:TIZ1"/>
    <mergeCell ref="TJA1:TJD1"/>
    <mergeCell ref="TJE1:TJH1"/>
    <mergeCell ref="TJI1:TJL1"/>
    <mergeCell ref="TJM1:TJP1"/>
    <mergeCell ref="TJQ1:TJT1"/>
    <mergeCell ref="THY1:TIB1"/>
    <mergeCell ref="TIC1:TIF1"/>
    <mergeCell ref="TIG1:TIJ1"/>
    <mergeCell ref="TIK1:TIN1"/>
    <mergeCell ref="TIO1:TIR1"/>
    <mergeCell ref="TIS1:TIV1"/>
    <mergeCell ref="THA1:THD1"/>
    <mergeCell ref="THE1:THH1"/>
    <mergeCell ref="THI1:THL1"/>
    <mergeCell ref="THM1:THP1"/>
    <mergeCell ref="THQ1:THT1"/>
    <mergeCell ref="THU1:THX1"/>
    <mergeCell ref="TGC1:TGF1"/>
    <mergeCell ref="TGG1:TGJ1"/>
    <mergeCell ref="TGK1:TGN1"/>
    <mergeCell ref="TGO1:TGR1"/>
    <mergeCell ref="TGS1:TGV1"/>
    <mergeCell ref="TGW1:TGZ1"/>
    <mergeCell ref="TFE1:TFH1"/>
    <mergeCell ref="TFI1:TFL1"/>
    <mergeCell ref="TFM1:TFP1"/>
    <mergeCell ref="TFQ1:TFT1"/>
    <mergeCell ref="TFU1:TFX1"/>
    <mergeCell ref="TFY1:TGB1"/>
    <mergeCell ref="TEG1:TEJ1"/>
    <mergeCell ref="TEK1:TEN1"/>
    <mergeCell ref="TEO1:TER1"/>
    <mergeCell ref="TES1:TEV1"/>
    <mergeCell ref="TEW1:TEZ1"/>
    <mergeCell ref="TFA1:TFD1"/>
    <mergeCell ref="TOK1:TON1"/>
    <mergeCell ref="TOO1:TOR1"/>
    <mergeCell ref="TOS1:TOV1"/>
    <mergeCell ref="TOW1:TOZ1"/>
    <mergeCell ref="TPA1:TPD1"/>
    <mergeCell ref="TPE1:TPH1"/>
    <mergeCell ref="TNM1:TNP1"/>
    <mergeCell ref="TNQ1:TNT1"/>
    <mergeCell ref="TNU1:TNX1"/>
    <mergeCell ref="TNY1:TOB1"/>
    <mergeCell ref="TOC1:TOF1"/>
    <mergeCell ref="TOG1:TOJ1"/>
    <mergeCell ref="TMO1:TMR1"/>
    <mergeCell ref="TMS1:TMV1"/>
    <mergeCell ref="TMW1:TMZ1"/>
    <mergeCell ref="TNA1:TND1"/>
    <mergeCell ref="TNE1:TNH1"/>
    <mergeCell ref="TNI1:TNL1"/>
    <mergeCell ref="TLQ1:TLT1"/>
    <mergeCell ref="TLU1:TLX1"/>
    <mergeCell ref="TLY1:TMB1"/>
    <mergeCell ref="TMC1:TMF1"/>
    <mergeCell ref="TMG1:TMJ1"/>
    <mergeCell ref="TMK1:TMN1"/>
    <mergeCell ref="TKS1:TKV1"/>
    <mergeCell ref="TKW1:TKZ1"/>
    <mergeCell ref="TLA1:TLD1"/>
    <mergeCell ref="TLE1:TLH1"/>
    <mergeCell ref="TLI1:TLL1"/>
    <mergeCell ref="TLM1:TLP1"/>
    <mergeCell ref="TJU1:TJX1"/>
    <mergeCell ref="TJY1:TKB1"/>
    <mergeCell ref="TKC1:TKF1"/>
    <mergeCell ref="TKG1:TKJ1"/>
    <mergeCell ref="TKK1:TKN1"/>
    <mergeCell ref="TKO1:TKR1"/>
    <mergeCell ref="TTY1:TUB1"/>
    <mergeCell ref="TUC1:TUF1"/>
    <mergeCell ref="TUG1:TUJ1"/>
    <mergeCell ref="TUK1:TUN1"/>
    <mergeCell ref="TUO1:TUR1"/>
    <mergeCell ref="TUS1:TUV1"/>
    <mergeCell ref="TTA1:TTD1"/>
    <mergeCell ref="TTE1:TTH1"/>
    <mergeCell ref="TTI1:TTL1"/>
    <mergeCell ref="TTM1:TTP1"/>
    <mergeCell ref="TTQ1:TTT1"/>
    <mergeCell ref="TTU1:TTX1"/>
    <mergeCell ref="TSC1:TSF1"/>
    <mergeCell ref="TSG1:TSJ1"/>
    <mergeCell ref="TSK1:TSN1"/>
    <mergeCell ref="TSO1:TSR1"/>
    <mergeCell ref="TSS1:TSV1"/>
    <mergeCell ref="TSW1:TSZ1"/>
    <mergeCell ref="TRE1:TRH1"/>
    <mergeCell ref="TRI1:TRL1"/>
    <mergeCell ref="TRM1:TRP1"/>
    <mergeCell ref="TRQ1:TRT1"/>
    <mergeCell ref="TRU1:TRX1"/>
    <mergeCell ref="TRY1:TSB1"/>
    <mergeCell ref="TQG1:TQJ1"/>
    <mergeCell ref="TQK1:TQN1"/>
    <mergeCell ref="TQO1:TQR1"/>
    <mergeCell ref="TQS1:TQV1"/>
    <mergeCell ref="TQW1:TQZ1"/>
    <mergeCell ref="TRA1:TRD1"/>
    <mergeCell ref="TPI1:TPL1"/>
    <mergeCell ref="TPM1:TPP1"/>
    <mergeCell ref="TPQ1:TPT1"/>
    <mergeCell ref="TPU1:TPX1"/>
    <mergeCell ref="TPY1:TQB1"/>
    <mergeCell ref="TQC1:TQF1"/>
    <mergeCell ref="TZM1:TZP1"/>
    <mergeCell ref="TZQ1:TZT1"/>
    <mergeCell ref="TZU1:TZX1"/>
    <mergeCell ref="TZY1:UAB1"/>
    <mergeCell ref="UAC1:UAF1"/>
    <mergeCell ref="UAG1:UAJ1"/>
    <mergeCell ref="TYO1:TYR1"/>
    <mergeCell ref="TYS1:TYV1"/>
    <mergeCell ref="TYW1:TYZ1"/>
    <mergeCell ref="TZA1:TZD1"/>
    <mergeCell ref="TZE1:TZH1"/>
    <mergeCell ref="TZI1:TZL1"/>
    <mergeCell ref="TXQ1:TXT1"/>
    <mergeCell ref="TXU1:TXX1"/>
    <mergeCell ref="TXY1:TYB1"/>
    <mergeCell ref="TYC1:TYF1"/>
    <mergeCell ref="TYG1:TYJ1"/>
    <mergeCell ref="TYK1:TYN1"/>
    <mergeCell ref="TWS1:TWV1"/>
    <mergeCell ref="TWW1:TWZ1"/>
    <mergeCell ref="TXA1:TXD1"/>
    <mergeCell ref="TXE1:TXH1"/>
    <mergeCell ref="TXI1:TXL1"/>
    <mergeCell ref="TXM1:TXP1"/>
    <mergeCell ref="TVU1:TVX1"/>
    <mergeCell ref="TVY1:TWB1"/>
    <mergeCell ref="TWC1:TWF1"/>
    <mergeCell ref="TWG1:TWJ1"/>
    <mergeCell ref="TWK1:TWN1"/>
    <mergeCell ref="TWO1:TWR1"/>
    <mergeCell ref="TUW1:TUZ1"/>
    <mergeCell ref="TVA1:TVD1"/>
    <mergeCell ref="TVE1:TVH1"/>
    <mergeCell ref="TVI1:TVL1"/>
    <mergeCell ref="TVM1:TVP1"/>
    <mergeCell ref="TVQ1:TVT1"/>
    <mergeCell ref="UFA1:UFD1"/>
    <mergeCell ref="UFE1:UFH1"/>
    <mergeCell ref="UFI1:UFL1"/>
    <mergeCell ref="UFM1:UFP1"/>
    <mergeCell ref="UFQ1:UFT1"/>
    <mergeCell ref="UFU1:UFX1"/>
    <mergeCell ref="UEC1:UEF1"/>
    <mergeCell ref="UEG1:UEJ1"/>
    <mergeCell ref="UEK1:UEN1"/>
    <mergeCell ref="UEO1:UER1"/>
    <mergeCell ref="UES1:UEV1"/>
    <mergeCell ref="UEW1:UEZ1"/>
    <mergeCell ref="UDE1:UDH1"/>
    <mergeCell ref="UDI1:UDL1"/>
    <mergeCell ref="UDM1:UDP1"/>
    <mergeCell ref="UDQ1:UDT1"/>
    <mergeCell ref="UDU1:UDX1"/>
    <mergeCell ref="UDY1:UEB1"/>
    <mergeCell ref="UCG1:UCJ1"/>
    <mergeCell ref="UCK1:UCN1"/>
    <mergeCell ref="UCO1:UCR1"/>
    <mergeCell ref="UCS1:UCV1"/>
    <mergeCell ref="UCW1:UCZ1"/>
    <mergeCell ref="UDA1:UDD1"/>
    <mergeCell ref="UBI1:UBL1"/>
    <mergeCell ref="UBM1:UBP1"/>
    <mergeCell ref="UBQ1:UBT1"/>
    <mergeCell ref="UBU1:UBX1"/>
    <mergeCell ref="UBY1:UCB1"/>
    <mergeCell ref="UCC1:UCF1"/>
    <mergeCell ref="UAK1:UAN1"/>
    <mergeCell ref="UAO1:UAR1"/>
    <mergeCell ref="UAS1:UAV1"/>
    <mergeCell ref="UAW1:UAZ1"/>
    <mergeCell ref="UBA1:UBD1"/>
    <mergeCell ref="UBE1:UBH1"/>
    <mergeCell ref="UKO1:UKR1"/>
    <mergeCell ref="UKS1:UKV1"/>
    <mergeCell ref="UKW1:UKZ1"/>
    <mergeCell ref="ULA1:ULD1"/>
    <mergeCell ref="ULE1:ULH1"/>
    <mergeCell ref="ULI1:ULL1"/>
    <mergeCell ref="UJQ1:UJT1"/>
    <mergeCell ref="UJU1:UJX1"/>
    <mergeCell ref="UJY1:UKB1"/>
    <mergeCell ref="UKC1:UKF1"/>
    <mergeCell ref="UKG1:UKJ1"/>
    <mergeCell ref="UKK1:UKN1"/>
    <mergeCell ref="UIS1:UIV1"/>
    <mergeCell ref="UIW1:UIZ1"/>
    <mergeCell ref="UJA1:UJD1"/>
    <mergeCell ref="UJE1:UJH1"/>
    <mergeCell ref="UJI1:UJL1"/>
    <mergeCell ref="UJM1:UJP1"/>
    <mergeCell ref="UHU1:UHX1"/>
    <mergeCell ref="UHY1:UIB1"/>
    <mergeCell ref="UIC1:UIF1"/>
    <mergeCell ref="UIG1:UIJ1"/>
    <mergeCell ref="UIK1:UIN1"/>
    <mergeCell ref="UIO1:UIR1"/>
    <mergeCell ref="UGW1:UGZ1"/>
    <mergeCell ref="UHA1:UHD1"/>
    <mergeCell ref="UHE1:UHH1"/>
    <mergeCell ref="UHI1:UHL1"/>
    <mergeCell ref="UHM1:UHP1"/>
    <mergeCell ref="UHQ1:UHT1"/>
    <mergeCell ref="UFY1:UGB1"/>
    <mergeCell ref="UGC1:UGF1"/>
    <mergeCell ref="UGG1:UGJ1"/>
    <mergeCell ref="UGK1:UGN1"/>
    <mergeCell ref="UGO1:UGR1"/>
    <mergeCell ref="UGS1:UGV1"/>
    <mergeCell ref="UQC1:UQF1"/>
    <mergeCell ref="UQG1:UQJ1"/>
    <mergeCell ref="UQK1:UQN1"/>
    <mergeCell ref="UQO1:UQR1"/>
    <mergeCell ref="UQS1:UQV1"/>
    <mergeCell ref="UQW1:UQZ1"/>
    <mergeCell ref="UPE1:UPH1"/>
    <mergeCell ref="UPI1:UPL1"/>
    <mergeCell ref="UPM1:UPP1"/>
    <mergeCell ref="UPQ1:UPT1"/>
    <mergeCell ref="UPU1:UPX1"/>
    <mergeCell ref="UPY1:UQB1"/>
    <mergeCell ref="UOG1:UOJ1"/>
    <mergeCell ref="UOK1:UON1"/>
    <mergeCell ref="UOO1:UOR1"/>
    <mergeCell ref="UOS1:UOV1"/>
    <mergeCell ref="UOW1:UOZ1"/>
    <mergeCell ref="UPA1:UPD1"/>
    <mergeCell ref="UNI1:UNL1"/>
    <mergeCell ref="UNM1:UNP1"/>
    <mergeCell ref="UNQ1:UNT1"/>
    <mergeCell ref="UNU1:UNX1"/>
    <mergeCell ref="UNY1:UOB1"/>
    <mergeCell ref="UOC1:UOF1"/>
    <mergeCell ref="UMK1:UMN1"/>
    <mergeCell ref="UMO1:UMR1"/>
    <mergeCell ref="UMS1:UMV1"/>
    <mergeCell ref="UMW1:UMZ1"/>
    <mergeCell ref="UNA1:UND1"/>
    <mergeCell ref="UNE1:UNH1"/>
    <mergeCell ref="ULM1:ULP1"/>
    <mergeCell ref="ULQ1:ULT1"/>
    <mergeCell ref="ULU1:ULX1"/>
    <mergeCell ref="ULY1:UMB1"/>
    <mergeCell ref="UMC1:UMF1"/>
    <mergeCell ref="UMG1:UMJ1"/>
    <mergeCell ref="UVQ1:UVT1"/>
    <mergeCell ref="UVU1:UVX1"/>
    <mergeCell ref="UVY1:UWB1"/>
    <mergeCell ref="UWC1:UWF1"/>
    <mergeCell ref="UWG1:UWJ1"/>
    <mergeCell ref="UWK1:UWN1"/>
    <mergeCell ref="UUS1:UUV1"/>
    <mergeCell ref="UUW1:UUZ1"/>
    <mergeCell ref="UVA1:UVD1"/>
    <mergeCell ref="UVE1:UVH1"/>
    <mergeCell ref="UVI1:UVL1"/>
    <mergeCell ref="UVM1:UVP1"/>
    <mergeCell ref="UTU1:UTX1"/>
    <mergeCell ref="UTY1:UUB1"/>
    <mergeCell ref="UUC1:UUF1"/>
    <mergeCell ref="UUG1:UUJ1"/>
    <mergeCell ref="UUK1:UUN1"/>
    <mergeCell ref="UUO1:UUR1"/>
    <mergeCell ref="USW1:USZ1"/>
    <mergeCell ref="UTA1:UTD1"/>
    <mergeCell ref="UTE1:UTH1"/>
    <mergeCell ref="UTI1:UTL1"/>
    <mergeCell ref="UTM1:UTP1"/>
    <mergeCell ref="UTQ1:UTT1"/>
    <mergeCell ref="URY1:USB1"/>
    <mergeCell ref="USC1:USF1"/>
    <mergeCell ref="USG1:USJ1"/>
    <mergeCell ref="USK1:USN1"/>
    <mergeCell ref="USO1:USR1"/>
    <mergeCell ref="USS1:USV1"/>
    <mergeCell ref="URA1:URD1"/>
    <mergeCell ref="URE1:URH1"/>
    <mergeCell ref="URI1:URL1"/>
    <mergeCell ref="URM1:URP1"/>
    <mergeCell ref="URQ1:URT1"/>
    <mergeCell ref="URU1:URX1"/>
    <mergeCell ref="VBE1:VBH1"/>
    <mergeCell ref="VBI1:VBL1"/>
    <mergeCell ref="VBM1:VBP1"/>
    <mergeCell ref="VBQ1:VBT1"/>
    <mergeCell ref="VBU1:VBX1"/>
    <mergeCell ref="VBY1:VCB1"/>
    <mergeCell ref="VAG1:VAJ1"/>
    <mergeCell ref="VAK1:VAN1"/>
    <mergeCell ref="VAO1:VAR1"/>
    <mergeCell ref="VAS1:VAV1"/>
    <mergeCell ref="VAW1:VAZ1"/>
    <mergeCell ref="VBA1:VBD1"/>
    <mergeCell ref="UZI1:UZL1"/>
    <mergeCell ref="UZM1:UZP1"/>
    <mergeCell ref="UZQ1:UZT1"/>
    <mergeCell ref="UZU1:UZX1"/>
    <mergeCell ref="UZY1:VAB1"/>
    <mergeCell ref="VAC1:VAF1"/>
    <mergeCell ref="UYK1:UYN1"/>
    <mergeCell ref="UYO1:UYR1"/>
    <mergeCell ref="UYS1:UYV1"/>
    <mergeCell ref="UYW1:UYZ1"/>
    <mergeCell ref="UZA1:UZD1"/>
    <mergeCell ref="UZE1:UZH1"/>
    <mergeCell ref="UXM1:UXP1"/>
    <mergeCell ref="UXQ1:UXT1"/>
    <mergeCell ref="UXU1:UXX1"/>
    <mergeCell ref="UXY1:UYB1"/>
    <mergeCell ref="UYC1:UYF1"/>
    <mergeCell ref="UYG1:UYJ1"/>
    <mergeCell ref="UWO1:UWR1"/>
    <mergeCell ref="UWS1:UWV1"/>
    <mergeCell ref="UWW1:UWZ1"/>
    <mergeCell ref="UXA1:UXD1"/>
    <mergeCell ref="UXE1:UXH1"/>
    <mergeCell ref="UXI1:UXL1"/>
    <mergeCell ref="VGS1:VGV1"/>
    <mergeCell ref="VGW1:VGZ1"/>
    <mergeCell ref="VHA1:VHD1"/>
    <mergeCell ref="VHE1:VHH1"/>
    <mergeCell ref="VHI1:VHL1"/>
    <mergeCell ref="VHM1:VHP1"/>
    <mergeCell ref="VFU1:VFX1"/>
    <mergeCell ref="VFY1:VGB1"/>
    <mergeCell ref="VGC1:VGF1"/>
    <mergeCell ref="VGG1:VGJ1"/>
    <mergeCell ref="VGK1:VGN1"/>
    <mergeCell ref="VGO1:VGR1"/>
    <mergeCell ref="VEW1:VEZ1"/>
    <mergeCell ref="VFA1:VFD1"/>
    <mergeCell ref="VFE1:VFH1"/>
    <mergeCell ref="VFI1:VFL1"/>
    <mergeCell ref="VFM1:VFP1"/>
    <mergeCell ref="VFQ1:VFT1"/>
    <mergeCell ref="VDY1:VEB1"/>
    <mergeCell ref="VEC1:VEF1"/>
    <mergeCell ref="VEG1:VEJ1"/>
    <mergeCell ref="VEK1:VEN1"/>
    <mergeCell ref="VEO1:VER1"/>
    <mergeCell ref="VES1:VEV1"/>
    <mergeCell ref="VDA1:VDD1"/>
    <mergeCell ref="VDE1:VDH1"/>
    <mergeCell ref="VDI1:VDL1"/>
    <mergeCell ref="VDM1:VDP1"/>
    <mergeCell ref="VDQ1:VDT1"/>
    <mergeCell ref="VDU1:VDX1"/>
    <mergeCell ref="VCC1:VCF1"/>
    <mergeCell ref="VCG1:VCJ1"/>
    <mergeCell ref="VCK1:VCN1"/>
    <mergeCell ref="VCO1:VCR1"/>
    <mergeCell ref="VCS1:VCV1"/>
    <mergeCell ref="VCW1:VCZ1"/>
    <mergeCell ref="VMG1:VMJ1"/>
    <mergeCell ref="VMK1:VMN1"/>
    <mergeCell ref="VMO1:VMR1"/>
    <mergeCell ref="VMS1:VMV1"/>
    <mergeCell ref="VMW1:VMZ1"/>
    <mergeCell ref="VNA1:VND1"/>
    <mergeCell ref="VLI1:VLL1"/>
    <mergeCell ref="VLM1:VLP1"/>
    <mergeCell ref="VLQ1:VLT1"/>
    <mergeCell ref="VLU1:VLX1"/>
    <mergeCell ref="VLY1:VMB1"/>
    <mergeCell ref="VMC1:VMF1"/>
    <mergeCell ref="VKK1:VKN1"/>
    <mergeCell ref="VKO1:VKR1"/>
    <mergeCell ref="VKS1:VKV1"/>
    <mergeCell ref="VKW1:VKZ1"/>
    <mergeCell ref="VLA1:VLD1"/>
    <mergeCell ref="VLE1:VLH1"/>
    <mergeCell ref="VJM1:VJP1"/>
    <mergeCell ref="VJQ1:VJT1"/>
    <mergeCell ref="VJU1:VJX1"/>
    <mergeCell ref="VJY1:VKB1"/>
    <mergeCell ref="VKC1:VKF1"/>
    <mergeCell ref="VKG1:VKJ1"/>
    <mergeCell ref="VIO1:VIR1"/>
    <mergeCell ref="VIS1:VIV1"/>
    <mergeCell ref="VIW1:VIZ1"/>
    <mergeCell ref="VJA1:VJD1"/>
    <mergeCell ref="VJE1:VJH1"/>
    <mergeCell ref="VJI1:VJL1"/>
    <mergeCell ref="VHQ1:VHT1"/>
    <mergeCell ref="VHU1:VHX1"/>
    <mergeCell ref="VHY1:VIB1"/>
    <mergeCell ref="VIC1:VIF1"/>
    <mergeCell ref="VIG1:VIJ1"/>
    <mergeCell ref="VIK1:VIN1"/>
    <mergeCell ref="VRU1:VRX1"/>
    <mergeCell ref="VRY1:VSB1"/>
    <mergeCell ref="VSC1:VSF1"/>
    <mergeCell ref="VSG1:VSJ1"/>
    <mergeCell ref="VSK1:VSN1"/>
    <mergeCell ref="VSO1:VSR1"/>
    <mergeCell ref="VQW1:VQZ1"/>
    <mergeCell ref="VRA1:VRD1"/>
    <mergeCell ref="VRE1:VRH1"/>
    <mergeCell ref="VRI1:VRL1"/>
    <mergeCell ref="VRM1:VRP1"/>
    <mergeCell ref="VRQ1:VRT1"/>
    <mergeCell ref="VPY1:VQB1"/>
    <mergeCell ref="VQC1:VQF1"/>
    <mergeCell ref="VQG1:VQJ1"/>
    <mergeCell ref="VQK1:VQN1"/>
    <mergeCell ref="VQO1:VQR1"/>
    <mergeCell ref="VQS1:VQV1"/>
    <mergeCell ref="VPA1:VPD1"/>
    <mergeCell ref="VPE1:VPH1"/>
    <mergeCell ref="VPI1:VPL1"/>
    <mergeCell ref="VPM1:VPP1"/>
    <mergeCell ref="VPQ1:VPT1"/>
    <mergeCell ref="VPU1:VPX1"/>
    <mergeCell ref="VOC1:VOF1"/>
    <mergeCell ref="VOG1:VOJ1"/>
    <mergeCell ref="VOK1:VON1"/>
    <mergeCell ref="VOO1:VOR1"/>
    <mergeCell ref="VOS1:VOV1"/>
    <mergeCell ref="VOW1:VOZ1"/>
    <mergeCell ref="VNE1:VNH1"/>
    <mergeCell ref="VNI1:VNL1"/>
    <mergeCell ref="VNM1:VNP1"/>
    <mergeCell ref="VNQ1:VNT1"/>
    <mergeCell ref="VNU1:VNX1"/>
    <mergeCell ref="VNY1:VOB1"/>
    <mergeCell ref="VXI1:VXL1"/>
    <mergeCell ref="VXM1:VXP1"/>
    <mergeCell ref="VXQ1:VXT1"/>
    <mergeCell ref="VXU1:VXX1"/>
    <mergeCell ref="VXY1:VYB1"/>
    <mergeCell ref="VYC1:VYF1"/>
    <mergeCell ref="VWK1:VWN1"/>
    <mergeCell ref="VWO1:VWR1"/>
    <mergeCell ref="VWS1:VWV1"/>
    <mergeCell ref="VWW1:VWZ1"/>
    <mergeCell ref="VXA1:VXD1"/>
    <mergeCell ref="VXE1:VXH1"/>
    <mergeCell ref="VVM1:VVP1"/>
    <mergeCell ref="VVQ1:VVT1"/>
    <mergeCell ref="VVU1:VVX1"/>
    <mergeCell ref="VVY1:VWB1"/>
    <mergeCell ref="VWC1:VWF1"/>
    <mergeCell ref="VWG1:VWJ1"/>
    <mergeCell ref="VUO1:VUR1"/>
    <mergeCell ref="VUS1:VUV1"/>
    <mergeCell ref="VUW1:VUZ1"/>
    <mergeCell ref="VVA1:VVD1"/>
    <mergeCell ref="VVE1:VVH1"/>
    <mergeCell ref="VVI1:VVL1"/>
    <mergeCell ref="VTQ1:VTT1"/>
    <mergeCell ref="VTU1:VTX1"/>
    <mergeCell ref="VTY1:VUB1"/>
    <mergeCell ref="VUC1:VUF1"/>
    <mergeCell ref="VUG1:VUJ1"/>
    <mergeCell ref="VUK1:VUN1"/>
    <mergeCell ref="VSS1:VSV1"/>
    <mergeCell ref="VSW1:VSZ1"/>
    <mergeCell ref="VTA1:VTD1"/>
    <mergeCell ref="VTE1:VTH1"/>
    <mergeCell ref="VTI1:VTL1"/>
    <mergeCell ref="VTM1:VTP1"/>
    <mergeCell ref="WCW1:WCZ1"/>
    <mergeCell ref="WDA1:WDD1"/>
    <mergeCell ref="WDE1:WDH1"/>
    <mergeCell ref="WDI1:WDL1"/>
    <mergeCell ref="WDM1:WDP1"/>
    <mergeCell ref="WDQ1:WDT1"/>
    <mergeCell ref="WBY1:WCB1"/>
    <mergeCell ref="WCC1:WCF1"/>
    <mergeCell ref="WCG1:WCJ1"/>
    <mergeCell ref="WCK1:WCN1"/>
    <mergeCell ref="WCO1:WCR1"/>
    <mergeCell ref="WCS1:WCV1"/>
    <mergeCell ref="WBA1:WBD1"/>
    <mergeCell ref="WBE1:WBH1"/>
    <mergeCell ref="WBI1:WBL1"/>
    <mergeCell ref="WBM1:WBP1"/>
    <mergeCell ref="WBQ1:WBT1"/>
    <mergeCell ref="WBU1:WBX1"/>
    <mergeCell ref="WAC1:WAF1"/>
    <mergeCell ref="WAG1:WAJ1"/>
    <mergeCell ref="WAK1:WAN1"/>
    <mergeCell ref="WAO1:WAR1"/>
    <mergeCell ref="WAS1:WAV1"/>
    <mergeCell ref="WAW1:WAZ1"/>
    <mergeCell ref="VZE1:VZH1"/>
    <mergeCell ref="VZI1:VZL1"/>
    <mergeCell ref="VZM1:VZP1"/>
    <mergeCell ref="VZQ1:VZT1"/>
    <mergeCell ref="VZU1:VZX1"/>
    <mergeCell ref="VZY1:WAB1"/>
    <mergeCell ref="VYG1:VYJ1"/>
    <mergeCell ref="VYK1:VYN1"/>
    <mergeCell ref="VYO1:VYR1"/>
    <mergeCell ref="VYS1:VYV1"/>
    <mergeCell ref="VYW1:VYZ1"/>
    <mergeCell ref="VZA1:VZD1"/>
    <mergeCell ref="WIK1:WIN1"/>
    <mergeCell ref="WIO1:WIR1"/>
    <mergeCell ref="WIS1:WIV1"/>
    <mergeCell ref="WIW1:WIZ1"/>
    <mergeCell ref="WJA1:WJD1"/>
    <mergeCell ref="WJE1:WJH1"/>
    <mergeCell ref="WHM1:WHP1"/>
    <mergeCell ref="WHQ1:WHT1"/>
    <mergeCell ref="WHU1:WHX1"/>
    <mergeCell ref="WHY1:WIB1"/>
    <mergeCell ref="WIC1:WIF1"/>
    <mergeCell ref="WIG1:WIJ1"/>
    <mergeCell ref="WGO1:WGR1"/>
    <mergeCell ref="WGS1:WGV1"/>
    <mergeCell ref="WGW1:WGZ1"/>
    <mergeCell ref="WHA1:WHD1"/>
    <mergeCell ref="WHE1:WHH1"/>
    <mergeCell ref="WHI1:WHL1"/>
    <mergeCell ref="WFQ1:WFT1"/>
    <mergeCell ref="WFU1:WFX1"/>
    <mergeCell ref="WFY1:WGB1"/>
    <mergeCell ref="WGC1:WGF1"/>
    <mergeCell ref="WGG1:WGJ1"/>
    <mergeCell ref="WGK1:WGN1"/>
    <mergeCell ref="WES1:WEV1"/>
    <mergeCell ref="WEW1:WEZ1"/>
    <mergeCell ref="WFA1:WFD1"/>
    <mergeCell ref="WFE1:WFH1"/>
    <mergeCell ref="WFI1:WFL1"/>
    <mergeCell ref="WFM1:WFP1"/>
    <mergeCell ref="WDU1:WDX1"/>
    <mergeCell ref="WDY1:WEB1"/>
    <mergeCell ref="WEC1:WEF1"/>
    <mergeCell ref="WEG1:WEJ1"/>
    <mergeCell ref="WEK1:WEN1"/>
    <mergeCell ref="WEO1:WER1"/>
    <mergeCell ref="WNY1:WOB1"/>
    <mergeCell ref="WOC1:WOF1"/>
    <mergeCell ref="WOG1:WOJ1"/>
    <mergeCell ref="WOK1:WON1"/>
    <mergeCell ref="WOO1:WOR1"/>
    <mergeCell ref="WOS1:WOV1"/>
    <mergeCell ref="WNA1:WND1"/>
    <mergeCell ref="WNE1:WNH1"/>
    <mergeCell ref="WNI1:WNL1"/>
    <mergeCell ref="WNM1:WNP1"/>
    <mergeCell ref="WNQ1:WNT1"/>
    <mergeCell ref="WNU1:WNX1"/>
    <mergeCell ref="WMC1:WMF1"/>
    <mergeCell ref="WMG1:WMJ1"/>
    <mergeCell ref="WMK1:WMN1"/>
    <mergeCell ref="WMO1:WMR1"/>
    <mergeCell ref="WMS1:WMV1"/>
    <mergeCell ref="WMW1:WMZ1"/>
    <mergeCell ref="WLE1:WLH1"/>
    <mergeCell ref="WLI1:WLL1"/>
    <mergeCell ref="WLM1:WLP1"/>
    <mergeCell ref="WLQ1:WLT1"/>
    <mergeCell ref="WLU1:WLX1"/>
    <mergeCell ref="WLY1:WMB1"/>
    <mergeCell ref="WKG1:WKJ1"/>
    <mergeCell ref="WKK1:WKN1"/>
    <mergeCell ref="WKO1:WKR1"/>
    <mergeCell ref="WKS1:WKV1"/>
    <mergeCell ref="WKW1:WKZ1"/>
    <mergeCell ref="WLA1:WLD1"/>
    <mergeCell ref="WJI1:WJL1"/>
    <mergeCell ref="WJM1:WJP1"/>
    <mergeCell ref="WJQ1:WJT1"/>
    <mergeCell ref="WJU1:WJX1"/>
    <mergeCell ref="WJY1:WKB1"/>
    <mergeCell ref="WKC1:WKF1"/>
    <mergeCell ref="WTM1:WTP1"/>
    <mergeCell ref="WTQ1:WTT1"/>
    <mergeCell ref="WTU1:WTX1"/>
    <mergeCell ref="WTY1:WUB1"/>
    <mergeCell ref="WUC1:WUF1"/>
    <mergeCell ref="WUG1:WUJ1"/>
    <mergeCell ref="WSO1:WSR1"/>
    <mergeCell ref="WSS1:WSV1"/>
    <mergeCell ref="WSW1:WSZ1"/>
    <mergeCell ref="WTA1:WTD1"/>
    <mergeCell ref="WTE1:WTH1"/>
    <mergeCell ref="WTI1:WTL1"/>
    <mergeCell ref="WRQ1:WRT1"/>
    <mergeCell ref="WRU1:WRX1"/>
    <mergeCell ref="WRY1:WSB1"/>
    <mergeCell ref="WSC1:WSF1"/>
    <mergeCell ref="WSG1:WSJ1"/>
    <mergeCell ref="WSK1:WSN1"/>
    <mergeCell ref="WQS1:WQV1"/>
    <mergeCell ref="WQW1:WQZ1"/>
    <mergeCell ref="WRA1:WRD1"/>
    <mergeCell ref="WRE1:WRH1"/>
    <mergeCell ref="WRI1:WRL1"/>
    <mergeCell ref="WRM1:WRP1"/>
    <mergeCell ref="WPU1:WPX1"/>
    <mergeCell ref="WPY1:WQB1"/>
    <mergeCell ref="WQC1:WQF1"/>
    <mergeCell ref="WQG1:WQJ1"/>
    <mergeCell ref="WQK1:WQN1"/>
    <mergeCell ref="WQO1:WQR1"/>
    <mergeCell ref="WOW1:WOZ1"/>
    <mergeCell ref="WPA1:WPD1"/>
    <mergeCell ref="WPE1:WPH1"/>
    <mergeCell ref="WPI1:WPL1"/>
    <mergeCell ref="WPM1:WPP1"/>
    <mergeCell ref="WPQ1:WPT1"/>
    <mergeCell ref="WZA1:WZD1"/>
    <mergeCell ref="WZE1:WZH1"/>
    <mergeCell ref="WZI1:WZL1"/>
    <mergeCell ref="WZM1:WZP1"/>
    <mergeCell ref="WZQ1:WZT1"/>
    <mergeCell ref="WZU1:WZX1"/>
    <mergeCell ref="WYC1:WYF1"/>
    <mergeCell ref="WYG1:WYJ1"/>
    <mergeCell ref="WYK1:WYN1"/>
    <mergeCell ref="WYO1:WYR1"/>
    <mergeCell ref="WYS1:WYV1"/>
    <mergeCell ref="WYW1:WYZ1"/>
    <mergeCell ref="WXE1:WXH1"/>
    <mergeCell ref="WXI1:WXL1"/>
    <mergeCell ref="WXM1:WXP1"/>
    <mergeCell ref="WXQ1:WXT1"/>
    <mergeCell ref="WXU1:WXX1"/>
    <mergeCell ref="WXY1:WYB1"/>
    <mergeCell ref="WWG1:WWJ1"/>
    <mergeCell ref="WWK1:WWN1"/>
    <mergeCell ref="WWO1:WWR1"/>
    <mergeCell ref="WWS1:WWV1"/>
    <mergeCell ref="WWW1:WWZ1"/>
    <mergeCell ref="WXA1:WXD1"/>
    <mergeCell ref="WVI1:WVL1"/>
    <mergeCell ref="WVM1:WVP1"/>
    <mergeCell ref="WVQ1:WVT1"/>
    <mergeCell ref="WVU1:WVX1"/>
    <mergeCell ref="WVY1:WWB1"/>
    <mergeCell ref="WWC1:WWF1"/>
    <mergeCell ref="WUK1:WUN1"/>
    <mergeCell ref="WUO1:WUR1"/>
    <mergeCell ref="WUS1:WUV1"/>
    <mergeCell ref="WUW1:WUZ1"/>
    <mergeCell ref="WVA1:WVD1"/>
    <mergeCell ref="WVE1:WVH1"/>
    <mergeCell ref="XEO1:XER1"/>
    <mergeCell ref="XES1:XEV1"/>
    <mergeCell ref="XEW1:XEZ1"/>
    <mergeCell ref="XFA1:XFD1"/>
    <mergeCell ref="XDQ1:XDT1"/>
    <mergeCell ref="XDU1:XDX1"/>
    <mergeCell ref="XDY1:XEB1"/>
    <mergeCell ref="XEC1:XEF1"/>
    <mergeCell ref="XEG1:XEJ1"/>
    <mergeCell ref="XEK1:XEN1"/>
    <mergeCell ref="XCS1:XCV1"/>
    <mergeCell ref="XCW1:XCZ1"/>
    <mergeCell ref="XDA1:XDD1"/>
    <mergeCell ref="XDE1:XDH1"/>
    <mergeCell ref="XDI1:XDL1"/>
    <mergeCell ref="XDM1:XDP1"/>
    <mergeCell ref="XBU1:XBX1"/>
    <mergeCell ref="XBY1:XCB1"/>
    <mergeCell ref="XCC1:XCF1"/>
    <mergeCell ref="XCG1:XCJ1"/>
    <mergeCell ref="XCK1:XCN1"/>
    <mergeCell ref="XCO1:XCR1"/>
    <mergeCell ref="XAW1:XAZ1"/>
    <mergeCell ref="XBA1:XBD1"/>
    <mergeCell ref="XBE1:XBH1"/>
    <mergeCell ref="XBI1:XBL1"/>
    <mergeCell ref="XBM1:XBP1"/>
    <mergeCell ref="XBQ1:XBT1"/>
    <mergeCell ref="WZY1:XAB1"/>
    <mergeCell ref="XAC1:XAF1"/>
    <mergeCell ref="XAG1:XAJ1"/>
    <mergeCell ref="XAK1:XAN1"/>
    <mergeCell ref="XAO1:XAR1"/>
    <mergeCell ref="XAS1:XAV1"/>
  </mergeCells>
  <phoneticPr fontId="17" type="noConversion"/>
  <hyperlinks>
    <hyperlink ref="A11" location="Instructions!A1" display="Instructions" xr:uid="{8BD893CD-6811-4AA7-9C8D-7E8638D07381}"/>
    <hyperlink ref="A46" r:id="rId1" xr:uid="{3E7C8713-8E3F-4EB9-9BFE-EB85DB3458C6}"/>
    <hyperlink ref="A44" r:id="rId2" xr:uid="{65CC4F4E-0AA5-49C5-8A74-50B4C7E2D0E2}"/>
    <hyperlink ref="A44:B44" r:id="rId3" tooltip="Click to prepare an email to the TCEQ Air Permits Initial Review Team (APIRT)." display="apirt@tceq.texas.gov" xr:uid="{24287B58-777A-4005-B62F-B60A41BCF36C}"/>
    <hyperlink ref="A14" location="'Fug (2)'!A1" display="'Fug (2)'!A1" xr:uid="{0D3E79DF-6211-47F2-9B6B-1481D9AF7E1E}"/>
    <hyperlink ref="A15" location="'Fug (3)'!A1" display="'Fug (3)'!A1" xr:uid="{10572150-1F8D-4228-970B-5B4A98080652}"/>
    <hyperlink ref="A16" location="'Fug (4)'!A1" display="'Fug (4)'!A1" xr:uid="{4B20DFEE-6608-4540-A7CF-97C11EE1758C}"/>
    <hyperlink ref="A17" location="'Fug (5)'!A1" display="'Fug (5)'!A1" xr:uid="{DBC21316-67E6-4E22-AEC1-DD249B75E2B3}"/>
    <hyperlink ref="A18" location="'Fug (6)'!A1" display="'Fug (6)'!A1" xr:uid="{354A4ED0-E290-43D0-B19F-882D1C9D99A7}"/>
    <hyperlink ref="A19" location="'Fug (7)'!A1" display="'Fug (7)'!A1" xr:uid="{D576FD1C-1B1C-4F39-9E20-CA5AACCCCA9C}"/>
    <hyperlink ref="A20" location="'Fug (8)'!A1" display="'Fug (8)'!A1" xr:uid="{B46E47D0-6E75-4467-9414-E1563EE9E64F}"/>
    <hyperlink ref="A21" location="'Fug (9)'!A1" display="'Fug (9)'!A1" xr:uid="{F4BC05C6-33E3-4E88-B406-C8D59D4F8586}"/>
    <hyperlink ref="A22" location="'Fug (10)'!A1" display="'Fug (10)'!A1" xr:uid="{10D37751-7A8D-403F-894C-12A0E2C920C3}"/>
    <hyperlink ref="A23" location="'Fug (11)'!A1" display="'Fug (11)'!A1" xr:uid="{88D2A27E-2CFF-4B4A-8824-010221008122}"/>
    <hyperlink ref="A24" location="'Fug (12)'!A1" display="'Fug (12)'!A1" xr:uid="{363DCB98-D41B-4E06-8C9A-223C9A38D0E6}"/>
    <hyperlink ref="A25" location="'Fug (13)'!A1" display="'Fug (13)'!A1" xr:uid="{77B5BFDD-6A97-4837-8A3D-3521133E27B1}"/>
    <hyperlink ref="A26" location="'Fug (14)'!A1" display="'Fug (14)'!A1" xr:uid="{6321C393-AE5C-43DF-A605-CA96C04CAE18}"/>
    <hyperlink ref="A27" location="'Fug (15)'!A1" display="'Fug (15)'!A1" xr:uid="{8CD2B696-D228-4FE5-8FA2-D93D23C0B4C9}"/>
    <hyperlink ref="A28" location="'Fug (16)'!A1" display="'Fug (16)'!A1" xr:uid="{324FCC28-EA05-4742-9AA8-BAB4EC868138}"/>
    <hyperlink ref="A29" location="'Fug (17)'!A1" display="'Fug (17)'!A1" xr:uid="{B06ED905-0CBE-4C3F-AD47-5A01F3DCB518}"/>
    <hyperlink ref="A30" location="'Fug (18)'!A1" display="'Fug (18)'!A1" xr:uid="{21C48C60-00FC-434F-8D8A-CB89C3F0C834}"/>
    <hyperlink ref="A31" location="'Fug (19)'!A1" display="'Fug (19)'!A1" xr:uid="{E090447F-0413-4E14-8A55-6B03BE0EE3F5}"/>
    <hyperlink ref="A32" location="'Fug (20)'!A1" display="'Fug (20)'!A1" xr:uid="{39FCA6AB-704A-45EE-BFE3-81895B1494E0}"/>
    <hyperlink ref="A33" location="'Fug (21)'!A1" display="'Fug (21)'!A1" xr:uid="{3182CB42-2BA8-4954-A32B-CCF314D909EA}"/>
    <hyperlink ref="A34" location="'Fug (22)'!A1" display="'Fug (22)'!A1" xr:uid="{FEB9A7AB-E738-497B-A168-49A53730C857}"/>
    <hyperlink ref="A35" location="'Fug (23)'!A1" display="'Fug (23)'!A1" xr:uid="{88B2766B-3680-4216-8250-9AB9C204BE27}"/>
    <hyperlink ref="A36" location="'Fug (24)'!A1" display="'Fug (24)'!A1" xr:uid="{C20279BD-170E-4F81-8AD0-181D6F24AC85}"/>
    <hyperlink ref="A37" location="'Fug (25)'!A1" display="'Fug (25)'!A1" xr:uid="{809CC638-F9D3-46A8-A170-AB680ED478F3}"/>
    <hyperlink ref="A13" location="'Fug (1)'!A1" display="'Fug (1)'!A1" xr:uid="{2CDEB856-99EB-4565-B66A-12000092FAE1}"/>
    <hyperlink ref="A12" location="Summary!A1" display="Summary" xr:uid="{BE8CD5F6-9C4B-4DBE-A6E8-97FAF58AECDA}"/>
    <hyperlink ref="A7" r:id="rId4" xr:uid="{242259D6-F6D9-432F-AFBF-3E7BC611C5C0}"/>
  </hyperlinks>
  <pageMargins left="0.25" right="0.25" top="0.75" bottom="0.75" header="0.3" footer="0.3"/>
  <pageSetup scale="75" fitToHeight="0" orientation="portrait" r:id="rId5"/>
  <headerFooter>
    <oddHeader>&amp;CFugitive Calculation Workbook: Instructions</oddHead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2CA4-7213-4267-8487-3E55F2A86FF9}">
  <sheetPr codeName="Sheet13">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INDEX((standard_components_141[[#This Row],[Component]]=factor_eff_table[Component])*(standard_components_141[[#This Row],[Service]]=factor_eff_table[Service]), 0, 1), 0)),
 "-")</f>
        <v>-</v>
      </c>
      <c r="E25" s="145" t="str" cm="1">
        <f t="array" ref="E2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25" s="145" t="str" cm="1">
        <f t="array" ref="F2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25" s="145" t="str" cm="1">
        <f t="array" ref="G2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2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2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INDEX((standard_components_141[[#This Row],[Component]]=factor_eff_table[Component])*(standard_components_141[[#This Row],[Service]]=factor_eff_table[Service]), 0, 1), 0)),
 "-")</f>
        <v>-</v>
      </c>
      <c r="E26" s="145" t="str" cm="1">
        <f t="array" ref="E2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26" s="145" t="str" cm="1">
        <f t="array" ref="F2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26" s="145" t="str" cm="1">
        <f t="array" ref="G2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2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2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INDEX((standard_components_141[[#This Row],[Component]]=factor_eff_table[Component])*(standard_components_141[[#This Row],[Service]]=factor_eff_table[Service]), 0, 1), 0)),
 "-")</f>
        <v>-</v>
      </c>
      <c r="E27" s="145" t="str" cm="1">
        <f t="array" ref="E2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27" s="145" t="str" cm="1">
        <f t="array" ref="F2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27" s="145" t="str" cm="1">
        <f t="array" ref="G2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2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2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INDEX((standard_components_141[[#This Row],[Component]]=factor_eff_table[Component])*(standard_components_141[[#This Row],[Service]]=factor_eff_table[Service]), 0, 1), 0)),
 "-")</f>
        <v>-</v>
      </c>
      <c r="E28" s="145" t="str" cm="1">
        <f t="array" ref="E2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28" s="145" t="str" cm="1">
        <f t="array" ref="F2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28" s="145" t="str" cm="1">
        <f t="array" ref="G2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2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2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INDEX((standard_components_141[[#This Row],[Component]]=factor_eff_table[Component])*(standard_components_141[[#This Row],[Service]]=factor_eff_table[Service]), 0, 1), 0)),
 "-")</f>
        <v>-</v>
      </c>
      <c r="E29" s="145" t="str" cm="1">
        <f t="array" ref="E2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29" s="145" t="str" cm="1">
        <f t="array" ref="F2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29" s="145" t="str" cm="1">
        <f t="array" ref="G2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2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2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INDEX((standard_components_141[[#This Row],[Component]]=factor_eff_table[Component])*(standard_components_141[[#This Row],[Service]]=factor_eff_table[Service]), 0, 1), 0)),
 "-")</f>
        <v>-</v>
      </c>
      <c r="E30" s="145" t="str" cm="1">
        <f t="array" ref="E3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0" s="145" t="str" cm="1">
        <f t="array" ref="F3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0" s="145" t="str" cm="1">
        <f t="array" ref="G3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INDEX((standard_components_141[[#This Row],[Component]]=factor_eff_table[Component])*(standard_components_141[[#This Row],[Service]]=factor_eff_table[Service]), 0, 1), 0)),
 "-")</f>
        <v>-</v>
      </c>
      <c r="E31" s="145" t="str" cm="1">
        <f t="array" ref="E3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1" s="145" t="str" cm="1">
        <f t="array" ref="F3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1" s="145" t="str" cm="1">
        <f t="array" ref="G3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INDEX((standard_components_141[[#This Row],[Component]]=factor_eff_table[Component])*(standard_components_141[[#This Row],[Service]]=factor_eff_table[Service]), 0, 1), 0)),
 "-")</f>
        <v>-</v>
      </c>
      <c r="E32" s="145" t="str" cm="1">
        <f t="array" ref="E3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2" s="145" t="str" cm="1">
        <f t="array" ref="F3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2" s="145" t="str" cm="1">
        <f t="array" ref="G3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INDEX((standard_components_141[[#This Row],[Component]]=factor_eff_table[Component])*(standard_components_141[[#This Row],[Service]]=factor_eff_table[Service]), 0, 1), 0)),
 "-")</f>
        <v>-</v>
      </c>
      <c r="E33" s="145" t="str" cm="1">
        <f t="array" ref="E3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3" s="145" t="str" cm="1">
        <f t="array" ref="F3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3" s="145" t="str" cm="1">
        <f t="array" ref="G3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INDEX((standard_components_141[[#This Row],[Component]]=factor_eff_table[Component])*(standard_components_141[[#This Row],[Service]]=factor_eff_table[Service]), 0, 1), 0)),
 "-")</f>
        <v>-</v>
      </c>
      <c r="E34" s="145" t="str" cm="1">
        <f t="array" ref="E3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4" s="145" t="str" cm="1">
        <f t="array" ref="F3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4" s="145" t="str" cm="1">
        <f t="array" ref="G3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INDEX((standard_components_141[[#This Row],[Component]]=factor_eff_table[Component])*(standard_components_141[[#This Row],[Service]]=factor_eff_table[Service]), 0, 1), 0)),
 "-")</f>
        <v>-</v>
      </c>
      <c r="E35" s="145" t="str" cm="1">
        <f t="array" ref="E3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5" s="145" t="str" cm="1">
        <f t="array" ref="F3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5" s="145" t="str" cm="1">
        <f t="array" ref="G3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INDEX((standard_components_141[[#This Row],[Component]]=factor_eff_table[Component])*(standard_components_141[[#This Row],[Service]]=factor_eff_table[Service]), 0, 1), 0)),
 "-")</f>
        <v>-</v>
      </c>
      <c r="E36" s="145" t="str" cm="1">
        <f t="array" ref="E3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6" s="145" t="str" cm="1">
        <f t="array" ref="F3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6" s="145" t="str" cm="1">
        <f t="array" ref="G3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INDEX((standard_components_141[[#This Row],[Component]]=factor_eff_table[Component])*(standard_components_141[[#This Row],[Service]]=factor_eff_table[Service]), 0, 1), 0)),
 "-")</f>
        <v>-</v>
      </c>
      <c r="E37" s="145" t="str" cm="1">
        <f t="array" ref="E3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7" s="145" t="str" cm="1">
        <f t="array" ref="F3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7" s="145" t="str" cm="1">
        <f t="array" ref="G3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INDEX((standard_components_141[[#This Row],[Component]]=factor_eff_table[Component])*(standard_components_141[[#This Row],[Service]]=factor_eff_table[Service]), 0, 1), 0)),
 "-")</f>
        <v>-</v>
      </c>
      <c r="E38" s="145" t="str" cm="1">
        <f t="array" ref="E3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8" s="145" t="str" cm="1">
        <f t="array" ref="F3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8" s="145" t="str" cm="1">
        <f t="array" ref="G3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INDEX((standard_components_141[[#This Row],[Component]]=factor_eff_table[Component])*(standard_components_141[[#This Row],[Service]]=factor_eff_table[Service]), 0, 1), 0)),
 "-")</f>
        <v>-</v>
      </c>
      <c r="E39" s="145" t="str" cm="1">
        <f t="array" ref="E3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39" s="145" t="str" cm="1">
        <f t="array" ref="F3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39" s="145" t="str" cm="1">
        <f t="array" ref="G3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3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3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INDEX((standard_components_141[[#This Row],[Component]]=factor_eff_table[Component])*(standard_components_141[[#This Row],[Service]]=factor_eff_table[Service]), 0, 1), 0)),
 "-")</f>
        <v>-</v>
      </c>
      <c r="E40" s="145" t="str" cm="1">
        <f t="array" ref="E4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0" s="145" t="str" cm="1">
        <f t="array" ref="F4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0" s="145" t="str" cm="1">
        <f t="array" ref="G4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INDEX((standard_components_141[[#This Row],[Component]]=factor_eff_table[Component])*(standard_components_141[[#This Row],[Service]]=factor_eff_table[Service]), 0, 1), 0)),
 "-")</f>
        <v>-</v>
      </c>
      <c r="E41" s="145" t="str" cm="1">
        <f t="array" ref="E4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1" s="145" t="str" cm="1">
        <f t="array" ref="F4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1" s="145" t="str" cm="1">
        <f t="array" ref="G4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INDEX((standard_components_141[[#This Row],[Component]]=factor_eff_table[Component])*(standard_components_141[[#This Row],[Service]]=factor_eff_table[Service]), 0, 1), 0)),
 "-")</f>
        <v>-</v>
      </c>
      <c r="E42" s="145" t="str" cm="1">
        <f t="array" ref="E4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2" s="145" t="str" cm="1">
        <f t="array" ref="F4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2" s="145" t="str" cm="1">
        <f t="array" ref="G4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INDEX((standard_components_141[[#This Row],[Component]]=factor_eff_table[Component])*(standard_components_141[[#This Row],[Service]]=factor_eff_table[Service]), 0, 1), 0)),
 "-")</f>
        <v>-</v>
      </c>
      <c r="E43" s="145" t="str" cm="1">
        <f t="array" ref="E4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3" s="145" t="str" cm="1">
        <f t="array" ref="F4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3" s="145" t="str" cm="1">
        <f t="array" ref="G4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INDEX((standard_components_141[[#This Row],[Component]]=factor_eff_table[Component])*(standard_components_141[[#This Row],[Service]]=factor_eff_table[Service]), 0, 1), 0)),
 "-")</f>
        <v>-</v>
      </c>
      <c r="E44" s="145" t="str" cm="1">
        <f t="array" ref="E4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4" s="145" t="str" cm="1">
        <f t="array" ref="F4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4" s="145" t="str" cm="1">
        <f t="array" ref="G4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INDEX((standard_components_141[[#This Row],[Component]]=factor_eff_table[Component])*(standard_components_141[[#This Row],[Service]]=factor_eff_table[Service]), 0, 1), 0)),
 "-")</f>
        <v>-</v>
      </c>
      <c r="E45" s="145" t="str" cm="1">
        <f t="array" ref="E4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5" s="145" t="str" cm="1">
        <f t="array" ref="F4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5" s="145" t="str" cm="1">
        <f t="array" ref="G4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INDEX((standard_components_141[[#This Row],[Component]]=factor_eff_table[Component])*(standard_components_141[[#This Row],[Service]]=factor_eff_table[Service]), 0, 1), 0)),
 "-")</f>
        <v>-</v>
      </c>
      <c r="E46" s="145" t="str" cm="1">
        <f t="array" ref="E4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6" s="145" t="str" cm="1">
        <f t="array" ref="F4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6" s="145" t="str" cm="1">
        <f t="array" ref="G4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INDEX((standard_components_141[[#This Row],[Component]]=factor_eff_table[Component])*(standard_components_141[[#This Row],[Service]]=factor_eff_table[Service]), 0, 1), 0)),
 "-")</f>
        <v>-</v>
      </c>
      <c r="E47" s="145" t="str" cm="1">
        <f t="array" ref="E4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7" s="145" t="str" cm="1">
        <f t="array" ref="F4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7" s="145" t="str" cm="1">
        <f t="array" ref="G4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INDEX((standard_components_141[[#This Row],[Component]]=factor_eff_table[Component])*(standard_components_141[[#This Row],[Service]]=factor_eff_table[Service]), 0, 1), 0)),
 "-")</f>
        <v>-</v>
      </c>
      <c r="E48" s="145" t="str" cm="1">
        <f t="array" ref="E4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8" s="145" t="str" cm="1">
        <f t="array" ref="F4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8" s="145" t="str" cm="1">
        <f t="array" ref="G4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INDEX((standard_components_141[[#This Row],[Component]]=factor_eff_table[Component])*(standard_components_141[[#This Row],[Service]]=factor_eff_table[Service]), 0, 1), 0)),
 "-")</f>
        <v>-</v>
      </c>
      <c r="E49" s="145" t="str" cm="1">
        <f t="array" ref="E4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49" s="145" t="str" cm="1">
        <f t="array" ref="F4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49" s="145" t="str" cm="1">
        <f t="array" ref="G4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4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4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INDEX((standard_components_141[[#This Row],[Component]]=factor_eff_table[Component])*(standard_components_141[[#This Row],[Service]]=factor_eff_table[Service]), 0, 1), 0)),
 "-")</f>
        <v>-</v>
      </c>
      <c r="E50" s="145" t="str" cm="1">
        <f t="array" ref="E5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0" s="145" t="str" cm="1">
        <f t="array" ref="F5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0" s="145" t="str" cm="1">
        <f t="array" ref="G5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INDEX((standard_components_141[[#This Row],[Component]]=factor_eff_table[Component])*(standard_components_141[[#This Row],[Service]]=factor_eff_table[Service]), 0, 1), 0)),
 "-")</f>
        <v>-</v>
      </c>
      <c r="E51" s="145" t="str" cm="1">
        <f t="array" ref="E5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1" s="145" t="str" cm="1">
        <f t="array" ref="F5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1" s="145" t="str" cm="1">
        <f t="array" ref="G5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INDEX((standard_components_141[[#This Row],[Component]]=factor_eff_table[Component])*(standard_components_141[[#This Row],[Service]]=factor_eff_table[Service]), 0, 1), 0)),
 "-")</f>
        <v>-</v>
      </c>
      <c r="E52" s="145" t="str" cm="1">
        <f t="array" ref="E5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2" s="145" t="str" cm="1">
        <f t="array" ref="F5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2" s="145" t="str" cm="1">
        <f t="array" ref="G5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INDEX((standard_components_141[[#This Row],[Component]]=factor_eff_table[Component])*(standard_components_141[[#This Row],[Service]]=factor_eff_table[Service]), 0, 1), 0)),
 "-")</f>
        <v>-</v>
      </c>
      <c r="E53" s="145" t="str" cm="1">
        <f t="array" ref="E5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3" s="145" t="str" cm="1">
        <f t="array" ref="F5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3" s="145" t="str" cm="1">
        <f t="array" ref="G5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INDEX((standard_components_141[[#This Row],[Component]]=factor_eff_table[Component])*(standard_components_141[[#This Row],[Service]]=factor_eff_table[Service]), 0, 1), 0)),
 "-")</f>
        <v>-</v>
      </c>
      <c r="E54" s="145" t="str" cm="1">
        <f t="array" ref="E5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4" s="145" t="str" cm="1">
        <f t="array" ref="F5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4" s="145" t="str" cm="1">
        <f t="array" ref="G5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INDEX((standard_components_141[[#This Row],[Component]]=factor_eff_table[Component])*(standard_components_141[[#This Row],[Service]]=factor_eff_table[Service]), 0, 1), 0)),
 "-")</f>
        <v>-</v>
      </c>
      <c r="E55" s="145" t="str" cm="1">
        <f t="array" ref="E5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5" s="145" t="str" cm="1">
        <f t="array" ref="F5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5" s="145" t="str" cm="1">
        <f t="array" ref="G5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INDEX((standard_components_141[[#This Row],[Component]]=factor_eff_table[Component])*(standard_components_141[[#This Row],[Service]]=factor_eff_table[Service]), 0, 1), 0)),
 "-")</f>
        <v>-</v>
      </c>
      <c r="E56" s="145" t="str" cm="1">
        <f t="array" ref="E5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6" s="145" t="str" cm="1">
        <f t="array" ref="F5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6" s="145" t="str" cm="1">
        <f t="array" ref="G5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INDEX((standard_components_141[[#This Row],[Component]]=factor_eff_table[Component])*(standard_components_141[[#This Row],[Service]]=factor_eff_table[Service]), 0, 1), 0)),
 "-")</f>
        <v>-</v>
      </c>
      <c r="E57" s="145" t="str" cm="1">
        <f t="array" ref="E5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7" s="145" t="str" cm="1">
        <f t="array" ref="F5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7" s="145" t="str" cm="1">
        <f t="array" ref="G5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INDEX((standard_components_141[[#This Row],[Component]]=factor_eff_table[Component])*(standard_components_141[[#This Row],[Service]]=factor_eff_table[Service]), 0, 1), 0)),
 "-")</f>
        <v>-</v>
      </c>
      <c r="E58" s="145" t="str" cm="1">
        <f t="array" ref="E5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8" s="145" t="str" cm="1">
        <f t="array" ref="F5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8" s="145" t="str" cm="1">
        <f t="array" ref="G5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INDEX((standard_components_141[[#This Row],[Component]]=factor_eff_table[Component])*(standard_components_141[[#This Row],[Service]]=factor_eff_table[Service]), 0, 1), 0)),
 "-")</f>
        <v>-</v>
      </c>
      <c r="E59" s="145" t="str" cm="1">
        <f t="array" ref="E5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59" s="145" t="str" cm="1">
        <f t="array" ref="F5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59" s="145" t="str" cm="1">
        <f t="array" ref="G5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5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5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INDEX((standard_components_141[[#This Row],[Component]]=factor_eff_table[Component])*(standard_components_141[[#This Row],[Service]]=factor_eff_table[Service]), 0, 1), 0)),
 "-")</f>
        <v>-</v>
      </c>
      <c r="E60" s="145" t="str" cm="1">
        <f t="array" ref="E6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0" s="145" t="str" cm="1">
        <f t="array" ref="F6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0" s="145" t="str" cm="1">
        <f t="array" ref="G6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INDEX((standard_components_141[[#This Row],[Component]]=factor_eff_table[Component])*(standard_components_141[[#This Row],[Service]]=factor_eff_table[Service]), 0, 1), 0)),
 "-")</f>
        <v>-</v>
      </c>
      <c r="E61" s="145" t="str" cm="1">
        <f t="array" ref="E6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1" s="145" t="str" cm="1">
        <f t="array" ref="F6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1" s="145" t="str" cm="1">
        <f t="array" ref="G6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INDEX((standard_components_141[[#This Row],[Component]]=factor_eff_table[Component])*(standard_components_141[[#This Row],[Service]]=factor_eff_table[Service]), 0, 1), 0)),
 "-")</f>
        <v>-</v>
      </c>
      <c r="E62" s="145" t="str" cm="1">
        <f t="array" ref="E6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2" s="145" t="str" cm="1">
        <f t="array" ref="F6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2" s="145" t="str" cm="1">
        <f t="array" ref="G6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INDEX((standard_components_141[[#This Row],[Component]]=factor_eff_table[Component])*(standard_components_141[[#This Row],[Service]]=factor_eff_table[Service]), 0, 1), 0)),
 "-")</f>
        <v>-</v>
      </c>
      <c r="E63" s="145" t="str" cm="1">
        <f t="array" ref="E6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3" s="145" t="str" cm="1">
        <f t="array" ref="F6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3" s="145" t="str" cm="1">
        <f t="array" ref="G6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INDEX((standard_components_141[[#This Row],[Component]]=factor_eff_table[Component])*(standard_components_141[[#This Row],[Service]]=factor_eff_table[Service]), 0, 1), 0)),
 "-")</f>
        <v>-</v>
      </c>
      <c r="E64" s="145" t="str" cm="1">
        <f t="array" ref="E6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4" s="145" t="str" cm="1">
        <f t="array" ref="F6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4" s="145" t="str" cm="1">
        <f t="array" ref="G6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INDEX((standard_components_141[[#This Row],[Component]]=factor_eff_table[Component])*(standard_components_141[[#This Row],[Service]]=factor_eff_table[Service]), 0, 1), 0)),
 "-")</f>
        <v>-</v>
      </c>
      <c r="E65" s="145" t="str" cm="1">
        <f t="array" ref="E6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5" s="145" t="str" cm="1">
        <f t="array" ref="F6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5" s="145" t="str" cm="1">
        <f t="array" ref="G6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INDEX((standard_components_141[[#This Row],[Component]]=factor_eff_table[Component])*(standard_components_141[[#This Row],[Service]]=factor_eff_table[Service]), 0, 1), 0)),
 "-")</f>
        <v>-</v>
      </c>
      <c r="E66" s="145" t="str" cm="1">
        <f t="array" ref="E6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6" s="145" t="str" cm="1">
        <f t="array" ref="F6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6" s="145" t="str" cm="1">
        <f t="array" ref="G6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INDEX((standard_components_141[[#This Row],[Component]]=factor_eff_table[Component])*(standard_components_141[[#This Row],[Service]]=factor_eff_table[Service]), 0, 1), 0)),
 "-")</f>
        <v>-</v>
      </c>
      <c r="E67" s="145" t="str" cm="1">
        <f t="array" ref="E6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7" s="145" t="str" cm="1">
        <f t="array" ref="F6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7" s="145" t="str" cm="1">
        <f t="array" ref="G6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INDEX((standard_components_141[[#This Row],[Component]]=factor_eff_table[Component])*(standard_components_141[[#This Row],[Service]]=factor_eff_table[Service]), 0, 1), 0)),
 "-")</f>
        <v>-</v>
      </c>
      <c r="E68" s="145" t="str" cm="1">
        <f t="array" ref="E6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8" s="145" t="str" cm="1">
        <f t="array" ref="F6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8" s="145" t="str" cm="1">
        <f t="array" ref="G6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INDEX((standard_components_141[[#This Row],[Component]]=factor_eff_table[Component])*(standard_components_141[[#This Row],[Service]]=factor_eff_table[Service]), 0, 1), 0)),
 "-")</f>
        <v>-</v>
      </c>
      <c r="E69" s="145" t="str" cm="1">
        <f t="array" ref="E6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69" s="145" t="str" cm="1">
        <f t="array" ref="F6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69" s="145" t="str" cm="1">
        <f t="array" ref="G6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6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6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INDEX((standard_components_141[[#This Row],[Component]]=factor_eff_table[Component])*(standard_components_141[[#This Row],[Service]]=factor_eff_table[Service]), 0, 1), 0)),
 "-")</f>
        <v>-</v>
      </c>
      <c r="E70" s="145" t="str" cm="1">
        <f t="array" ref="E7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0" s="145" t="str" cm="1">
        <f t="array" ref="F7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0" s="145" t="str" cm="1">
        <f t="array" ref="G7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INDEX((standard_components_141[[#This Row],[Component]]=factor_eff_table[Component])*(standard_components_141[[#This Row],[Service]]=factor_eff_table[Service]), 0, 1), 0)),
 "-")</f>
        <v>-</v>
      </c>
      <c r="E71" s="145" t="str" cm="1">
        <f t="array" ref="E7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1" s="145" t="str" cm="1">
        <f t="array" ref="F7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1" s="145" t="str" cm="1">
        <f t="array" ref="G7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INDEX((standard_components_141[[#This Row],[Component]]=factor_eff_table[Component])*(standard_components_141[[#This Row],[Service]]=factor_eff_table[Service]), 0, 1), 0)),
 "-")</f>
        <v>-</v>
      </c>
      <c r="E72" s="145" t="str" cm="1">
        <f t="array" ref="E7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2" s="145" t="str" cm="1">
        <f t="array" ref="F7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2" s="145" t="str" cm="1">
        <f t="array" ref="G7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INDEX((standard_components_141[[#This Row],[Component]]=factor_eff_table[Component])*(standard_components_141[[#This Row],[Service]]=factor_eff_table[Service]), 0, 1), 0)),
 "-")</f>
        <v>-</v>
      </c>
      <c r="E73" s="145" t="str" cm="1">
        <f t="array" ref="E7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3" s="145" t="str" cm="1">
        <f t="array" ref="F7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3" s="145" t="str" cm="1">
        <f t="array" ref="G7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INDEX((standard_components_141[[#This Row],[Component]]=factor_eff_table[Component])*(standard_components_141[[#This Row],[Service]]=factor_eff_table[Service]), 0, 1), 0)),
 "-")</f>
        <v>-</v>
      </c>
      <c r="E74" s="145" t="str" cm="1">
        <f t="array" ref="E7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4" s="145" t="str" cm="1">
        <f t="array" ref="F7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4" s="145" t="str" cm="1">
        <f t="array" ref="G7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INDEX((standard_components_141[[#This Row],[Component]]=factor_eff_table[Component])*(standard_components_141[[#This Row],[Service]]=factor_eff_table[Service]), 0, 1), 0)),
 "-")</f>
        <v>-</v>
      </c>
      <c r="E75" s="145" t="str" cm="1">
        <f t="array" ref="E7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5" s="145" t="str" cm="1">
        <f t="array" ref="F7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5" s="145" t="str" cm="1">
        <f t="array" ref="G7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INDEX((standard_components_141[[#This Row],[Component]]=factor_eff_table[Component])*(standard_components_141[[#This Row],[Service]]=factor_eff_table[Service]), 0, 1), 0)),
 "-")</f>
        <v>-</v>
      </c>
      <c r="E76" s="145" t="str" cm="1">
        <f t="array" ref="E7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6" s="145" t="str" cm="1">
        <f t="array" ref="F7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6" s="145" t="str" cm="1">
        <f t="array" ref="G7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INDEX((standard_components_141[[#This Row],[Component]]=factor_eff_table[Component])*(standard_components_141[[#This Row],[Service]]=factor_eff_table[Service]), 0, 1), 0)),
 "-")</f>
        <v>-</v>
      </c>
      <c r="E77" s="145" t="str" cm="1">
        <f t="array" ref="E7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7" s="145" t="str" cm="1">
        <f t="array" ref="F7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7" s="145" t="str" cm="1">
        <f t="array" ref="G7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INDEX((standard_components_141[[#This Row],[Component]]=factor_eff_table[Component])*(standard_components_141[[#This Row],[Service]]=factor_eff_table[Service]), 0, 1), 0)),
 "-")</f>
        <v>-</v>
      </c>
      <c r="E78" s="145" t="str" cm="1">
        <f t="array" ref="E7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8" s="145" t="str" cm="1">
        <f t="array" ref="F7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8" s="145" t="str" cm="1">
        <f t="array" ref="G7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INDEX((standard_components_141[[#This Row],[Component]]=factor_eff_table[Component])*(standard_components_141[[#This Row],[Service]]=factor_eff_table[Service]), 0, 1), 0)),
 "-")</f>
        <v>-</v>
      </c>
      <c r="E79" s="145" t="str" cm="1">
        <f t="array" ref="E7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79" s="145" t="str" cm="1">
        <f t="array" ref="F7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79" s="145" t="str" cm="1">
        <f t="array" ref="G7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7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7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INDEX((standard_components_141[[#This Row],[Component]]=factor_eff_table[Component])*(standard_components_141[[#This Row],[Service]]=factor_eff_table[Service]), 0, 1), 0)),
 "-")</f>
        <v>-</v>
      </c>
      <c r="E80" s="145" t="str" cm="1">
        <f t="array" ref="E8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0" s="145" t="str" cm="1">
        <f t="array" ref="F8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0" s="145" t="str" cm="1">
        <f t="array" ref="G8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INDEX((standard_components_141[[#This Row],[Component]]=factor_eff_table[Component])*(standard_components_141[[#This Row],[Service]]=factor_eff_table[Service]), 0, 1), 0)),
 "-")</f>
        <v>-</v>
      </c>
      <c r="E81" s="145" t="str" cm="1">
        <f t="array" ref="E8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1" s="145" t="str" cm="1">
        <f t="array" ref="F8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1" s="145" t="str" cm="1">
        <f t="array" ref="G8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INDEX((standard_components_141[[#This Row],[Component]]=factor_eff_table[Component])*(standard_components_141[[#This Row],[Service]]=factor_eff_table[Service]), 0, 1), 0)),
 "-")</f>
        <v>-</v>
      </c>
      <c r="E82" s="145" t="str" cm="1">
        <f t="array" ref="E8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2" s="145" t="str" cm="1">
        <f t="array" ref="F8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2" s="145" t="str" cm="1">
        <f t="array" ref="G8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INDEX((standard_components_141[[#This Row],[Component]]=factor_eff_table[Component])*(standard_components_141[[#This Row],[Service]]=factor_eff_table[Service]), 0, 1), 0)),
 "-")</f>
        <v>-</v>
      </c>
      <c r="E83" s="145" t="str" cm="1">
        <f t="array" ref="E8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3" s="145" t="str" cm="1">
        <f t="array" ref="F8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3" s="145" t="str" cm="1">
        <f t="array" ref="G8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INDEX((standard_components_141[[#This Row],[Component]]=factor_eff_table[Component])*(standard_components_141[[#This Row],[Service]]=factor_eff_table[Service]), 0, 1), 0)),
 "-")</f>
        <v>-</v>
      </c>
      <c r="E84" s="145" t="str" cm="1">
        <f t="array" ref="E8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4" s="145" t="str" cm="1">
        <f t="array" ref="F8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4" s="145" t="str" cm="1">
        <f t="array" ref="G8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INDEX((standard_components_141[[#This Row],[Component]]=factor_eff_table[Component])*(standard_components_141[[#This Row],[Service]]=factor_eff_table[Service]), 0, 1), 0)),
 "-")</f>
        <v>-</v>
      </c>
      <c r="E85" s="145" t="str" cm="1">
        <f t="array" ref="E8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5" s="145" t="str" cm="1">
        <f t="array" ref="F8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5" s="145" t="str" cm="1">
        <f t="array" ref="G8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INDEX((standard_components_141[[#This Row],[Component]]=factor_eff_table[Component])*(standard_components_141[[#This Row],[Service]]=factor_eff_table[Service]), 0, 1), 0)),
 "-")</f>
        <v>-</v>
      </c>
      <c r="E86" s="145" t="str" cm="1">
        <f t="array" ref="E8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6" s="145" t="str" cm="1">
        <f t="array" ref="F8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6" s="145" t="str" cm="1">
        <f t="array" ref="G8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INDEX((standard_components_141[[#This Row],[Component]]=factor_eff_table[Component])*(standard_components_141[[#This Row],[Service]]=factor_eff_table[Service]), 0, 1), 0)),
 "-")</f>
        <v>-</v>
      </c>
      <c r="E87" s="145" t="str" cm="1">
        <f t="array" ref="E8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7" s="145" t="str" cm="1">
        <f t="array" ref="F8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7" s="145" t="str" cm="1">
        <f t="array" ref="G8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INDEX((standard_components_141[[#This Row],[Component]]=factor_eff_table[Component])*(standard_components_141[[#This Row],[Service]]=factor_eff_table[Service]), 0, 1), 0)),
 "-")</f>
        <v>-</v>
      </c>
      <c r="E88" s="145" t="str" cm="1">
        <f t="array" ref="E8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8" s="145" t="str" cm="1">
        <f t="array" ref="F8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8" s="145" t="str" cm="1">
        <f t="array" ref="G8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INDEX((standard_components_141[[#This Row],[Component]]=factor_eff_table[Component])*(standard_components_141[[#This Row],[Service]]=factor_eff_table[Service]), 0, 1), 0)),
 "-")</f>
        <v>-</v>
      </c>
      <c r="E89" s="145" t="str" cm="1">
        <f t="array" ref="E8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89" s="145" t="str" cm="1">
        <f t="array" ref="F8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89" s="145" t="str" cm="1">
        <f t="array" ref="G8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8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8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INDEX((standard_components_141[[#This Row],[Component]]=factor_eff_table[Component])*(standard_components_141[[#This Row],[Service]]=factor_eff_table[Service]), 0, 1), 0)),
 "-")</f>
        <v>-</v>
      </c>
      <c r="E90" s="145" t="str" cm="1">
        <f t="array" ref="E9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0" s="145" t="str" cm="1">
        <f t="array" ref="F9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0" s="145" t="str" cm="1">
        <f t="array" ref="G9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INDEX((standard_components_141[[#This Row],[Component]]=factor_eff_table[Component])*(standard_components_141[[#This Row],[Service]]=factor_eff_table[Service]), 0, 1), 0)),
 "-")</f>
        <v>-</v>
      </c>
      <c r="E91" s="145" t="str" cm="1">
        <f t="array" ref="E91">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1" s="145" t="str" cm="1">
        <f t="array" ref="F91">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1" s="145" t="str" cm="1">
        <f t="array" ref="G91">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1"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1"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INDEX((standard_components_141[[#This Row],[Component]]=factor_eff_table[Component])*(standard_components_141[[#This Row],[Service]]=factor_eff_table[Service]), 0, 1), 0)),
 "-")</f>
        <v>-</v>
      </c>
      <c r="E92" s="145" t="str" cm="1">
        <f t="array" ref="E92">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2" s="145" t="str" cm="1">
        <f t="array" ref="F92">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2" s="145" t="str" cm="1">
        <f t="array" ref="G92">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2"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2"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INDEX((standard_components_141[[#This Row],[Component]]=factor_eff_table[Component])*(standard_components_141[[#This Row],[Service]]=factor_eff_table[Service]), 0, 1), 0)),
 "-")</f>
        <v>-</v>
      </c>
      <c r="E93" s="145" t="str" cm="1">
        <f t="array" ref="E93">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3" s="145" t="str" cm="1">
        <f t="array" ref="F93">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3" s="145" t="str" cm="1">
        <f t="array" ref="G93">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3"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3"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INDEX((standard_components_141[[#This Row],[Component]]=factor_eff_table[Component])*(standard_components_141[[#This Row],[Service]]=factor_eff_table[Service]), 0, 1), 0)),
 "-")</f>
        <v>-</v>
      </c>
      <c r="E94" s="145" t="str" cm="1">
        <f t="array" ref="E94">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4" s="145" t="str" cm="1">
        <f t="array" ref="F94">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4" s="145" t="str" cm="1">
        <f t="array" ref="G94">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4"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4"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INDEX((standard_components_141[[#This Row],[Component]]=factor_eff_table[Component])*(standard_components_141[[#This Row],[Service]]=factor_eff_table[Service]), 0, 1), 0)),
 "-")</f>
        <v>-</v>
      </c>
      <c r="E95" s="145" t="str" cm="1">
        <f t="array" ref="E95">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5" s="145" t="str" cm="1">
        <f t="array" ref="F95">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5" s="145" t="str" cm="1">
        <f t="array" ref="G95">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5"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5"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INDEX((standard_components_141[[#This Row],[Component]]=factor_eff_table[Component])*(standard_components_141[[#This Row],[Service]]=factor_eff_table[Service]), 0, 1), 0)),
 "-")</f>
        <v>-</v>
      </c>
      <c r="E96" s="145" t="str" cm="1">
        <f t="array" ref="E96">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6" s="145" t="str" cm="1">
        <f t="array" ref="F96">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6" s="145" t="str" cm="1">
        <f t="array" ref="G96">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6"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6"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INDEX((standard_components_141[[#This Row],[Component]]=factor_eff_table[Component])*(standard_components_141[[#This Row],[Service]]=factor_eff_table[Service]), 0, 1), 0)),
 "-")</f>
        <v>-</v>
      </c>
      <c r="E97" s="145" t="str" cm="1">
        <f t="array" ref="E97">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7" s="145" t="str" cm="1">
        <f t="array" ref="F97">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7" s="145" t="str" cm="1">
        <f t="array" ref="G97">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7"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7"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INDEX((standard_components_141[[#This Row],[Component]]=factor_eff_table[Component])*(standard_components_141[[#This Row],[Service]]=factor_eff_table[Service]), 0, 1), 0)),
 "-")</f>
        <v>-</v>
      </c>
      <c r="E98" s="145" t="str" cm="1">
        <f t="array" ref="E98">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8" s="145" t="str" cm="1">
        <f t="array" ref="F98">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8" s="145" t="str" cm="1">
        <f t="array" ref="G98">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8"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8"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INDEX((standard_components_141[[#This Row],[Component]]=factor_eff_table[Component])*(standard_components_141[[#This Row],[Service]]=factor_eff_table[Service]), 0, 1), 0)),
 "-")</f>
        <v>-</v>
      </c>
      <c r="E99" s="145" t="str" cm="1">
        <f t="array" ref="E99">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99" s="145" t="str" cm="1">
        <f t="array" ref="F99">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99" s="145" t="str" cm="1">
        <f t="array" ref="G99">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99"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99"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INDEX((standard_components_141[[#This Row],[Component]]=factor_eff_table[Component])*(standard_components_141[[#This Row],[Service]]=factor_eff_table[Service]), 0, 1), 0)),
 "-")</f>
        <v>-</v>
      </c>
      <c r="E100" s="145" t="str" cm="1">
        <f t="array" ref="E100">IF(AND(process_drain_bool="Yes",LEFT(standard_components_141[[#This Row],[Component]], LEN("Process drains"))="Process Drains", ISBLANK(instrument_ldar)=FALSE), process_drain_eff,
IFERROR(
INDEX(
INDEX(factor_eff_table[], , MATCH(instrument_ldar, factor_eff_table[#Headers], 0)),
MATCH(1, INDEX((standard_components_141[[#This Row],[Component]]=factor_eff_table[Component])*(standard_components_141[[#This Row],[Service]]=factor_eff_table[Service]), 0, 1), 0)),
 "-"))</f>
        <v>-</v>
      </c>
      <c r="F100" s="145" t="str" cm="1">
        <f t="array" ref="F100">IF(AND(process_drain_bool="Yes",LEFT(standard_components_141[[#This Row],[Component]], LEN("Process drains"))="Process Drains", ISBLANK(connector_ldar)=FALSE), process_drain_eff,
IFERROR(
INDEX(
INDEX(factor_eff_table[], , MATCH(connector_ldar, factor_eff_table[#Headers], 0)),
MATCH(1, INDEX((standard_components_141[[#This Row],[Component]]=factor_eff_table[Component])*(standard_components_141[[#This Row],[Service]]=factor_eff_table[Service]), 0, 1), 0)),
 "-"))</f>
        <v>-</v>
      </c>
      <c r="G100" s="145" t="str" cm="1">
        <f t="array" ref="G100">IF(AND(process_drain_bool="Yes",LEFT(standard_components_141[[#This Row],[Component]], LEN("Process Drains"))="Process Drains", ISBLANK(inspection_ldar)=FALSE), process_drain_eff,
IFERROR(
INDEX(
INDEX(factor_eff_table[], , MATCH(inspection_ldar, factor_eff_table[#Headers], 0)),
MATCH(1, INDEX((standard_components_141[[#This Row],[Component]]=factor_eff_table[Component])*(standard_components_141[[#This Row],[Service]]=factor_eff_table[Service]), 0, 1), 0)),
 "-"))</f>
        <v>-</v>
      </c>
      <c r="H100" s="146" t="str">
        <f>IF(standard_components_141[[#This Row],[Component]]="Sampling Connections (annual) [2]", "N/A",
 IF(standard_components_141[[#This Row],[Component]]="Sampling Connections (hourly) [1]", standard_components_141[[#This Row],[Count]]*standard_components_141[[#This Row],[Industry Emission Factor]],
IFERROR(standard_components_141[[#This Row],[Count]]*standard_components_141[[#This Row],[Industry Emission Factor]]*MIN(1-standard_components_141[[#This Row],[Instrument Monitoring LDAR Control Efficiency]], 1-standard_components_141[[#This Row],[Physical Inspection LDAR Control Efficiency]], 1-standard_components_141[[#This Row],[Connector Monitoring LDAR Control Efficiency]]), "-")))</f>
        <v>-</v>
      </c>
      <c r="I100" s="146" t="str">
        <f>IF(standard_components_141[[#This Row],[Component]]="Sampling Connections (hourly) [1]", "N/A",
 IF(standard_components_141[[#This Row],[Component]]="Sampling Connections (annual) [2]", standard_components_141[[#This Row],[Count]]*standard_components_141[[#This Row],[Industry Emission Factor]]/stons_to_lbs,
 IFERROR(years_to_hrs/stons_to_lbs*standard_components_141[[#This Row],[Controlled
lb/hr]], "-")))</f>
        <v>-</v>
      </c>
    </row>
    <row r="101" spans="1:9" ht="15" x14ac:dyDescent="0.25">
      <c r="A101" s="147" t="s">
        <v>12776</v>
      </c>
      <c r="B101" s="148"/>
      <c r="C101" s="149">
        <f>SUBTOTAL(109,standard_components_141[Count])</f>
        <v>0</v>
      </c>
      <c r="D101" s="150"/>
      <c r="E101" s="150"/>
      <c r="F101" s="150"/>
      <c r="G101" s="150"/>
      <c r="H101" s="151">
        <f>SUBTOTAL(109,standard_components_141[Controlled
lb/hr])</f>
        <v>0</v>
      </c>
      <c r="I101" s="151">
        <f>SUBTOTAL(109,standard_components_141[Controlled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unique_components_142[[#This Row],[Count]]*unique_components_142[[#This Row],[Proposed Emission Factor]]*(1-unique_components_142[[#This Row],[Proposed Control Efficiency]])</f>
        <v>0</v>
      </c>
      <c r="G107" s="155">
        <f>IFERROR(unique_components_142[[#This Row],[Controlled lb/hr]]*4.38,"")</f>
        <v>0</v>
      </c>
    </row>
    <row r="108" spans="1:9" x14ac:dyDescent="0.2">
      <c r="A108" s="103"/>
      <c r="B108" s="104"/>
      <c r="C108" s="153"/>
      <c r="D108" s="154"/>
      <c r="E108" s="154"/>
      <c r="F108" s="146">
        <f>unique_components_142[[#This Row],[Count]]*unique_components_142[[#This Row],[Proposed Emission Factor]]*(1-unique_components_142[[#This Row],[Proposed Control Efficiency]])</f>
        <v>0</v>
      </c>
      <c r="G108" s="155">
        <f>IFERROR(unique_components_142[[#This Row],[Controlled lb/hr]]*4.38,"")</f>
        <v>0</v>
      </c>
    </row>
    <row r="109" spans="1:9" x14ac:dyDescent="0.2">
      <c r="A109" s="103"/>
      <c r="B109" s="104"/>
      <c r="C109" s="153"/>
      <c r="D109" s="154"/>
      <c r="E109" s="154"/>
      <c r="F109" s="146">
        <f>unique_components_142[[#This Row],[Count]]*unique_components_142[[#This Row],[Proposed Emission Factor]]*(1-unique_components_142[[#This Row],[Proposed Control Efficiency]])</f>
        <v>0</v>
      </c>
      <c r="G109" s="155">
        <f>IFERROR(unique_components_142[[#This Row],[Controlled lb/hr]]*4.38,"")</f>
        <v>0</v>
      </c>
    </row>
    <row r="110" spans="1:9" x14ac:dyDescent="0.2">
      <c r="A110" s="103"/>
      <c r="B110" s="104"/>
      <c r="C110" s="153"/>
      <c r="D110" s="154"/>
      <c r="E110" s="154"/>
      <c r="F110" s="146">
        <f>unique_components_142[[#This Row],[Count]]*unique_components_142[[#This Row],[Proposed Emission Factor]]*(1-unique_components_142[[#This Row],[Proposed Control Efficiency]])</f>
        <v>0</v>
      </c>
      <c r="G110" s="155">
        <f>IFERROR(unique_components_142[[#This Row],[Controlled lb/hr]]*4.38,"")</f>
        <v>0</v>
      </c>
    </row>
    <row r="111" spans="1:9" x14ac:dyDescent="0.2">
      <c r="A111" s="103"/>
      <c r="B111" s="104"/>
      <c r="C111" s="153"/>
      <c r="D111" s="154"/>
      <c r="E111" s="154"/>
      <c r="F111" s="146">
        <f>unique_components_142[[#This Row],[Count]]*unique_components_142[[#This Row],[Proposed Emission Factor]]*(1-unique_components_142[[#This Row],[Proposed Control Efficiency]])</f>
        <v>0</v>
      </c>
      <c r="G111" s="155">
        <f>IFERROR(unique_components_142[[#This Row],[Controlled lb/hr]]*4.38,"")</f>
        <v>0</v>
      </c>
    </row>
    <row r="112" spans="1:9" x14ac:dyDescent="0.2">
      <c r="A112" s="103"/>
      <c r="B112" s="104"/>
      <c r="C112" s="153"/>
      <c r="D112" s="154"/>
      <c r="E112" s="154"/>
      <c r="F112" s="146">
        <f>unique_components_142[[#This Row],[Count]]*unique_components_142[[#This Row],[Proposed Emission Factor]]*(1-unique_components_142[[#This Row],[Proposed Control Efficiency]])</f>
        <v>0</v>
      </c>
      <c r="G112" s="155">
        <f>IFERROR(unique_components_142[[#This Row],[Controlled lb/hr]]*4.38,"")</f>
        <v>0</v>
      </c>
    </row>
    <row r="113" spans="1:8" x14ac:dyDescent="0.2">
      <c r="A113" s="103"/>
      <c r="B113" s="104"/>
      <c r="C113" s="153"/>
      <c r="D113" s="154"/>
      <c r="E113" s="154"/>
      <c r="F113" s="146">
        <f>unique_components_142[[#This Row],[Count]]*unique_components_142[[#This Row],[Proposed Emission Factor]]*(1-unique_components_142[[#This Row],[Proposed Control Efficiency]])</f>
        <v>0</v>
      </c>
      <c r="G113" s="155">
        <f>IFERROR(unique_components_142[[#This Row],[Controlled lb/hr]]*4.38,"")</f>
        <v>0</v>
      </c>
    </row>
    <row r="114" spans="1:8" x14ac:dyDescent="0.2">
      <c r="A114" s="103"/>
      <c r="B114" s="104"/>
      <c r="C114" s="153"/>
      <c r="D114" s="154"/>
      <c r="E114" s="154"/>
      <c r="F114" s="146">
        <f>unique_components_142[[#This Row],[Count]]*unique_components_142[[#This Row],[Proposed Emission Factor]]*(1-unique_components_142[[#This Row],[Proposed Control Efficiency]])</f>
        <v>0</v>
      </c>
      <c r="G114" s="155">
        <f>IFERROR(unique_components_142[[#This Row],[Controlled lb/hr]]*4.38,"")</f>
        <v>0</v>
      </c>
    </row>
    <row r="115" spans="1:8" x14ac:dyDescent="0.2">
      <c r="A115" s="103"/>
      <c r="B115" s="104"/>
      <c r="C115" s="153"/>
      <c r="D115" s="154"/>
      <c r="E115" s="154"/>
      <c r="F115" s="146">
        <f>unique_components_142[[#This Row],[Count]]*unique_components_142[[#This Row],[Proposed Emission Factor]]*(1-unique_components_142[[#This Row],[Proposed Control Efficiency]])</f>
        <v>0</v>
      </c>
      <c r="G115" s="155">
        <f>IFERROR(unique_components_142[[#This Row],[Controlled lb/hr]]*4.38,"")</f>
        <v>0</v>
      </c>
    </row>
    <row r="116" spans="1:8" x14ac:dyDescent="0.2">
      <c r="A116" s="103"/>
      <c r="B116" s="104"/>
      <c r="C116" s="153"/>
      <c r="D116" s="154"/>
      <c r="E116" s="154"/>
      <c r="F116" s="146">
        <f>unique_components_142[[#This Row],[Count]]*unique_components_142[[#This Row],[Proposed Emission Factor]]*(1-unique_components_142[[#This Row],[Proposed Control Efficiency]])</f>
        <v>0</v>
      </c>
      <c r="G116" s="155">
        <f>IFERROR(unique_components_142[[#This Row],[Controlled lb/hr]]*4.38,"")</f>
        <v>0</v>
      </c>
    </row>
    <row r="117" spans="1:8" x14ac:dyDescent="0.2">
      <c r="A117" s="103"/>
      <c r="B117" s="104"/>
      <c r="C117" s="153"/>
      <c r="D117" s="154"/>
      <c r="E117" s="154"/>
      <c r="F117" s="146">
        <f>unique_components_142[[#This Row],[Count]]*unique_components_142[[#This Row],[Proposed Emission Factor]]*(1-unique_components_142[[#This Row],[Proposed Control Efficiency]])</f>
        <v>0</v>
      </c>
      <c r="G117" s="155">
        <f>IFERROR(unique_components_142[[#This Row],[Controlled lb/hr]]*4.38,"")</f>
        <v>0</v>
      </c>
    </row>
    <row r="118" spans="1:8" x14ac:dyDescent="0.2">
      <c r="A118" s="103"/>
      <c r="B118" s="104"/>
      <c r="C118" s="153"/>
      <c r="D118" s="154"/>
      <c r="E118" s="154"/>
      <c r="F118" s="146">
        <f>unique_components_142[[#This Row],[Count]]*unique_components_142[[#This Row],[Proposed Emission Factor]]*(1-unique_components_142[[#This Row],[Proposed Control Efficiency]])</f>
        <v>0</v>
      </c>
      <c r="G118" s="155">
        <f>IFERROR(unique_components_142[[#This Row],[Controlled lb/hr]]*4.38,"")</f>
        <v>0</v>
      </c>
    </row>
    <row r="119" spans="1:8" x14ac:dyDescent="0.2">
      <c r="A119" s="103"/>
      <c r="B119" s="104"/>
      <c r="C119" s="153"/>
      <c r="D119" s="154"/>
      <c r="E119" s="154"/>
      <c r="F119" s="146">
        <f>unique_components_142[[#This Row],[Count]]*unique_components_142[[#This Row],[Proposed Emission Factor]]*(1-unique_components_142[[#This Row],[Proposed Control Efficiency]])</f>
        <v>0</v>
      </c>
      <c r="G119" s="155">
        <f>IFERROR(unique_components_142[[#This Row],[Controlled lb/hr]]*4.38,"")</f>
        <v>0</v>
      </c>
    </row>
    <row r="120" spans="1:8" x14ac:dyDescent="0.2">
      <c r="A120" s="103"/>
      <c r="B120" s="104"/>
      <c r="C120" s="153"/>
      <c r="D120" s="154"/>
      <c r="E120" s="154"/>
      <c r="F120" s="146">
        <f>unique_components_142[[#This Row],[Count]]*unique_components_142[[#This Row],[Proposed Emission Factor]]*(1-unique_components_142[[#This Row],[Proposed Control Efficiency]])</f>
        <v>0</v>
      </c>
      <c r="G120" s="155">
        <f>IFERROR(unique_components_142[[#This Row],[Controlled lb/hr]]*4.38,"")</f>
        <v>0</v>
      </c>
    </row>
    <row r="121" spans="1:8" x14ac:dyDescent="0.2">
      <c r="A121" s="103"/>
      <c r="B121" s="104"/>
      <c r="C121" s="153"/>
      <c r="D121" s="154"/>
      <c r="E121" s="154"/>
      <c r="F121" s="146">
        <f>unique_components_142[[#This Row],[Count]]*unique_components_142[[#This Row],[Proposed Emission Factor]]*(1-unique_components_142[[#This Row],[Proposed Control Efficiency]])</f>
        <v>0</v>
      </c>
      <c r="G121" s="155">
        <f>IFERROR(unique_components_142[[#This Row],[Controlled lb/hr]]*4.38,"")</f>
        <v>0</v>
      </c>
    </row>
    <row r="122" spans="1:8" x14ac:dyDescent="0.2">
      <c r="A122" s="103"/>
      <c r="B122" s="104"/>
      <c r="C122" s="153"/>
      <c r="D122" s="154"/>
      <c r="E122" s="154"/>
      <c r="F122" s="146">
        <f>unique_components_142[[#This Row],[Count]]*unique_components_142[[#This Row],[Proposed Emission Factor]]*(1-unique_components_142[[#This Row],[Proposed Control Efficiency]])</f>
        <v>0</v>
      </c>
      <c r="G122" s="155">
        <f>IFERROR(unique_components_142[[#This Row],[Controlled lb/hr]]*4.38,"")</f>
        <v>0</v>
      </c>
    </row>
    <row r="123" spans="1:8" x14ac:dyDescent="0.2">
      <c r="A123" s="103"/>
      <c r="B123" s="104"/>
      <c r="C123" s="153"/>
      <c r="D123" s="154"/>
      <c r="E123" s="154"/>
      <c r="F123" s="146">
        <f>unique_components_142[[#This Row],[Count]]*unique_components_142[[#This Row],[Proposed Emission Factor]]*(1-unique_components_142[[#This Row],[Proposed Control Efficiency]])</f>
        <v>0</v>
      </c>
      <c r="G123" s="155">
        <f>IFERROR(unique_components_142[[#This Row],[Controlled lb/hr]]*4.38,"")</f>
        <v>0</v>
      </c>
    </row>
    <row r="124" spans="1:8" x14ac:dyDescent="0.2">
      <c r="A124" s="103"/>
      <c r="B124" s="104"/>
      <c r="C124" s="153"/>
      <c r="D124" s="154"/>
      <c r="E124" s="154"/>
      <c r="F124" s="146">
        <f>unique_components_142[[#This Row],[Count]]*unique_components_142[[#This Row],[Proposed Emission Factor]]*(1-unique_components_142[[#This Row],[Proposed Control Efficiency]])</f>
        <v>0</v>
      </c>
      <c r="G124" s="155">
        <f>IFERROR(unique_components_142[[#This Row],[Controlled lb/hr]]*4.38,"")</f>
        <v>0</v>
      </c>
    </row>
    <row r="125" spans="1:8" x14ac:dyDescent="0.2">
      <c r="A125" s="103"/>
      <c r="B125" s="104"/>
      <c r="C125" s="153"/>
      <c r="D125" s="154"/>
      <c r="E125" s="154"/>
      <c r="F125" s="146">
        <f>unique_components_142[[#This Row],[Count]]*unique_components_142[[#This Row],[Proposed Emission Factor]]*(1-unique_components_142[[#This Row],[Proposed Control Efficiency]])</f>
        <v>0</v>
      </c>
      <c r="G125" s="155">
        <f>IFERROR(unique_components_142[[#This Row],[Controlled lb/hr]]*4.38,"")</f>
        <v>0</v>
      </c>
    </row>
    <row r="126" spans="1:8" x14ac:dyDescent="0.2">
      <c r="A126" s="105"/>
      <c r="B126" s="106"/>
      <c r="C126" s="156"/>
      <c r="D126" s="154"/>
      <c r="E126" s="157"/>
      <c r="F126" s="158">
        <f>unique_components_142[[#This Row],[Count]]*unique_components_142[[#This Row],[Proposed Emission Factor]]*(1-unique_components_142[[#This Row],[Proposed Control Efficiency]])</f>
        <v>0</v>
      </c>
      <c r="G126" s="159">
        <f>IFERROR(unique_components_142[[#This Row],[Controlled lb/hr]]*4.38,"")</f>
        <v>0</v>
      </c>
    </row>
    <row r="127" spans="1:8" ht="30" x14ac:dyDescent="0.2">
      <c r="A127" s="57" t="s">
        <v>13297</v>
      </c>
      <c r="B127" s="54"/>
      <c r="C127" s="160">
        <f>SUBTOTAL(109,unique_components_142[Count])</f>
        <v>0</v>
      </c>
      <c r="D127" s="161"/>
      <c r="E127" s="161"/>
      <c r="F127" s="162">
        <f>SUBTOTAL(109,unique_components_142[Controlled lb/hr])</f>
        <v>0</v>
      </c>
      <c r="G127" s="162">
        <f>SUBTOTAL(109,unique_components_142[Controlled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IFERROR(VLOOKUP(speciated_chemicals_143[[#This Row],[CAS '#]],species[],MATCH("Substance", species[#Headers], 0),FALSE),"No CAS Number Entered")</f>
        <v>No CAS Number Entered</v>
      </c>
      <c r="C131" s="102"/>
      <c r="D131" s="102" t="s">
        <v>12666</v>
      </c>
      <c r="E131" s="102" t="s">
        <v>12666</v>
      </c>
      <c r="F131" s="102" t="s">
        <v>12666</v>
      </c>
      <c r="G131" s="102" t="s">
        <v>12666</v>
      </c>
      <c r="H131" s="164"/>
      <c r="I131" s="51">
        <f>IF(speciated_chemicals_143[[#This Row],[Inert / Not a Contaminant?]]="Yes", 0, speciated_chemicals_143[[#This Row],[Weight Percent]]*(unique_components_142[[#Totals],[Controlled lb/hr]]+standard_components_141[[#Totals],[Controlled
lb/hr]]))</f>
        <v>0</v>
      </c>
      <c r="J131" s="51">
        <f>IF(speciated_chemicals_143[[#This Row],[Inert / Not a Contaminant?]]="Yes", 0, speciated_chemicals_143[[#This Row],[Weight Percent]]*(unique_components_142[[#Totals],[Controlled
tpy]]+standard_components_141[[#Totals],[Controlled
tpy]]))</f>
        <v>0</v>
      </c>
    </row>
    <row r="132" spans="1:10" x14ac:dyDescent="0.2">
      <c r="A132" s="103"/>
      <c r="B132" s="51" t="str">
        <f>IFERROR(VLOOKUP(speciated_chemicals_143[[#This Row],[CAS '#]],species[],MATCH("Substance", species[#Headers], 0),FALSE),"No CAS Number Entered")</f>
        <v>No CAS Number Entered</v>
      </c>
      <c r="C132" s="102"/>
      <c r="D132" s="102" t="s">
        <v>12666</v>
      </c>
      <c r="E132" s="102" t="s">
        <v>12666</v>
      </c>
      <c r="F132" s="102" t="s">
        <v>12666</v>
      </c>
      <c r="G132" s="102" t="s">
        <v>12666</v>
      </c>
      <c r="H132" s="164"/>
      <c r="I132" s="51">
        <f>IF(speciated_chemicals_143[[#This Row],[Inert / Not a Contaminant?]]="Yes", 0, speciated_chemicals_143[[#This Row],[Weight Percent]]*(unique_components_142[[#Totals],[Controlled lb/hr]]+standard_components_141[[#Totals],[Controlled
lb/hr]]))</f>
        <v>0</v>
      </c>
      <c r="J132" s="51">
        <f>IF(speciated_chemicals_143[[#This Row],[Inert / Not a Contaminant?]]="Yes", 0, speciated_chemicals_143[[#This Row],[Weight Percent]]*(unique_components_142[[#Totals],[Controlled
tpy]]+standard_components_141[[#Totals],[Controlled
tpy]]))</f>
        <v>0</v>
      </c>
    </row>
    <row r="133" spans="1:10" x14ac:dyDescent="0.2">
      <c r="A133" s="103"/>
      <c r="B133" s="51" t="str">
        <f>IFERROR(VLOOKUP(speciated_chemicals_143[[#This Row],[CAS '#]],species[],MATCH("Substance", species[#Headers], 0),FALSE),"No CAS Number Entered")</f>
        <v>No CAS Number Entered</v>
      </c>
      <c r="C133" s="102"/>
      <c r="D133" s="102" t="s">
        <v>12666</v>
      </c>
      <c r="E133" s="102" t="s">
        <v>12666</v>
      </c>
      <c r="F133" s="102" t="s">
        <v>12666</v>
      </c>
      <c r="G133" s="102" t="s">
        <v>12666</v>
      </c>
      <c r="H133" s="164"/>
      <c r="I133" s="51">
        <f>IF(speciated_chemicals_143[[#This Row],[Inert / Not a Contaminant?]]="Yes", 0, speciated_chemicals_143[[#This Row],[Weight Percent]]*(unique_components_142[[#Totals],[Controlled lb/hr]]+standard_components_141[[#Totals],[Controlled
lb/hr]]))</f>
        <v>0</v>
      </c>
      <c r="J133" s="51">
        <f>IF(speciated_chemicals_143[[#This Row],[Inert / Not a Contaminant?]]="Yes", 0, speciated_chemicals_143[[#This Row],[Weight Percent]]*(unique_components_142[[#Totals],[Controlled
tpy]]+standard_components_141[[#Totals],[Controlled
tpy]]))</f>
        <v>0</v>
      </c>
    </row>
    <row r="134" spans="1:10" x14ac:dyDescent="0.2">
      <c r="A134" s="103"/>
      <c r="B134" s="51" t="str">
        <f>IFERROR(VLOOKUP(speciated_chemicals_143[[#This Row],[CAS '#]],species[],MATCH("Substance", species[#Headers], 0),FALSE),"No CAS Number Entered")</f>
        <v>No CAS Number Entered</v>
      </c>
      <c r="C134" s="102"/>
      <c r="D134" s="102" t="s">
        <v>12666</v>
      </c>
      <c r="E134" s="102" t="s">
        <v>12666</v>
      </c>
      <c r="F134" s="102" t="s">
        <v>12666</v>
      </c>
      <c r="G134" s="102" t="s">
        <v>12666</v>
      </c>
      <c r="H134" s="164"/>
      <c r="I134" s="51">
        <f>IF(speciated_chemicals_143[[#This Row],[Inert / Not a Contaminant?]]="Yes", 0, speciated_chemicals_143[[#This Row],[Weight Percent]]*(unique_components_142[[#Totals],[Controlled lb/hr]]+standard_components_141[[#Totals],[Controlled
lb/hr]]))</f>
        <v>0</v>
      </c>
      <c r="J134" s="51">
        <f>IF(speciated_chemicals_143[[#This Row],[Inert / Not a Contaminant?]]="Yes", 0, speciated_chemicals_143[[#This Row],[Weight Percent]]*(unique_components_142[[#Totals],[Controlled
tpy]]+standard_components_141[[#Totals],[Controlled
tpy]]))</f>
        <v>0</v>
      </c>
    </row>
    <row r="135" spans="1:10" x14ac:dyDescent="0.2">
      <c r="A135" s="103"/>
      <c r="B135" s="51" t="str">
        <f>IFERROR(VLOOKUP(speciated_chemicals_143[[#This Row],[CAS '#]],species[],MATCH("Substance", species[#Headers], 0),FALSE),"No CAS Number Entered")</f>
        <v>No CAS Number Entered</v>
      </c>
      <c r="C135" s="102"/>
      <c r="D135" s="102" t="s">
        <v>12666</v>
      </c>
      <c r="E135" s="102" t="s">
        <v>12666</v>
      </c>
      <c r="F135" s="102" t="s">
        <v>12666</v>
      </c>
      <c r="G135" s="102" t="s">
        <v>12666</v>
      </c>
      <c r="H135" s="164"/>
      <c r="I135" s="51">
        <f>IF(speciated_chemicals_143[[#This Row],[Inert / Not a Contaminant?]]="Yes", 0, speciated_chemicals_143[[#This Row],[Weight Percent]]*(unique_components_142[[#Totals],[Controlled lb/hr]]+standard_components_141[[#Totals],[Controlled
lb/hr]]))</f>
        <v>0</v>
      </c>
      <c r="J135" s="51">
        <f>IF(speciated_chemicals_143[[#This Row],[Inert / Not a Contaminant?]]="Yes", 0, speciated_chemicals_143[[#This Row],[Weight Percent]]*(unique_components_142[[#Totals],[Controlled
tpy]]+standard_components_141[[#Totals],[Controlled
tpy]]))</f>
        <v>0</v>
      </c>
    </row>
    <row r="136" spans="1:10" x14ac:dyDescent="0.2">
      <c r="A136" s="103"/>
      <c r="B136" s="51" t="str">
        <f>IFERROR(VLOOKUP(speciated_chemicals_143[[#This Row],[CAS '#]],species[],MATCH("Substance", species[#Headers], 0),FALSE),"No CAS Number Entered")</f>
        <v>No CAS Number Entered</v>
      </c>
      <c r="C136" s="102"/>
      <c r="D136" s="102" t="s">
        <v>12666</v>
      </c>
      <c r="E136" s="102" t="s">
        <v>12666</v>
      </c>
      <c r="F136" s="102" t="s">
        <v>12666</v>
      </c>
      <c r="G136" s="102" t="s">
        <v>12666</v>
      </c>
      <c r="H136" s="164"/>
      <c r="I136" s="51">
        <f>IF(speciated_chemicals_143[[#This Row],[Inert / Not a Contaminant?]]="Yes", 0, speciated_chemicals_143[[#This Row],[Weight Percent]]*(unique_components_142[[#Totals],[Controlled lb/hr]]+standard_components_141[[#Totals],[Controlled
lb/hr]]))</f>
        <v>0</v>
      </c>
      <c r="J136" s="51">
        <f>IF(speciated_chemicals_143[[#This Row],[Inert / Not a Contaminant?]]="Yes", 0, speciated_chemicals_143[[#This Row],[Weight Percent]]*(unique_components_142[[#Totals],[Controlled
tpy]]+standard_components_141[[#Totals],[Controlled
tpy]]))</f>
        <v>0</v>
      </c>
    </row>
    <row r="137" spans="1:10" x14ac:dyDescent="0.2">
      <c r="A137" s="103"/>
      <c r="B137" s="51" t="str">
        <f>IFERROR(VLOOKUP(speciated_chemicals_143[[#This Row],[CAS '#]],species[],MATCH("Substance", species[#Headers], 0),FALSE),"No CAS Number Entered")</f>
        <v>No CAS Number Entered</v>
      </c>
      <c r="C137" s="102"/>
      <c r="D137" s="102" t="s">
        <v>12666</v>
      </c>
      <c r="E137" s="102" t="s">
        <v>12666</v>
      </c>
      <c r="F137" s="102" t="s">
        <v>12666</v>
      </c>
      <c r="G137" s="102" t="s">
        <v>12666</v>
      </c>
      <c r="H137" s="164"/>
      <c r="I137" s="51">
        <f>IF(speciated_chemicals_143[[#This Row],[Inert / Not a Contaminant?]]="Yes", 0, speciated_chemicals_143[[#This Row],[Weight Percent]]*(unique_components_142[[#Totals],[Controlled lb/hr]]+standard_components_141[[#Totals],[Controlled
lb/hr]]))</f>
        <v>0</v>
      </c>
      <c r="J137" s="51">
        <f>IF(speciated_chemicals_143[[#This Row],[Inert / Not a Contaminant?]]="Yes", 0, speciated_chemicals_143[[#This Row],[Weight Percent]]*(unique_components_142[[#Totals],[Controlled
tpy]]+standard_components_141[[#Totals],[Controlled
tpy]]))</f>
        <v>0</v>
      </c>
    </row>
    <row r="138" spans="1:10" x14ac:dyDescent="0.2">
      <c r="A138" s="103"/>
      <c r="B138" s="51" t="str">
        <f>IFERROR(VLOOKUP(speciated_chemicals_143[[#This Row],[CAS '#]],species[],MATCH("Substance", species[#Headers], 0),FALSE),"No CAS Number Entered")</f>
        <v>No CAS Number Entered</v>
      </c>
      <c r="C138" s="102"/>
      <c r="D138" s="102" t="s">
        <v>12666</v>
      </c>
      <c r="E138" s="102" t="s">
        <v>12666</v>
      </c>
      <c r="F138" s="102" t="s">
        <v>12666</v>
      </c>
      <c r="G138" s="102" t="s">
        <v>12666</v>
      </c>
      <c r="H138" s="164"/>
      <c r="I138" s="51">
        <f>IF(speciated_chemicals_143[[#This Row],[Inert / Not a Contaminant?]]="Yes", 0, speciated_chemicals_143[[#This Row],[Weight Percent]]*(unique_components_142[[#Totals],[Controlled lb/hr]]+standard_components_141[[#Totals],[Controlled
lb/hr]]))</f>
        <v>0</v>
      </c>
      <c r="J138" s="51">
        <f>IF(speciated_chemicals_143[[#This Row],[Inert / Not a Contaminant?]]="Yes", 0, speciated_chemicals_143[[#This Row],[Weight Percent]]*(unique_components_142[[#Totals],[Controlled
tpy]]+standard_components_141[[#Totals],[Controlled
tpy]]))</f>
        <v>0</v>
      </c>
    </row>
    <row r="139" spans="1:10" x14ac:dyDescent="0.2">
      <c r="A139" s="103"/>
      <c r="B139" s="51" t="str">
        <f>IFERROR(VLOOKUP(speciated_chemicals_143[[#This Row],[CAS '#]],species[],MATCH("Substance", species[#Headers], 0),FALSE),"No CAS Number Entered")</f>
        <v>No CAS Number Entered</v>
      </c>
      <c r="C139" s="102"/>
      <c r="D139" s="102" t="s">
        <v>12666</v>
      </c>
      <c r="E139" s="102" t="s">
        <v>12666</v>
      </c>
      <c r="F139" s="102" t="s">
        <v>12666</v>
      </c>
      <c r="G139" s="102" t="s">
        <v>12666</v>
      </c>
      <c r="H139" s="164"/>
      <c r="I139" s="51">
        <f>IF(speciated_chemicals_143[[#This Row],[Inert / Not a Contaminant?]]="Yes", 0, speciated_chemicals_143[[#This Row],[Weight Percent]]*(unique_components_142[[#Totals],[Controlled lb/hr]]+standard_components_141[[#Totals],[Controlled
lb/hr]]))</f>
        <v>0</v>
      </c>
      <c r="J139" s="51">
        <f>IF(speciated_chemicals_143[[#This Row],[Inert / Not a Contaminant?]]="Yes", 0, speciated_chemicals_143[[#This Row],[Weight Percent]]*(unique_components_142[[#Totals],[Controlled
tpy]]+standard_components_141[[#Totals],[Controlled
tpy]]))</f>
        <v>0</v>
      </c>
    </row>
    <row r="140" spans="1:10" x14ac:dyDescent="0.2">
      <c r="A140" s="103"/>
      <c r="B140" s="51" t="str">
        <f>IFERROR(VLOOKUP(speciated_chemicals_143[[#This Row],[CAS '#]],species[],MATCH("Substance", species[#Headers], 0),FALSE),"No CAS Number Entered")</f>
        <v>No CAS Number Entered</v>
      </c>
      <c r="C140" s="102"/>
      <c r="D140" s="102" t="s">
        <v>12666</v>
      </c>
      <c r="E140" s="102" t="s">
        <v>12666</v>
      </c>
      <c r="F140" s="102" t="s">
        <v>12666</v>
      </c>
      <c r="G140" s="102" t="s">
        <v>12666</v>
      </c>
      <c r="H140" s="164"/>
      <c r="I140" s="51">
        <f>IF(speciated_chemicals_143[[#This Row],[Inert / Not a Contaminant?]]="Yes", 0, speciated_chemicals_143[[#This Row],[Weight Percent]]*(unique_components_142[[#Totals],[Controlled lb/hr]]+standard_components_141[[#Totals],[Controlled
lb/hr]]))</f>
        <v>0</v>
      </c>
      <c r="J140" s="51">
        <f>IF(speciated_chemicals_143[[#This Row],[Inert / Not a Contaminant?]]="Yes", 0, speciated_chemicals_143[[#This Row],[Weight Percent]]*(unique_components_142[[#Totals],[Controlled
tpy]]+standard_components_141[[#Totals],[Controlled
tpy]]))</f>
        <v>0</v>
      </c>
    </row>
    <row r="141" spans="1:10" x14ac:dyDescent="0.2">
      <c r="A141" s="103"/>
      <c r="B141" s="51" t="str">
        <f>IFERROR(VLOOKUP(speciated_chemicals_143[[#This Row],[CAS '#]],species[],MATCH("Substance", species[#Headers], 0),FALSE),"No CAS Number Entered")</f>
        <v>No CAS Number Entered</v>
      </c>
      <c r="C141" s="102"/>
      <c r="D141" s="102" t="s">
        <v>12666</v>
      </c>
      <c r="E141" s="102" t="s">
        <v>12666</v>
      </c>
      <c r="F141" s="102" t="s">
        <v>12666</v>
      </c>
      <c r="G141" s="102" t="s">
        <v>12666</v>
      </c>
      <c r="H141" s="164"/>
      <c r="I141" s="51">
        <f>IF(speciated_chemicals_143[[#This Row],[Inert / Not a Contaminant?]]="Yes", 0, speciated_chemicals_143[[#This Row],[Weight Percent]]*(unique_components_142[[#Totals],[Controlled lb/hr]]+standard_components_141[[#Totals],[Controlled
lb/hr]]))</f>
        <v>0</v>
      </c>
      <c r="J141" s="51">
        <f>IF(speciated_chemicals_143[[#This Row],[Inert / Not a Contaminant?]]="Yes", 0, speciated_chemicals_143[[#This Row],[Weight Percent]]*(unique_components_142[[#Totals],[Controlled
tpy]]+standard_components_141[[#Totals],[Controlled
tpy]]))</f>
        <v>0</v>
      </c>
    </row>
    <row r="142" spans="1:10" x14ac:dyDescent="0.2">
      <c r="A142" s="103"/>
      <c r="B142" s="51" t="str">
        <f>IFERROR(VLOOKUP(speciated_chemicals_143[[#This Row],[CAS '#]],species[],MATCH("Substance", species[#Headers], 0),FALSE),"No CAS Number Entered")</f>
        <v>No CAS Number Entered</v>
      </c>
      <c r="C142" s="102"/>
      <c r="D142" s="102" t="s">
        <v>12666</v>
      </c>
      <c r="E142" s="102" t="s">
        <v>12666</v>
      </c>
      <c r="F142" s="102" t="s">
        <v>12666</v>
      </c>
      <c r="G142" s="102" t="s">
        <v>12666</v>
      </c>
      <c r="H142" s="164"/>
      <c r="I142" s="51">
        <f>IF(speciated_chemicals_143[[#This Row],[Inert / Not a Contaminant?]]="Yes", 0, speciated_chemicals_143[[#This Row],[Weight Percent]]*(unique_components_142[[#Totals],[Controlled lb/hr]]+standard_components_141[[#Totals],[Controlled
lb/hr]]))</f>
        <v>0</v>
      </c>
      <c r="J142" s="51">
        <f>IF(speciated_chemicals_143[[#This Row],[Inert / Not a Contaminant?]]="Yes", 0, speciated_chemicals_143[[#This Row],[Weight Percent]]*(unique_components_142[[#Totals],[Controlled
tpy]]+standard_components_141[[#Totals],[Controlled
tpy]]))</f>
        <v>0</v>
      </c>
    </row>
    <row r="143" spans="1:10" x14ac:dyDescent="0.2">
      <c r="A143" s="103"/>
      <c r="B143" s="51" t="str">
        <f>IFERROR(VLOOKUP(speciated_chemicals_143[[#This Row],[CAS '#]],species[],MATCH("Substance", species[#Headers], 0),FALSE),"No CAS Number Entered")</f>
        <v>No CAS Number Entered</v>
      </c>
      <c r="C143" s="102"/>
      <c r="D143" s="102" t="s">
        <v>12666</v>
      </c>
      <c r="E143" s="102" t="s">
        <v>12666</v>
      </c>
      <c r="F143" s="102" t="s">
        <v>12666</v>
      </c>
      <c r="G143" s="102" t="s">
        <v>12666</v>
      </c>
      <c r="H143" s="164"/>
      <c r="I143" s="51">
        <f>IF(speciated_chemicals_143[[#This Row],[Inert / Not a Contaminant?]]="Yes", 0, speciated_chemicals_143[[#This Row],[Weight Percent]]*(unique_components_142[[#Totals],[Controlled lb/hr]]+standard_components_141[[#Totals],[Controlled
lb/hr]]))</f>
        <v>0</v>
      </c>
      <c r="J143" s="51">
        <f>IF(speciated_chemicals_143[[#This Row],[Inert / Not a Contaminant?]]="Yes", 0, speciated_chemicals_143[[#This Row],[Weight Percent]]*(unique_components_142[[#Totals],[Controlled
tpy]]+standard_components_141[[#Totals],[Controlled
tpy]]))</f>
        <v>0</v>
      </c>
    </row>
    <row r="144" spans="1:10" x14ac:dyDescent="0.2">
      <c r="A144" s="103"/>
      <c r="B144" s="51" t="str">
        <f>IFERROR(VLOOKUP(speciated_chemicals_143[[#This Row],[CAS '#]],species[],MATCH("Substance", species[#Headers], 0),FALSE),"No CAS Number Entered")</f>
        <v>No CAS Number Entered</v>
      </c>
      <c r="C144" s="102"/>
      <c r="D144" s="102" t="s">
        <v>12666</v>
      </c>
      <c r="E144" s="102" t="s">
        <v>12666</v>
      </c>
      <c r="F144" s="102" t="s">
        <v>12666</v>
      </c>
      <c r="G144" s="102" t="s">
        <v>12666</v>
      </c>
      <c r="H144" s="164"/>
      <c r="I144" s="51">
        <f>IF(speciated_chemicals_143[[#This Row],[Inert / Not a Contaminant?]]="Yes", 0, speciated_chemicals_143[[#This Row],[Weight Percent]]*(unique_components_142[[#Totals],[Controlled lb/hr]]+standard_components_141[[#Totals],[Controlled
lb/hr]]))</f>
        <v>0</v>
      </c>
      <c r="J144" s="51">
        <f>IF(speciated_chemicals_143[[#This Row],[Inert / Not a Contaminant?]]="Yes", 0, speciated_chemicals_143[[#This Row],[Weight Percent]]*(unique_components_142[[#Totals],[Controlled
tpy]]+standard_components_141[[#Totals],[Controlled
tpy]]))</f>
        <v>0</v>
      </c>
    </row>
    <row r="145" spans="1:10" x14ac:dyDescent="0.2">
      <c r="A145" s="103"/>
      <c r="B145" s="51" t="str">
        <f>IFERROR(VLOOKUP(speciated_chemicals_143[[#This Row],[CAS '#]],species[],MATCH("Substance", species[#Headers], 0),FALSE),"No CAS Number Entered")</f>
        <v>No CAS Number Entered</v>
      </c>
      <c r="C145" s="102"/>
      <c r="D145" s="102" t="s">
        <v>12666</v>
      </c>
      <c r="E145" s="102" t="s">
        <v>12666</v>
      </c>
      <c r="F145" s="102" t="s">
        <v>12666</v>
      </c>
      <c r="G145" s="102" t="s">
        <v>12666</v>
      </c>
      <c r="H145" s="164"/>
      <c r="I145" s="51">
        <f>IF(speciated_chemicals_143[[#This Row],[Inert / Not a Contaminant?]]="Yes", 0, speciated_chemicals_143[[#This Row],[Weight Percent]]*(unique_components_142[[#Totals],[Controlled lb/hr]]+standard_components_141[[#Totals],[Controlled
lb/hr]]))</f>
        <v>0</v>
      </c>
      <c r="J145" s="51">
        <f>IF(speciated_chemicals_143[[#This Row],[Inert / Not a Contaminant?]]="Yes", 0, speciated_chemicals_143[[#This Row],[Weight Percent]]*(unique_components_142[[#Totals],[Controlled
tpy]]+standard_components_141[[#Totals],[Controlled
tpy]]))</f>
        <v>0</v>
      </c>
    </row>
    <row r="146" spans="1:10" x14ac:dyDescent="0.2">
      <c r="A146" s="103"/>
      <c r="B146" s="51" t="str">
        <f>IFERROR(VLOOKUP(speciated_chemicals_143[[#This Row],[CAS '#]],species[],MATCH("Substance", species[#Headers], 0),FALSE),"No CAS Number Entered")</f>
        <v>No CAS Number Entered</v>
      </c>
      <c r="C146" s="102"/>
      <c r="D146" s="102" t="s">
        <v>12666</v>
      </c>
      <c r="E146" s="102" t="s">
        <v>12666</v>
      </c>
      <c r="F146" s="102" t="s">
        <v>12666</v>
      </c>
      <c r="G146" s="102" t="s">
        <v>12666</v>
      </c>
      <c r="H146" s="164"/>
      <c r="I146" s="51">
        <f>IF(speciated_chemicals_143[[#This Row],[Inert / Not a Contaminant?]]="Yes", 0, speciated_chemicals_143[[#This Row],[Weight Percent]]*(unique_components_142[[#Totals],[Controlled lb/hr]]+standard_components_141[[#Totals],[Controlled
lb/hr]]))</f>
        <v>0</v>
      </c>
      <c r="J146" s="51">
        <f>IF(speciated_chemicals_143[[#This Row],[Inert / Not a Contaminant?]]="Yes", 0, speciated_chemicals_143[[#This Row],[Weight Percent]]*(unique_components_142[[#Totals],[Controlled
tpy]]+standard_components_141[[#Totals],[Controlled
tpy]]))</f>
        <v>0</v>
      </c>
    </row>
    <row r="147" spans="1:10" x14ac:dyDescent="0.2">
      <c r="A147" s="103"/>
      <c r="B147" s="51" t="str">
        <f>IFERROR(VLOOKUP(speciated_chemicals_143[[#This Row],[CAS '#]],species[],MATCH("Substance", species[#Headers], 0),FALSE),"No CAS Number Entered")</f>
        <v>No CAS Number Entered</v>
      </c>
      <c r="C147" s="102"/>
      <c r="D147" s="102" t="s">
        <v>12666</v>
      </c>
      <c r="E147" s="102" t="s">
        <v>12666</v>
      </c>
      <c r="F147" s="102" t="s">
        <v>12666</v>
      </c>
      <c r="G147" s="102" t="s">
        <v>12666</v>
      </c>
      <c r="H147" s="164"/>
      <c r="I147" s="51">
        <f>IF(speciated_chemicals_143[[#This Row],[Inert / Not a Contaminant?]]="Yes", 0, speciated_chemicals_143[[#This Row],[Weight Percent]]*(unique_components_142[[#Totals],[Controlled lb/hr]]+standard_components_141[[#Totals],[Controlled
lb/hr]]))</f>
        <v>0</v>
      </c>
      <c r="J147" s="51">
        <f>IF(speciated_chemicals_143[[#This Row],[Inert / Not a Contaminant?]]="Yes", 0, speciated_chemicals_143[[#This Row],[Weight Percent]]*(unique_components_142[[#Totals],[Controlled
tpy]]+standard_components_141[[#Totals],[Controlled
tpy]]))</f>
        <v>0</v>
      </c>
    </row>
    <row r="148" spans="1:10" x14ac:dyDescent="0.2">
      <c r="A148" s="103"/>
      <c r="B148" s="51" t="str">
        <f>IFERROR(VLOOKUP(speciated_chemicals_143[[#This Row],[CAS '#]],species[],MATCH("Substance", species[#Headers], 0),FALSE),"No CAS Number Entered")</f>
        <v>No CAS Number Entered</v>
      </c>
      <c r="C148" s="102"/>
      <c r="D148" s="102" t="s">
        <v>12666</v>
      </c>
      <c r="E148" s="102" t="s">
        <v>12666</v>
      </c>
      <c r="F148" s="102" t="s">
        <v>12666</v>
      </c>
      <c r="G148" s="102" t="s">
        <v>12666</v>
      </c>
      <c r="H148" s="164"/>
      <c r="I148" s="51">
        <f>IF(speciated_chemicals_143[[#This Row],[Inert / Not a Contaminant?]]="Yes", 0, speciated_chemicals_143[[#This Row],[Weight Percent]]*(unique_components_142[[#Totals],[Controlled lb/hr]]+standard_components_141[[#Totals],[Controlled
lb/hr]]))</f>
        <v>0</v>
      </c>
      <c r="J148" s="51">
        <f>IF(speciated_chemicals_143[[#This Row],[Inert / Not a Contaminant?]]="Yes", 0, speciated_chemicals_143[[#This Row],[Weight Percent]]*(unique_components_142[[#Totals],[Controlled
tpy]]+standard_components_141[[#Totals],[Controlled
tpy]]))</f>
        <v>0</v>
      </c>
    </row>
    <row r="149" spans="1:10" x14ac:dyDescent="0.2">
      <c r="A149" s="103"/>
      <c r="B149" s="51" t="str">
        <f>IFERROR(VLOOKUP(speciated_chemicals_143[[#This Row],[CAS '#]],species[],MATCH("Substance", species[#Headers], 0),FALSE),"No CAS Number Entered")</f>
        <v>No CAS Number Entered</v>
      </c>
      <c r="C149" s="102"/>
      <c r="D149" s="102" t="s">
        <v>12666</v>
      </c>
      <c r="E149" s="102" t="s">
        <v>12666</v>
      </c>
      <c r="F149" s="102" t="s">
        <v>12666</v>
      </c>
      <c r="G149" s="102" t="s">
        <v>12666</v>
      </c>
      <c r="H149" s="164"/>
      <c r="I149" s="51">
        <f>IF(speciated_chemicals_143[[#This Row],[Inert / Not a Contaminant?]]="Yes", 0, speciated_chemicals_143[[#This Row],[Weight Percent]]*(unique_components_142[[#Totals],[Controlled lb/hr]]+standard_components_141[[#Totals],[Controlled
lb/hr]]))</f>
        <v>0</v>
      </c>
      <c r="J149" s="51">
        <f>IF(speciated_chemicals_143[[#This Row],[Inert / Not a Contaminant?]]="Yes", 0, speciated_chemicals_143[[#This Row],[Weight Percent]]*(unique_components_142[[#Totals],[Controlled
tpy]]+standard_components_141[[#Totals],[Controlled
tpy]]))</f>
        <v>0</v>
      </c>
    </row>
    <row r="150" spans="1:10" x14ac:dyDescent="0.2">
      <c r="A150" s="103"/>
      <c r="B150" s="51" t="str">
        <f>IFERROR(VLOOKUP(speciated_chemicals_143[[#This Row],[CAS '#]],species[],MATCH("Substance", species[#Headers], 0),FALSE),"No CAS Number Entered")</f>
        <v>No CAS Number Entered</v>
      </c>
      <c r="C150" s="102"/>
      <c r="D150" s="102" t="s">
        <v>12666</v>
      </c>
      <c r="E150" s="102" t="s">
        <v>12666</v>
      </c>
      <c r="F150" s="102" t="s">
        <v>12666</v>
      </c>
      <c r="G150" s="102" t="s">
        <v>12666</v>
      </c>
      <c r="H150" s="164"/>
      <c r="I150" s="51">
        <f>IF(speciated_chemicals_143[[#This Row],[Inert / Not a Contaminant?]]="Yes", 0, speciated_chemicals_143[[#This Row],[Weight Percent]]*(unique_components_142[[#Totals],[Controlled lb/hr]]+standard_components_141[[#Totals],[Controlled
lb/hr]]))</f>
        <v>0</v>
      </c>
      <c r="J150" s="51">
        <f>IF(speciated_chemicals_143[[#This Row],[Inert / Not a Contaminant?]]="Yes", 0, speciated_chemicals_143[[#This Row],[Weight Percent]]*(unique_components_142[[#Totals],[Controlled
tpy]]+standard_components_141[[#Totals],[Controlled
tpy]]))</f>
        <v>0</v>
      </c>
    </row>
    <row r="151" spans="1:10" x14ac:dyDescent="0.2">
      <c r="A151" s="103"/>
      <c r="B151" s="51" t="str">
        <f>IFERROR(VLOOKUP(speciated_chemicals_143[[#This Row],[CAS '#]],species[],MATCH("Substance", species[#Headers], 0),FALSE),"No CAS Number Entered")</f>
        <v>No CAS Number Entered</v>
      </c>
      <c r="C151" s="102"/>
      <c r="D151" s="102" t="s">
        <v>12666</v>
      </c>
      <c r="E151" s="102" t="s">
        <v>12666</v>
      </c>
      <c r="F151" s="102" t="s">
        <v>12666</v>
      </c>
      <c r="G151" s="102" t="s">
        <v>12666</v>
      </c>
      <c r="H151" s="164"/>
      <c r="I151" s="51">
        <f>IF(speciated_chemicals_143[[#This Row],[Inert / Not a Contaminant?]]="Yes", 0, speciated_chemicals_143[[#This Row],[Weight Percent]]*(unique_components_142[[#Totals],[Controlled lb/hr]]+standard_components_141[[#Totals],[Controlled
lb/hr]]))</f>
        <v>0</v>
      </c>
      <c r="J151" s="51">
        <f>IF(speciated_chemicals_143[[#This Row],[Inert / Not a Contaminant?]]="Yes", 0, speciated_chemicals_143[[#This Row],[Weight Percent]]*(unique_components_142[[#Totals],[Controlled
tpy]]+standard_components_141[[#Totals],[Controlled
tpy]]))</f>
        <v>0</v>
      </c>
    </row>
    <row r="152" spans="1:10" x14ac:dyDescent="0.2">
      <c r="A152" s="103"/>
      <c r="B152" s="51" t="str">
        <f>IFERROR(VLOOKUP(speciated_chemicals_143[[#This Row],[CAS '#]],species[],MATCH("Substance", species[#Headers], 0),FALSE),"No CAS Number Entered")</f>
        <v>No CAS Number Entered</v>
      </c>
      <c r="C152" s="102"/>
      <c r="D152" s="102" t="s">
        <v>12666</v>
      </c>
      <c r="E152" s="102" t="s">
        <v>12666</v>
      </c>
      <c r="F152" s="102" t="s">
        <v>12666</v>
      </c>
      <c r="G152" s="102" t="s">
        <v>12666</v>
      </c>
      <c r="H152" s="164"/>
      <c r="I152" s="51">
        <f>IF(speciated_chemicals_143[[#This Row],[Inert / Not a Contaminant?]]="Yes", 0, speciated_chemicals_143[[#This Row],[Weight Percent]]*(unique_components_142[[#Totals],[Controlled lb/hr]]+standard_components_141[[#Totals],[Controlled
lb/hr]]))</f>
        <v>0</v>
      </c>
      <c r="J152" s="51">
        <f>IF(speciated_chemicals_143[[#This Row],[Inert / Not a Contaminant?]]="Yes", 0, speciated_chemicals_143[[#This Row],[Weight Percent]]*(unique_components_142[[#Totals],[Controlled
tpy]]+standard_components_141[[#Totals],[Controlled
tpy]]))</f>
        <v>0</v>
      </c>
    </row>
    <row r="153" spans="1:10" x14ac:dyDescent="0.2">
      <c r="A153" s="103"/>
      <c r="B153" s="51" t="str">
        <f>IFERROR(VLOOKUP(speciated_chemicals_143[[#This Row],[CAS '#]],species[],MATCH("Substance", species[#Headers], 0),FALSE),"No CAS Number Entered")</f>
        <v>No CAS Number Entered</v>
      </c>
      <c r="C153" s="102"/>
      <c r="D153" s="102" t="s">
        <v>12666</v>
      </c>
      <c r="E153" s="102" t="s">
        <v>12666</v>
      </c>
      <c r="F153" s="102" t="s">
        <v>12666</v>
      </c>
      <c r="G153" s="102" t="s">
        <v>12666</v>
      </c>
      <c r="H153" s="164"/>
      <c r="I153" s="51">
        <f>IF(speciated_chemicals_143[[#This Row],[Inert / Not a Contaminant?]]="Yes", 0, speciated_chemicals_143[[#This Row],[Weight Percent]]*(unique_components_142[[#Totals],[Controlled lb/hr]]+standard_components_141[[#Totals],[Controlled
lb/hr]]))</f>
        <v>0</v>
      </c>
      <c r="J153" s="51">
        <f>IF(speciated_chemicals_143[[#This Row],[Inert / Not a Contaminant?]]="Yes", 0, speciated_chemicals_143[[#This Row],[Weight Percent]]*(unique_components_142[[#Totals],[Controlled
tpy]]+standard_components_141[[#Totals],[Controlled
tpy]]))</f>
        <v>0</v>
      </c>
    </row>
    <row r="154" spans="1:10" x14ac:dyDescent="0.2">
      <c r="A154" s="103"/>
      <c r="B154" s="51" t="str">
        <f>IFERROR(VLOOKUP(speciated_chemicals_143[[#This Row],[CAS '#]],species[],MATCH("Substance", species[#Headers], 0),FALSE),"No CAS Number Entered")</f>
        <v>No CAS Number Entered</v>
      </c>
      <c r="C154" s="102"/>
      <c r="D154" s="102" t="s">
        <v>12666</v>
      </c>
      <c r="E154" s="102" t="s">
        <v>12666</v>
      </c>
      <c r="F154" s="102" t="s">
        <v>12666</v>
      </c>
      <c r="G154" s="102" t="s">
        <v>12666</v>
      </c>
      <c r="H154" s="164"/>
      <c r="I154" s="51">
        <f>IF(speciated_chemicals_143[[#This Row],[Inert / Not a Contaminant?]]="Yes", 0, speciated_chemicals_143[[#This Row],[Weight Percent]]*(unique_components_142[[#Totals],[Controlled lb/hr]]+standard_components_141[[#Totals],[Controlled
lb/hr]]))</f>
        <v>0</v>
      </c>
      <c r="J154" s="51">
        <f>IF(speciated_chemicals_143[[#This Row],[Inert / Not a Contaminant?]]="Yes", 0, speciated_chemicals_143[[#This Row],[Weight Percent]]*(unique_components_142[[#Totals],[Controlled
tpy]]+standard_components_141[[#Totals],[Controlled
tpy]]))</f>
        <v>0</v>
      </c>
    </row>
    <row r="155" spans="1:10" x14ac:dyDescent="0.2">
      <c r="A155" s="103"/>
      <c r="B155" s="51" t="str">
        <f>IFERROR(VLOOKUP(speciated_chemicals_143[[#This Row],[CAS '#]],species[],MATCH("Substance", species[#Headers], 0),FALSE),"No CAS Number Entered")</f>
        <v>No CAS Number Entered</v>
      </c>
      <c r="C155" s="102"/>
      <c r="D155" s="102" t="s">
        <v>12666</v>
      </c>
      <c r="E155" s="102" t="s">
        <v>12666</v>
      </c>
      <c r="F155" s="102" t="s">
        <v>12666</v>
      </c>
      <c r="G155" s="102" t="s">
        <v>12666</v>
      </c>
      <c r="H155" s="164"/>
      <c r="I155" s="51">
        <f>IF(speciated_chemicals_143[[#This Row],[Inert / Not a Contaminant?]]="Yes", 0, speciated_chemicals_143[[#This Row],[Weight Percent]]*(unique_components_142[[#Totals],[Controlled lb/hr]]+standard_components_141[[#Totals],[Controlled
lb/hr]]))</f>
        <v>0</v>
      </c>
      <c r="J155" s="51">
        <f>IF(speciated_chemicals_143[[#This Row],[Inert / Not a Contaminant?]]="Yes", 0, speciated_chemicals_143[[#This Row],[Weight Percent]]*(unique_components_142[[#Totals],[Controlled
tpy]]+standard_components_141[[#Totals],[Controlled
tpy]]))</f>
        <v>0</v>
      </c>
    </row>
    <row r="156" spans="1:10" x14ac:dyDescent="0.2">
      <c r="A156" s="103"/>
      <c r="B156" s="51" t="str">
        <f>IFERROR(VLOOKUP(speciated_chemicals_143[[#This Row],[CAS '#]],species[],MATCH("Substance", species[#Headers], 0),FALSE),"No CAS Number Entered")</f>
        <v>No CAS Number Entered</v>
      </c>
      <c r="C156" s="102"/>
      <c r="D156" s="102" t="s">
        <v>12666</v>
      </c>
      <c r="E156" s="102" t="s">
        <v>12666</v>
      </c>
      <c r="F156" s="102" t="s">
        <v>12666</v>
      </c>
      <c r="G156" s="102" t="s">
        <v>12666</v>
      </c>
      <c r="H156" s="164"/>
      <c r="I156" s="51">
        <f>IF(speciated_chemicals_143[[#This Row],[Inert / Not a Contaminant?]]="Yes", 0, speciated_chemicals_143[[#This Row],[Weight Percent]]*(unique_components_142[[#Totals],[Controlled lb/hr]]+standard_components_141[[#Totals],[Controlled
lb/hr]]))</f>
        <v>0</v>
      </c>
      <c r="J156" s="51">
        <f>IF(speciated_chemicals_143[[#This Row],[Inert / Not a Contaminant?]]="Yes", 0, speciated_chemicals_143[[#This Row],[Weight Percent]]*(unique_components_142[[#Totals],[Controlled
tpy]]+standard_components_141[[#Totals],[Controlled
tpy]]))</f>
        <v>0</v>
      </c>
    </row>
    <row r="157" spans="1:10" x14ac:dyDescent="0.2">
      <c r="A157" s="103"/>
      <c r="B157" s="51" t="str">
        <f>IFERROR(VLOOKUP(speciated_chemicals_143[[#This Row],[CAS '#]],species[],MATCH("Substance", species[#Headers], 0),FALSE),"No CAS Number Entered")</f>
        <v>No CAS Number Entered</v>
      </c>
      <c r="C157" s="102"/>
      <c r="D157" s="102" t="s">
        <v>12666</v>
      </c>
      <c r="E157" s="102" t="s">
        <v>12666</v>
      </c>
      <c r="F157" s="102" t="s">
        <v>12666</v>
      </c>
      <c r="G157" s="102" t="s">
        <v>12666</v>
      </c>
      <c r="H157" s="164"/>
      <c r="I157" s="51">
        <f>IF(speciated_chemicals_143[[#This Row],[Inert / Not a Contaminant?]]="Yes", 0, speciated_chemicals_143[[#This Row],[Weight Percent]]*(unique_components_142[[#Totals],[Controlled lb/hr]]+standard_components_141[[#Totals],[Controlled
lb/hr]]))</f>
        <v>0</v>
      </c>
      <c r="J157" s="51">
        <f>IF(speciated_chemicals_143[[#This Row],[Inert / Not a Contaminant?]]="Yes", 0, speciated_chemicals_143[[#This Row],[Weight Percent]]*(unique_components_142[[#Totals],[Controlled
tpy]]+standard_components_141[[#Totals],[Controlled
tpy]]))</f>
        <v>0</v>
      </c>
    </row>
    <row r="158" spans="1:10" x14ac:dyDescent="0.2">
      <c r="A158" s="103"/>
      <c r="B158" s="51" t="str">
        <f>IFERROR(VLOOKUP(speciated_chemicals_143[[#This Row],[CAS '#]],species[],MATCH("Substance", species[#Headers], 0),FALSE),"No CAS Number Entered")</f>
        <v>No CAS Number Entered</v>
      </c>
      <c r="C158" s="102"/>
      <c r="D158" s="102" t="s">
        <v>12666</v>
      </c>
      <c r="E158" s="102" t="s">
        <v>12666</v>
      </c>
      <c r="F158" s="102" t="s">
        <v>12666</v>
      </c>
      <c r="G158" s="102" t="s">
        <v>12666</v>
      </c>
      <c r="H158" s="164"/>
      <c r="I158" s="51">
        <f>IF(speciated_chemicals_143[[#This Row],[Inert / Not a Contaminant?]]="Yes", 0, speciated_chemicals_143[[#This Row],[Weight Percent]]*(unique_components_142[[#Totals],[Controlled lb/hr]]+standard_components_141[[#Totals],[Controlled
lb/hr]]))</f>
        <v>0</v>
      </c>
      <c r="J158" s="51">
        <f>IF(speciated_chemicals_143[[#This Row],[Inert / Not a Contaminant?]]="Yes", 0, speciated_chemicals_143[[#This Row],[Weight Percent]]*(unique_components_142[[#Totals],[Controlled
tpy]]+standard_components_141[[#Totals],[Controlled
tpy]]))</f>
        <v>0</v>
      </c>
    </row>
    <row r="159" spans="1:10" x14ac:dyDescent="0.2">
      <c r="A159" s="103"/>
      <c r="B159" s="51" t="str">
        <f>IFERROR(VLOOKUP(speciated_chemicals_143[[#This Row],[CAS '#]],species[],MATCH("Substance", species[#Headers], 0),FALSE),"No CAS Number Entered")</f>
        <v>No CAS Number Entered</v>
      </c>
      <c r="C159" s="102"/>
      <c r="D159" s="102" t="s">
        <v>12666</v>
      </c>
      <c r="E159" s="102" t="s">
        <v>12666</v>
      </c>
      <c r="F159" s="102" t="s">
        <v>12666</v>
      </c>
      <c r="G159" s="102" t="s">
        <v>12666</v>
      </c>
      <c r="H159" s="164"/>
      <c r="I159" s="51">
        <f>IF(speciated_chemicals_143[[#This Row],[Inert / Not a Contaminant?]]="Yes", 0, speciated_chemicals_143[[#This Row],[Weight Percent]]*(unique_components_142[[#Totals],[Controlled lb/hr]]+standard_components_141[[#Totals],[Controlled
lb/hr]]))</f>
        <v>0</v>
      </c>
      <c r="J159" s="51">
        <f>IF(speciated_chemicals_143[[#This Row],[Inert / Not a Contaminant?]]="Yes", 0, speciated_chemicals_143[[#This Row],[Weight Percent]]*(unique_components_142[[#Totals],[Controlled
tpy]]+standard_components_141[[#Totals],[Controlled
tpy]]))</f>
        <v>0</v>
      </c>
    </row>
    <row r="160" spans="1:10" x14ac:dyDescent="0.2">
      <c r="A160" s="103"/>
      <c r="B160" s="51" t="str">
        <f>IFERROR(VLOOKUP(speciated_chemicals_143[[#This Row],[CAS '#]],species[],MATCH("Substance", species[#Headers], 0),FALSE),"No CAS Number Entered")</f>
        <v>No CAS Number Entered</v>
      </c>
      <c r="C160" s="102"/>
      <c r="D160" s="102" t="s">
        <v>12666</v>
      </c>
      <c r="E160" s="102" t="s">
        <v>12666</v>
      </c>
      <c r="F160" s="102" t="s">
        <v>12666</v>
      </c>
      <c r="G160" s="102" t="s">
        <v>12666</v>
      </c>
      <c r="H160" s="164"/>
      <c r="I160" s="51">
        <f>IF(speciated_chemicals_143[[#This Row],[Inert / Not a Contaminant?]]="Yes", 0, speciated_chemicals_143[[#This Row],[Weight Percent]]*(unique_components_142[[#Totals],[Controlled lb/hr]]+standard_components_141[[#Totals],[Controlled
lb/hr]]))</f>
        <v>0</v>
      </c>
      <c r="J160" s="51">
        <f>IF(speciated_chemicals_143[[#This Row],[Inert / Not a Contaminant?]]="Yes", 0, speciated_chemicals_143[[#This Row],[Weight Percent]]*(unique_components_142[[#Totals],[Controlled
tpy]]+standard_components_141[[#Totals],[Controlled
tpy]]))</f>
        <v>0</v>
      </c>
    </row>
    <row r="161" spans="1:10" x14ac:dyDescent="0.2">
      <c r="A161" s="103"/>
      <c r="B161" s="51" t="str">
        <f>IFERROR(VLOOKUP(speciated_chemicals_143[[#This Row],[CAS '#]],species[],MATCH("Substance", species[#Headers], 0),FALSE),"No CAS Number Entered")</f>
        <v>No CAS Number Entered</v>
      </c>
      <c r="C161" s="102"/>
      <c r="D161" s="102" t="s">
        <v>12666</v>
      </c>
      <c r="E161" s="102" t="s">
        <v>12666</v>
      </c>
      <c r="F161" s="102" t="s">
        <v>12666</v>
      </c>
      <c r="G161" s="102" t="s">
        <v>12666</v>
      </c>
      <c r="H161" s="164"/>
      <c r="I161" s="51">
        <f>IF(speciated_chemicals_143[[#This Row],[Inert / Not a Contaminant?]]="Yes", 0, speciated_chemicals_143[[#This Row],[Weight Percent]]*(unique_components_142[[#Totals],[Controlled lb/hr]]+standard_components_141[[#Totals],[Controlled
lb/hr]]))</f>
        <v>0</v>
      </c>
      <c r="J161" s="51">
        <f>IF(speciated_chemicals_143[[#This Row],[Inert / Not a Contaminant?]]="Yes", 0, speciated_chemicals_143[[#This Row],[Weight Percent]]*(unique_components_142[[#Totals],[Controlled
tpy]]+standard_components_141[[#Totals],[Controlled
tpy]]))</f>
        <v>0</v>
      </c>
    </row>
    <row r="162" spans="1:10" x14ac:dyDescent="0.2">
      <c r="A162" s="103"/>
      <c r="B162" s="51" t="str">
        <f>IFERROR(VLOOKUP(speciated_chemicals_143[[#This Row],[CAS '#]],species[],MATCH("Substance", species[#Headers], 0),FALSE),"No CAS Number Entered")</f>
        <v>No CAS Number Entered</v>
      </c>
      <c r="C162" s="102"/>
      <c r="D162" s="102" t="s">
        <v>12666</v>
      </c>
      <c r="E162" s="102" t="s">
        <v>12666</v>
      </c>
      <c r="F162" s="102" t="s">
        <v>12666</v>
      </c>
      <c r="G162" s="102" t="s">
        <v>12666</v>
      </c>
      <c r="H162" s="164"/>
      <c r="I162" s="51">
        <f>IF(speciated_chemicals_143[[#This Row],[Inert / Not a Contaminant?]]="Yes", 0, speciated_chemicals_143[[#This Row],[Weight Percent]]*(unique_components_142[[#Totals],[Controlled lb/hr]]+standard_components_141[[#Totals],[Controlled
lb/hr]]))</f>
        <v>0</v>
      </c>
      <c r="J162" s="51">
        <f>IF(speciated_chemicals_143[[#This Row],[Inert / Not a Contaminant?]]="Yes", 0, speciated_chemicals_143[[#This Row],[Weight Percent]]*(unique_components_142[[#Totals],[Controlled
tpy]]+standard_components_141[[#Totals],[Controlled
tpy]]))</f>
        <v>0</v>
      </c>
    </row>
    <row r="163" spans="1:10" x14ac:dyDescent="0.2">
      <c r="A163" s="103"/>
      <c r="B163" s="51" t="str">
        <f>IFERROR(VLOOKUP(speciated_chemicals_143[[#This Row],[CAS '#]],species[],MATCH("Substance", species[#Headers], 0),FALSE),"No CAS Number Entered")</f>
        <v>No CAS Number Entered</v>
      </c>
      <c r="C163" s="102"/>
      <c r="D163" s="102" t="s">
        <v>12666</v>
      </c>
      <c r="E163" s="102" t="s">
        <v>12666</v>
      </c>
      <c r="F163" s="102" t="s">
        <v>12666</v>
      </c>
      <c r="G163" s="102" t="s">
        <v>12666</v>
      </c>
      <c r="H163" s="164"/>
      <c r="I163" s="51">
        <f>IF(speciated_chemicals_143[[#This Row],[Inert / Not a Contaminant?]]="Yes", 0, speciated_chemicals_143[[#This Row],[Weight Percent]]*(unique_components_142[[#Totals],[Controlled lb/hr]]+standard_components_141[[#Totals],[Controlled
lb/hr]]))</f>
        <v>0</v>
      </c>
      <c r="J163" s="51">
        <f>IF(speciated_chemicals_143[[#This Row],[Inert / Not a Contaminant?]]="Yes", 0, speciated_chemicals_143[[#This Row],[Weight Percent]]*(unique_components_142[[#Totals],[Controlled
tpy]]+standard_components_141[[#Totals],[Controlled
tpy]]))</f>
        <v>0</v>
      </c>
    </row>
    <row r="164" spans="1:10" x14ac:dyDescent="0.2">
      <c r="A164" s="103"/>
      <c r="B164" s="51" t="str">
        <f>IFERROR(VLOOKUP(speciated_chemicals_143[[#This Row],[CAS '#]],species[],MATCH("Substance", species[#Headers], 0),FALSE),"No CAS Number Entered")</f>
        <v>No CAS Number Entered</v>
      </c>
      <c r="C164" s="102"/>
      <c r="D164" s="102" t="s">
        <v>12666</v>
      </c>
      <c r="E164" s="102" t="s">
        <v>12666</v>
      </c>
      <c r="F164" s="102" t="s">
        <v>12666</v>
      </c>
      <c r="G164" s="102" t="s">
        <v>12666</v>
      </c>
      <c r="H164" s="164"/>
      <c r="I164" s="51">
        <f>IF(speciated_chemicals_143[[#This Row],[Inert / Not a Contaminant?]]="Yes", 0, speciated_chemicals_143[[#This Row],[Weight Percent]]*(unique_components_142[[#Totals],[Controlled lb/hr]]+standard_components_141[[#Totals],[Controlled
lb/hr]]))</f>
        <v>0</v>
      </c>
      <c r="J164" s="51">
        <f>IF(speciated_chemicals_143[[#This Row],[Inert / Not a Contaminant?]]="Yes", 0, speciated_chemicals_143[[#This Row],[Weight Percent]]*(unique_components_142[[#Totals],[Controlled
tpy]]+standard_components_141[[#Totals],[Controlled
tpy]]))</f>
        <v>0</v>
      </c>
    </row>
    <row r="165" spans="1:10" x14ac:dyDescent="0.2">
      <c r="A165" s="103"/>
      <c r="B165" s="51" t="str">
        <f>IFERROR(VLOOKUP(speciated_chemicals_143[[#This Row],[CAS '#]],species[],MATCH("Substance", species[#Headers], 0),FALSE),"No CAS Number Entered")</f>
        <v>No CAS Number Entered</v>
      </c>
      <c r="C165" s="102"/>
      <c r="D165" s="102" t="s">
        <v>12666</v>
      </c>
      <c r="E165" s="102" t="s">
        <v>12666</v>
      </c>
      <c r="F165" s="102" t="s">
        <v>12666</v>
      </c>
      <c r="G165" s="102" t="s">
        <v>12666</v>
      </c>
      <c r="H165" s="164"/>
      <c r="I165" s="51">
        <f>IF(speciated_chemicals_143[[#This Row],[Inert / Not a Contaminant?]]="Yes", 0, speciated_chemicals_143[[#This Row],[Weight Percent]]*(unique_components_142[[#Totals],[Controlled lb/hr]]+standard_components_141[[#Totals],[Controlled
lb/hr]]))</f>
        <v>0</v>
      </c>
      <c r="J165" s="51">
        <f>IF(speciated_chemicals_143[[#This Row],[Inert / Not a Contaminant?]]="Yes", 0, speciated_chemicals_143[[#This Row],[Weight Percent]]*(unique_components_142[[#Totals],[Controlled
tpy]]+standard_components_141[[#Totals],[Controlled
tpy]]))</f>
        <v>0</v>
      </c>
    </row>
    <row r="166" spans="1:10" x14ac:dyDescent="0.2">
      <c r="A166" s="103"/>
      <c r="B166" s="51" t="str">
        <f>IFERROR(VLOOKUP(speciated_chemicals_143[[#This Row],[CAS '#]],species[],MATCH("Substance", species[#Headers], 0),FALSE),"No CAS Number Entered")</f>
        <v>No CAS Number Entered</v>
      </c>
      <c r="C166" s="102"/>
      <c r="D166" s="102" t="s">
        <v>12666</v>
      </c>
      <c r="E166" s="102" t="s">
        <v>12666</v>
      </c>
      <c r="F166" s="102" t="s">
        <v>12666</v>
      </c>
      <c r="G166" s="102" t="s">
        <v>12666</v>
      </c>
      <c r="H166" s="164"/>
      <c r="I166" s="51">
        <f>IF(speciated_chemicals_143[[#This Row],[Inert / Not a Contaminant?]]="Yes", 0, speciated_chemicals_143[[#This Row],[Weight Percent]]*(unique_components_142[[#Totals],[Controlled lb/hr]]+standard_components_141[[#Totals],[Controlled
lb/hr]]))</f>
        <v>0</v>
      </c>
      <c r="J166" s="51">
        <f>IF(speciated_chemicals_143[[#This Row],[Inert / Not a Contaminant?]]="Yes", 0, speciated_chemicals_143[[#This Row],[Weight Percent]]*(unique_components_142[[#Totals],[Controlled
tpy]]+standard_components_141[[#Totals],[Controlled
tpy]]))</f>
        <v>0</v>
      </c>
    </row>
    <row r="167" spans="1:10" x14ac:dyDescent="0.2">
      <c r="A167" s="103"/>
      <c r="B167" s="51" t="str">
        <f>IFERROR(VLOOKUP(speciated_chemicals_143[[#This Row],[CAS '#]],species[],MATCH("Substance", species[#Headers], 0),FALSE),"No CAS Number Entered")</f>
        <v>No CAS Number Entered</v>
      </c>
      <c r="C167" s="102"/>
      <c r="D167" s="102" t="s">
        <v>12666</v>
      </c>
      <c r="E167" s="102" t="s">
        <v>12666</v>
      </c>
      <c r="F167" s="102" t="s">
        <v>12666</v>
      </c>
      <c r="G167" s="102" t="s">
        <v>12666</v>
      </c>
      <c r="H167" s="164"/>
      <c r="I167" s="51">
        <f>IF(speciated_chemicals_143[[#This Row],[Inert / Not a Contaminant?]]="Yes", 0, speciated_chemicals_143[[#This Row],[Weight Percent]]*(unique_components_142[[#Totals],[Controlled lb/hr]]+standard_components_141[[#Totals],[Controlled
lb/hr]]))</f>
        <v>0</v>
      </c>
      <c r="J167" s="51">
        <f>IF(speciated_chemicals_143[[#This Row],[Inert / Not a Contaminant?]]="Yes", 0, speciated_chemicals_143[[#This Row],[Weight Percent]]*(unique_components_142[[#Totals],[Controlled
tpy]]+standard_components_141[[#Totals],[Controlled
tpy]]))</f>
        <v>0</v>
      </c>
    </row>
    <row r="168" spans="1:10" x14ac:dyDescent="0.2">
      <c r="A168" s="103"/>
      <c r="B168" s="51" t="str">
        <f>IFERROR(VLOOKUP(speciated_chemicals_143[[#This Row],[CAS '#]],species[],MATCH("Substance", species[#Headers], 0),FALSE),"No CAS Number Entered")</f>
        <v>No CAS Number Entered</v>
      </c>
      <c r="C168" s="102"/>
      <c r="D168" s="102" t="s">
        <v>12666</v>
      </c>
      <c r="E168" s="102" t="s">
        <v>12666</v>
      </c>
      <c r="F168" s="102" t="s">
        <v>12666</v>
      </c>
      <c r="G168" s="102" t="s">
        <v>12666</v>
      </c>
      <c r="H168" s="164"/>
      <c r="I168" s="51">
        <f>IF(speciated_chemicals_143[[#This Row],[Inert / Not a Contaminant?]]="Yes", 0, speciated_chemicals_143[[#This Row],[Weight Percent]]*(unique_components_142[[#Totals],[Controlled lb/hr]]+standard_components_141[[#Totals],[Controlled
lb/hr]]))</f>
        <v>0</v>
      </c>
      <c r="J168" s="51">
        <f>IF(speciated_chemicals_143[[#This Row],[Inert / Not a Contaminant?]]="Yes", 0, speciated_chemicals_143[[#This Row],[Weight Percent]]*(unique_components_142[[#Totals],[Controlled
tpy]]+standard_components_141[[#Totals],[Controlled
tpy]]))</f>
        <v>0</v>
      </c>
    </row>
    <row r="169" spans="1:10" x14ac:dyDescent="0.2">
      <c r="A169" s="103"/>
      <c r="B169" s="51" t="str">
        <f>IFERROR(VLOOKUP(speciated_chemicals_143[[#This Row],[CAS '#]],species[],MATCH("Substance", species[#Headers], 0),FALSE),"No CAS Number Entered")</f>
        <v>No CAS Number Entered</v>
      </c>
      <c r="C169" s="102"/>
      <c r="D169" s="102" t="s">
        <v>12666</v>
      </c>
      <c r="E169" s="102" t="s">
        <v>12666</v>
      </c>
      <c r="F169" s="102" t="s">
        <v>12666</v>
      </c>
      <c r="G169" s="102" t="s">
        <v>12666</v>
      </c>
      <c r="H169" s="164"/>
      <c r="I169" s="51">
        <f>IF(speciated_chemicals_143[[#This Row],[Inert / Not a Contaminant?]]="Yes", 0, speciated_chemicals_143[[#This Row],[Weight Percent]]*(unique_components_142[[#Totals],[Controlled lb/hr]]+standard_components_141[[#Totals],[Controlled
lb/hr]]))</f>
        <v>0</v>
      </c>
      <c r="J169" s="51">
        <f>IF(speciated_chemicals_143[[#This Row],[Inert / Not a Contaminant?]]="Yes", 0, speciated_chemicals_143[[#This Row],[Weight Percent]]*(unique_components_142[[#Totals],[Controlled
tpy]]+standard_components_141[[#Totals],[Controlled
tpy]]))</f>
        <v>0</v>
      </c>
    </row>
    <row r="170" spans="1:10" x14ac:dyDescent="0.2">
      <c r="A170" s="103"/>
      <c r="B170" s="51" t="str">
        <f>IFERROR(VLOOKUP(speciated_chemicals_143[[#This Row],[CAS '#]],species[],MATCH("Substance", species[#Headers], 0),FALSE),"No CAS Number Entered")</f>
        <v>No CAS Number Entered</v>
      </c>
      <c r="C170" s="102"/>
      <c r="D170" s="102" t="s">
        <v>12666</v>
      </c>
      <c r="E170" s="102" t="s">
        <v>12666</v>
      </c>
      <c r="F170" s="102" t="s">
        <v>12666</v>
      </c>
      <c r="G170" s="102" t="s">
        <v>12666</v>
      </c>
      <c r="H170" s="164"/>
      <c r="I170" s="51">
        <f>IF(speciated_chemicals_143[[#This Row],[Inert / Not a Contaminant?]]="Yes", 0, speciated_chemicals_143[[#This Row],[Weight Percent]]*(unique_components_142[[#Totals],[Controlled lb/hr]]+standard_components_141[[#Totals],[Controlled
lb/hr]]))</f>
        <v>0</v>
      </c>
      <c r="J170" s="51">
        <f>IF(speciated_chemicals_143[[#This Row],[Inert / Not a Contaminant?]]="Yes", 0, speciated_chemicals_143[[#This Row],[Weight Percent]]*(unique_components_142[[#Totals],[Controlled
tpy]]+standard_components_141[[#Totals],[Controlled
tpy]]))</f>
        <v>0</v>
      </c>
    </row>
    <row r="171" spans="1:10" x14ac:dyDescent="0.2">
      <c r="A171" s="103"/>
      <c r="B171" s="51" t="str">
        <f>IFERROR(VLOOKUP(speciated_chemicals_143[[#This Row],[CAS '#]],species[],MATCH("Substance", species[#Headers], 0),FALSE),"No CAS Number Entered")</f>
        <v>No CAS Number Entered</v>
      </c>
      <c r="C171" s="102"/>
      <c r="D171" s="102" t="s">
        <v>12666</v>
      </c>
      <c r="E171" s="102" t="s">
        <v>12666</v>
      </c>
      <c r="F171" s="102" t="s">
        <v>12666</v>
      </c>
      <c r="G171" s="102" t="s">
        <v>12666</v>
      </c>
      <c r="H171" s="164"/>
      <c r="I171" s="51">
        <f>IF(speciated_chemicals_143[[#This Row],[Inert / Not a Contaminant?]]="Yes", 0, speciated_chemicals_143[[#This Row],[Weight Percent]]*(unique_components_142[[#Totals],[Controlled lb/hr]]+standard_components_141[[#Totals],[Controlled
lb/hr]]))</f>
        <v>0</v>
      </c>
      <c r="J171" s="51">
        <f>IF(speciated_chemicals_143[[#This Row],[Inert / Not a Contaminant?]]="Yes", 0, speciated_chemicals_143[[#This Row],[Weight Percent]]*(unique_components_142[[#Totals],[Controlled
tpy]]+standard_components_141[[#Totals],[Controlled
tpy]]))</f>
        <v>0</v>
      </c>
    </row>
    <row r="172" spans="1:10" x14ac:dyDescent="0.2">
      <c r="A172" s="103"/>
      <c r="B172" s="51" t="str">
        <f>IFERROR(VLOOKUP(speciated_chemicals_143[[#This Row],[CAS '#]],species[],MATCH("Substance", species[#Headers], 0),FALSE),"No CAS Number Entered")</f>
        <v>No CAS Number Entered</v>
      </c>
      <c r="C172" s="102"/>
      <c r="D172" s="102" t="s">
        <v>12666</v>
      </c>
      <c r="E172" s="102" t="s">
        <v>12666</v>
      </c>
      <c r="F172" s="102" t="s">
        <v>12666</v>
      </c>
      <c r="G172" s="102" t="s">
        <v>12666</v>
      </c>
      <c r="H172" s="164"/>
      <c r="I172" s="51">
        <f>IF(speciated_chemicals_143[[#This Row],[Inert / Not a Contaminant?]]="Yes", 0, speciated_chemicals_143[[#This Row],[Weight Percent]]*(unique_components_142[[#Totals],[Controlled lb/hr]]+standard_components_141[[#Totals],[Controlled
lb/hr]]))</f>
        <v>0</v>
      </c>
      <c r="J172" s="51">
        <f>IF(speciated_chemicals_143[[#This Row],[Inert / Not a Contaminant?]]="Yes", 0, speciated_chemicals_143[[#This Row],[Weight Percent]]*(unique_components_142[[#Totals],[Controlled
tpy]]+standard_components_141[[#Totals],[Controlled
tpy]]))</f>
        <v>0</v>
      </c>
    </row>
    <row r="173" spans="1:10" x14ac:dyDescent="0.2">
      <c r="A173" s="103"/>
      <c r="B173" s="51" t="str">
        <f>IFERROR(VLOOKUP(speciated_chemicals_143[[#This Row],[CAS '#]],species[],MATCH("Substance", species[#Headers], 0),FALSE),"No CAS Number Entered")</f>
        <v>No CAS Number Entered</v>
      </c>
      <c r="C173" s="102"/>
      <c r="D173" s="102" t="s">
        <v>12666</v>
      </c>
      <c r="E173" s="102" t="s">
        <v>12666</v>
      </c>
      <c r="F173" s="102" t="s">
        <v>12666</v>
      </c>
      <c r="G173" s="102" t="s">
        <v>12666</v>
      </c>
      <c r="H173" s="164"/>
      <c r="I173" s="51">
        <f>IF(speciated_chemicals_143[[#This Row],[Inert / Not a Contaminant?]]="Yes", 0, speciated_chemicals_143[[#This Row],[Weight Percent]]*(unique_components_142[[#Totals],[Controlled lb/hr]]+standard_components_141[[#Totals],[Controlled
lb/hr]]))</f>
        <v>0</v>
      </c>
      <c r="J173" s="51">
        <f>IF(speciated_chemicals_143[[#This Row],[Inert / Not a Contaminant?]]="Yes", 0, speciated_chemicals_143[[#This Row],[Weight Percent]]*(unique_components_142[[#Totals],[Controlled
tpy]]+standard_components_141[[#Totals],[Controlled
tpy]]))</f>
        <v>0</v>
      </c>
    </row>
    <row r="174" spans="1:10" x14ac:dyDescent="0.2">
      <c r="A174" s="103"/>
      <c r="B174" s="51" t="str">
        <f>IFERROR(VLOOKUP(speciated_chemicals_143[[#This Row],[CAS '#]],species[],MATCH("Substance", species[#Headers], 0),FALSE),"No CAS Number Entered")</f>
        <v>No CAS Number Entered</v>
      </c>
      <c r="C174" s="102"/>
      <c r="D174" s="102" t="s">
        <v>12666</v>
      </c>
      <c r="E174" s="102" t="s">
        <v>12666</v>
      </c>
      <c r="F174" s="102" t="s">
        <v>12666</v>
      </c>
      <c r="G174" s="102" t="s">
        <v>12666</v>
      </c>
      <c r="H174" s="164"/>
      <c r="I174" s="51">
        <f>IF(speciated_chemicals_143[[#This Row],[Inert / Not a Contaminant?]]="Yes", 0, speciated_chemicals_143[[#This Row],[Weight Percent]]*(unique_components_142[[#Totals],[Controlled lb/hr]]+standard_components_141[[#Totals],[Controlled
lb/hr]]))</f>
        <v>0</v>
      </c>
      <c r="J174" s="51">
        <f>IF(speciated_chemicals_143[[#This Row],[Inert / Not a Contaminant?]]="Yes", 0, speciated_chemicals_143[[#This Row],[Weight Percent]]*(unique_components_142[[#Totals],[Controlled
tpy]]+standard_components_141[[#Totals],[Controlled
tpy]]))</f>
        <v>0</v>
      </c>
    </row>
    <row r="175" spans="1:10" x14ac:dyDescent="0.2">
      <c r="A175" s="103"/>
      <c r="B175" s="51" t="str">
        <f>IFERROR(VLOOKUP(speciated_chemicals_143[[#This Row],[CAS '#]],species[],MATCH("Substance", species[#Headers], 0),FALSE),"No CAS Number Entered")</f>
        <v>No CAS Number Entered</v>
      </c>
      <c r="C175" s="102"/>
      <c r="D175" s="102" t="s">
        <v>12666</v>
      </c>
      <c r="E175" s="102" t="s">
        <v>12666</v>
      </c>
      <c r="F175" s="102" t="s">
        <v>12666</v>
      </c>
      <c r="G175" s="102" t="s">
        <v>12666</v>
      </c>
      <c r="H175" s="164"/>
      <c r="I175" s="51">
        <f>IF(speciated_chemicals_143[[#This Row],[Inert / Not a Contaminant?]]="Yes", 0, speciated_chemicals_143[[#This Row],[Weight Percent]]*(unique_components_142[[#Totals],[Controlled lb/hr]]+standard_components_141[[#Totals],[Controlled
lb/hr]]))</f>
        <v>0</v>
      </c>
      <c r="J175" s="51">
        <f>IF(speciated_chemicals_143[[#This Row],[Inert / Not a Contaminant?]]="Yes", 0, speciated_chemicals_143[[#This Row],[Weight Percent]]*(unique_components_142[[#Totals],[Controlled
tpy]]+standard_components_141[[#Totals],[Controlled
tpy]]))</f>
        <v>0</v>
      </c>
    </row>
    <row r="176" spans="1:10" x14ac:dyDescent="0.2">
      <c r="A176" s="165"/>
      <c r="B176" s="51" t="str">
        <f>IFERROR(VLOOKUP(speciated_chemicals_143[[#This Row],[CAS '#]],species[],MATCH("Substance", species[#Headers], 0),FALSE),"No CAS Number Entered")</f>
        <v>No CAS Number Entered</v>
      </c>
      <c r="C176" s="102"/>
      <c r="D176" s="102" t="s">
        <v>12666</v>
      </c>
      <c r="E176" s="102" t="s">
        <v>12666</v>
      </c>
      <c r="F176" s="102" t="s">
        <v>12666</v>
      </c>
      <c r="G176" s="102" t="s">
        <v>12666</v>
      </c>
      <c r="H176" s="164"/>
      <c r="I176" s="51">
        <f>IF(speciated_chemicals_143[[#This Row],[Inert / Not a Contaminant?]]="Yes", 0, speciated_chemicals_143[[#This Row],[Weight Percent]]*(unique_components_142[[#Totals],[Controlled lb/hr]]+standard_components_141[[#Totals],[Controlled
lb/hr]]))</f>
        <v>0</v>
      </c>
      <c r="J176" s="51">
        <f>IF(speciated_chemicals_143[[#This Row],[Inert / Not a Contaminant?]]="Yes", 0, speciated_chemicals_143[[#This Row],[Weight Percent]]*(unique_components_142[[#Totals],[Controlled
tpy]]+standard_components_141[[#Totals],[Controlled
tpy]]))</f>
        <v>0</v>
      </c>
    </row>
    <row r="177" spans="1:10" x14ac:dyDescent="0.2">
      <c r="A177" s="103"/>
      <c r="B177" s="51" t="str">
        <f>IFERROR(VLOOKUP(speciated_chemicals_143[[#This Row],[CAS '#]],species[],MATCH("Substance", species[#Headers], 0),FALSE),"No CAS Number Entered")</f>
        <v>No CAS Number Entered</v>
      </c>
      <c r="C177" s="102"/>
      <c r="D177" s="102" t="s">
        <v>12666</v>
      </c>
      <c r="E177" s="102" t="s">
        <v>12666</v>
      </c>
      <c r="F177" s="102" t="s">
        <v>12666</v>
      </c>
      <c r="G177" s="102" t="s">
        <v>12666</v>
      </c>
      <c r="H177" s="164"/>
      <c r="I177" s="51">
        <f>IF(speciated_chemicals_143[[#This Row],[Inert / Not a Contaminant?]]="Yes", 0, speciated_chemicals_143[[#This Row],[Weight Percent]]*(unique_components_142[[#Totals],[Controlled lb/hr]]+standard_components_141[[#Totals],[Controlled
lb/hr]]))</f>
        <v>0</v>
      </c>
      <c r="J177" s="51">
        <f>IF(speciated_chemicals_143[[#This Row],[Inert / Not a Contaminant?]]="Yes", 0, speciated_chemicals_143[[#This Row],[Weight Percent]]*(unique_components_142[[#Totals],[Controlled
tpy]]+standard_components_141[[#Totals],[Controlled
tpy]]))</f>
        <v>0</v>
      </c>
    </row>
    <row r="178" spans="1:10" x14ac:dyDescent="0.2">
      <c r="A178" s="103"/>
      <c r="B178" s="51" t="str">
        <f>IFERROR(VLOOKUP(speciated_chemicals_143[[#This Row],[CAS '#]],species[],MATCH("Substance", species[#Headers], 0),FALSE),"No CAS Number Entered")</f>
        <v>No CAS Number Entered</v>
      </c>
      <c r="C178" s="102"/>
      <c r="D178" s="102" t="s">
        <v>12666</v>
      </c>
      <c r="E178" s="102" t="s">
        <v>12666</v>
      </c>
      <c r="F178" s="102" t="s">
        <v>12666</v>
      </c>
      <c r="G178" s="102" t="s">
        <v>12666</v>
      </c>
      <c r="H178" s="164"/>
      <c r="I178" s="51">
        <f>IF(speciated_chemicals_143[[#This Row],[Inert / Not a Contaminant?]]="Yes", 0, speciated_chemicals_143[[#This Row],[Weight Percent]]*(unique_components_142[[#Totals],[Controlled lb/hr]]+standard_components_141[[#Totals],[Controlled
lb/hr]]))</f>
        <v>0</v>
      </c>
      <c r="J178" s="51">
        <f>IF(speciated_chemicals_143[[#This Row],[Inert / Not a Contaminant?]]="Yes", 0, speciated_chemicals_143[[#This Row],[Weight Percent]]*(unique_components_142[[#Totals],[Controlled
tpy]]+standard_components_141[[#Totals],[Controlled
tpy]]))</f>
        <v>0</v>
      </c>
    </row>
    <row r="179" spans="1:10" x14ac:dyDescent="0.2">
      <c r="A179" s="103"/>
      <c r="B179" s="51" t="str">
        <f>IFERROR(VLOOKUP(speciated_chemicals_143[[#This Row],[CAS '#]],species[],MATCH("Substance", species[#Headers], 0),FALSE),"No CAS Number Entered")</f>
        <v>No CAS Number Entered</v>
      </c>
      <c r="C179" s="102"/>
      <c r="D179" s="102" t="s">
        <v>12666</v>
      </c>
      <c r="E179" s="102" t="s">
        <v>12666</v>
      </c>
      <c r="F179" s="102" t="s">
        <v>12666</v>
      </c>
      <c r="G179" s="102" t="s">
        <v>12666</v>
      </c>
      <c r="H179" s="164"/>
      <c r="I179" s="51">
        <f>IF(speciated_chemicals_143[[#This Row],[Inert / Not a Contaminant?]]="Yes", 0, speciated_chemicals_143[[#This Row],[Weight Percent]]*(unique_components_142[[#Totals],[Controlled lb/hr]]+standard_components_141[[#Totals],[Controlled
lb/hr]]))</f>
        <v>0</v>
      </c>
      <c r="J179" s="51">
        <f>IF(speciated_chemicals_143[[#This Row],[Inert / Not a Contaminant?]]="Yes", 0, speciated_chemicals_143[[#This Row],[Weight Percent]]*(unique_components_142[[#Totals],[Controlled
tpy]]+standard_components_141[[#Totals],[Controlled
tpy]]))</f>
        <v>0</v>
      </c>
    </row>
    <row r="180" spans="1:10" x14ac:dyDescent="0.2">
      <c r="A180" s="103"/>
      <c r="B180" s="51" t="str">
        <f>IFERROR(VLOOKUP(speciated_chemicals_143[[#This Row],[CAS '#]],species[],MATCH("Substance", species[#Headers], 0),FALSE),"No CAS Number Entered")</f>
        <v>No CAS Number Entered</v>
      </c>
      <c r="C180" s="102"/>
      <c r="D180" s="102" t="s">
        <v>12666</v>
      </c>
      <c r="E180" s="102" t="s">
        <v>12666</v>
      </c>
      <c r="F180" s="102" t="s">
        <v>12666</v>
      </c>
      <c r="G180" s="102" t="s">
        <v>12666</v>
      </c>
      <c r="H180" s="164"/>
      <c r="I180" s="51">
        <f>IF(speciated_chemicals_143[[#This Row],[Inert / Not a Contaminant?]]="Yes", 0, speciated_chemicals_143[[#This Row],[Weight Percent]]*(unique_components_142[[#Totals],[Controlled lb/hr]]+standard_components_141[[#Totals],[Controlled
lb/hr]]))</f>
        <v>0</v>
      </c>
      <c r="J180" s="51">
        <f>IF(speciated_chemicals_143[[#This Row],[Inert / Not a Contaminant?]]="Yes", 0, speciated_chemicals_143[[#This Row],[Weight Percent]]*(unique_components_142[[#Totals],[Controlled
tpy]]+standard_components_141[[#Totals],[Controlled
tpy]]))</f>
        <v>0</v>
      </c>
    </row>
    <row r="181" spans="1:10" ht="30" x14ac:dyDescent="0.2">
      <c r="A181" s="184" t="s">
        <v>12705</v>
      </c>
      <c r="B181" s="52"/>
      <c r="C181" s="53"/>
      <c r="D181" s="52"/>
      <c r="E181" s="52"/>
      <c r="F181" s="52"/>
      <c r="G181" s="52"/>
      <c r="H181" s="166">
        <f>SUBTOTAL(109,speciated_chemicals_143[Weight Percent])</f>
        <v>0</v>
      </c>
      <c r="I181" s="167">
        <f>SUBTOTAL(109,speciated_chemicals_143[lb/hr])</f>
        <v>0</v>
      </c>
      <c r="J181" s="167">
        <f>SUBTOTAL(109,speciated_chemicals_143[tpy])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MATCH(speciated_ghg_144[[#This Row],[CAS '#]], gwp_table[CAS No.], 0), MATCH("Name", gwp_table[#Headers], 0)),"No CAS Number Entered")</f>
        <v>No CAS Number Entered</v>
      </c>
      <c r="C185" s="79" t="str">
        <f>IFERROR(INDEX(gwp_table[], MATCH(speciated_ghg_144[[#This Row],[CAS '#]], gwp_table[CAS No.], 0), MATCH("Global warming potential", gwp_table[#Headers], 0)),"No CAS Number Entered")</f>
        <v>No CAS Number Entered</v>
      </c>
      <c r="D185" s="219"/>
      <c r="E185" s="79">
        <f>IFERROR(speciated_ghg_144[[#This Row],[Weight Percent]]*(unique_components_142[[#Totals],[Controlled
tpy]]+standard_components_141[[#Totals],[Controlled
tpy]]), "-")</f>
        <v>0</v>
      </c>
      <c r="F185" s="81" t="str">
        <f>IFERROR(speciated_ghg_144[[#This Row],[Mass Emissions (U.S. tons per year)]]*speciated_ghg_144[[#This Row],[Global Warming Potential (GWP)]], "-")</f>
        <v>-</v>
      </c>
      <c r="G185" s="30"/>
      <c r="H185" s="168"/>
      <c r="I185" s="168"/>
    </row>
    <row r="186" spans="1:10" x14ac:dyDescent="0.2">
      <c r="A186" s="210"/>
      <c r="B186" s="79" t="str">
        <f>IFERROR(INDEX(gwp_table[], MATCH(speciated_ghg_144[[#This Row],[CAS '#]], gwp_table[CAS No.], 0), MATCH("Name", gwp_table[#Headers], 0)),"No CAS Number Entered")</f>
        <v>No CAS Number Entered</v>
      </c>
      <c r="C186" s="79" t="str">
        <f>IFERROR(INDEX(gwp_table[], MATCH(speciated_ghg_144[[#This Row],[CAS '#]], gwp_table[CAS No.], 0), MATCH("Global warming potential", gwp_table[#Headers], 0)),"No CAS Number Entered")</f>
        <v>No CAS Number Entered</v>
      </c>
      <c r="D186" s="219"/>
      <c r="E186" s="79">
        <f>IFERROR(speciated_ghg_144[[#This Row],[Weight Percent]]*(unique_components_142[[#Totals],[Controlled
tpy]]+standard_components_141[[#Totals],[Controlled
tpy]]), "-")</f>
        <v>0</v>
      </c>
      <c r="F186" s="81" t="str">
        <f>IFERROR(speciated_ghg_144[[#This Row],[Mass Emissions (U.S. tons per year)]]*speciated_ghg_144[[#This Row],[Global Warming Potential (GWP)]], "-")</f>
        <v>-</v>
      </c>
      <c r="G186" s="30"/>
      <c r="H186" s="168"/>
      <c r="I186" s="168"/>
    </row>
    <row r="187" spans="1:10" x14ac:dyDescent="0.2">
      <c r="A187" s="210"/>
      <c r="B187" s="79" t="str">
        <f>IFERROR(INDEX(gwp_table[], MATCH(speciated_ghg_144[[#This Row],[CAS '#]], gwp_table[CAS No.], 0), MATCH("Name", gwp_table[#Headers], 0)),"No CAS Number Entered")</f>
        <v>No CAS Number Entered</v>
      </c>
      <c r="C187" s="79" t="str">
        <f>IFERROR(INDEX(gwp_table[], MATCH(speciated_ghg_144[[#This Row],[CAS '#]], gwp_table[CAS No.], 0), MATCH("Global warming potential", gwp_table[#Headers], 0)),"No CAS Number Entered")</f>
        <v>No CAS Number Entered</v>
      </c>
      <c r="D187" s="219"/>
      <c r="E187" s="79">
        <f>IFERROR(speciated_ghg_144[[#This Row],[Weight Percent]]*(unique_components_142[[#Totals],[Controlled
tpy]]+standard_components_141[[#Totals],[Controlled
tpy]]), "-")</f>
        <v>0</v>
      </c>
      <c r="F187" s="81" t="str">
        <f>IFERROR(speciated_ghg_144[[#This Row],[Mass Emissions (U.S. tons per year)]]*speciated_ghg_144[[#This Row],[Global Warming Potential (GWP)]], "-")</f>
        <v>-</v>
      </c>
      <c r="G187" s="30"/>
      <c r="H187" s="168"/>
      <c r="I187" s="168"/>
    </row>
    <row r="188" spans="1:10" x14ac:dyDescent="0.2">
      <c r="A188" s="210"/>
      <c r="B188" s="79" t="str">
        <f>IFERROR(INDEX(gwp_table[], MATCH(speciated_ghg_144[[#This Row],[CAS '#]], gwp_table[CAS No.], 0), MATCH("Name", gwp_table[#Headers], 0)),"No CAS Number Entered")</f>
        <v>No CAS Number Entered</v>
      </c>
      <c r="C188" s="79" t="str">
        <f>IFERROR(INDEX(gwp_table[], MATCH(speciated_ghg_144[[#This Row],[CAS '#]], gwp_table[CAS No.], 0), MATCH("Global warming potential", gwp_table[#Headers], 0)),"No CAS Number Entered")</f>
        <v>No CAS Number Entered</v>
      </c>
      <c r="D188" s="219"/>
      <c r="E188" s="79">
        <f>IFERROR(speciated_ghg_144[[#This Row],[Weight Percent]]*(unique_components_142[[#Totals],[Controlled
tpy]]+standard_components_141[[#Totals],[Controlled
tpy]]), "-")</f>
        <v>0</v>
      </c>
      <c r="F188" s="81" t="str">
        <f>IFERROR(speciated_ghg_144[[#This Row],[Mass Emissions (U.S. tons per year)]]*speciated_ghg_144[[#This Row],[Global Warming Potential (GWP)]], "-")</f>
        <v>-</v>
      </c>
      <c r="G188" s="30"/>
      <c r="H188" s="168"/>
      <c r="I188" s="168"/>
    </row>
    <row r="189" spans="1:10" x14ac:dyDescent="0.2">
      <c r="A189" s="210"/>
      <c r="B189" s="79" t="str">
        <f>IFERROR(INDEX(gwp_table[], MATCH(speciated_ghg_144[[#This Row],[CAS '#]], gwp_table[CAS No.], 0), MATCH("Name", gwp_table[#Headers], 0)),"No CAS Number Entered")</f>
        <v>No CAS Number Entered</v>
      </c>
      <c r="C189" s="79" t="str">
        <f>IFERROR(INDEX(gwp_table[], MATCH(speciated_ghg_144[[#This Row],[CAS '#]], gwp_table[CAS No.], 0), MATCH("Global warming potential", gwp_table[#Headers], 0)),"No CAS Number Entered")</f>
        <v>No CAS Number Entered</v>
      </c>
      <c r="D189" s="219"/>
      <c r="E189" s="79">
        <f>IFERROR(speciated_ghg_144[[#This Row],[Weight Percent]]*(unique_components_142[[#Totals],[Controlled
tpy]]+standard_components_141[[#Totals],[Controlled
tpy]]), "-")</f>
        <v>0</v>
      </c>
      <c r="F189" s="81" t="str">
        <f>IFERROR(speciated_ghg_144[[#This Row],[Mass Emissions (U.S. tons per year)]]*speciated_ghg_144[[#This Row],[Global Warming Potential (GWP)]], "-")</f>
        <v>-</v>
      </c>
      <c r="G189" s="30"/>
      <c r="H189" s="168"/>
      <c r="I189" s="168"/>
    </row>
    <row r="190" spans="1:10" x14ac:dyDescent="0.2">
      <c r="A190" s="210"/>
      <c r="B190" s="79" t="str">
        <f>IFERROR(INDEX(gwp_table[], MATCH(speciated_ghg_144[[#This Row],[CAS '#]], gwp_table[CAS No.], 0), MATCH("Name", gwp_table[#Headers], 0)),"No CAS Number Entered")</f>
        <v>No CAS Number Entered</v>
      </c>
      <c r="C190" s="79" t="str">
        <f>IFERROR(INDEX(gwp_table[], MATCH(speciated_ghg_144[[#This Row],[CAS '#]], gwp_table[CAS No.], 0), MATCH("Global warming potential", gwp_table[#Headers], 0)),"No CAS Number Entered")</f>
        <v>No CAS Number Entered</v>
      </c>
      <c r="D190" s="219"/>
      <c r="E190" s="79">
        <f>IFERROR(speciated_ghg_144[[#This Row],[Weight Percent]]*(unique_components_142[[#Totals],[Controlled
tpy]]+standard_components_141[[#Totals],[Controlled
tpy]]), "-")</f>
        <v>0</v>
      </c>
      <c r="F190" s="81" t="str">
        <f>IFERROR(speciated_ghg_144[[#This Row],[Mass Emissions (U.S. tons per year)]]*speciated_ghg_144[[#This Row],[Global Warming Potential (GWP)]], "-")</f>
        <v>-</v>
      </c>
      <c r="G190" s="30"/>
      <c r="H190" s="168"/>
      <c r="I190" s="168"/>
    </row>
    <row r="191" spans="1:10" x14ac:dyDescent="0.2">
      <c r="A191" s="210"/>
      <c r="B191" s="79" t="str">
        <f>IFERROR(INDEX(gwp_table[], MATCH(speciated_ghg_144[[#This Row],[CAS '#]], gwp_table[CAS No.], 0), MATCH("Name", gwp_table[#Headers], 0)),"No CAS Number Entered")</f>
        <v>No CAS Number Entered</v>
      </c>
      <c r="C191" s="79" t="str">
        <f>IFERROR(INDEX(gwp_table[], MATCH(speciated_ghg_144[[#This Row],[CAS '#]], gwp_table[CAS No.], 0), MATCH("Global warming potential", gwp_table[#Headers], 0)),"No CAS Number Entered")</f>
        <v>No CAS Number Entered</v>
      </c>
      <c r="D191" s="219"/>
      <c r="E191" s="79">
        <f>IFERROR(speciated_ghg_144[[#This Row],[Weight Percent]]*(unique_components_142[[#Totals],[Controlled
tpy]]+standard_components_141[[#Totals],[Controlled
tpy]]), "-")</f>
        <v>0</v>
      </c>
      <c r="F191" s="81" t="str">
        <f>IFERROR(speciated_ghg_144[[#This Row],[Mass Emissions (U.S. tons per year)]]*speciated_ghg_144[[#This Row],[Global Warming Potential (GWP)]], "-")</f>
        <v>-</v>
      </c>
      <c r="G191" s="17"/>
    </row>
    <row r="192" spans="1:10" ht="15" x14ac:dyDescent="0.25">
      <c r="A192" s="210"/>
      <c r="B192" s="79" t="str">
        <f>IFERROR(INDEX(gwp_table[], MATCH(speciated_ghg_144[[#This Row],[CAS '#]], gwp_table[CAS No.], 0), MATCH("Name", gwp_table[#Headers], 0)),"No CAS Number Entered")</f>
        <v>No CAS Number Entered</v>
      </c>
      <c r="C192" s="79" t="str">
        <f>IFERROR(INDEX(gwp_table[], MATCH(speciated_ghg_144[[#This Row],[CAS '#]], gwp_table[CAS No.], 0), MATCH("Global warming potential", gwp_table[#Headers], 0)),"No CAS Number Entered")</f>
        <v>No CAS Number Entered</v>
      </c>
      <c r="D192" s="219"/>
      <c r="E192" s="79">
        <f>IFERROR(speciated_ghg_144[[#This Row],[Weight Percent]]*(unique_components_142[[#Totals],[Controlled
tpy]]+standard_components_141[[#Totals],[Controlled
tpy]]), "-")</f>
        <v>0</v>
      </c>
      <c r="F192" s="81" t="str">
        <f>IFERROR(speciated_ghg_144[[#This Row],[Mass Emissions (U.S. tons per year)]]*speciated_ghg_144[[#This Row],[Global Warming Potential (GWP)]], "-")</f>
        <v>-</v>
      </c>
      <c r="G192" s="134"/>
      <c r="H192" s="169"/>
    </row>
    <row r="193" spans="1:9" ht="15" x14ac:dyDescent="0.25">
      <c r="A193" s="210"/>
      <c r="B193" s="79" t="str">
        <f>IFERROR(INDEX(gwp_table[], MATCH(speciated_ghg_144[[#This Row],[CAS '#]], gwp_table[CAS No.], 0), MATCH("Name", gwp_table[#Headers], 0)),"No CAS Number Entered")</f>
        <v>No CAS Number Entered</v>
      </c>
      <c r="C193" s="79" t="str">
        <f>IFERROR(INDEX(gwp_table[], MATCH(speciated_ghg_144[[#This Row],[CAS '#]], gwp_table[CAS No.], 0), MATCH("Global warming potential", gwp_table[#Headers], 0)),"No CAS Number Entered")</f>
        <v>No CAS Number Entered</v>
      </c>
      <c r="D193" s="219"/>
      <c r="E193" s="79">
        <f>IFERROR(speciated_ghg_144[[#This Row],[Weight Percent]]*(unique_components_142[[#Totals],[Controlled
tpy]]+standard_components_141[[#Totals],[Controlled
tpy]]), "-")</f>
        <v>0</v>
      </c>
      <c r="F193" s="81" t="str">
        <f>IFERROR(speciated_ghg_144[[#This Row],[Mass Emissions (U.S. tons per year)]]*speciated_ghg_144[[#This Row],[Global Warming Potential (GWP)]], "-")</f>
        <v>-</v>
      </c>
      <c r="G193" s="134"/>
      <c r="H193" s="169"/>
    </row>
    <row r="194" spans="1:9" ht="15" x14ac:dyDescent="0.25">
      <c r="A194" s="210"/>
      <c r="B194" s="79" t="str">
        <f>IFERROR(INDEX(gwp_table[], MATCH(speciated_ghg_144[[#This Row],[CAS '#]], gwp_table[CAS No.], 0), MATCH("Name", gwp_table[#Headers], 0)),"No CAS Number Entered")</f>
        <v>No CAS Number Entered</v>
      </c>
      <c r="C194" s="79" t="str">
        <f>IFERROR(INDEX(gwp_table[], MATCH(speciated_ghg_144[[#This Row],[CAS '#]], gwp_table[CAS No.], 0), MATCH("Global warming potential", gwp_table[#Headers], 0)),"No CAS Number Entered")</f>
        <v>No CAS Number Entered</v>
      </c>
      <c r="D194" s="219"/>
      <c r="E194" s="79">
        <f>IFERROR(speciated_ghg_144[[#This Row],[Weight Percent]]*(unique_components_142[[#Totals],[Controlled
tpy]]+standard_components_141[[#Totals],[Controlled
tpy]]), "-")</f>
        <v>0</v>
      </c>
      <c r="F194" s="81" t="str">
        <f>IFERROR(speciated_ghg_144[[#This Row],[Mass Emissions (U.S. tons per year)]]*speciated_ghg_144[[#This Row],[Global Warming Potential (GWP)]], "-")</f>
        <v>-</v>
      </c>
      <c r="G194" s="134"/>
      <c r="H194" s="169"/>
    </row>
    <row r="195" spans="1:9" x14ac:dyDescent="0.2">
      <c r="A195" s="210"/>
      <c r="B195" s="79" t="str">
        <f>IFERROR(INDEX(gwp_table[], MATCH(speciated_ghg_144[[#This Row],[CAS '#]], gwp_table[CAS No.], 0), MATCH("Name", gwp_table[#Headers], 0)),"No CAS Number Entered")</f>
        <v>No CAS Number Entered</v>
      </c>
      <c r="C195" s="79" t="str">
        <f>IFERROR(INDEX(gwp_table[], MATCH(speciated_ghg_144[[#This Row],[CAS '#]], gwp_table[CAS No.], 0), MATCH("Global warming potential", gwp_table[#Headers], 0)),"No CAS Number Entered")</f>
        <v>No CAS Number Entered</v>
      </c>
      <c r="D195" s="219"/>
      <c r="E195" s="79">
        <f>IFERROR(speciated_ghg_144[[#This Row],[Weight Percent]]*(unique_components_142[[#Totals],[Controlled
tpy]]+standard_components_141[[#Totals],[Controlled
tpy]]), "-")</f>
        <v>0</v>
      </c>
      <c r="F195" s="81" t="str">
        <f>IFERROR(speciated_ghg_144[[#This Row],[Mass Emissions (U.S. tons per year)]]*speciated_ghg_144[[#This Row],[Global Warming Potential (GWP)]], "-")</f>
        <v>-</v>
      </c>
      <c r="G195" s="69"/>
      <c r="H195" s="169"/>
    </row>
    <row r="196" spans="1:9" x14ac:dyDescent="0.2">
      <c r="A196" s="210"/>
      <c r="B196" s="79" t="str">
        <f>IFERROR(INDEX(gwp_table[], MATCH(speciated_ghg_144[[#This Row],[CAS '#]], gwp_table[CAS No.], 0), MATCH("Name", gwp_table[#Headers], 0)),"No CAS Number Entered")</f>
        <v>No CAS Number Entered</v>
      </c>
      <c r="C196" s="79" t="str">
        <f>IFERROR(INDEX(gwp_table[], MATCH(speciated_ghg_144[[#This Row],[CAS '#]], gwp_table[CAS No.], 0), MATCH("Global warming potential", gwp_table[#Headers], 0)),"No CAS Number Entered")</f>
        <v>No CAS Number Entered</v>
      </c>
      <c r="D196" s="219"/>
      <c r="E196" s="79">
        <f>IFERROR(speciated_ghg_144[[#This Row],[Weight Percent]]*(unique_components_142[[#Totals],[Controlled
tpy]]+standard_components_141[[#Totals],[Controlled
tpy]]), "-")</f>
        <v>0</v>
      </c>
      <c r="F196" s="81" t="str">
        <f>IFERROR(speciated_ghg_144[[#This Row],[Mass Emissions (U.S. tons per year)]]*speciated_ghg_144[[#This Row],[Global Warming Potential (GWP)]], "-")</f>
        <v>-</v>
      </c>
      <c r="G196" s="29"/>
      <c r="H196" s="169"/>
    </row>
    <row r="197" spans="1:9" x14ac:dyDescent="0.2">
      <c r="A197" s="210"/>
      <c r="B197" s="79" t="str">
        <f>IFERROR(INDEX(gwp_table[], MATCH(speciated_ghg_144[[#This Row],[CAS '#]], gwp_table[CAS No.], 0), MATCH("Name", gwp_table[#Headers], 0)),"No CAS Number Entered")</f>
        <v>No CAS Number Entered</v>
      </c>
      <c r="C197" s="79" t="str">
        <f>IFERROR(INDEX(gwp_table[], MATCH(speciated_ghg_144[[#This Row],[CAS '#]], gwp_table[CAS No.], 0), MATCH("Global warming potential", gwp_table[#Headers], 0)),"No CAS Number Entered")</f>
        <v>No CAS Number Entered</v>
      </c>
      <c r="D197" s="219"/>
      <c r="E197" s="79">
        <f>IFERROR(speciated_ghg_144[[#This Row],[Weight Percent]]*(unique_components_142[[#Totals],[Controlled
tpy]]+standard_components_141[[#Totals],[Controlled
tpy]]), "-")</f>
        <v>0</v>
      </c>
      <c r="F197" s="81" t="str">
        <f>IFERROR(speciated_ghg_144[[#This Row],[Mass Emissions (U.S. tons per year)]]*speciated_ghg_144[[#This Row],[Global Warming Potential (GWP)]], "-")</f>
        <v>-</v>
      </c>
      <c r="G197" s="29"/>
      <c r="H197" s="29"/>
      <c r="I197" s="169"/>
    </row>
    <row r="198" spans="1:9" x14ac:dyDescent="0.2">
      <c r="A198" s="210"/>
      <c r="B198" s="79" t="str">
        <f>IFERROR(INDEX(gwp_table[], MATCH(speciated_ghg_144[[#This Row],[CAS '#]], gwp_table[CAS No.], 0), MATCH("Name", gwp_table[#Headers], 0)),"No CAS Number Entered")</f>
        <v>No CAS Number Entered</v>
      </c>
      <c r="C198" s="79" t="str">
        <f>IFERROR(INDEX(gwp_table[], MATCH(speciated_ghg_144[[#This Row],[CAS '#]], gwp_table[CAS No.], 0), MATCH("Global warming potential", gwp_table[#Headers], 0)),"No CAS Number Entered")</f>
        <v>No CAS Number Entered</v>
      </c>
      <c r="D198" s="219"/>
      <c r="E198" s="79">
        <f>IFERROR(speciated_ghg_144[[#This Row],[Weight Percent]]*(unique_components_142[[#Totals],[Controlled
tpy]]+standard_components_141[[#Totals],[Controlled
tpy]]), "-")</f>
        <v>0</v>
      </c>
      <c r="F198" s="81" t="str">
        <f>IFERROR(speciated_ghg_144[[#This Row],[Mass Emissions (U.S. tons per year)]]*speciated_ghg_144[[#This Row],[Global Warming Potential (GWP)]], "-")</f>
        <v>-</v>
      </c>
      <c r="G198" s="29"/>
      <c r="H198" s="29"/>
      <c r="I198" s="169"/>
    </row>
    <row r="199" spans="1:9" x14ac:dyDescent="0.2">
      <c r="A199" s="210"/>
      <c r="B199" s="79" t="str">
        <f>IFERROR(INDEX(gwp_table[], MATCH(speciated_ghg_144[[#This Row],[CAS '#]], gwp_table[CAS No.], 0), MATCH("Name", gwp_table[#Headers], 0)),"No CAS Number Entered")</f>
        <v>No CAS Number Entered</v>
      </c>
      <c r="C199" s="79" t="str">
        <f>IFERROR(INDEX(gwp_table[], MATCH(speciated_ghg_144[[#This Row],[CAS '#]], gwp_table[CAS No.], 0), MATCH("Global warming potential", gwp_table[#Headers], 0)),"No CAS Number Entered")</f>
        <v>No CAS Number Entered</v>
      </c>
      <c r="D199" s="219"/>
      <c r="E199" s="79">
        <f>IFERROR(speciated_ghg_144[[#This Row],[Weight Percent]]*(unique_components_142[[#Totals],[Controlled
tpy]]+standard_components_141[[#Totals],[Controlled
tpy]]), "-")</f>
        <v>0</v>
      </c>
      <c r="F199" s="81" t="str">
        <f>IFERROR(speciated_ghg_144[[#This Row],[Mass Emissions (U.S. tons per year)]]*speciated_ghg_144[[#This Row],[Global Warming Potential (GWP)]], "-")</f>
        <v>-</v>
      </c>
      <c r="G199" s="29"/>
      <c r="H199" s="29"/>
      <c r="I199" s="169"/>
    </row>
    <row r="200" spans="1:9" x14ac:dyDescent="0.2">
      <c r="A200" s="210"/>
      <c r="B200" s="79" t="str">
        <f>IFERROR(INDEX(gwp_table[], MATCH(speciated_ghg_144[[#This Row],[CAS '#]], gwp_table[CAS No.], 0), MATCH("Name", gwp_table[#Headers], 0)),"No CAS Number Entered")</f>
        <v>No CAS Number Entered</v>
      </c>
      <c r="C200" s="79" t="str">
        <f>IFERROR(INDEX(gwp_table[], MATCH(speciated_ghg_144[[#This Row],[CAS '#]], gwp_table[CAS No.], 0), MATCH("Global warming potential", gwp_table[#Headers], 0)),"No CAS Number Entered")</f>
        <v>No CAS Number Entered</v>
      </c>
      <c r="D200" s="219"/>
      <c r="E200" s="79">
        <f>IFERROR(speciated_ghg_144[[#This Row],[Weight Percent]]*(unique_components_142[[#Totals],[Controlled
tpy]]+standard_components_141[[#Totals],[Controlled
tpy]]), "-")</f>
        <v>0</v>
      </c>
      <c r="F200" s="81" t="str">
        <f>IFERROR(speciated_ghg_144[[#This Row],[Mass Emissions (U.S. tons per year)]]*speciated_ghg_144[[#This Row],[Global Warming Potential (GWP)]], "-")</f>
        <v>-</v>
      </c>
      <c r="G200" s="29"/>
      <c r="H200" s="29"/>
      <c r="I200" s="169"/>
    </row>
    <row r="201" spans="1:9" x14ac:dyDescent="0.2">
      <c r="A201" s="210"/>
      <c r="B201" s="79" t="str">
        <f>IFERROR(INDEX(gwp_table[], MATCH(speciated_ghg_144[[#This Row],[CAS '#]], gwp_table[CAS No.], 0), MATCH("Name", gwp_table[#Headers], 0)),"No CAS Number Entered")</f>
        <v>No CAS Number Entered</v>
      </c>
      <c r="C201" s="79" t="str">
        <f>IFERROR(INDEX(gwp_table[], MATCH(speciated_ghg_144[[#This Row],[CAS '#]], gwp_table[CAS No.], 0), MATCH("Global warming potential", gwp_table[#Headers], 0)),"No CAS Number Entered")</f>
        <v>No CAS Number Entered</v>
      </c>
      <c r="D201" s="219"/>
      <c r="E201" s="79">
        <f>IFERROR(speciated_ghg_144[[#This Row],[Weight Percent]]*(unique_components_142[[#Totals],[Controlled
tpy]]+standard_components_141[[#Totals],[Controlled
tpy]]), "-")</f>
        <v>0</v>
      </c>
      <c r="F201" s="81" t="str">
        <f>IFERROR(speciated_ghg_144[[#This Row],[Mass Emissions (U.S. tons per year)]]*speciated_ghg_144[[#This Row],[Global Warming Potential (GWP)]], "-")</f>
        <v>-</v>
      </c>
      <c r="G201" s="169"/>
      <c r="H201" s="169"/>
      <c r="I201" s="169"/>
    </row>
    <row r="202" spans="1:9" x14ac:dyDescent="0.2">
      <c r="A202" s="210"/>
      <c r="B202" s="79" t="str">
        <f>IFERROR(INDEX(gwp_table[], MATCH(speciated_ghg_144[[#This Row],[CAS '#]], gwp_table[CAS No.], 0), MATCH("Name", gwp_table[#Headers], 0)),"No CAS Number Entered")</f>
        <v>No CAS Number Entered</v>
      </c>
      <c r="C202" s="79" t="str">
        <f>IFERROR(INDEX(gwp_table[], MATCH(speciated_ghg_144[[#This Row],[CAS '#]], gwp_table[CAS No.], 0), MATCH("Global warming potential", gwp_table[#Headers], 0)),"No CAS Number Entered")</f>
        <v>No CAS Number Entered</v>
      </c>
      <c r="D202" s="219"/>
      <c r="E202" s="79">
        <f>IFERROR(speciated_ghg_144[[#This Row],[Weight Percent]]*(unique_components_142[[#Totals],[Controlled
tpy]]+standard_components_141[[#Totals],[Controlled
tpy]]), "-")</f>
        <v>0</v>
      </c>
      <c r="F202" s="81" t="str">
        <f>IFERROR(speciated_ghg_144[[#This Row],[Mass Emissions (U.S. tons per year)]]*speciated_ghg_144[[#This Row],[Global Warming Potential (GWP)]], "-")</f>
        <v>-</v>
      </c>
      <c r="G202" s="169"/>
      <c r="H202" s="169"/>
      <c r="I202" s="169"/>
    </row>
    <row r="203" spans="1:9" x14ac:dyDescent="0.2">
      <c r="A203" s="210"/>
      <c r="B203" s="79" t="str">
        <f>IFERROR(INDEX(gwp_table[], MATCH(speciated_ghg_144[[#This Row],[CAS '#]], gwp_table[CAS No.], 0), MATCH("Name", gwp_table[#Headers], 0)),"No CAS Number Entered")</f>
        <v>No CAS Number Entered</v>
      </c>
      <c r="C203" s="79" t="str">
        <f>IFERROR(INDEX(gwp_table[], MATCH(speciated_ghg_144[[#This Row],[CAS '#]], gwp_table[CAS No.], 0), MATCH("Global warming potential", gwp_table[#Headers], 0)),"No CAS Number Entered")</f>
        <v>No CAS Number Entered</v>
      </c>
      <c r="D203" s="219"/>
      <c r="E203" s="79">
        <f>IFERROR(speciated_ghg_144[[#This Row],[Weight Percent]]*(unique_components_142[[#Totals],[Controlled
tpy]]+standard_components_141[[#Totals],[Controlled
tpy]]), "-")</f>
        <v>0</v>
      </c>
      <c r="F203" s="81" t="str">
        <f>IFERROR(speciated_ghg_144[[#This Row],[Mass Emissions (U.S. tons per year)]]*speciated_ghg_144[[#This Row],[Global Warming Potential (GWP)]], "-")</f>
        <v>-</v>
      </c>
      <c r="G203" s="169"/>
      <c r="H203" s="169"/>
      <c r="I203" s="169"/>
    </row>
    <row r="204" spans="1:9" ht="30" x14ac:dyDescent="0.25">
      <c r="A204" s="185" t="s">
        <v>13321</v>
      </c>
      <c r="B204" s="77"/>
      <c r="C204" s="77"/>
      <c r="D204" s="77"/>
      <c r="E204" s="80">
        <f>SUBTOTAL(109,speciated_ghg_144[Mass Emissions (U.S. tons per year)])</f>
        <v>0</v>
      </c>
      <c r="F204" s="82">
        <f>SUBTOTAL(109,speciated_ghg_144[CO2e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speciated_chemicals_143[[#Totals],[lb/hr]]</f>
        <v>0</v>
      </c>
      <c r="C207" s="134"/>
      <c r="D207" s="134"/>
      <c r="E207" s="134"/>
      <c r="F207" s="134"/>
      <c r="G207" s="169"/>
      <c r="H207" s="169"/>
    </row>
    <row r="208" spans="1:9" ht="29.25" x14ac:dyDescent="0.25">
      <c r="A208" s="174" t="s">
        <v>13320</v>
      </c>
      <c r="B208" s="175">
        <f>speciated_chemicals_143[[#Totals],[tpy]]</f>
        <v>0</v>
      </c>
      <c r="C208" s="134"/>
      <c r="D208" s="134"/>
      <c r="E208" s="134"/>
      <c r="F208" s="134"/>
      <c r="G208" s="169"/>
      <c r="H208" s="169"/>
    </row>
    <row r="209" spans="1:8" ht="15" x14ac:dyDescent="0.25">
      <c r="A209" s="126" t="s">
        <v>13277</v>
      </c>
      <c r="B209" s="128">
        <f>SUMIF(speciated_chemicals_143[VOC?],"Yes",speciated_chemicals_143[lb/hr])</f>
        <v>0</v>
      </c>
      <c r="C209" s="134"/>
      <c r="D209" s="29"/>
      <c r="E209" s="29"/>
      <c r="F209" s="29"/>
      <c r="G209" s="169"/>
      <c r="H209" s="169"/>
    </row>
    <row r="210" spans="1:8" ht="15" x14ac:dyDescent="0.25">
      <c r="A210" s="126" t="s">
        <v>12669</v>
      </c>
      <c r="B210" s="128">
        <f>SUMIF(speciated_chemicals_143[VOC?],"Yes",speciated_chemicals_143[tpy])</f>
        <v>0</v>
      </c>
      <c r="C210" s="134"/>
      <c r="D210" s="29"/>
      <c r="E210" s="29"/>
      <c r="F210" s="29"/>
      <c r="G210" s="169"/>
      <c r="H210" s="169"/>
    </row>
    <row r="211" spans="1:8" ht="15" x14ac:dyDescent="0.25">
      <c r="A211" s="126" t="s">
        <v>12775</v>
      </c>
      <c r="B211" s="128">
        <f>SUMIF(speciated_chemicals_143[Inorganic?],"Yes",speciated_chemicals_143[lb/hr])</f>
        <v>0</v>
      </c>
      <c r="C211" s="134"/>
      <c r="D211" s="29"/>
      <c r="E211" s="29"/>
      <c r="F211" s="29"/>
      <c r="G211" s="169"/>
      <c r="H211" s="169"/>
    </row>
    <row r="212" spans="1:8" ht="15" x14ac:dyDescent="0.25">
      <c r="A212" s="126" t="s">
        <v>12770</v>
      </c>
      <c r="B212" s="128">
        <f>SUMIF(speciated_chemicals_143[Inorganic?],"Yes",speciated_chemicals_143[tpy])</f>
        <v>0</v>
      </c>
      <c r="C212" s="134"/>
      <c r="D212" s="29"/>
      <c r="E212" s="29"/>
      <c r="F212" s="29"/>
      <c r="G212" s="169"/>
      <c r="H212" s="169"/>
    </row>
    <row r="213" spans="1:8" ht="15" x14ac:dyDescent="0.25">
      <c r="A213" s="126" t="s">
        <v>13276</v>
      </c>
      <c r="B213" s="128">
        <f>SUMIF(speciated_chemicals_143[VOC-Exempt Solvent?],"Yes",speciated_chemicals_143[lb/hr])</f>
        <v>0</v>
      </c>
      <c r="C213" s="134"/>
      <c r="D213" s="29"/>
      <c r="E213" s="29"/>
      <c r="F213" s="29"/>
      <c r="G213" s="169"/>
      <c r="H213" s="169"/>
    </row>
    <row r="214" spans="1:8" ht="15" x14ac:dyDescent="0.25">
      <c r="A214" s="126" t="s">
        <v>13278</v>
      </c>
      <c r="B214" s="128">
        <f>SUMIF(speciated_chemicals_143[VOC-Exempt Solvent?],"Yes",speciated_chemicals_143[tpy])</f>
        <v>0</v>
      </c>
      <c r="C214" s="134"/>
      <c r="D214" s="29"/>
      <c r="E214" s="29"/>
      <c r="F214" s="29"/>
      <c r="G214" s="169"/>
      <c r="H214" s="169"/>
    </row>
    <row r="215" spans="1:8" ht="15" x14ac:dyDescent="0.25">
      <c r="A215" s="127" t="s">
        <v>13280</v>
      </c>
      <c r="B215" s="176">
        <f>speciated_ghg_144[[#Totals],[Mass Emissions (U.S. tons per year)]]</f>
        <v>0</v>
      </c>
      <c r="C215" s="134"/>
      <c r="D215" s="29"/>
      <c r="E215" s="29"/>
      <c r="F215" s="29"/>
      <c r="G215" s="169"/>
      <c r="H215" s="169"/>
    </row>
    <row r="216" spans="1:8" ht="18.75" x14ac:dyDescent="0.35">
      <c r="A216" s="127" t="s">
        <v>13281</v>
      </c>
      <c r="B216" s="176">
        <f>speciated_ghg_144[[#Totals],[CO2e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wUZKCSfML85822BkgRT0G159N7JPJljIsgSohekxX8rqNDgzYoy8UdcPwrAAkvGXMSEpQmZZLvUNj5jMmPPRhg==" saltValue="pjRC6ylinozz6vkyKgKdfQ==" spinCount="100000" sheet="1" objects="1" scenarios="1" formatColumns="0" formatRows="0" autoFilter="0"/>
  <conditionalFormatting sqref="A21:H21">
    <cfRule type="expression" dxfId="1792" priority="5">
      <formula>$F$19="No"</formula>
    </cfRule>
  </conditionalFormatting>
  <conditionalFormatting sqref="A105:E106 F106:G126">
    <cfRule type="expression" dxfId="1791" priority="4">
      <formula>$E$104="no"</formula>
    </cfRule>
  </conditionalFormatting>
  <conditionalFormatting sqref="C131:C180">
    <cfRule type="expression" dxfId="1790" priority="3">
      <formula>NOT(B131="Other (Please specify):")</formula>
    </cfRule>
  </conditionalFormatting>
  <conditionalFormatting sqref="A107:E126">
    <cfRule type="expression" dxfId="1789" priority="2">
      <formula>$A$58="No"</formula>
    </cfRule>
  </conditionalFormatting>
  <conditionalFormatting sqref="A107:E126 A206:B214 A215:A216">
    <cfRule type="expression" dxfId="1788"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A4F09AB0-5626-4C18-BC97-876E89A0ACD8}"/>
    <dataValidation type="list" allowBlank="1" showInputMessage="1" showErrorMessage="1" sqref="E104:H104 B10" xr:uid="{25B9273F-80A6-48B4-A15F-9C7D3BFA421E}">
      <formula1>"Yes,No"</formula1>
    </dataValidation>
    <dataValidation type="list" allowBlank="1" showInputMessage="1" showErrorMessage="1" sqref="F19:H20" xr:uid="{EF411B4D-E131-48A0-896E-CD17DAE83320}">
      <formula1>"No,Yes - 75%,Yes - 95%"</formula1>
    </dataValidation>
    <dataValidation type="list" allowBlank="1" showInputMessage="1" showErrorMessage="1" sqref="F18" xr:uid="{00280F8A-8438-4D6E-861D-14EC6076D2E8}">
      <formula1>IF(#REF!="SOCMI Non-leaker",ListNone,ListInspection)</formula1>
    </dataValidation>
    <dataValidation type="list" allowBlank="1" showInputMessage="1" showErrorMessage="1" sqref="F16:F17" xr:uid="{700EB4E7-78E2-40F1-9B8C-F75DCC6B6B59}">
      <formula1>IF(#REF!="SOCMI Non-Leaker",ListNone,ListInstrument)</formula1>
    </dataValidation>
    <dataValidation type="list" allowBlank="1" showInputMessage="1" prompt="Please specify whether the substance is a volatile organic compound (VOC); methane and ethane are not classifed as VOCs" sqref="D132:D180" xr:uid="{A686AF40-3937-4C59-9DDD-144FAABDB2AA}">
      <formula1>"Yes,No"</formula1>
    </dataValidation>
    <dataValidation allowBlank="1" showInputMessage="1" showErrorMessage="1" prompt="Enter the weight percent of the substance" sqref="H178:H180 H132:H176" xr:uid="{DC1FDE67-677A-448D-B2D8-3C42851E6383}"/>
    <dataValidation type="list" allowBlank="1" showInputMessage="1" showErrorMessage="1" prompt="Enter or select Chemical Abstracts Service number; select &quot;N/A&quot; if a CAS # is not applicable" sqref="A131:A175 A177:A180" xr:uid="{9BF43349-8CF5-45CB-9212-903DCBAD4214}">
      <formula1>SpeciesList</formula1>
    </dataValidation>
    <dataValidation type="list" allowBlank="1" showInputMessage="1" prompt="Select other species from dropdown" sqref="C131:C180" xr:uid="{DB3AC335-43BD-4B60-BFD8-3C4640A04C44}">
      <formula1>NoCASList</formula1>
    </dataValidation>
    <dataValidation allowBlank="1" showInputMessage="1" showErrorMessage="1" prompt="Proposed control efficiency (0-1)" sqref="E107:E126" xr:uid="{F28A191A-4404-494A-9832-EF71EFDEAEA5}"/>
    <dataValidation allowBlank="1" showInputMessage="1" showErrorMessage="1" prompt="Count of unique component" sqref="C107:C126" xr:uid="{A002A6E8-E72C-4266-B2DD-A5D0F9A3AF63}"/>
    <dataValidation allowBlank="1" showInputMessage="1" showErrorMessage="1" prompt="Type of service (e.g. gas, vapor, or liquid)" sqref="B107:B126" xr:uid="{6CD4AA4F-D3B0-43D0-8E5F-8EED7EC04195}"/>
    <dataValidation allowBlank="1" showInputMessage="1" showErrorMessage="1" prompt="Name of unique component" sqref="A107:A126" xr:uid="{24D5D9A9-EC70-4BC2-98EF-00BC4CC70B3B}"/>
    <dataValidation type="list" allowBlank="1" showInputMessage="1" showErrorMessage="1" sqref="B13" xr:uid="{221FC9BC-4DAA-4241-AAFD-1E36CF67E41F}">
      <formula1>industry_names</formula1>
    </dataValidation>
    <dataValidation type="list" allowBlank="1" showInputMessage="1" showErrorMessage="1" sqref="B19" xr:uid="{253CD447-47A7-4BEE-A3D2-ECFC82654A1A}">
      <formula1>yes_no_list</formula1>
    </dataValidation>
    <dataValidation type="list" allowBlank="1" showInputMessage="1" showErrorMessage="1" sqref="B20" xr:uid="{BD7B4E7D-3710-412E-A34B-7E929483865D}">
      <formula1>process_drains_effs</formula1>
    </dataValidation>
    <dataValidation allowBlank="1" showInputMessage="1" showErrorMessage="1" prompt="Proposed emission factor" sqref="D107:D126" xr:uid="{C13C0962-B4D3-4C66-BBBE-CFC33D40D884}"/>
    <dataValidation type="list" allowBlank="1" showInputMessage="1" prompt="Please specify if the substance is an inert substance or is not considered a contaminant (e.g. steam)" sqref="G131:G180" xr:uid="{FD2DAE21-9C70-4A9A-8C46-128C62583EAE}">
      <formula1>"Yes,No"</formula1>
    </dataValidation>
    <dataValidation type="list" allowBlank="1" showInputMessage="1" showErrorMessage="1" prompt="Please select from the dropdown" sqref="B104" xr:uid="{C07C43E6-8516-4949-AB9E-22D211D925CF}">
      <formula1>yes_no_list</formula1>
    </dataValidation>
    <dataValidation allowBlank="1" showInputMessage="1" showErrorMessage="1" prompt="Provide justification" sqref="B105" xr:uid="{A071BFBD-7D24-40A4-AE63-E353C866F8D0}"/>
    <dataValidation type="list" showInputMessage="1" prompt="Please specify whether the substance is a volatile organic compound (VOC); methane and ethane are not classifed as VOCs" sqref="D131" xr:uid="{F4DCFA38-C4DC-467C-B225-A88A2B79F4FC}">
      <formula1>"Yes,No"</formula1>
    </dataValidation>
    <dataValidation type="list" showInputMessage="1" prompt="Please specify whether the substance is an inorganic contaminant (e.g. ammonia or chlorine gas)" sqref="E131:E180" xr:uid="{2AA7FBD4-22F1-4574-82C5-8E76B986E1E4}">
      <formula1>"Yes,No"</formula1>
    </dataValidation>
    <dataValidation type="list" allowBlank="1" showInputMessage="1" prompt="Please specify whether the substance is an VOC-exempt solvent." sqref="F131:F180" xr:uid="{577AF938-A003-48A0-A9D4-F28F70B8DFB6}">
      <formula1>"Yes,No"</formula1>
    </dataValidation>
    <dataValidation type="list" allowBlank="1" showInputMessage="1" showErrorMessage="1" prompt="Enter or select Chemical Abstracts Service number; select &quot;N/A&quot; if a CAS # is not applicable" sqref="A185:A203 A176" xr:uid="{4D30BCD0-755D-45B6-8C5D-34CC9137F993}">
      <formula1>gwp_table_cas</formula1>
    </dataValidation>
    <dataValidation type="decimal" allowBlank="1" showInputMessage="1" showErrorMessage="1" prompt="Enter the weight percent of the substance" sqref="H177" xr:uid="{7DD060F8-F908-4183-97DC-3CBA39569C77}">
      <formula1>0</formula1>
      <formula2>1</formula2>
    </dataValidation>
    <dataValidation type="decimal" operator="greaterThan" allowBlank="1" showInputMessage="1" showErrorMessage="1" prompt="Enter the weight percent of the substance" sqref="H131 D185:D203" xr:uid="{ABC9F80B-74A1-4596-A133-0C482DE81122}">
      <formula1>0</formula1>
    </dataValidation>
    <dataValidation type="list" allowBlank="1" showInputMessage="1" showErrorMessage="1" sqref="B18" xr:uid="{40BD44EE-907E-45F9-BD22-77AA52357197}">
      <formula1>inspection_ldar_list</formula1>
    </dataValidation>
    <dataValidation type="list" allowBlank="1" showInputMessage="1" showErrorMessage="1" sqref="B17" xr:uid="{2365CFFE-0A3A-4E18-B41D-6CEE7A25281C}">
      <formula1>connector_ldar_list</formula1>
    </dataValidation>
    <dataValidation type="list" allowBlank="1" showInputMessage="1" showErrorMessage="1" sqref="B16" xr:uid="{A63A892D-B36C-4314-9197-FFB0BB0144F2}">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A398-6FBE-4F2A-8F6B-CCCF3F78B9C3}">
  <sheetPr codeName="Sheet14">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INDEX((standard_components_145[[#This Row],[Component]]=factor_eff_table[Component])*(standard_components_145[[#This Row],[Service]]=factor_eff_table[Service]), 0, 1), 0)),
 "-")</f>
        <v>-</v>
      </c>
      <c r="E25" s="145" t="str" cm="1">
        <f t="array" ref="E2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25" s="145" t="str" cm="1">
        <f t="array" ref="F2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25" s="145" t="str" cm="1">
        <f t="array" ref="G2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2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2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INDEX((standard_components_145[[#This Row],[Component]]=factor_eff_table[Component])*(standard_components_145[[#This Row],[Service]]=factor_eff_table[Service]), 0, 1), 0)),
 "-")</f>
        <v>-</v>
      </c>
      <c r="E26" s="145" t="str" cm="1">
        <f t="array" ref="E2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26" s="145" t="str" cm="1">
        <f t="array" ref="F2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26" s="145" t="str" cm="1">
        <f t="array" ref="G2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2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2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INDEX((standard_components_145[[#This Row],[Component]]=factor_eff_table[Component])*(standard_components_145[[#This Row],[Service]]=factor_eff_table[Service]), 0, 1), 0)),
 "-")</f>
        <v>-</v>
      </c>
      <c r="E27" s="145" t="str" cm="1">
        <f t="array" ref="E2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27" s="145" t="str" cm="1">
        <f t="array" ref="F2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27" s="145" t="str" cm="1">
        <f t="array" ref="G2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2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2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INDEX((standard_components_145[[#This Row],[Component]]=factor_eff_table[Component])*(standard_components_145[[#This Row],[Service]]=factor_eff_table[Service]), 0, 1), 0)),
 "-")</f>
        <v>-</v>
      </c>
      <c r="E28" s="145" t="str" cm="1">
        <f t="array" ref="E2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28" s="145" t="str" cm="1">
        <f t="array" ref="F2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28" s="145" t="str" cm="1">
        <f t="array" ref="G2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2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2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INDEX((standard_components_145[[#This Row],[Component]]=factor_eff_table[Component])*(standard_components_145[[#This Row],[Service]]=factor_eff_table[Service]), 0, 1), 0)),
 "-")</f>
        <v>-</v>
      </c>
      <c r="E29" s="145" t="str" cm="1">
        <f t="array" ref="E2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29" s="145" t="str" cm="1">
        <f t="array" ref="F2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29" s="145" t="str" cm="1">
        <f t="array" ref="G2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2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2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INDEX((standard_components_145[[#This Row],[Component]]=factor_eff_table[Component])*(standard_components_145[[#This Row],[Service]]=factor_eff_table[Service]), 0, 1), 0)),
 "-")</f>
        <v>-</v>
      </c>
      <c r="E30" s="145" t="str" cm="1">
        <f t="array" ref="E3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0" s="145" t="str" cm="1">
        <f t="array" ref="F3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0" s="145" t="str" cm="1">
        <f t="array" ref="G3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INDEX((standard_components_145[[#This Row],[Component]]=factor_eff_table[Component])*(standard_components_145[[#This Row],[Service]]=factor_eff_table[Service]), 0, 1), 0)),
 "-")</f>
        <v>-</v>
      </c>
      <c r="E31" s="145" t="str" cm="1">
        <f t="array" ref="E3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1" s="145" t="str" cm="1">
        <f t="array" ref="F3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1" s="145" t="str" cm="1">
        <f t="array" ref="G3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INDEX((standard_components_145[[#This Row],[Component]]=factor_eff_table[Component])*(standard_components_145[[#This Row],[Service]]=factor_eff_table[Service]), 0, 1), 0)),
 "-")</f>
        <v>-</v>
      </c>
      <c r="E32" s="145" t="str" cm="1">
        <f t="array" ref="E3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2" s="145" t="str" cm="1">
        <f t="array" ref="F3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2" s="145" t="str" cm="1">
        <f t="array" ref="G3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INDEX((standard_components_145[[#This Row],[Component]]=factor_eff_table[Component])*(standard_components_145[[#This Row],[Service]]=factor_eff_table[Service]), 0, 1), 0)),
 "-")</f>
        <v>-</v>
      </c>
      <c r="E33" s="145" t="str" cm="1">
        <f t="array" ref="E3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3" s="145" t="str" cm="1">
        <f t="array" ref="F3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3" s="145" t="str" cm="1">
        <f t="array" ref="G3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INDEX((standard_components_145[[#This Row],[Component]]=factor_eff_table[Component])*(standard_components_145[[#This Row],[Service]]=factor_eff_table[Service]), 0, 1), 0)),
 "-")</f>
        <v>-</v>
      </c>
      <c r="E34" s="145" t="str" cm="1">
        <f t="array" ref="E3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4" s="145" t="str" cm="1">
        <f t="array" ref="F3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4" s="145" t="str" cm="1">
        <f t="array" ref="G3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INDEX((standard_components_145[[#This Row],[Component]]=factor_eff_table[Component])*(standard_components_145[[#This Row],[Service]]=factor_eff_table[Service]), 0, 1), 0)),
 "-")</f>
        <v>-</v>
      </c>
      <c r="E35" s="145" t="str" cm="1">
        <f t="array" ref="E3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5" s="145" t="str" cm="1">
        <f t="array" ref="F3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5" s="145" t="str" cm="1">
        <f t="array" ref="G3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INDEX((standard_components_145[[#This Row],[Component]]=factor_eff_table[Component])*(standard_components_145[[#This Row],[Service]]=factor_eff_table[Service]), 0, 1), 0)),
 "-")</f>
        <v>-</v>
      </c>
      <c r="E36" s="145" t="str" cm="1">
        <f t="array" ref="E3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6" s="145" t="str" cm="1">
        <f t="array" ref="F3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6" s="145" t="str" cm="1">
        <f t="array" ref="G3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INDEX((standard_components_145[[#This Row],[Component]]=factor_eff_table[Component])*(standard_components_145[[#This Row],[Service]]=factor_eff_table[Service]), 0, 1), 0)),
 "-")</f>
        <v>-</v>
      </c>
      <c r="E37" s="145" t="str" cm="1">
        <f t="array" ref="E3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7" s="145" t="str" cm="1">
        <f t="array" ref="F3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7" s="145" t="str" cm="1">
        <f t="array" ref="G3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INDEX((standard_components_145[[#This Row],[Component]]=factor_eff_table[Component])*(standard_components_145[[#This Row],[Service]]=factor_eff_table[Service]), 0, 1), 0)),
 "-")</f>
        <v>-</v>
      </c>
      <c r="E38" s="145" t="str" cm="1">
        <f t="array" ref="E3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8" s="145" t="str" cm="1">
        <f t="array" ref="F3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8" s="145" t="str" cm="1">
        <f t="array" ref="G3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INDEX((standard_components_145[[#This Row],[Component]]=factor_eff_table[Component])*(standard_components_145[[#This Row],[Service]]=factor_eff_table[Service]), 0, 1), 0)),
 "-")</f>
        <v>-</v>
      </c>
      <c r="E39" s="145" t="str" cm="1">
        <f t="array" ref="E3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39" s="145" t="str" cm="1">
        <f t="array" ref="F3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39" s="145" t="str" cm="1">
        <f t="array" ref="G3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3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3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INDEX((standard_components_145[[#This Row],[Component]]=factor_eff_table[Component])*(standard_components_145[[#This Row],[Service]]=factor_eff_table[Service]), 0, 1), 0)),
 "-")</f>
        <v>-</v>
      </c>
      <c r="E40" s="145" t="str" cm="1">
        <f t="array" ref="E4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0" s="145" t="str" cm="1">
        <f t="array" ref="F4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0" s="145" t="str" cm="1">
        <f t="array" ref="G4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INDEX((standard_components_145[[#This Row],[Component]]=factor_eff_table[Component])*(standard_components_145[[#This Row],[Service]]=factor_eff_table[Service]), 0, 1), 0)),
 "-")</f>
        <v>-</v>
      </c>
      <c r="E41" s="145" t="str" cm="1">
        <f t="array" ref="E4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1" s="145" t="str" cm="1">
        <f t="array" ref="F4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1" s="145" t="str" cm="1">
        <f t="array" ref="G4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INDEX((standard_components_145[[#This Row],[Component]]=factor_eff_table[Component])*(standard_components_145[[#This Row],[Service]]=factor_eff_table[Service]), 0, 1), 0)),
 "-")</f>
        <v>-</v>
      </c>
      <c r="E42" s="145" t="str" cm="1">
        <f t="array" ref="E4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2" s="145" t="str" cm="1">
        <f t="array" ref="F4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2" s="145" t="str" cm="1">
        <f t="array" ref="G4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INDEX((standard_components_145[[#This Row],[Component]]=factor_eff_table[Component])*(standard_components_145[[#This Row],[Service]]=factor_eff_table[Service]), 0, 1), 0)),
 "-")</f>
        <v>-</v>
      </c>
      <c r="E43" s="145" t="str" cm="1">
        <f t="array" ref="E4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3" s="145" t="str" cm="1">
        <f t="array" ref="F4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3" s="145" t="str" cm="1">
        <f t="array" ref="G4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INDEX((standard_components_145[[#This Row],[Component]]=factor_eff_table[Component])*(standard_components_145[[#This Row],[Service]]=factor_eff_table[Service]), 0, 1), 0)),
 "-")</f>
        <v>-</v>
      </c>
      <c r="E44" s="145" t="str" cm="1">
        <f t="array" ref="E4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4" s="145" t="str" cm="1">
        <f t="array" ref="F4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4" s="145" t="str" cm="1">
        <f t="array" ref="G4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INDEX((standard_components_145[[#This Row],[Component]]=factor_eff_table[Component])*(standard_components_145[[#This Row],[Service]]=factor_eff_table[Service]), 0, 1), 0)),
 "-")</f>
        <v>-</v>
      </c>
      <c r="E45" s="145" t="str" cm="1">
        <f t="array" ref="E4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5" s="145" t="str" cm="1">
        <f t="array" ref="F4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5" s="145" t="str" cm="1">
        <f t="array" ref="G4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INDEX((standard_components_145[[#This Row],[Component]]=factor_eff_table[Component])*(standard_components_145[[#This Row],[Service]]=factor_eff_table[Service]), 0, 1), 0)),
 "-")</f>
        <v>-</v>
      </c>
      <c r="E46" s="145" t="str" cm="1">
        <f t="array" ref="E4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6" s="145" t="str" cm="1">
        <f t="array" ref="F4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6" s="145" t="str" cm="1">
        <f t="array" ref="G4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INDEX((standard_components_145[[#This Row],[Component]]=factor_eff_table[Component])*(standard_components_145[[#This Row],[Service]]=factor_eff_table[Service]), 0, 1), 0)),
 "-")</f>
        <v>-</v>
      </c>
      <c r="E47" s="145" t="str" cm="1">
        <f t="array" ref="E4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7" s="145" t="str" cm="1">
        <f t="array" ref="F4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7" s="145" t="str" cm="1">
        <f t="array" ref="G4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INDEX((standard_components_145[[#This Row],[Component]]=factor_eff_table[Component])*(standard_components_145[[#This Row],[Service]]=factor_eff_table[Service]), 0, 1), 0)),
 "-")</f>
        <v>-</v>
      </c>
      <c r="E48" s="145" t="str" cm="1">
        <f t="array" ref="E4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8" s="145" t="str" cm="1">
        <f t="array" ref="F4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8" s="145" t="str" cm="1">
        <f t="array" ref="G4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INDEX((standard_components_145[[#This Row],[Component]]=factor_eff_table[Component])*(standard_components_145[[#This Row],[Service]]=factor_eff_table[Service]), 0, 1), 0)),
 "-")</f>
        <v>-</v>
      </c>
      <c r="E49" s="145" t="str" cm="1">
        <f t="array" ref="E4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49" s="145" t="str" cm="1">
        <f t="array" ref="F4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49" s="145" t="str" cm="1">
        <f t="array" ref="G4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4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4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INDEX((standard_components_145[[#This Row],[Component]]=factor_eff_table[Component])*(standard_components_145[[#This Row],[Service]]=factor_eff_table[Service]), 0, 1), 0)),
 "-")</f>
        <v>-</v>
      </c>
      <c r="E50" s="145" t="str" cm="1">
        <f t="array" ref="E5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0" s="145" t="str" cm="1">
        <f t="array" ref="F5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0" s="145" t="str" cm="1">
        <f t="array" ref="G5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INDEX((standard_components_145[[#This Row],[Component]]=factor_eff_table[Component])*(standard_components_145[[#This Row],[Service]]=factor_eff_table[Service]), 0, 1), 0)),
 "-")</f>
        <v>-</v>
      </c>
      <c r="E51" s="145" t="str" cm="1">
        <f t="array" ref="E5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1" s="145" t="str" cm="1">
        <f t="array" ref="F5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1" s="145" t="str" cm="1">
        <f t="array" ref="G5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INDEX((standard_components_145[[#This Row],[Component]]=factor_eff_table[Component])*(standard_components_145[[#This Row],[Service]]=factor_eff_table[Service]), 0, 1), 0)),
 "-")</f>
        <v>-</v>
      </c>
      <c r="E52" s="145" t="str" cm="1">
        <f t="array" ref="E5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2" s="145" t="str" cm="1">
        <f t="array" ref="F5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2" s="145" t="str" cm="1">
        <f t="array" ref="G5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INDEX((standard_components_145[[#This Row],[Component]]=factor_eff_table[Component])*(standard_components_145[[#This Row],[Service]]=factor_eff_table[Service]), 0, 1), 0)),
 "-")</f>
        <v>-</v>
      </c>
      <c r="E53" s="145" t="str" cm="1">
        <f t="array" ref="E5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3" s="145" t="str" cm="1">
        <f t="array" ref="F5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3" s="145" t="str" cm="1">
        <f t="array" ref="G5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INDEX((standard_components_145[[#This Row],[Component]]=factor_eff_table[Component])*(standard_components_145[[#This Row],[Service]]=factor_eff_table[Service]), 0, 1), 0)),
 "-")</f>
        <v>-</v>
      </c>
      <c r="E54" s="145" t="str" cm="1">
        <f t="array" ref="E5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4" s="145" t="str" cm="1">
        <f t="array" ref="F5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4" s="145" t="str" cm="1">
        <f t="array" ref="G5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INDEX((standard_components_145[[#This Row],[Component]]=factor_eff_table[Component])*(standard_components_145[[#This Row],[Service]]=factor_eff_table[Service]), 0, 1), 0)),
 "-")</f>
        <v>-</v>
      </c>
      <c r="E55" s="145" t="str" cm="1">
        <f t="array" ref="E5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5" s="145" t="str" cm="1">
        <f t="array" ref="F5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5" s="145" t="str" cm="1">
        <f t="array" ref="G5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INDEX((standard_components_145[[#This Row],[Component]]=factor_eff_table[Component])*(standard_components_145[[#This Row],[Service]]=factor_eff_table[Service]), 0, 1), 0)),
 "-")</f>
        <v>-</v>
      </c>
      <c r="E56" s="145" t="str" cm="1">
        <f t="array" ref="E5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6" s="145" t="str" cm="1">
        <f t="array" ref="F5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6" s="145" t="str" cm="1">
        <f t="array" ref="G5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INDEX((standard_components_145[[#This Row],[Component]]=factor_eff_table[Component])*(standard_components_145[[#This Row],[Service]]=factor_eff_table[Service]), 0, 1), 0)),
 "-")</f>
        <v>-</v>
      </c>
      <c r="E57" s="145" t="str" cm="1">
        <f t="array" ref="E5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7" s="145" t="str" cm="1">
        <f t="array" ref="F5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7" s="145" t="str" cm="1">
        <f t="array" ref="G5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INDEX((standard_components_145[[#This Row],[Component]]=factor_eff_table[Component])*(standard_components_145[[#This Row],[Service]]=factor_eff_table[Service]), 0, 1), 0)),
 "-")</f>
        <v>-</v>
      </c>
      <c r="E58" s="145" t="str" cm="1">
        <f t="array" ref="E5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8" s="145" t="str" cm="1">
        <f t="array" ref="F5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8" s="145" t="str" cm="1">
        <f t="array" ref="G5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INDEX((standard_components_145[[#This Row],[Component]]=factor_eff_table[Component])*(standard_components_145[[#This Row],[Service]]=factor_eff_table[Service]), 0, 1), 0)),
 "-")</f>
        <v>-</v>
      </c>
      <c r="E59" s="145" t="str" cm="1">
        <f t="array" ref="E5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59" s="145" t="str" cm="1">
        <f t="array" ref="F5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59" s="145" t="str" cm="1">
        <f t="array" ref="G5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5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5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INDEX((standard_components_145[[#This Row],[Component]]=factor_eff_table[Component])*(standard_components_145[[#This Row],[Service]]=factor_eff_table[Service]), 0, 1), 0)),
 "-")</f>
        <v>-</v>
      </c>
      <c r="E60" s="145" t="str" cm="1">
        <f t="array" ref="E6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0" s="145" t="str" cm="1">
        <f t="array" ref="F6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0" s="145" t="str" cm="1">
        <f t="array" ref="G6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INDEX((standard_components_145[[#This Row],[Component]]=factor_eff_table[Component])*(standard_components_145[[#This Row],[Service]]=factor_eff_table[Service]), 0, 1), 0)),
 "-")</f>
        <v>-</v>
      </c>
      <c r="E61" s="145" t="str" cm="1">
        <f t="array" ref="E6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1" s="145" t="str" cm="1">
        <f t="array" ref="F6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1" s="145" t="str" cm="1">
        <f t="array" ref="G6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INDEX((standard_components_145[[#This Row],[Component]]=factor_eff_table[Component])*(standard_components_145[[#This Row],[Service]]=factor_eff_table[Service]), 0, 1), 0)),
 "-")</f>
        <v>-</v>
      </c>
      <c r="E62" s="145" t="str" cm="1">
        <f t="array" ref="E6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2" s="145" t="str" cm="1">
        <f t="array" ref="F6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2" s="145" t="str" cm="1">
        <f t="array" ref="G6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INDEX((standard_components_145[[#This Row],[Component]]=factor_eff_table[Component])*(standard_components_145[[#This Row],[Service]]=factor_eff_table[Service]), 0, 1), 0)),
 "-")</f>
        <v>-</v>
      </c>
      <c r="E63" s="145" t="str" cm="1">
        <f t="array" ref="E6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3" s="145" t="str" cm="1">
        <f t="array" ref="F6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3" s="145" t="str" cm="1">
        <f t="array" ref="G6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INDEX((standard_components_145[[#This Row],[Component]]=factor_eff_table[Component])*(standard_components_145[[#This Row],[Service]]=factor_eff_table[Service]), 0, 1), 0)),
 "-")</f>
        <v>-</v>
      </c>
      <c r="E64" s="145" t="str" cm="1">
        <f t="array" ref="E6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4" s="145" t="str" cm="1">
        <f t="array" ref="F6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4" s="145" t="str" cm="1">
        <f t="array" ref="G6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INDEX((standard_components_145[[#This Row],[Component]]=factor_eff_table[Component])*(standard_components_145[[#This Row],[Service]]=factor_eff_table[Service]), 0, 1), 0)),
 "-")</f>
        <v>-</v>
      </c>
      <c r="E65" s="145" t="str" cm="1">
        <f t="array" ref="E6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5" s="145" t="str" cm="1">
        <f t="array" ref="F6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5" s="145" t="str" cm="1">
        <f t="array" ref="G6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INDEX((standard_components_145[[#This Row],[Component]]=factor_eff_table[Component])*(standard_components_145[[#This Row],[Service]]=factor_eff_table[Service]), 0, 1), 0)),
 "-")</f>
        <v>-</v>
      </c>
      <c r="E66" s="145" t="str" cm="1">
        <f t="array" ref="E6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6" s="145" t="str" cm="1">
        <f t="array" ref="F6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6" s="145" t="str" cm="1">
        <f t="array" ref="G6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INDEX((standard_components_145[[#This Row],[Component]]=factor_eff_table[Component])*(standard_components_145[[#This Row],[Service]]=factor_eff_table[Service]), 0, 1), 0)),
 "-")</f>
        <v>-</v>
      </c>
      <c r="E67" s="145" t="str" cm="1">
        <f t="array" ref="E6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7" s="145" t="str" cm="1">
        <f t="array" ref="F6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7" s="145" t="str" cm="1">
        <f t="array" ref="G6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INDEX((standard_components_145[[#This Row],[Component]]=factor_eff_table[Component])*(standard_components_145[[#This Row],[Service]]=factor_eff_table[Service]), 0, 1), 0)),
 "-")</f>
        <v>-</v>
      </c>
      <c r="E68" s="145" t="str" cm="1">
        <f t="array" ref="E6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8" s="145" t="str" cm="1">
        <f t="array" ref="F6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8" s="145" t="str" cm="1">
        <f t="array" ref="G6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INDEX((standard_components_145[[#This Row],[Component]]=factor_eff_table[Component])*(standard_components_145[[#This Row],[Service]]=factor_eff_table[Service]), 0, 1), 0)),
 "-")</f>
        <v>-</v>
      </c>
      <c r="E69" s="145" t="str" cm="1">
        <f t="array" ref="E6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69" s="145" t="str" cm="1">
        <f t="array" ref="F6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69" s="145" t="str" cm="1">
        <f t="array" ref="G6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6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6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INDEX((standard_components_145[[#This Row],[Component]]=factor_eff_table[Component])*(standard_components_145[[#This Row],[Service]]=factor_eff_table[Service]), 0, 1), 0)),
 "-")</f>
        <v>-</v>
      </c>
      <c r="E70" s="145" t="str" cm="1">
        <f t="array" ref="E7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0" s="145" t="str" cm="1">
        <f t="array" ref="F7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0" s="145" t="str" cm="1">
        <f t="array" ref="G7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INDEX((standard_components_145[[#This Row],[Component]]=factor_eff_table[Component])*(standard_components_145[[#This Row],[Service]]=factor_eff_table[Service]), 0, 1), 0)),
 "-")</f>
        <v>-</v>
      </c>
      <c r="E71" s="145" t="str" cm="1">
        <f t="array" ref="E7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1" s="145" t="str" cm="1">
        <f t="array" ref="F7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1" s="145" t="str" cm="1">
        <f t="array" ref="G7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INDEX((standard_components_145[[#This Row],[Component]]=factor_eff_table[Component])*(standard_components_145[[#This Row],[Service]]=factor_eff_table[Service]), 0, 1), 0)),
 "-")</f>
        <v>-</v>
      </c>
      <c r="E72" s="145" t="str" cm="1">
        <f t="array" ref="E7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2" s="145" t="str" cm="1">
        <f t="array" ref="F7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2" s="145" t="str" cm="1">
        <f t="array" ref="G7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INDEX((standard_components_145[[#This Row],[Component]]=factor_eff_table[Component])*(standard_components_145[[#This Row],[Service]]=factor_eff_table[Service]), 0, 1), 0)),
 "-")</f>
        <v>-</v>
      </c>
      <c r="E73" s="145" t="str" cm="1">
        <f t="array" ref="E7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3" s="145" t="str" cm="1">
        <f t="array" ref="F7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3" s="145" t="str" cm="1">
        <f t="array" ref="G7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INDEX((standard_components_145[[#This Row],[Component]]=factor_eff_table[Component])*(standard_components_145[[#This Row],[Service]]=factor_eff_table[Service]), 0, 1), 0)),
 "-")</f>
        <v>-</v>
      </c>
      <c r="E74" s="145" t="str" cm="1">
        <f t="array" ref="E7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4" s="145" t="str" cm="1">
        <f t="array" ref="F7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4" s="145" t="str" cm="1">
        <f t="array" ref="G7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INDEX((standard_components_145[[#This Row],[Component]]=factor_eff_table[Component])*(standard_components_145[[#This Row],[Service]]=factor_eff_table[Service]), 0, 1), 0)),
 "-")</f>
        <v>-</v>
      </c>
      <c r="E75" s="145" t="str" cm="1">
        <f t="array" ref="E7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5" s="145" t="str" cm="1">
        <f t="array" ref="F7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5" s="145" t="str" cm="1">
        <f t="array" ref="G7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INDEX((standard_components_145[[#This Row],[Component]]=factor_eff_table[Component])*(standard_components_145[[#This Row],[Service]]=factor_eff_table[Service]), 0, 1), 0)),
 "-")</f>
        <v>-</v>
      </c>
      <c r="E76" s="145" t="str" cm="1">
        <f t="array" ref="E7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6" s="145" t="str" cm="1">
        <f t="array" ref="F7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6" s="145" t="str" cm="1">
        <f t="array" ref="G7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INDEX((standard_components_145[[#This Row],[Component]]=factor_eff_table[Component])*(standard_components_145[[#This Row],[Service]]=factor_eff_table[Service]), 0, 1), 0)),
 "-")</f>
        <v>-</v>
      </c>
      <c r="E77" s="145" t="str" cm="1">
        <f t="array" ref="E7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7" s="145" t="str" cm="1">
        <f t="array" ref="F7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7" s="145" t="str" cm="1">
        <f t="array" ref="G7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INDEX((standard_components_145[[#This Row],[Component]]=factor_eff_table[Component])*(standard_components_145[[#This Row],[Service]]=factor_eff_table[Service]), 0, 1), 0)),
 "-")</f>
        <v>-</v>
      </c>
      <c r="E78" s="145" t="str" cm="1">
        <f t="array" ref="E7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8" s="145" t="str" cm="1">
        <f t="array" ref="F7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8" s="145" t="str" cm="1">
        <f t="array" ref="G7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INDEX((standard_components_145[[#This Row],[Component]]=factor_eff_table[Component])*(standard_components_145[[#This Row],[Service]]=factor_eff_table[Service]), 0, 1), 0)),
 "-")</f>
        <v>-</v>
      </c>
      <c r="E79" s="145" t="str" cm="1">
        <f t="array" ref="E7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79" s="145" t="str" cm="1">
        <f t="array" ref="F7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79" s="145" t="str" cm="1">
        <f t="array" ref="G7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7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7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INDEX((standard_components_145[[#This Row],[Component]]=factor_eff_table[Component])*(standard_components_145[[#This Row],[Service]]=factor_eff_table[Service]), 0, 1), 0)),
 "-")</f>
        <v>-</v>
      </c>
      <c r="E80" s="145" t="str" cm="1">
        <f t="array" ref="E8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0" s="145" t="str" cm="1">
        <f t="array" ref="F8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0" s="145" t="str" cm="1">
        <f t="array" ref="G8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INDEX((standard_components_145[[#This Row],[Component]]=factor_eff_table[Component])*(standard_components_145[[#This Row],[Service]]=factor_eff_table[Service]), 0, 1), 0)),
 "-")</f>
        <v>-</v>
      </c>
      <c r="E81" s="145" t="str" cm="1">
        <f t="array" ref="E8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1" s="145" t="str" cm="1">
        <f t="array" ref="F8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1" s="145" t="str" cm="1">
        <f t="array" ref="G8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INDEX((standard_components_145[[#This Row],[Component]]=factor_eff_table[Component])*(standard_components_145[[#This Row],[Service]]=factor_eff_table[Service]), 0, 1), 0)),
 "-")</f>
        <v>-</v>
      </c>
      <c r="E82" s="145" t="str" cm="1">
        <f t="array" ref="E8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2" s="145" t="str" cm="1">
        <f t="array" ref="F8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2" s="145" t="str" cm="1">
        <f t="array" ref="G8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INDEX((standard_components_145[[#This Row],[Component]]=factor_eff_table[Component])*(standard_components_145[[#This Row],[Service]]=factor_eff_table[Service]), 0, 1), 0)),
 "-")</f>
        <v>-</v>
      </c>
      <c r="E83" s="145" t="str" cm="1">
        <f t="array" ref="E8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3" s="145" t="str" cm="1">
        <f t="array" ref="F8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3" s="145" t="str" cm="1">
        <f t="array" ref="G8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INDEX((standard_components_145[[#This Row],[Component]]=factor_eff_table[Component])*(standard_components_145[[#This Row],[Service]]=factor_eff_table[Service]), 0, 1), 0)),
 "-")</f>
        <v>-</v>
      </c>
      <c r="E84" s="145" t="str" cm="1">
        <f t="array" ref="E8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4" s="145" t="str" cm="1">
        <f t="array" ref="F8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4" s="145" t="str" cm="1">
        <f t="array" ref="G8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INDEX((standard_components_145[[#This Row],[Component]]=factor_eff_table[Component])*(standard_components_145[[#This Row],[Service]]=factor_eff_table[Service]), 0, 1), 0)),
 "-")</f>
        <v>-</v>
      </c>
      <c r="E85" s="145" t="str" cm="1">
        <f t="array" ref="E8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5" s="145" t="str" cm="1">
        <f t="array" ref="F8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5" s="145" t="str" cm="1">
        <f t="array" ref="G8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INDEX((standard_components_145[[#This Row],[Component]]=factor_eff_table[Component])*(standard_components_145[[#This Row],[Service]]=factor_eff_table[Service]), 0, 1), 0)),
 "-")</f>
        <v>-</v>
      </c>
      <c r="E86" s="145" t="str" cm="1">
        <f t="array" ref="E8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6" s="145" t="str" cm="1">
        <f t="array" ref="F8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6" s="145" t="str" cm="1">
        <f t="array" ref="G8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INDEX((standard_components_145[[#This Row],[Component]]=factor_eff_table[Component])*(standard_components_145[[#This Row],[Service]]=factor_eff_table[Service]), 0, 1), 0)),
 "-")</f>
        <v>-</v>
      </c>
      <c r="E87" s="145" t="str" cm="1">
        <f t="array" ref="E8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7" s="145" t="str" cm="1">
        <f t="array" ref="F8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7" s="145" t="str" cm="1">
        <f t="array" ref="G8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INDEX((standard_components_145[[#This Row],[Component]]=factor_eff_table[Component])*(standard_components_145[[#This Row],[Service]]=factor_eff_table[Service]), 0, 1), 0)),
 "-")</f>
        <v>-</v>
      </c>
      <c r="E88" s="145" t="str" cm="1">
        <f t="array" ref="E8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8" s="145" t="str" cm="1">
        <f t="array" ref="F8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8" s="145" t="str" cm="1">
        <f t="array" ref="G8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INDEX((standard_components_145[[#This Row],[Component]]=factor_eff_table[Component])*(standard_components_145[[#This Row],[Service]]=factor_eff_table[Service]), 0, 1), 0)),
 "-")</f>
        <v>-</v>
      </c>
      <c r="E89" s="145" t="str" cm="1">
        <f t="array" ref="E8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89" s="145" t="str" cm="1">
        <f t="array" ref="F8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89" s="145" t="str" cm="1">
        <f t="array" ref="G8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8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8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INDEX((standard_components_145[[#This Row],[Component]]=factor_eff_table[Component])*(standard_components_145[[#This Row],[Service]]=factor_eff_table[Service]), 0, 1), 0)),
 "-")</f>
        <v>-</v>
      </c>
      <c r="E90" s="145" t="str" cm="1">
        <f t="array" ref="E9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0" s="145" t="str" cm="1">
        <f t="array" ref="F9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0" s="145" t="str" cm="1">
        <f t="array" ref="G9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INDEX((standard_components_145[[#This Row],[Component]]=factor_eff_table[Component])*(standard_components_145[[#This Row],[Service]]=factor_eff_table[Service]), 0, 1), 0)),
 "-")</f>
        <v>-</v>
      </c>
      <c r="E91" s="145" t="str" cm="1">
        <f t="array" ref="E91">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1" s="145" t="str" cm="1">
        <f t="array" ref="F91">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1" s="145" t="str" cm="1">
        <f t="array" ref="G91">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1"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1"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INDEX((standard_components_145[[#This Row],[Component]]=factor_eff_table[Component])*(standard_components_145[[#This Row],[Service]]=factor_eff_table[Service]), 0, 1), 0)),
 "-")</f>
        <v>-</v>
      </c>
      <c r="E92" s="145" t="str" cm="1">
        <f t="array" ref="E92">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2" s="145" t="str" cm="1">
        <f t="array" ref="F92">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2" s="145" t="str" cm="1">
        <f t="array" ref="G92">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2"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2"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INDEX((standard_components_145[[#This Row],[Component]]=factor_eff_table[Component])*(standard_components_145[[#This Row],[Service]]=factor_eff_table[Service]), 0, 1), 0)),
 "-")</f>
        <v>-</v>
      </c>
      <c r="E93" s="145" t="str" cm="1">
        <f t="array" ref="E93">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3" s="145" t="str" cm="1">
        <f t="array" ref="F93">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3" s="145" t="str" cm="1">
        <f t="array" ref="G93">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3"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3"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INDEX((standard_components_145[[#This Row],[Component]]=factor_eff_table[Component])*(standard_components_145[[#This Row],[Service]]=factor_eff_table[Service]), 0, 1), 0)),
 "-")</f>
        <v>-</v>
      </c>
      <c r="E94" s="145" t="str" cm="1">
        <f t="array" ref="E94">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4" s="145" t="str" cm="1">
        <f t="array" ref="F94">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4" s="145" t="str" cm="1">
        <f t="array" ref="G94">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4"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4"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INDEX((standard_components_145[[#This Row],[Component]]=factor_eff_table[Component])*(standard_components_145[[#This Row],[Service]]=factor_eff_table[Service]), 0, 1), 0)),
 "-")</f>
        <v>-</v>
      </c>
      <c r="E95" s="145" t="str" cm="1">
        <f t="array" ref="E95">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5" s="145" t="str" cm="1">
        <f t="array" ref="F95">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5" s="145" t="str" cm="1">
        <f t="array" ref="G95">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5"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5"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INDEX((standard_components_145[[#This Row],[Component]]=factor_eff_table[Component])*(standard_components_145[[#This Row],[Service]]=factor_eff_table[Service]), 0, 1), 0)),
 "-")</f>
        <v>-</v>
      </c>
      <c r="E96" s="145" t="str" cm="1">
        <f t="array" ref="E96">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6" s="145" t="str" cm="1">
        <f t="array" ref="F96">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6" s="145" t="str" cm="1">
        <f t="array" ref="G96">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6"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6"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INDEX((standard_components_145[[#This Row],[Component]]=factor_eff_table[Component])*(standard_components_145[[#This Row],[Service]]=factor_eff_table[Service]), 0, 1), 0)),
 "-")</f>
        <v>-</v>
      </c>
      <c r="E97" s="145" t="str" cm="1">
        <f t="array" ref="E97">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7" s="145" t="str" cm="1">
        <f t="array" ref="F97">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7" s="145" t="str" cm="1">
        <f t="array" ref="G97">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7"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7"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INDEX((standard_components_145[[#This Row],[Component]]=factor_eff_table[Component])*(standard_components_145[[#This Row],[Service]]=factor_eff_table[Service]), 0, 1), 0)),
 "-")</f>
        <v>-</v>
      </c>
      <c r="E98" s="145" t="str" cm="1">
        <f t="array" ref="E98">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8" s="145" t="str" cm="1">
        <f t="array" ref="F98">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8" s="145" t="str" cm="1">
        <f t="array" ref="G98">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8"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8"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INDEX((standard_components_145[[#This Row],[Component]]=factor_eff_table[Component])*(standard_components_145[[#This Row],[Service]]=factor_eff_table[Service]), 0, 1), 0)),
 "-")</f>
        <v>-</v>
      </c>
      <c r="E99" s="145" t="str" cm="1">
        <f t="array" ref="E99">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99" s="145" t="str" cm="1">
        <f t="array" ref="F99">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99" s="145" t="str" cm="1">
        <f t="array" ref="G99">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99"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99"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INDEX((standard_components_145[[#This Row],[Component]]=factor_eff_table[Component])*(standard_components_145[[#This Row],[Service]]=factor_eff_table[Service]), 0, 1), 0)),
 "-")</f>
        <v>-</v>
      </c>
      <c r="E100" s="145" t="str" cm="1">
        <f t="array" ref="E100">IF(AND(process_drain_bool="Yes",LEFT(standard_components_145[[#This Row],[Component]], LEN("Process drains"))="Process Drains", ISBLANK(instrument_ldar)=FALSE), process_drain_eff,
IFERROR(
INDEX(
INDEX(factor_eff_table[], , MATCH(instrument_ldar, factor_eff_table[#Headers], 0)),
MATCH(1, INDEX((standard_components_145[[#This Row],[Component]]=factor_eff_table[Component])*(standard_components_145[[#This Row],[Service]]=factor_eff_table[Service]), 0, 1), 0)),
 "-"))</f>
        <v>-</v>
      </c>
      <c r="F100" s="145" t="str" cm="1">
        <f t="array" ref="F100">IF(AND(process_drain_bool="Yes",LEFT(standard_components_145[[#This Row],[Component]], LEN("Process drains"))="Process Drains", ISBLANK(connector_ldar)=FALSE), process_drain_eff,
IFERROR(
INDEX(
INDEX(factor_eff_table[], , MATCH(connector_ldar, factor_eff_table[#Headers], 0)),
MATCH(1, INDEX((standard_components_145[[#This Row],[Component]]=factor_eff_table[Component])*(standard_components_145[[#This Row],[Service]]=factor_eff_table[Service]), 0, 1), 0)),
 "-"))</f>
        <v>-</v>
      </c>
      <c r="G100" s="145" t="str" cm="1">
        <f t="array" ref="G100">IF(AND(process_drain_bool="Yes",LEFT(standard_components_145[[#This Row],[Component]], LEN("Process Drains"))="Process Drains", ISBLANK(inspection_ldar)=FALSE), process_drain_eff,
IFERROR(
INDEX(
INDEX(factor_eff_table[], , MATCH(inspection_ldar, factor_eff_table[#Headers], 0)),
MATCH(1, INDEX((standard_components_145[[#This Row],[Component]]=factor_eff_table[Component])*(standard_components_145[[#This Row],[Service]]=factor_eff_table[Service]), 0, 1), 0)),
 "-"))</f>
        <v>-</v>
      </c>
      <c r="H100" s="146" t="str">
        <f>IF(standard_components_145[[#This Row],[Component]]="Sampling Connections (annual) [2]", "N/A",
 IF(standard_components_145[[#This Row],[Component]]="Sampling Connections (hourly) [1]", standard_components_145[[#This Row],[Count]]*standard_components_145[[#This Row],[Industry Emission Factor]],
IFERROR(standard_components_145[[#This Row],[Count]]*standard_components_145[[#This Row],[Industry Emission Factor]]*MIN(1-standard_components_145[[#This Row],[Instrument Monitoring LDAR Control Efficiency]], 1-standard_components_145[[#This Row],[Physical Inspection LDAR Control Efficiency]], 1-standard_components_145[[#This Row],[Connector Monitoring LDAR Control Efficiency]]), "-")))</f>
        <v>-</v>
      </c>
      <c r="I100" s="146" t="str">
        <f>IF(standard_components_145[[#This Row],[Component]]="Sampling Connections (hourly) [1]", "N/A",
 IF(standard_components_145[[#This Row],[Component]]="Sampling Connections (annual) [2]", standard_components_145[[#This Row],[Count]]*standard_components_145[[#This Row],[Industry Emission Factor]]/stons_to_lbs,
 IFERROR(years_to_hrs/stons_to_lbs*standard_components_145[[#This Row],[Controlled
lb/hr]], "-")))</f>
        <v>-</v>
      </c>
    </row>
    <row r="101" spans="1:9" ht="15" x14ac:dyDescent="0.25">
      <c r="A101" s="147" t="s">
        <v>12776</v>
      </c>
      <c r="B101" s="148"/>
      <c r="C101" s="149">
        <f>SUBTOTAL(109,standard_components_145[Count])</f>
        <v>0</v>
      </c>
      <c r="D101" s="150"/>
      <c r="E101" s="150"/>
      <c r="F101" s="150"/>
      <c r="G101" s="150"/>
      <c r="H101" s="151">
        <f>SUBTOTAL(109,standard_components_145[Controlled
lb/hr])</f>
        <v>0</v>
      </c>
      <c r="I101" s="151">
        <f>SUBTOTAL(109,standard_components_145[Controlled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unique_components_146[[#This Row],[Count]]*unique_components_146[[#This Row],[Proposed Emission Factor]]*(1-unique_components_146[[#This Row],[Proposed Control Efficiency]])</f>
        <v>0</v>
      </c>
      <c r="G107" s="155">
        <f>IFERROR(unique_components_146[[#This Row],[Controlled lb/hr]]*4.38,"")</f>
        <v>0</v>
      </c>
    </row>
    <row r="108" spans="1:9" x14ac:dyDescent="0.2">
      <c r="A108" s="103"/>
      <c r="B108" s="104"/>
      <c r="C108" s="153"/>
      <c r="D108" s="154"/>
      <c r="E108" s="154"/>
      <c r="F108" s="146">
        <f>unique_components_146[[#This Row],[Count]]*unique_components_146[[#This Row],[Proposed Emission Factor]]*(1-unique_components_146[[#This Row],[Proposed Control Efficiency]])</f>
        <v>0</v>
      </c>
      <c r="G108" s="155">
        <f>IFERROR(unique_components_146[[#This Row],[Controlled lb/hr]]*4.38,"")</f>
        <v>0</v>
      </c>
    </row>
    <row r="109" spans="1:9" x14ac:dyDescent="0.2">
      <c r="A109" s="103"/>
      <c r="B109" s="104"/>
      <c r="C109" s="153"/>
      <c r="D109" s="154"/>
      <c r="E109" s="154"/>
      <c r="F109" s="146">
        <f>unique_components_146[[#This Row],[Count]]*unique_components_146[[#This Row],[Proposed Emission Factor]]*(1-unique_components_146[[#This Row],[Proposed Control Efficiency]])</f>
        <v>0</v>
      </c>
      <c r="G109" s="155">
        <f>IFERROR(unique_components_146[[#This Row],[Controlled lb/hr]]*4.38,"")</f>
        <v>0</v>
      </c>
    </row>
    <row r="110" spans="1:9" x14ac:dyDescent="0.2">
      <c r="A110" s="103"/>
      <c r="B110" s="104"/>
      <c r="C110" s="153"/>
      <c r="D110" s="154"/>
      <c r="E110" s="154"/>
      <c r="F110" s="146">
        <f>unique_components_146[[#This Row],[Count]]*unique_components_146[[#This Row],[Proposed Emission Factor]]*(1-unique_components_146[[#This Row],[Proposed Control Efficiency]])</f>
        <v>0</v>
      </c>
      <c r="G110" s="155">
        <f>IFERROR(unique_components_146[[#This Row],[Controlled lb/hr]]*4.38,"")</f>
        <v>0</v>
      </c>
    </row>
    <row r="111" spans="1:9" x14ac:dyDescent="0.2">
      <c r="A111" s="103"/>
      <c r="B111" s="104"/>
      <c r="C111" s="153"/>
      <c r="D111" s="154"/>
      <c r="E111" s="154"/>
      <c r="F111" s="146">
        <f>unique_components_146[[#This Row],[Count]]*unique_components_146[[#This Row],[Proposed Emission Factor]]*(1-unique_components_146[[#This Row],[Proposed Control Efficiency]])</f>
        <v>0</v>
      </c>
      <c r="G111" s="155">
        <f>IFERROR(unique_components_146[[#This Row],[Controlled lb/hr]]*4.38,"")</f>
        <v>0</v>
      </c>
    </row>
    <row r="112" spans="1:9" x14ac:dyDescent="0.2">
      <c r="A112" s="103"/>
      <c r="B112" s="104"/>
      <c r="C112" s="153"/>
      <c r="D112" s="154"/>
      <c r="E112" s="154"/>
      <c r="F112" s="146">
        <f>unique_components_146[[#This Row],[Count]]*unique_components_146[[#This Row],[Proposed Emission Factor]]*(1-unique_components_146[[#This Row],[Proposed Control Efficiency]])</f>
        <v>0</v>
      </c>
      <c r="G112" s="155">
        <f>IFERROR(unique_components_146[[#This Row],[Controlled lb/hr]]*4.38,"")</f>
        <v>0</v>
      </c>
    </row>
    <row r="113" spans="1:8" x14ac:dyDescent="0.2">
      <c r="A113" s="103"/>
      <c r="B113" s="104"/>
      <c r="C113" s="153"/>
      <c r="D113" s="154"/>
      <c r="E113" s="154"/>
      <c r="F113" s="146">
        <f>unique_components_146[[#This Row],[Count]]*unique_components_146[[#This Row],[Proposed Emission Factor]]*(1-unique_components_146[[#This Row],[Proposed Control Efficiency]])</f>
        <v>0</v>
      </c>
      <c r="G113" s="155">
        <f>IFERROR(unique_components_146[[#This Row],[Controlled lb/hr]]*4.38,"")</f>
        <v>0</v>
      </c>
    </row>
    <row r="114" spans="1:8" x14ac:dyDescent="0.2">
      <c r="A114" s="103"/>
      <c r="B114" s="104"/>
      <c r="C114" s="153"/>
      <c r="D114" s="154"/>
      <c r="E114" s="154"/>
      <c r="F114" s="146">
        <f>unique_components_146[[#This Row],[Count]]*unique_components_146[[#This Row],[Proposed Emission Factor]]*(1-unique_components_146[[#This Row],[Proposed Control Efficiency]])</f>
        <v>0</v>
      </c>
      <c r="G114" s="155">
        <f>IFERROR(unique_components_146[[#This Row],[Controlled lb/hr]]*4.38,"")</f>
        <v>0</v>
      </c>
    </row>
    <row r="115" spans="1:8" x14ac:dyDescent="0.2">
      <c r="A115" s="103"/>
      <c r="B115" s="104"/>
      <c r="C115" s="153"/>
      <c r="D115" s="154"/>
      <c r="E115" s="154"/>
      <c r="F115" s="146">
        <f>unique_components_146[[#This Row],[Count]]*unique_components_146[[#This Row],[Proposed Emission Factor]]*(1-unique_components_146[[#This Row],[Proposed Control Efficiency]])</f>
        <v>0</v>
      </c>
      <c r="G115" s="155">
        <f>IFERROR(unique_components_146[[#This Row],[Controlled lb/hr]]*4.38,"")</f>
        <v>0</v>
      </c>
    </row>
    <row r="116" spans="1:8" x14ac:dyDescent="0.2">
      <c r="A116" s="103"/>
      <c r="B116" s="104"/>
      <c r="C116" s="153"/>
      <c r="D116" s="154"/>
      <c r="E116" s="154"/>
      <c r="F116" s="146">
        <f>unique_components_146[[#This Row],[Count]]*unique_components_146[[#This Row],[Proposed Emission Factor]]*(1-unique_components_146[[#This Row],[Proposed Control Efficiency]])</f>
        <v>0</v>
      </c>
      <c r="G116" s="155">
        <f>IFERROR(unique_components_146[[#This Row],[Controlled lb/hr]]*4.38,"")</f>
        <v>0</v>
      </c>
    </row>
    <row r="117" spans="1:8" x14ac:dyDescent="0.2">
      <c r="A117" s="103"/>
      <c r="B117" s="104"/>
      <c r="C117" s="153"/>
      <c r="D117" s="154"/>
      <c r="E117" s="154"/>
      <c r="F117" s="146">
        <f>unique_components_146[[#This Row],[Count]]*unique_components_146[[#This Row],[Proposed Emission Factor]]*(1-unique_components_146[[#This Row],[Proposed Control Efficiency]])</f>
        <v>0</v>
      </c>
      <c r="G117" s="155">
        <f>IFERROR(unique_components_146[[#This Row],[Controlled lb/hr]]*4.38,"")</f>
        <v>0</v>
      </c>
    </row>
    <row r="118" spans="1:8" x14ac:dyDescent="0.2">
      <c r="A118" s="103"/>
      <c r="B118" s="104"/>
      <c r="C118" s="153"/>
      <c r="D118" s="154"/>
      <c r="E118" s="154"/>
      <c r="F118" s="146">
        <f>unique_components_146[[#This Row],[Count]]*unique_components_146[[#This Row],[Proposed Emission Factor]]*(1-unique_components_146[[#This Row],[Proposed Control Efficiency]])</f>
        <v>0</v>
      </c>
      <c r="G118" s="155">
        <f>IFERROR(unique_components_146[[#This Row],[Controlled lb/hr]]*4.38,"")</f>
        <v>0</v>
      </c>
    </row>
    <row r="119" spans="1:8" x14ac:dyDescent="0.2">
      <c r="A119" s="103"/>
      <c r="B119" s="104"/>
      <c r="C119" s="153"/>
      <c r="D119" s="154"/>
      <c r="E119" s="154"/>
      <c r="F119" s="146">
        <f>unique_components_146[[#This Row],[Count]]*unique_components_146[[#This Row],[Proposed Emission Factor]]*(1-unique_components_146[[#This Row],[Proposed Control Efficiency]])</f>
        <v>0</v>
      </c>
      <c r="G119" s="155">
        <f>IFERROR(unique_components_146[[#This Row],[Controlled lb/hr]]*4.38,"")</f>
        <v>0</v>
      </c>
    </row>
    <row r="120" spans="1:8" x14ac:dyDescent="0.2">
      <c r="A120" s="103"/>
      <c r="B120" s="104"/>
      <c r="C120" s="153"/>
      <c r="D120" s="154"/>
      <c r="E120" s="154"/>
      <c r="F120" s="146">
        <f>unique_components_146[[#This Row],[Count]]*unique_components_146[[#This Row],[Proposed Emission Factor]]*(1-unique_components_146[[#This Row],[Proposed Control Efficiency]])</f>
        <v>0</v>
      </c>
      <c r="G120" s="155">
        <f>IFERROR(unique_components_146[[#This Row],[Controlled lb/hr]]*4.38,"")</f>
        <v>0</v>
      </c>
    </row>
    <row r="121" spans="1:8" x14ac:dyDescent="0.2">
      <c r="A121" s="103"/>
      <c r="B121" s="104"/>
      <c r="C121" s="153"/>
      <c r="D121" s="154"/>
      <c r="E121" s="154"/>
      <c r="F121" s="146">
        <f>unique_components_146[[#This Row],[Count]]*unique_components_146[[#This Row],[Proposed Emission Factor]]*(1-unique_components_146[[#This Row],[Proposed Control Efficiency]])</f>
        <v>0</v>
      </c>
      <c r="G121" s="155">
        <f>IFERROR(unique_components_146[[#This Row],[Controlled lb/hr]]*4.38,"")</f>
        <v>0</v>
      </c>
    </row>
    <row r="122" spans="1:8" x14ac:dyDescent="0.2">
      <c r="A122" s="103"/>
      <c r="B122" s="104"/>
      <c r="C122" s="153"/>
      <c r="D122" s="154"/>
      <c r="E122" s="154"/>
      <c r="F122" s="146">
        <f>unique_components_146[[#This Row],[Count]]*unique_components_146[[#This Row],[Proposed Emission Factor]]*(1-unique_components_146[[#This Row],[Proposed Control Efficiency]])</f>
        <v>0</v>
      </c>
      <c r="G122" s="155">
        <f>IFERROR(unique_components_146[[#This Row],[Controlled lb/hr]]*4.38,"")</f>
        <v>0</v>
      </c>
    </row>
    <row r="123" spans="1:8" x14ac:dyDescent="0.2">
      <c r="A123" s="103"/>
      <c r="B123" s="104"/>
      <c r="C123" s="153"/>
      <c r="D123" s="154"/>
      <c r="E123" s="154"/>
      <c r="F123" s="146">
        <f>unique_components_146[[#This Row],[Count]]*unique_components_146[[#This Row],[Proposed Emission Factor]]*(1-unique_components_146[[#This Row],[Proposed Control Efficiency]])</f>
        <v>0</v>
      </c>
      <c r="G123" s="155">
        <f>IFERROR(unique_components_146[[#This Row],[Controlled lb/hr]]*4.38,"")</f>
        <v>0</v>
      </c>
    </row>
    <row r="124" spans="1:8" x14ac:dyDescent="0.2">
      <c r="A124" s="103"/>
      <c r="B124" s="104"/>
      <c r="C124" s="153"/>
      <c r="D124" s="154"/>
      <c r="E124" s="154"/>
      <c r="F124" s="146">
        <f>unique_components_146[[#This Row],[Count]]*unique_components_146[[#This Row],[Proposed Emission Factor]]*(1-unique_components_146[[#This Row],[Proposed Control Efficiency]])</f>
        <v>0</v>
      </c>
      <c r="G124" s="155">
        <f>IFERROR(unique_components_146[[#This Row],[Controlled lb/hr]]*4.38,"")</f>
        <v>0</v>
      </c>
    </row>
    <row r="125" spans="1:8" x14ac:dyDescent="0.2">
      <c r="A125" s="103"/>
      <c r="B125" s="104"/>
      <c r="C125" s="153"/>
      <c r="D125" s="154"/>
      <c r="E125" s="154"/>
      <c r="F125" s="146">
        <f>unique_components_146[[#This Row],[Count]]*unique_components_146[[#This Row],[Proposed Emission Factor]]*(1-unique_components_146[[#This Row],[Proposed Control Efficiency]])</f>
        <v>0</v>
      </c>
      <c r="G125" s="155">
        <f>IFERROR(unique_components_146[[#This Row],[Controlled lb/hr]]*4.38,"")</f>
        <v>0</v>
      </c>
    </row>
    <row r="126" spans="1:8" x14ac:dyDescent="0.2">
      <c r="A126" s="105"/>
      <c r="B126" s="106"/>
      <c r="C126" s="156"/>
      <c r="D126" s="154"/>
      <c r="E126" s="157"/>
      <c r="F126" s="158">
        <f>unique_components_146[[#This Row],[Count]]*unique_components_146[[#This Row],[Proposed Emission Factor]]*(1-unique_components_146[[#This Row],[Proposed Control Efficiency]])</f>
        <v>0</v>
      </c>
      <c r="G126" s="159">
        <f>IFERROR(unique_components_146[[#This Row],[Controlled lb/hr]]*4.38,"")</f>
        <v>0</v>
      </c>
    </row>
    <row r="127" spans="1:8" ht="30" x14ac:dyDescent="0.2">
      <c r="A127" s="57" t="s">
        <v>13297</v>
      </c>
      <c r="B127" s="54"/>
      <c r="C127" s="160">
        <f>SUBTOTAL(109,unique_components_146[Count])</f>
        <v>0</v>
      </c>
      <c r="D127" s="161"/>
      <c r="E127" s="161"/>
      <c r="F127" s="162">
        <f>SUBTOTAL(109,unique_components_146[Controlled lb/hr])</f>
        <v>0</v>
      </c>
      <c r="G127" s="162">
        <f>SUBTOTAL(109,unique_components_146[Controlled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IFERROR(VLOOKUP(speciated_chemicals_147[[#This Row],[CAS '#]],species[],MATCH("Substance", species[#Headers], 0),FALSE),"No CAS Number Entered")</f>
        <v>No CAS Number Entered</v>
      </c>
      <c r="C131" s="102"/>
      <c r="D131" s="102" t="s">
        <v>12666</v>
      </c>
      <c r="E131" s="102" t="s">
        <v>12666</v>
      </c>
      <c r="F131" s="102" t="s">
        <v>12666</v>
      </c>
      <c r="G131" s="102" t="s">
        <v>12666</v>
      </c>
      <c r="H131" s="164"/>
      <c r="I131" s="51">
        <f>IF(speciated_chemicals_147[[#This Row],[Inert / Not a Contaminant?]]="Yes", 0, speciated_chemicals_147[[#This Row],[Weight Percent]]*(unique_components_146[[#Totals],[Controlled lb/hr]]+standard_components_145[[#Totals],[Controlled
lb/hr]]))</f>
        <v>0</v>
      </c>
      <c r="J131" s="51">
        <f>IF(speciated_chemicals_147[[#This Row],[Inert / Not a Contaminant?]]="Yes", 0, speciated_chemicals_147[[#This Row],[Weight Percent]]*(unique_components_146[[#Totals],[Controlled
tpy]]+standard_components_145[[#Totals],[Controlled
tpy]]))</f>
        <v>0</v>
      </c>
    </row>
    <row r="132" spans="1:10" x14ac:dyDescent="0.2">
      <c r="A132" s="103"/>
      <c r="B132" s="51" t="str">
        <f>IFERROR(VLOOKUP(speciated_chemicals_147[[#This Row],[CAS '#]],species[],MATCH("Substance", species[#Headers], 0),FALSE),"No CAS Number Entered")</f>
        <v>No CAS Number Entered</v>
      </c>
      <c r="C132" s="102"/>
      <c r="D132" s="102" t="s">
        <v>12666</v>
      </c>
      <c r="E132" s="102" t="s">
        <v>12666</v>
      </c>
      <c r="F132" s="102" t="s">
        <v>12666</v>
      </c>
      <c r="G132" s="102" t="s">
        <v>12666</v>
      </c>
      <c r="H132" s="164"/>
      <c r="I132" s="51">
        <f>IF(speciated_chemicals_147[[#This Row],[Inert / Not a Contaminant?]]="Yes", 0, speciated_chemicals_147[[#This Row],[Weight Percent]]*(unique_components_146[[#Totals],[Controlled lb/hr]]+standard_components_145[[#Totals],[Controlled
lb/hr]]))</f>
        <v>0</v>
      </c>
      <c r="J132" s="51">
        <f>IF(speciated_chemicals_147[[#This Row],[Inert / Not a Contaminant?]]="Yes", 0, speciated_chemicals_147[[#This Row],[Weight Percent]]*(unique_components_146[[#Totals],[Controlled
tpy]]+standard_components_145[[#Totals],[Controlled
tpy]]))</f>
        <v>0</v>
      </c>
    </row>
    <row r="133" spans="1:10" x14ac:dyDescent="0.2">
      <c r="A133" s="103"/>
      <c r="B133" s="51" t="str">
        <f>IFERROR(VLOOKUP(speciated_chemicals_147[[#This Row],[CAS '#]],species[],MATCH("Substance", species[#Headers], 0),FALSE),"No CAS Number Entered")</f>
        <v>No CAS Number Entered</v>
      </c>
      <c r="C133" s="102"/>
      <c r="D133" s="102" t="s">
        <v>12666</v>
      </c>
      <c r="E133" s="102" t="s">
        <v>12666</v>
      </c>
      <c r="F133" s="102" t="s">
        <v>12666</v>
      </c>
      <c r="G133" s="102" t="s">
        <v>12666</v>
      </c>
      <c r="H133" s="164"/>
      <c r="I133" s="51">
        <f>IF(speciated_chemicals_147[[#This Row],[Inert / Not a Contaminant?]]="Yes", 0, speciated_chemicals_147[[#This Row],[Weight Percent]]*(unique_components_146[[#Totals],[Controlled lb/hr]]+standard_components_145[[#Totals],[Controlled
lb/hr]]))</f>
        <v>0</v>
      </c>
      <c r="J133" s="51">
        <f>IF(speciated_chemicals_147[[#This Row],[Inert / Not a Contaminant?]]="Yes", 0, speciated_chemicals_147[[#This Row],[Weight Percent]]*(unique_components_146[[#Totals],[Controlled
tpy]]+standard_components_145[[#Totals],[Controlled
tpy]]))</f>
        <v>0</v>
      </c>
    </row>
    <row r="134" spans="1:10" x14ac:dyDescent="0.2">
      <c r="A134" s="103"/>
      <c r="B134" s="51" t="str">
        <f>IFERROR(VLOOKUP(speciated_chemicals_147[[#This Row],[CAS '#]],species[],MATCH("Substance", species[#Headers], 0),FALSE),"No CAS Number Entered")</f>
        <v>No CAS Number Entered</v>
      </c>
      <c r="C134" s="102"/>
      <c r="D134" s="102" t="s">
        <v>12666</v>
      </c>
      <c r="E134" s="102" t="s">
        <v>12666</v>
      </c>
      <c r="F134" s="102" t="s">
        <v>12666</v>
      </c>
      <c r="G134" s="102" t="s">
        <v>12666</v>
      </c>
      <c r="H134" s="164"/>
      <c r="I134" s="51">
        <f>IF(speciated_chemicals_147[[#This Row],[Inert / Not a Contaminant?]]="Yes", 0, speciated_chemicals_147[[#This Row],[Weight Percent]]*(unique_components_146[[#Totals],[Controlled lb/hr]]+standard_components_145[[#Totals],[Controlled
lb/hr]]))</f>
        <v>0</v>
      </c>
      <c r="J134" s="51">
        <f>IF(speciated_chemicals_147[[#This Row],[Inert / Not a Contaminant?]]="Yes", 0, speciated_chemicals_147[[#This Row],[Weight Percent]]*(unique_components_146[[#Totals],[Controlled
tpy]]+standard_components_145[[#Totals],[Controlled
tpy]]))</f>
        <v>0</v>
      </c>
    </row>
    <row r="135" spans="1:10" x14ac:dyDescent="0.2">
      <c r="A135" s="103"/>
      <c r="B135" s="51" t="str">
        <f>IFERROR(VLOOKUP(speciated_chemicals_147[[#This Row],[CAS '#]],species[],MATCH("Substance", species[#Headers], 0),FALSE),"No CAS Number Entered")</f>
        <v>No CAS Number Entered</v>
      </c>
      <c r="C135" s="102"/>
      <c r="D135" s="102" t="s">
        <v>12666</v>
      </c>
      <c r="E135" s="102" t="s">
        <v>12666</v>
      </c>
      <c r="F135" s="102" t="s">
        <v>12666</v>
      </c>
      <c r="G135" s="102" t="s">
        <v>12666</v>
      </c>
      <c r="H135" s="164"/>
      <c r="I135" s="51">
        <f>IF(speciated_chemicals_147[[#This Row],[Inert / Not a Contaminant?]]="Yes", 0, speciated_chemicals_147[[#This Row],[Weight Percent]]*(unique_components_146[[#Totals],[Controlled lb/hr]]+standard_components_145[[#Totals],[Controlled
lb/hr]]))</f>
        <v>0</v>
      </c>
      <c r="J135" s="51">
        <f>IF(speciated_chemicals_147[[#This Row],[Inert / Not a Contaminant?]]="Yes", 0, speciated_chemicals_147[[#This Row],[Weight Percent]]*(unique_components_146[[#Totals],[Controlled
tpy]]+standard_components_145[[#Totals],[Controlled
tpy]]))</f>
        <v>0</v>
      </c>
    </row>
    <row r="136" spans="1:10" x14ac:dyDescent="0.2">
      <c r="A136" s="103"/>
      <c r="B136" s="51" t="str">
        <f>IFERROR(VLOOKUP(speciated_chemicals_147[[#This Row],[CAS '#]],species[],MATCH("Substance", species[#Headers], 0),FALSE),"No CAS Number Entered")</f>
        <v>No CAS Number Entered</v>
      </c>
      <c r="C136" s="102"/>
      <c r="D136" s="102" t="s">
        <v>12666</v>
      </c>
      <c r="E136" s="102" t="s">
        <v>12666</v>
      </c>
      <c r="F136" s="102" t="s">
        <v>12666</v>
      </c>
      <c r="G136" s="102" t="s">
        <v>12666</v>
      </c>
      <c r="H136" s="164"/>
      <c r="I136" s="51">
        <f>IF(speciated_chemicals_147[[#This Row],[Inert / Not a Contaminant?]]="Yes", 0, speciated_chemicals_147[[#This Row],[Weight Percent]]*(unique_components_146[[#Totals],[Controlled lb/hr]]+standard_components_145[[#Totals],[Controlled
lb/hr]]))</f>
        <v>0</v>
      </c>
      <c r="J136" s="51">
        <f>IF(speciated_chemicals_147[[#This Row],[Inert / Not a Contaminant?]]="Yes", 0, speciated_chemicals_147[[#This Row],[Weight Percent]]*(unique_components_146[[#Totals],[Controlled
tpy]]+standard_components_145[[#Totals],[Controlled
tpy]]))</f>
        <v>0</v>
      </c>
    </row>
    <row r="137" spans="1:10" x14ac:dyDescent="0.2">
      <c r="A137" s="103"/>
      <c r="B137" s="51" t="str">
        <f>IFERROR(VLOOKUP(speciated_chemicals_147[[#This Row],[CAS '#]],species[],MATCH("Substance", species[#Headers], 0),FALSE),"No CAS Number Entered")</f>
        <v>No CAS Number Entered</v>
      </c>
      <c r="C137" s="102"/>
      <c r="D137" s="102" t="s">
        <v>12666</v>
      </c>
      <c r="E137" s="102" t="s">
        <v>12666</v>
      </c>
      <c r="F137" s="102" t="s">
        <v>12666</v>
      </c>
      <c r="G137" s="102" t="s">
        <v>12666</v>
      </c>
      <c r="H137" s="164"/>
      <c r="I137" s="51">
        <f>IF(speciated_chemicals_147[[#This Row],[Inert / Not a Contaminant?]]="Yes", 0, speciated_chemicals_147[[#This Row],[Weight Percent]]*(unique_components_146[[#Totals],[Controlled lb/hr]]+standard_components_145[[#Totals],[Controlled
lb/hr]]))</f>
        <v>0</v>
      </c>
      <c r="J137" s="51">
        <f>IF(speciated_chemicals_147[[#This Row],[Inert / Not a Contaminant?]]="Yes", 0, speciated_chemicals_147[[#This Row],[Weight Percent]]*(unique_components_146[[#Totals],[Controlled
tpy]]+standard_components_145[[#Totals],[Controlled
tpy]]))</f>
        <v>0</v>
      </c>
    </row>
    <row r="138" spans="1:10" x14ac:dyDescent="0.2">
      <c r="A138" s="103"/>
      <c r="B138" s="51" t="str">
        <f>IFERROR(VLOOKUP(speciated_chemicals_147[[#This Row],[CAS '#]],species[],MATCH("Substance", species[#Headers], 0),FALSE),"No CAS Number Entered")</f>
        <v>No CAS Number Entered</v>
      </c>
      <c r="C138" s="102"/>
      <c r="D138" s="102" t="s">
        <v>12666</v>
      </c>
      <c r="E138" s="102" t="s">
        <v>12666</v>
      </c>
      <c r="F138" s="102" t="s">
        <v>12666</v>
      </c>
      <c r="G138" s="102" t="s">
        <v>12666</v>
      </c>
      <c r="H138" s="164"/>
      <c r="I138" s="51">
        <f>IF(speciated_chemicals_147[[#This Row],[Inert / Not a Contaminant?]]="Yes", 0, speciated_chemicals_147[[#This Row],[Weight Percent]]*(unique_components_146[[#Totals],[Controlled lb/hr]]+standard_components_145[[#Totals],[Controlled
lb/hr]]))</f>
        <v>0</v>
      </c>
      <c r="J138" s="51">
        <f>IF(speciated_chemicals_147[[#This Row],[Inert / Not a Contaminant?]]="Yes", 0, speciated_chemicals_147[[#This Row],[Weight Percent]]*(unique_components_146[[#Totals],[Controlled
tpy]]+standard_components_145[[#Totals],[Controlled
tpy]]))</f>
        <v>0</v>
      </c>
    </row>
    <row r="139" spans="1:10" x14ac:dyDescent="0.2">
      <c r="A139" s="103"/>
      <c r="B139" s="51" t="str">
        <f>IFERROR(VLOOKUP(speciated_chemicals_147[[#This Row],[CAS '#]],species[],MATCH("Substance", species[#Headers], 0),FALSE),"No CAS Number Entered")</f>
        <v>No CAS Number Entered</v>
      </c>
      <c r="C139" s="102"/>
      <c r="D139" s="102" t="s">
        <v>12666</v>
      </c>
      <c r="E139" s="102" t="s">
        <v>12666</v>
      </c>
      <c r="F139" s="102" t="s">
        <v>12666</v>
      </c>
      <c r="G139" s="102" t="s">
        <v>12666</v>
      </c>
      <c r="H139" s="164"/>
      <c r="I139" s="51">
        <f>IF(speciated_chemicals_147[[#This Row],[Inert / Not a Contaminant?]]="Yes", 0, speciated_chemicals_147[[#This Row],[Weight Percent]]*(unique_components_146[[#Totals],[Controlled lb/hr]]+standard_components_145[[#Totals],[Controlled
lb/hr]]))</f>
        <v>0</v>
      </c>
      <c r="J139" s="51">
        <f>IF(speciated_chemicals_147[[#This Row],[Inert / Not a Contaminant?]]="Yes", 0, speciated_chemicals_147[[#This Row],[Weight Percent]]*(unique_components_146[[#Totals],[Controlled
tpy]]+standard_components_145[[#Totals],[Controlled
tpy]]))</f>
        <v>0</v>
      </c>
    </row>
    <row r="140" spans="1:10" x14ac:dyDescent="0.2">
      <c r="A140" s="103"/>
      <c r="B140" s="51" t="str">
        <f>IFERROR(VLOOKUP(speciated_chemicals_147[[#This Row],[CAS '#]],species[],MATCH("Substance", species[#Headers], 0),FALSE),"No CAS Number Entered")</f>
        <v>No CAS Number Entered</v>
      </c>
      <c r="C140" s="102"/>
      <c r="D140" s="102" t="s">
        <v>12666</v>
      </c>
      <c r="E140" s="102" t="s">
        <v>12666</v>
      </c>
      <c r="F140" s="102" t="s">
        <v>12666</v>
      </c>
      <c r="G140" s="102" t="s">
        <v>12666</v>
      </c>
      <c r="H140" s="164"/>
      <c r="I140" s="51">
        <f>IF(speciated_chemicals_147[[#This Row],[Inert / Not a Contaminant?]]="Yes", 0, speciated_chemicals_147[[#This Row],[Weight Percent]]*(unique_components_146[[#Totals],[Controlled lb/hr]]+standard_components_145[[#Totals],[Controlled
lb/hr]]))</f>
        <v>0</v>
      </c>
      <c r="J140" s="51">
        <f>IF(speciated_chemicals_147[[#This Row],[Inert / Not a Contaminant?]]="Yes", 0, speciated_chemicals_147[[#This Row],[Weight Percent]]*(unique_components_146[[#Totals],[Controlled
tpy]]+standard_components_145[[#Totals],[Controlled
tpy]]))</f>
        <v>0</v>
      </c>
    </row>
    <row r="141" spans="1:10" x14ac:dyDescent="0.2">
      <c r="A141" s="103"/>
      <c r="B141" s="51" t="str">
        <f>IFERROR(VLOOKUP(speciated_chemicals_147[[#This Row],[CAS '#]],species[],MATCH("Substance", species[#Headers], 0),FALSE),"No CAS Number Entered")</f>
        <v>No CAS Number Entered</v>
      </c>
      <c r="C141" s="102"/>
      <c r="D141" s="102" t="s">
        <v>12666</v>
      </c>
      <c r="E141" s="102" t="s">
        <v>12666</v>
      </c>
      <c r="F141" s="102" t="s">
        <v>12666</v>
      </c>
      <c r="G141" s="102" t="s">
        <v>12666</v>
      </c>
      <c r="H141" s="164"/>
      <c r="I141" s="51">
        <f>IF(speciated_chemicals_147[[#This Row],[Inert / Not a Contaminant?]]="Yes", 0, speciated_chemicals_147[[#This Row],[Weight Percent]]*(unique_components_146[[#Totals],[Controlled lb/hr]]+standard_components_145[[#Totals],[Controlled
lb/hr]]))</f>
        <v>0</v>
      </c>
      <c r="J141" s="51">
        <f>IF(speciated_chemicals_147[[#This Row],[Inert / Not a Contaminant?]]="Yes", 0, speciated_chemicals_147[[#This Row],[Weight Percent]]*(unique_components_146[[#Totals],[Controlled
tpy]]+standard_components_145[[#Totals],[Controlled
tpy]]))</f>
        <v>0</v>
      </c>
    </row>
    <row r="142" spans="1:10" x14ac:dyDescent="0.2">
      <c r="A142" s="103"/>
      <c r="B142" s="51" t="str">
        <f>IFERROR(VLOOKUP(speciated_chemicals_147[[#This Row],[CAS '#]],species[],MATCH("Substance", species[#Headers], 0),FALSE),"No CAS Number Entered")</f>
        <v>No CAS Number Entered</v>
      </c>
      <c r="C142" s="102"/>
      <c r="D142" s="102" t="s">
        <v>12666</v>
      </c>
      <c r="E142" s="102" t="s">
        <v>12666</v>
      </c>
      <c r="F142" s="102" t="s">
        <v>12666</v>
      </c>
      <c r="G142" s="102" t="s">
        <v>12666</v>
      </c>
      <c r="H142" s="164"/>
      <c r="I142" s="51">
        <f>IF(speciated_chemicals_147[[#This Row],[Inert / Not a Contaminant?]]="Yes", 0, speciated_chemicals_147[[#This Row],[Weight Percent]]*(unique_components_146[[#Totals],[Controlled lb/hr]]+standard_components_145[[#Totals],[Controlled
lb/hr]]))</f>
        <v>0</v>
      </c>
      <c r="J142" s="51">
        <f>IF(speciated_chemicals_147[[#This Row],[Inert / Not a Contaminant?]]="Yes", 0, speciated_chemicals_147[[#This Row],[Weight Percent]]*(unique_components_146[[#Totals],[Controlled
tpy]]+standard_components_145[[#Totals],[Controlled
tpy]]))</f>
        <v>0</v>
      </c>
    </row>
    <row r="143" spans="1:10" x14ac:dyDescent="0.2">
      <c r="A143" s="103"/>
      <c r="B143" s="51" t="str">
        <f>IFERROR(VLOOKUP(speciated_chemicals_147[[#This Row],[CAS '#]],species[],MATCH("Substance", species[#Headers], 0),FALSE),"No CAS Number Entered")</f>
        <v>No CAS Number Entered</v>
      </c>
      <c r="C143" s="102"/>
      <c r="D143" s="102" t="s">
        <v>12666</v>
      </c>
      <c r="E143" s="102" t="s">
        <v>12666</v>
      </c>
      <c r="F143" s="102" t="s">
        <v>12666</v>
      </c>
      <c r="G143" s="102" t="s">
        <v>12666</v>
      </c>
      <c r="H143" s="164"/>
      <c r="I143" s="51">
        <f>IF(speciated_chemicals_147[[#This Row],[Inert / Not a Contaminant?]]="Yes", 0, speciated_chemicals_147[[#This Row],[Weight Percent]]*(unique_components_146[[#Totals],[Controlled lb/hr]]+standard_components_145[[#Totals],[Controlled
lb/hr]]))</f>
        <v>0</v>
      </c>
      <c r="J143" s="51">
        <f>IF(speciated_chemicals_147[[#This Row],[Inert / Not a Contaminant?]]="Yes", 0, speciated_chemicals_147[[#This Row],[Weight Percent]]*(unique_components_146[[#Totals],[Controlled
tpy]]+standard_components_145[[#Totals],[Controlled
tpy]]))</f>
        <v>0</v>
      </c>
    </row>
    <row r="144" spans="1:10" x14ac:dyDescent="0.2">
      <c r="A144" s="103"/>
      <c r="B144" s="51" t="str">
        <f>IFERROR(VLOOKUP(speciated_chemicals_147[[#This Row],[CAS '#]],species[],MATCH("Substance", species[#Headers], 0),FALSE),"No CAS Number Entered")</f>
        <v>No CAS Number Entered</v>
      </c>
      <c r="C144" s="102"/>
      <c r="D144" s="102" t="s">
        <v>12666</v>
      </c>
      <c r="E144" s="102" t="s">
        <v>12666</v>
      </c>
      <c r="F144" s="102" t="s">
        <v>12666</v>
      </c>
      <c r="G144" s="102" t="s">
        <v>12666</v>
      </c>
      <c r="H144" s="164"/>
      <c r="I144" s="51">
        <f>IF(speciated_chemicals_147[[#This Row],[Inert / Not a Contaminant?]]="Yes", 0, speciated_chemicals_147[[#This Row],[Weight Percent]]*(unique_components_146[[#Totals],[Controlled lb/hr]]+standard_components_145[[#Totals],[Controlled
lb/hr]]))</f>
        <v>0</v>
      </c>
      <c r="J144" s="51">
        <f>IF(speciated_chemicals_147[[#This Row],[Inert / Not a Contaminant?]]="Yes", 0, speciated_chemicals_147[[#This Row],[Weight Percent]]*(unique_components_146[[#Totals],[Controlled
tpy]]+standard_components_145[[#Totals],[Controlled
tpy]]))</f>
        <v>0</v>
      </c>
    </row>
    <row r="145" spans="1:10" x14ac:dyDescent="0.2">
      <c r="A145" s="103"/>
      <c r="B145" s="51" t="str">
        <f>IFERROR(VLOOKUP(speciated_chemicals_147[[#This Row],[CAS '#]],species[],MATCH("Substance", species[#Headers], 0),FALSE),"No CAS Number Entered")</f>
        <v>No CAS Number Entered</v>
      </c>
      <c r="C145" s="102"/>
      <c r="D145" s="102" t="s">
        <v>12666</v>
      </c>
      <c r="E145" s="102" t="s">
        <v>12666</v>
      </c>
      <c r="F145" s="102" t="s">
        <v>12666</v>
      </c>
      <c r="G145" s="102" t="s">
        <v>12666</v>
      </c>
      <c r="H145" s="164"/>
      <c r="I145" s="51">
        <f>IF(speciated_chemicals_147[[#This Row],[Inert / Not a Contaminant?]]="Yes", 0, speciated_chemicals_147[[#This Row],[Weight Percent]]*(unique_components_146[[#Totals],[Controlled lb/hr]]+standard_components_145[[#Totals],[Controlled
lb/hr]]))</f>
        <v>0</v>
      </c>
      <c r="J145" s="51">
        <f>IF(speciated_chemicals_147[[#This Row],[Inert / Not a Contaminant?]]="Yes", 0, speciated_chemicals_147[[#This Row],[Weight Percent]]*(unique_components_146[[#Totals],[Controlled
tpy]]+standard_components_145[[#Totals],[Controlled
tpy]]))</f>
        <v>0</v>
      </c>
    </row>
    <row r="146" spans="1:10" x14ac:dyDescent="0.2">
      <c r="A146" s="103"/>
      <c r="B146" s="51" t="str">
        <f>IFERROR(VLOOKUP(speciated_chemicals_147[[#This Row],[CAS '#]],species[],MATCH("Substance", species[#Headers], 0),FALSE),"No CAS Number Entered")</f>
        <v>No CAS Number Entered</v>
      </c>
      <c r="C146" s="102"/>
      <c r="D146" s="102" t="s">
        <v>12666</v>
      </c>
      <c r="E146" s="102" t="s">
        <v>12666</v>
      </c>
      <c r="F146" s="102" t="s">
        <v>12666</v>
      </c>
      <c r="G146" s="102" t="s">
        <v>12666</v>
      </c>
      <c r="H146" s="164"/>
      <c r="I146" s="51">
        <f>IF(speciated_chemicals_147[[#This Row],[Inert / Not a Contaminant?]]="Yes", 0, speciated_chemicals_147[[#This Row],[Weight Percent]]*(unique_components_146[[#Totals],[Controlled lb/hr]]+standard_components_145[[#Totals],[Controlled
lb/hr]]))</f>
        <v>0</v>
      </c>
      <c r="J146" s="51">
        <f>IF(speciated_chemicals_147[[#This Row],[Inert / Not a Contaminant?]]="Yes", 0, speciated_chemicals_147[[#This Row],[Weight Percent]]*(unique_components_146[[#Totals],[Controlled
tpy]]+standard_components_145[[#Totals],[Controlled
tpy]]))</f>
        <v>0</v>
      </c>
    </row>
    <row r="147" spans="1:10" x14ac:dyDescent="0.2">
      <c r="A147" s="103"/>
      <c r="B147" s="51" t="str">
        <f>IFERROR(VLOOKUP(speciated_chemicals_147[[#This Row],[CAS '#]],species[],MATCH("Substance", species[#Headers], 0),FALSE),"No CAS Number Entered")</f>
        <v>No CAS Number Entered</v>
      </c>
      <c r="C147" s="102"/>
      <c r="D147" s="102" t="s">
        <v>12666</v>
      </c>
      <c r="E147" s="102" t="s">
        <v>12666</v>
      </c>
      <c r="F147" s="102" t="s">
        <v>12666</v>
      </c>
      <c r="G147" s="102" t="s">
        <v>12666</v>
      </c>
      <c r="H147" s="164"/>
      <c r="I147" s="51">
        <f>IF(speciated_chemicals_147[[#This Row],[Inert / Not a Contaminant?]]="Yes", 0, speciated_chemicals_147[[#This Row],[Weight Percent]]*(unique_components_146[[#Totals],[Controlled lb/hr]]+standard_components_145[[#Totals],[Controlled
lb/hr]]))</f>
        <v>0</v>
      </c>
      <c r="J147" s="51">
        <f>IF(speciated_chemicals_147[[#This Row],[Inert / Not a Contaminant?]]="Yes", 0, speciated_chemicals_147[[#This Row],[Weight Percent]]*(unique_components_146[[#Totals],[Controlled
tpy]]+standard_components_145[[#Totals],[Controlled
tpy]]))</f>
        <v>0</v>
      </c>
    </row>
    <row r="148" spans="1:10" x14ac:dyDescent="0.2">
      <c r="A148" s="103"/>
      <c r="B148" s="51" t="str">
        <f>IFERROR(VLOOKUP(speciated_chemicals_147[[#This Row],[CAS '#]],species[],MATCH("Substance", species[#Headers], 0),FALSE),"No CAS Number Entered")</f>
        <v>No CAS Number Entered</v>
      </c>
      <c r="C148" s="102"/>
      <c r="D148" s="102" t="s">
        <v>12666</v>
      </c>
      <c r="E148" s="102" t="s">
        <v>12666</v>
      </c>
      <c r="F148" s="102" t="s">
        <v>12666</v>
      </c>
      <c r="G148" s="102" t="s">
        <v>12666</v>
      </c>
      <c r="H148" s="164"/>
      <c r="I148" s="51">
        <f>IF(speciated_chemicals_147[[#This Row],[Inert / Not a Contaminant?]]="Yes", 0, speciated_chemicals_147[[#This Row],[Weight Percent]]*(unique_components_146[[#Totals],[Controlled lb/hr]]+standard_components_145[[#Totals],[Controlled
lb/hr]]))</f>
        <v>0</v>
      </c>
      <c r="J148" s="51">
        <f>IF(speciated_chemicals_147[[#This Row],[Inert / Not a Contaminant?]]="Yes", 0, speciated_chemicals_147[[#This Row],[Weight Percent]]*(unique_components_146[[#Totals],[Controlled
tpy]]+standard_components_145[[#Totals],[Controlled
tpy]]))</f>
        <v>0</v>
      </c>
    </row>
    <row r="149" spans="1:10" x14ac:dyDescent="0.2">
      <c r="A149" s="103"/>
      <c r="B149" s="51" t="str">
        <f>IFERROR(VLOOKUP(speciated_chemicals_147[[#This Row],[CAS '#]],species[],MATCH("Substance", species[#Headers], 0),FALSE),"No CAS Number Entered")</f>
        <v>No CAS Number Entered</v>
      </c>
      <c r="C149" s="102"/>
      <c r="D149" s="102" t="s">
        <v>12666</v>
      </c>
      <c r="E149" s="102" t="s">
        <v>12666</v>
      </c>
      <c r="F149" s="102" t="s">
        <v>12666</v>
      </c>
      <c r="G149" s="102" t="s">
        <v>12666</v>
      </c>
      <c r="H149" s="164"/>
      <c r="I149" s="51">
        <f>IF(speciated_chemicals_147[[#This Row],[Inert / Not a Contaminant?]]="Yes", 0, speciated_chemicals_147[[#This Row],[Weight Percent]]*(unique_components_146[[#Totals],[Controlled lb/hr]]+standard_components_145[[#Totals],[Controlled
lb/hr]]))</f>
        <v>0</v>
      </c>
      <c r="J149" s="51">
        <f>IF(speciated_chemicals_147[[#This Row],[Inert / Not a Contaminant?]]="Yes", 0, speciated_chemicals_147[[#This Row],[Weight Percent]]*(unique_components_146[[#Totals],[Controlled
tpy]]+standard_components_145[[#Totals],[Controlled
tpy]]))</f>
        <v>0</v>
      </c>
    </row>
    <row r="150" spans="1:10" x14ac:dyDescent="0.2">
      <c r="A150" s="103"/>
      <c r="B150" s="51" t="str">
        <f>IFERROR(VLOOKUP(speciated_chemicals_147[[#This Row],[CAS '#]],species[],MATCH("Substance", species[#Headers], 0),FALSE),"No CAS Number Entered")</f>
        <v>No CAS Number Entered</v>
      </c>
      <c r="C150" s="102"/>
      <c r="D150" s="102" t="s">
        <v>12666</v>
      </c>
      <c r="E150" s="102" t="s">
        <v>12666</v>
      </c>
      <c r="F150" s="102" t="s">
        <v>12666</v>
      </c>
      <c r="G150" s="102" t="s">
        <v>12666</v>
      </c>
      <c r="H150" s="164"/>
      <c r="I150" s="51">
        <f>IF(speciated_chemicals_147[[#This Row],[Inert / Not a Contaminant?]]="Yes", 0, speciated_chemicals_147[[#This Row],[Weight Percent]]*(unique_components_146[[#Totals],[Controlled lb/hr]]+standard_components_145[[#Totals],[Controlled
lb/hr]]))</f>
        <v>0</v>
      </c>
      <c r="J150" s="51">
        <f>IF(speciated_chemicals_147[[#This Row],[Inert / Not a Contaminant?]]="Yes", 0, speciated_chemicals_147[[#This Row],[Weight Percent]]*(unique_components_146[[#Totals],[Controlled
tpy]]+standard_components_145[[#Totals],[Controlled
tpy]]))</f>
        <v>0</v>
      </c>
    </row>
    <row r="151" spans="1:10" x14ac:dyDescent="0.2">
      <c r="A151" s="103"/>
      <c r="B151" s="51" t="str">
        <f>IFERROR(VLOOKUP(speciated_chemicals_147[[#This Row],[CAS '#]],species[],MATCH("Substance", species[#Headers], 0),FALSE),"No CAS Number Entered")</f>
        <v>No CAS Number Entered</v>
      </c>
      <c r="C151" s="102"/>
      <c r="D151" s="102" t="s">
        <v>12666</v>
      </c>
      <c r="E151" s="102" t="s">
        <v>12666</v>
      </c>
      <c r="F151" s="102" t="s">
        <v>12666</v>
      </c>
      <c r="G151" s="102" t="s">
        <v>12666</v>
      </c>
      <c r="H151" s="164"/>
      <c r="I151" s="51">
        <f>IF(speciated_chemicals_147[[#This Row],[Inert / Not a Contaminant?]]="Yes", 0, speciated_chemicals_147[[#This Row],[Weight Percent]]*(unique_components_146[[#Totals],[Controlled lb/hr]]+standard_components_145[[#Totals],[Controlled
lb/hr]]))</f>
        <v>0</v>
      </c>
      <c r="J151" s="51">
        <f>IF(speciated_chemicals_147[[#This Row],[Inert / Not a Contaminant?]]="Yes", 0, speciated_chemicals_147[[#This Row],[Weight Percent]]*(unique_components_146[[#Totals],[Controlled
tpy]]+standard_components_145[[#Totals],[Controlled
tpy]]))</f>
        <v>0</v>
      </c>
    </row>
    <row r="152" spans="1:10" x14ac:dyDescent="0.2">
      <c r="A152" s="103"/>
      <c r="B152" s="51" t="str">
        <f>IFERROR(VLOOKUP(speciated_chemicals_147[[#This Row],[CAS '#]],species[],MATCH("Substance", species[#Headers], 0),FALSE),"No CAS Number Entered")</f>
        <v>No CAS Number Entered</v>
      </c>
      <c r="C152" s="102"/>
      <c r="D152" s="102" t="s">
        <v>12666</v>
      </c>
      <c r="E152" s="102" t="s">
        <v>12666</v>
      </c>
      <c r="F152" s="102" t="s">
        <v>12666</v>
      </c>
      <c r="G152" s="102" t="s">
        <v>12666</v>
      </c>
      <c r="H152" s="164"/>
      <c r="I152" s="51">
        <f>IF(speciated_chemicals_147[[#This Row],[Inert / Not a Contaminant?]]="Yes", 0, speciated_chemicals_147[[#This Row],[Weight Percent]]*(unique_components_146[[#Totals],[Controlled lb/hr]]+standard_components_145[[#Totals],[Controlled
lb/hr]]))</f>
        <v>0</v>
      </c>
      <c r="J152" s="51">
        <f>IF(speciated_chemicals_147[[#This Row],[Inert / Not a Contaminant?]]="Yes", 0, speciated_chemicals_147[[#This Row],[Weight Percent]]*(unique_components_146[[#Totals],[Controlled
tpy]]+standard_components_145[[#Totals],[Controlled
tpy]]))</f>
        <v>0</v>
      </c>
    </row>
    <row r="153" spans="1:10" x14ac:dyDescent="0.2">
      <c r="A153" s="103"/>
      <c r="B153" s="51" t="str">
        <f>IFERROR(VLOOKUP(speciated_chemicals_147[[#This Row],[CAS '#]],species[],MATCH("Substance", species[#Headers], 0),FALSE),"No CAS Number Entered")</f>
        <v>No CAS Number Entered</v>
      </c>
      <c r="C153" s="102"/>
      <c r="D153" s="102" t="s">
        <v>12666</v>
      </c>
      <c r="E153" s="102" t="s">
        <v>12666</v>
      </c>
      <c r="F153" s="102" t="s">
        <v>12666</v>
      </c>
      <c r="G153" s="102" t="s">
        <v>12666</v>
      </c>
      <c r="H153" s="164"/>
      <c r="I153" s="51">
        <f>IF(speciated_chemicals_147[[#This Row],[Inert / Not a Contaminant?]]="Yes", 0, speciated_chemicals_147[[#This Row],[Weight Percent]]*(unique_components_146[[#Totals],[Controlled lb/hr]]+standard_components_145[[#Totals],[Controlled
lb/hr]]))</f>
        <v>0</v>
      </c>
      <c r="J153" s="51">
        <f>IF(speciated_chemicals_147[[#This Row],[Inert / Not a Contaminant?]]="Yes", 0, speciated_chemicals_147[[#This Row],[Weight Percent]]*(unique_components_146[[#Totals],[Controlled
tpy]]+standard_components_145[[#Totals],[Controlled
tpy]]))</f>
        <v>0</v>
      </c>
    </row>
    <row r="154" spans="1:10" x14ac:dyDescent="0.2">
      <c r="A154" s="103"/>
      <c r="B154" s="51" t="str">
        <f>IFERROR(VLOOKUP(speciated_chemicals_147[[#This Row],[CAS '#]],species[],MATCH("Substance", species[#Headers], 0),FALSE),"No CAS Number Entered")</f>
        <v>No CAS Number Entered</v>
      </c>
      <c r="C154" s="102"/>
      <c r="D154" s="102" t="s">
        <v>12666</v>
      </c>
      <c r="E154" s="102" t="s">
        <v>12666</v>
      </c>
      <c r="F154" s="102" t="s">
        <v>12666</v>
      </c>
      <c r="G154" s="102" t="s">
        <v>12666</v>
      </c>
      <c r="H154" s="164"/>
      <c r="I154" s="51">
        <f>IF(speciated_chemicals_147[[#This Row],[Inert / Not a Contaminant?]]="Yes", 0, speciated_chemicals_147[[#This Row],[Weight Percent]]*(unique_components_146[[#Totals],[Controlled lb/hr]]+standard_components_145[[#Totals],[Controlled
lb/hr]]))</f>
        <v>0</v>
      </c>
      <c r="J154" s="51">
        <f>IF(speciated_chemicals_147[[#This Row],[Inert / Not a Contaminant?]]="Yes", 0, speciated_chemicals_147[[#This Row],[Weight Percent]]*(unique_components_146[[#Totals],[Controlled
tpy]]+standard_components_145[[#Totals],[Controlled
tpy]]))</f>
        <v>0</v>
      </c>
    </row>
    <row r="155" spans="1:10" x14ac:dyDescent="0.2">
      <c r="A155" s="103"/>
      <c r="B155" s="51" t="str">
        <f>IFERROR(VLOOKUP(speciated_chemicals_147[[#This Row],[CAS '#]],species[],MATCH("Substance", species[#Headers], 0),FALSE),"No CAS Number Entered")</f>
        <v>No CAS Number Entered</v>
      </c>
      <c r="C155" s="102"/>
      <c r="D155" s="102" t="s">
        <v>12666</v>
      </c>
      <c r="E155" s="102" t="s">
        <v>12666</v>
      </c>
      <c r="F155" s="102" t="s">
        <v>12666</v>
      </c>
      <c r="G155" s="102" t="s">
        <v>12666</v>
      </c>
      <c r="H155" s="164"/>
      <c r="I155" s="51">
        <f>IF(speciated_chemicals_147[[#This Row],[Inert / Not a Contaminant?]]="Yes", 0, speciated_chemicals_147[[#This Row],[Weight Percent]]*(unique_components_146[[#Totals],[Controlled lb/hr]]+standard_components_145[[#Totals],[Controlled
lb/hr]]))</f>
        <v>0</v>
      </c>
      <c r="J155" s="51">
        <f>IF(speciated_chemicals_147[[#This Row],[Inert / Not a Contaminant?]]="Yes", 0, speciated_chemicals_147[[#This Row],[Weight Percent]]*(unique_components_146[[#Totals],[Controlled
tpy]]+standard_components_145[[#Totals],[Controlled
tpy]]))</f>
        <v>0</v>
      </c>
    </row>
    <row r="156" spans="1:10" x14ac:dyDescent="0.2">
      <c r="A156" s="103"/>
      <c r="B156" s="51" t="str">
        <f>IFERROR(VLOOKUP(speciated_chemicals_147[[#This Row],[CAS '#]],species[],MATCH("Substance", species[#Headers], 0),FALSE),"No CAS Number Entered")</f>
        <v>No CAS Number Entered</v>
      </c>
      <c r="C156" s="102"/>
      <c r="D156" s="102" t="s">
        <v>12666</v>
      </c>
      <c r="E156" s="102" t="s">
        <v>12666</v>
      </c>
      <c r="F156" s="102" t="s">
        <v>12666</v>
      </c>
      <c r="G156" s="102" t="s">
        <v>12666</v>
      </c>
      <c r="H156" s="164"/>
      <c r="I156" s="51">
        <f>IF(speciated_chemicals_147[[#This Row],[Inert / Not a Contaminant?]]="Yes", 0, speciated_chemicals_147[[#This Row],[Weight Percent]]*(unique_components_146[[#Totals],[Controlled lb/hr]]+standard_components_145[[#Totals],[Controlled
lb/hr]]))</f>
        <v>0</v>
      </c>
      <c r="J156" s="51">
        <f>IF(speciated_chemicals_147[[#This Row],[Inert / Not a Contaminant?]]="Yes", 0, speciated_chemicals_147[[#This Row],[Weight Percent]]*(unique_components_146[[#Totals],[Controlled
tpy]]+standard_components_145[[#Totals],[Controlled
tpy]]))</f>
        <v>0</v>
      </c>
    </row>
    <row r="157" spans="1:10" x14ac:dyDescent="0.2">
      <c r="A157" s="103"/>
      <c r="B157" s="51" t="str">
        <f>IFERROR(VLOOKUP(speciated_chemicals_147[[#This Row],[CAS '#]],species[],MATCH("Substance", species[#Headers], 0),FALSE),"No CAS Number Entered")</f>
        <v>No CAS Number Entered</v>
      </c>
      <c r="C157" s="102"/>
      <c r="D157" s="102" t="s">
        <v>12666</v>
      </c>
      <c r="E157" s="102" t="s">
        <v>12666</v>
      </c>
      <c r="F157" s="102" t="s">
        <v>12666</v>
      </c>
      <c r="G157" s="102" t="s">
        <v>12666</v>
      </c>
      <c r="H157" s="164"/>
      <c r="I157" s="51">
        <f>IF(speciated_chemicals_147[[#This Row],[Inert / Not a Contaminant?]]="Yes", 0, speciated_chemicals_147[[#This Row],[Weight Percent]]*(unique_components_146[[#Totals],[Controlled lb/hr]]+standard_components_145[[#Totals],[Controlled
lb/hr]]))</f>
        <v>0</v>
      </c>
      <c r="J157" s="51">
        <f>IF(speciated_chemicals_147[[#This Row],[Inert / Not a Contaminant?]]="Yes", 0, speciated_chemicals_147[[#This Row],[Weight Percent]]*(unique_components_146[[#Totals],[Controlled
tpy]]+standard_components_145[[#Totals],[Controlled
tpy]]))</f>
        <v>0</v>
      </c>
    </row>
    <row r="158" spans="1:10" x14ac:dyDescent="0.2">
      <c r="A158" s="103"/>
      <c r="B158" s="51" t="str">
        <f>IFERROR(VLOOKUP(speciated_chemicals_147[[#This Row],[CAS '#]],species[],MATCH("Substance", species[#Headers], 0),FALSE),"No CAS Number Entered")</f>
        <v>No CAS Number Entered</v>
      </c>
      <c r="C158" s="102"/>
      <c r="D158" s="102" t="s">
        <v>12666</v>
      </c>
      <c r="E158" s="102" t="s">
        <v>12666</v>
      </c>
      <c r="F158" s="102" t="s">
        <v>12666</v>
      </c>
      <c r="G158" s="102" t="s">
        <v>12666</v>
      </c>
      <c r="H158" s="164"/>
      <c r="I158" s="51">
        <f>IF(speciated_chemicals_147[[#This Row],[Inert / Not a Contaminant?]]="Yes", 0, speciated_chemicals_147[[#This Row],[Weight Percent]]*(unique_components_146[[#Totals],[Controlled lb/hr]]+standard_components_145[[#Totals],[Controlled
lb/hr]]))</f>
        <v>0</v>
      </c>
      <c r="J158" s="51">
        <f>IF(speciated_chemicals_147[[#This Row],[Inert / Not a Contaminant?]]="Yes", 0, speciated_chemicals_147[[#This Row],[Weight Percent]]*(unique_components_146[[#Totals],[Controlled
tpy]]+standard_components_145[[#Totals],[Controlled
tpy]]))</f>
        <v>0</v>
      </c>
    </row>
    <row r="159" spans="1:10" x14ac:dyDescent="0.2">
      <c r="A159" s="103"/>
      <c r="B159" s="51" t="str">
        <f>IFERROR(VLOOKUP(speciated_chemicals_147[[#This Row],[CAS '#]],species[],MATCH("Substance", species[#Headers], 0),FALSE),"No CAS Number Entered")</f>
        <v>No CAS Number Entered</v>
      </c>
      <c r="C159" s="102"/>
      <c r="D159" s="102" t="s">
        <v>12666</v>
      </c>
      <c r="E159" s="102" t="s">
        <v>12666</v>
      </c>
      <c r="F159" s="102" t="s">
        <v>12666</v>
      </c>
      <c r="G159" s="102" t="s">
        <v>12666</v>
      </c>
      <c r="H159" s="164"/>
      <c r="I159" s="51">
        <f>IF(speciated_chemicals_147[[#This Row],[Inert / Not a Contaminant?]]="Yes", 0, speciated_chemicals_147[[#This Row],[Weight Percent]]*(unique_components_146[[#Totals],[Controlled lb/hr]]+standard_components_145[[#Totals],[Controlled
lb/hr]]))</f>
        <v>0</v>
      </c>
      <c r="J159" s="51">
        <f>IF(speciated_chemicals_147[[#This Row],[Inert / Not a Contaminant?]]="Yes", 0, speciated_chemicals_147[[#This Row],[Weight Percent]]*(unique_components_146[[#Totals],[Controlled
tpy]]+standard_components_145[[#Totals],[Controlled
tpy]]))</f>
        <v>0</v>
      </c>
    </row>
    <row r="160" spans="1:10" x14ac:dyDescent="0.2">
      <c r="A160" s="103"/>
      <c r="B160" s="51" t="str">
        <f>IFERROR(VLOOKUP(speciated_chemicals_147[[#This Row],[CAS '#]],species[],MATCH("Substance", species[#Headers], 0),FALSE),"No CAS Number Entered")</f>
        <v>No CAS Number Entered</v>
      </c>
      <c r="C160" s="102"/>
      <c r="D160" s="102" t="s">
        <v>12666</v>
      </c>
      <c r="E160" s="102" t="s">
        <v>12666</v>
      </c>
      <c r="F160" s="102" t="s">
        <v>12666</v>
      </c>
      <c r="G160" s="102" t="s">
        <v>12666</v>
      </c>
      <c r="H160" s="164"/>
      <c r="I160" s="51">
        <f>IF(speciated_chemicals_147[[#This Row],[Inert / Not a Contaminant?]]="Yes", 0, speciated_chemicals_147[[#This Row],[Weight Percent]]*(unique_components_146[[#Totals],[Controlled lb/hr]]+standard_components_145[[#Totals],[Controlled
lb/hr]]))</f>
        <v>0</v>
      </c>
      <c r="J160" s="51">
        <f>IF(speciated_chemicals_147[[#This Row],[Inert / Not a Contaminant?]]="Yes", 0, speciated_chemicals_147[[#This Row],[Weight Percent]]*(unique_components_146[[#Totals],[Controlled
tpy]]+standard_components_145[[#Totals],[Controlled
tpy]]))</f>
        <v>0</v>
      </c>
    </row>
    <row r="161" spans="1:10" x14ac:dyDescent="0.2">
      <c r="A161" s="103"/>
      <c r="B161" s="51" t="str">
        <f>IFERROR(VLOOKUP(speciated_chemicals_147[[#This Row],[CAS '#]],species[],MATCH("Substance", species[#Headers], 0),FALSE),"No CAS Number Entered")</f>
        <v>No CAS Number Entered</v>
      </c>
      <c r="C161" s="102"/>
      <c r="D161" s="102" t="s">
        <v>12666</v>
      </c>
      <c r="E161" s="102" t="s">
        <v>12666</v>
      </c>
      <c r="F161" s="102" t="s">
        <v>12666</v>
      </c>
      <c r="G161" s="102" t="s">
        <v>12666</v>
      </c>
      <c r="H161" s="164"/>
      <c r="I161" s="51">
        <f>IF(speciated_chemicals_147[[#This Row],[Inert / Not a Contaminant?]]="Yes", 0, speciated_chemicals_147[[#This Row],[Weight Percent]]*(unique_components_146[[#Totals],[Controlled lb/hr]]+standard_components_145[[#Totals],[Controlled
lb/hr]]))</f>
        <v>0</v>
      </c>
      <c r="J161" s="51">
        <f>IF(speciated_chemicals_147[[#This Row],[Inert / Not a Contaminant?]]="Yes", 0, speciated_chemicals_147[[#This Row],[Weight Percent]]*(unique_components_146[[#Totals],[Controlled
tpy]]+standard_components_145[[#Totals],[Controlled
tpy]]))</f>
        <v>0</v>
      </c>
    </row>
    <row r="162" spans="1:10" x14ac:dyDescent="0.2">
      <c r="A162" s="103"/>
      <c r="B162" s="51" t="str">
        <f>IFERROR(VLOOKUP(speciated_chemicals_147[[#This Row],[CAS '#]],species[],MATCH("Substance", species[#Headers], 0),FALSE),"No CAS Number Entered")</f>
        <v>No CAS Number Entered</v>
      </c>
      <c r="C162" s="102"/>
      <c r="D162" s="102" t="s">
        <v>12666</v>
      </c>
      <c r="E162" s="102" t="s">
        <v>12666</v>
      </c>
      <c r="F162" s="102" t="s">
        <v>12666</v>
      </c>
      <c r="G162" s="102" t="s">
        <v>12666</v>
      </c>
      <c r="H162" s="164"/>
      <c r="I162" s="51">
        <f>IF(speciated_chemicals_147[[#This Row],[Inert / Not a Contaminant?]]="Yes", 0, speciated_chemicals_147[[#This Row],[Weight Percent]]*(unique_components_146[[#Totals],[Controlled lb/hr]]+standard_components_145[[#Totals],[Controlled
lb/hr]]))</f>
        <v>0</v>
      </c>
      <c r="J162" s="51">
        <f>IF(speciated_chemicals_147[[#This Row],[Inert / Not a Contaminant?]]="Yes", 0, speciated_chemicals_147[[#This Row],[Weight Percent]]*(unique_components_146[[#Totals],[Controlled
tpy]]+standard_components_145[[#Totals],[Controlled
tpy]]))</f>
        <v>0</v>
      </c>
    </row>
    <row r="163" spans="1:10" x14ac:dyDescent="0.2">
      <c r="A163" s="103"/>
      <c r="B163" s="51" t="str">
        <f>IFERROR(VLOOKUP(speciated_chemicals_147[[#This Row],[CAS '#]],species[],MATCH("Substance", species[#Headers], 0),FALSE),"No CAS Number Entered")</f>
        <v>No CAS Number Entered</v>
      </c>
      <c r="C163" s="102"/>
      <c r="D163" s="102" t="s">
        <v>12666</v>
      </c>
      <c r="E163" s="102" t="s">
        <v>12666</v>
      </c>
      <c r="F163" s="102" t="s">
        <v>12666</v>
      </c>
      <c r="G163" s="102" t="s">
        <v>12666</v>
      </c>
      <c r="H163" s="164"/>
      <c r="I163" s="51">
        <f>IF(speciated_chemicals_147[[#This Row],[Inert / Not a Contaminant?]]="Yes", 0, speciated_chemicals_147[[#This Row],[Weight Percent]]*(unique_components_146[[#Totals],[Controlled lb/hr]]+standard_components_145[[#Totals],[Controlled
lb/hr]]))</f>
        <v>0</v>
      </c>
      <c r="J163" s="51">
        <f>IF(speciated_chemicals_147[[#This Row],[Inert / Not a Contaminant?]]="Yes", 0, speciated_chemicals_147[[#This Row],[Weight Percent]]*(unique_components_146[[#Totals],[Controlled
tpy]]+standard_components_145[[#Totals],[Controlled
tpy]]))</f>
        <v>0</v>
      </c>
    </row>
    <row r="164" spans="1:10" x14ac:dyDescent="0.2">
      <c r="A164" s="103"/>
      <c r="B164" s="51" t="str">
        <f>IFERROR(VLOOKUP(speciated_chemicals_147[[#This Row],[CAS '#]],species[],MATCH("Substance", species[#Headers], 0),FALSE),"No CAS Number Entered")</f>
        <v>No CAS Number Entered</v>
      </c>
      <c r="C164" s="102"/>
      <c r="D164" s="102" t="s">
        <v>12666</v>
      </c>
      <c r="E164" s="102" t="s">
        <v>12666</v>
      </c>
      <c r="F164" s="102" t="s">
        <v>12666</v>
      </c>
      <c r="G164" s="102" t="s">
        <v>12666</v>
      </c>
      <c r="H164" s="164"/>
      <c r="I164" s="51">
        <f>IF(speciated_chemicals_147[[#This Row],[Inert / Not a Contaminant?]]="Yes", 0, speciated_chemicals_147[[#This Row],[Weight Percent]]*(unique_components_146[[#Totals],[Controlled lb/hr]]+standard_components_145[[#Totals],[Controlled
lb/hr]]))</f>
        <v>0</v>
      </c>
      <c r="J164" s="51">
        <f>IF(speciated_chemicals_147[[#This Row],[Inert / Not a Contaminant?]]="Yes", 0, speciated_chemicals_147[[#This Row],[Weight Percent]]*(unique_components_146[[#Totals],[Controlled
tpy]]+standard_components_145[[#Totals],[Controlled
tpy]]))</f>
        <v>0</v>
      </c>
    </row>
    <row r="165" spans="1:10" x14ac:dyDescent="0.2">
      <c r="A165" s="103"/>
      <c r="B165" s="51" t="str">
        <f>IFERROR(VLOOKUP(speciated_chemicals_147[[#This Row],[CAS '#]],species[],MATCH("Substance", species[#Headers], 0),FALSE),"No CAS Number Entered")</f>
        <v>No CAS Number Entered</v>
      </c>
      <c r="C165" s="102"/>
      <c r="D165" s="102" t="s">
        <v>12666</v>
      </c>
      <c r="E165" s="102" t="s">
        <v>12666</v>
      </c>
      <c r="F165" s="102" t="s">
        <v>12666</v>
      </c>
      <c r="G165" s="102" t="s">
        <v>12666</v>
      </c>
      <c r="H165" s="164"/>
      <c r="I165" s="51">
        <f>IF(speciated_chemicals_147[[#This Row],[Inert / Not a Contaminant?]]="Yes", 0, speciated_chemicals_147[[#This Row],[Weight Percent]]*(unique_components_146[[#Totals],[Controlled lb/hr]]+standard_components_145[[#Totals],[Controlled
lb/hr]]))</f>
        <v>0</v>
      </c>
      <c r="J165" s="51">
        <f>IF(speciated_chemicals_147[[#This Row],[Inert / Not a Contaminant?]]="Yes", 0, speciated_chemicals_147[[#This Row],[Weight Percent]]*(unique_components_146[[#Totals],[Controlled
tpy]]+standard_components_145[[#Totals],[Controlled
tpy]]))</f>
        <v>0</v>
      </c>
    </row>
    <row r="166" spans="1:10" x14ac:dyDescent="0.2">
      <c r="A166" s="103"/>
      <c r="B166" s="51" t="str">
        <f>IFERROR(VLOOKUP(speciated_chemicals_147[[#This Row],[CAS '#]],species[],MATCH("Substance", species[#Headers], 0),FALSE),"No CAS Number Entered")</f>
        <v>No CAS Number Entered</v>
      </c>
      <c r="C166" s="102"/>
      <c r="D166" s="102" t="s">
        <v>12666</v>
      </c>
      <c r="E166" s="102" t="s">
        <v>12666</v>
      </c>
      <c r="F166" s="102" t="s">
        <v>12666</v>
      </c>
      <c r="G166" s="102" t="s">
        <v>12666</v>
      </c>
      <c r="H166" s="164"/>
      <c r="I166" s="51">
        <f>IF(speciated_chemicals_147[[#This Row],[Inert / Not a Contaminant?]]="Yes", 0, speciated_chemicals_147[[#This Row],[Weight Percent]]*(unique_components_146[[#Totals],[Controlled lb/hr]]+standard_components_145[[#Totals],[Controlled
lb/hr]]))</f>
        <v>0</v>
      </c>
      <c r="J166" s="51">
        <f>IF(speciated_chemicals_147[[#This Row],[Inert / Not a Contaminant?]]="Yes", 0, speciated_chemicals_147[[#This Row],[Weight Percent]]*(unique_components_146[[#Totals],[Controlled
tpy]]+standard_components_145[[#Totals],[Controlled
tpy]]))</f>
        <v>0</v>
      </c>
    </row>
    <row r="167" spans="1:10" x14ac:dyDescent="0.2">
      <c r="A167" s="103"/>
      <c r="B167" s="51" t="str">
        <f>IFERROR(VLOOKUP(speciated_chemicals_147[[#This Row],[CAS '#]],species[],MATCH("Substance", species[#Headers], 0),FALSE),"No CAS Number Entered")</f>
        <v>No CAS Number Entered</v>
      </c>
      <c r="C167" s="102"/>
      <c r="D167" s="102" t="s">
        <v>12666</v>
      </c>
      <c r="E167" s="102" t="s">
        <v>12666</v>
      </c>
      <c r="F167" s="102" t="s">
        <v>12666</v>
      </c>
      <c r="G167" s="102" t="s">
        <v>12666</v>
      </c>
      <c r="H167" s="164"/>
      <c r="I167" s="51">
        <f>IF(speciated_chemicals_147[[#This Row],[Inert / Not a Contaminant?]]="Yes", 0, speciated_chemicals_147[[#This Row],[Weight Percent]]*(unique_components_146[[#Totals],[Controlled lb/hr]]+standard_components_145[[#Totals],[Controlled
lb/hr]]))</f>
        <v>0</v>
      </c>
      <c r="J167" s="51">
        <f>IF(speciated_chemicals_147[[#This Row],[Inert / Not a Contaminant?]]="Yes", 0, speciated_chemicals_147[[#This Row],[Weight Percent]]*(unique_components_146[[#Totals],[Controlled
tpy]]+standard_components_145[[#Totals],[Controlled
tpy]]))</f>
        <v>0</v>
      </c>
    </row>
    <row r="168" spans="1:10" x14ac:dyDescent="0.2">
      <c r="A168" s="103"/>
      <c r="B168" s="51" t="str">
        <f>IFERROR(VLOOKUP(speciated_chemicals_147[[#This Row],[CAS '#]],species[],MATCH("Substance", species[#Headers], 0),FALSE),"No CAS Number Entered")</f>
        <v>No CAS Number Entered</v>
      </c>
      <c r="C168" s="102"/>
      <c r="D168" s="102" t="s">
        <v>12666</v>
      </c>
      <c r="E168" s="102" t="s">
        <v>12666</v>
      </c>
      <c r="F168" s="102" t="s">
        <v>12666</v>
      </c>
      <c r="G168" s="102" t="s">
        <v>12666</v>
      </c>
      <c r="H168" s="164"/>
      <c r="I168" s="51">
        <f>IF(speciated_chemicals_147[[#This Row],[Inert / Not a Contaminant?]]="Yes", 0, speciated_chemicals_147[[#This Row],[Weight Percent]]*(unique_components_146[[#Totals],[Controlled lb/hr]]+standard_components_145[[#Totals],[Controlled
lb/hr]]))</f>
        <v>0</v>
      </c>
      <c r="J168" s="51">
        <f>IF(speciated_chemicals_147[[#This Row],[Inert / Not a Contaminant?]]="Yes", 0, speciated_chemicals_147[[#This Row],[Weight Percent]]*(unique_components_146[[#Totals],[Controlled
tpy]]+standard_components_145[[#Totals],[Controlled
tpy]]))</f>
        <v>0</v>
      </c>
    </row>
    <row r="169" spans="1:10" x14ac:dyDescent="0.2">
      <c r="A169" s="103"/>
      <c r="B169" s="51" t="str">
        <f>IFERROR(VLOOKUP(speciated_chemicals_147[[#This Row],[CAS '#]],species[],MATCH("Substance", species[#Headers], 0),FALSE),"No CAS Number Entered")</f>
        <v>No CAS Number Entered</v>
      </c>
      <c r="C169" s="102"/>
      <c r="D169" s="102" t="s">
        <v>12666</v>
      </c>
      <c r="E169" s="102" t="s">
        <v>12666</v>
      </c>
      <c r="F169" s="102" t="s">
        <v>12666</v>
      </c>
      <c r="G169" s="102" t="s">
        <v>12666</v>
      </c>
      <c r="H169" s="164"/>
      <c r="I169" s="51">
        <f>IF(speciated_chemicals_147[[#This Row],[Inert / Not a Contaminant?]]="Yes", 0, speciated_chemicals_147[[#This Row],[Weight Percent]]*(unique_components_146[[#Totals],[Controlled lb/hr]]+standard_components_145[[#Totals],[Controlled
lb/hr]]))</f>
        <v>0</v>
      </c>
      <c r="J169" s="51">
        <f>IF(speciated_chemicals_147[[#This Row],[Inert / Not a Contaminant?]]="Yes", 0, speciated_chemicals_147[[#This Row],[Weight Percent]]*(unique_components_146[[#Totals],[Controlled
tpy]]+standard_components_145[[#Totals],[Controlled
tpy]]))</f>
        <v>0</v>
      </c>
    </row>
    <row r="170" spans="1:10" x14ac:dyDescent="0.2">
      <c r="A170" s="103"/>
      <c r="B170" s="51" t="str">
        <f>IFERROR(VLOOKUP(speciated_chemicals_147[[#This Row],[CAS '#]],species[],MATCH("Substance", species[#Headers], 0),FALSE),"No CAS Number Entered")</f>
        <v>No CAS Number Entered</v>
      </c>
      <c r="C170" s="102"/>
      <c r="D170" s="102" t="s">
        <v>12666</v>
      </c>
      <c r="E170" s="102" t="s">
        <v>12666</v>
      </c>
      <c r="F170" s="102" t="s">
        <v>12666</v>
      </c>
      <c r="G170" s="102" t="s">
        <v>12666</v>
      </c>
      <c r="H170" s="164"/>
      <c r="I170" s="51">
        <f>IF(speciated_chemicals_147[[#This Row],[Inert / Not a Contaminant?]]="Yes", 0, speciated_chemicals_147[[#This Row],[Weight Percent]]*(unique_components_146[[#Totals],[Controlled lb/hr]]+standard_components_145[[#Totals],[Controlled
lb/hr]]))</f>
        <v>0</v>
      </c>
      <c r="J170" s="51">
        <f>IF(speciated_chemicals_147[[#This Row],[Inert / Not a Contaminant?]]="Yes", 0, speciated_chemicals_147[[#This Row],[Weight Percent]]*(unique_components_146[[#Totals],[Controlled
tpy]]+standard_components_145[[#Totals],[Controlled
tpy]]))</f>
        <v>0</v>
      </c>
    </row>
    <row r="171" spans="1:10" x14ac:dyDescent="0.2">
      <c r="A171" s="103"/>
      <c r="B171" s="51" t="str">
        <f>IFERROR(VLOOKUP(speciated_chemicals_147[[#This Row],[CAS '#]],species[],MATCH("Substance", species[#Headers], 0),FALSE),"No CAS Number Entered")</f>
        <v>No CAS Number Entered</v>
      </c>
      <c r="C171" s="102"/>
      <c r="D171" s="102" t="s">
        <v>12666</v>
      </c>
      <c r="E171" s="102" t="s">
        <v>12666</v>
      </c>
      <c r="F171" s="102" t="s">
        <v>12666</v>
      </c>
      <c r="G171" s="102" t="s">
        <v>12666</v>
      </c>
      <c r="H171" s="164"/>
      <c r="I171" s="51">
        <f>IF(speciated_chemicals_147[[#This Row],[Inert / Not a Contaminant?]]="Yes", 0, speciated_chemicals_147[[#This Row],[Weight Percent]]*(unique_components_146[[#Totals],[Controlled lb/hr]]+standard_components_145[[#Totals],[Controlled
lb/hr]]))</f>
        <v>0</v>
      </c>
      <c r="J171" s="51">
        <f>IF(speciated_chemicals_147[[#This Row],[Inert / Not a Contaminant?]]="Yes", 0, speciated_chemicals_147[[#This Row],[Weight Percent]]*(unique_components_146[[#Totals],[Controlled
tpy]]+standard_components_145[[#Totals],[Controlled
tpy]]))</f>
        <v>0</v>
      </c>
    </row>
    <row r="172" spans="1:10" x14ac:dyDescent="0.2">
      <c r="A172" s="103"/>
      <c r="B172" s="51" t="str">
        <f>IFERROR(VLOOKUP(speciated_chemicals_147[[#This Row],[CAS '#]],species[],MATCH("Substance", species[#Headers], 0),FALSE),"No CAS Number Entered")</f>
        <v>No CAS Number Entered</v>
      </c>
      <c r="C172" s="102"/>
      <c r="D172" s="102" t="s">
        <v>12666</v>
      </c>
      <c r="E172" s="102" t="s">
        <v>12666</v>
      </c>
      <c r="F172" s="102" t="s">
        <v>12666</v>
      </c>
      <c r="G172" s="102" t="s">
        <v>12666</v>
      </c>
      <c r="H172" s="164"/>
      <c r="I172" s="51">
        <f>IF(speciated_chemicals_147[[#This Row],[Inert / Not a Contaminant?]]="Yes", 0, speciated_chemicals_147[[#This Row],[Weight Percent]]*(unique_components_146[[#Totals],[Controlled lb/hr]]+standard_components_145[[#Totals],[Controlled
lb/hr]]))</f>
        <v>0</v>
      </c>
      <c r="J172" s="51">
        <f>IF(speciated_chemicals_147[[#This Row],[Inert / Not a Contaminant?]]="Yes", 0, speciated_chemicals_147[[#This Row],[Weight Percent]]*(unique_components_146[[#Totals],[Controlled
tpy]]+standard_components_145[[#Totals],[Controlled
tpy]]))</f>
        <v>0</v>
      </c>
    </row>
    <row r="173" spans="1:10" x14ac:dyDescent="0.2">
      <c r="A173" s="103"/>
      <c r="B173" s="51" t="str">
        <f>IFERROR(VLOOKUP(speciated_chemicals_147[[#This Row],[CAS '#]],species[],MATCH("Substance", species[#Headers], 0),FALSE),"No CAS Number Entered")</f>
        <v>No CAS Number Entered</v>
      </c>
      <c r="C173" s="102"/>
      <c r="D173" s="102" t="s">
        <v>12666</v>
      </c>
      <c r="E173" s="102" t="s">
        <v>12666</v>
      </c>
      <c r="F173" s="102" t="s">
        <v>12666</v>
      </c>
      <c r="G173" s="102" t="s">
        <v>12666</v>
      </c>
      <c r="H173" s="164"/>
      <c r="I173" s="51">
        <f>IF(speciated_chemicals_147[[#This Row],[Inert / Not a Contaminant?]]="Yes", 0, speciated_chemicals_147[[#This Row],[Weight Percent]]*(unique_components_146[[#Totals],[Controlled lb/hr]]+standard_components_145[[#Totals],[Controlled
lb/hr]]))</f>
        <v>0</v>
      </c>
      <c r="J173" s="51">
        <f>IF(speciated_chemicals_147[[#This Row],[Inert / Not a Contaminant?]]="Yes", 0, speciated_chemicals_147[[#This Row],[Weight Percent]]*(unique_components_146[[#Totals],[Controlled
tpy]]+standard_components_145[[#Totals],[Controlled
tpy]]))</f>
        <v>0</v>
      </c>
    </row>
    <row r="174" spans="1:10" x14ac:dyDescent="0.2">
      <c r="A174" s="103"/>
      <c r="B174" s="51" t="str">
        <f>IFERROR(VLOOKUP(speciated_chemicals_147[[#This Row],[CAS '#]],species[],MATCH("Substance", species[#Headers], 0),FALSE),"No CAS Number Entered")</f>
        <v>No CAS Number Entered</v>
      </c>
      <c r="C174" s="102"/>
      <c r="D174" s="102" t="s">
        <v>12666</v>
      </c>
      <c r="E174" s="102" t="s">
        <v>12666</v>
      </c>
      <c r="F174" s="102" t="s">
        <v>12666</v>
      </c>
      <c r="G174" s="102" t="s">
        <v>12666</v>
      </c>
      <c r="H174" s="164"/>
      <c r="I174" s="51">
        <f>IF(speciated_chemicals_147[[#This Row],[Inert / Not a Contaminant?]]="Yes", 0, speciated_chemicals_147[[#This Row],[Weight Percent]]*(unique_components_146[[#Totals],[Controlled lb/hr]]+standard_components_145[[#Totals],[Controlled
lb/hr]]))</f>
        <v>0</v>
      </c>
      <c r="J174" s="51">
        <f>IF(speciated_chemicals_147[[#This Row],[Inert / Not a Contaminant?]]="Yes", 0, speciated_chemicals_147[[#This Row],[Weight Percent]]*(unique_components_146[[#Totals],[Controlled
tpy]]+standard_components_145[[#Totals],[Controlled
tpy]]))</f>
        <v>0</v>
      </c>
    </row>
    <row r="175" spans="1:10" x14ac:dyDescent="0.2">
      <c r="A175" s="103"/>
      <c r="B175" s="51" t="str">
        <f>IFERROR(VLOOKUP(speciated_chemicals_147[[#This Row],[CAS '#]],species[],MATCH("Substance", species[#Headers], 0),FALSE),"No CAS Number Entered")</f>
        <v>No CAS Number Entered</v>
      </c>
      <c r="C175" s="102"/>
      <c r="D175" s="102" t="s">
        <v>12666</v>
      </c>
      <c r="E175" s="102" t="s">
        <v>12666</v>
      </c>
      <c r="F175" s="102" t="s">
        <v>12666</v>
      </c>
      <c r="G175" s="102" t="s">
        <v>12666</v>
      </c>
      <c r="H175" s="164"/>
      <c r="I175" s="51">
        <f>IF(speciated_chemicals_147[[#This Row],[Inert / Not a Contaminant?]]="Yes", 0, speciated_chemicals_147[[#This Row],[Weight Percent]]*(unique_components_146[[#Totals],[Controlled lb/hr]]+standard_components_145[[#Totals],[Controlled
lb/hr]]))</f>
        <v>0</v>
      </c>
      <c r="J175" s="51">
        <f>IF(speciated_chemicals_147[[#This Row],[Inert / Not a Contaminant?]]="Yes", 0, speciated_chemicals_147[[#This Row],[Weight Percent]]*(unique_components_146[[#Totals],[Controlled
tpy]]+standard_components_145[[#Totals],[Controlled
tpy]]))</f>
        <v>0</v>
      </c>
    </row>
    <row r="176" spans="1:10" x14ac:dyDescent="0.2">
      <c r="A176" s="165"/>
      <c r="B176" s="51" t="str">
        <f>IFERROR(VLOOKUP(speciated_chemicals_147[[#This Row],[CAS '#]],species[],MATCH("Substance", species[#Headers], 0),FALSE),"No CAS Number Entered")</f>
        <v>No CAS Number Entered</v>
      </c>
      <c r="C176" s="102"/>
      <c r="D176" s="102" t="s">
        <v>12666</v>
      </c>
      <c r="E176" s="102" t="s">
        <v>12666</v>
      </c>
      <c r="F176" s="102" t="s">
        <v>12666</v>
      </c>
      <c r="G176" s="102" t="s">
        <v>12666</v>
      </c>
      <c r="H176" s="164"/>
      <c r="I176" s="51">
        <f>IF(speciated_chemicals_147[[#This Row],[Inert / Not a Contaminant?]]="Yes", 0, speciated_chemicals_147[[#This Row],[Weight Percent]]*(unique_components_146[[#Totals],[Controlled lb/hr]]+standard_components_145[[#Totals],[Controlled
lb/hr]]))</f>
        <v>0</v>
      </c>
      <c r="J176" s="51">
        <f>IF(speciated_chemicals_147[[#This Row],[Inert / Not a Contaminant?]]="Yes", 0, speciated_chemicals_147[[#This Row],[Weight Percent]]*(unique_components_146[[#Totals],[Controlled
tpy]]+standard_components_145[[#Totals],[Controlled
tpy]]))</f>
        <v>0</v>
      </c>
    </row>
    <row r="177" spans="1:10" x14ac:dyDescent="0.2">
      <c r="A177" s="103"/>
      <c r="B177" s="51" t="str">
        <f>IFERROR(VLOOKUP(speciated_chemicals_147[[#This Row],[CAS '#]],species[],MATCH("Substance", species[#Headers], 0),FALSE),"No CAS Number Entered")</f>
        <v>No CAS Number Entered</v>
      </c>
      <c r="C177" s="102"/>
      <c r="D177" s="102" t="s">
        <v>12666</v>
      </c>
      <c r="E177" s="102" t="s">
        <v>12666</v>
      </c>
      <c r="F177" s="102" t="s">
        <v>12666</v>
      </c>
      <c r="G177" s="102" t="s">
        <v>12666</v>
      </c>
      <c r="H177" s="164"/>
      <c r="I177" s="51">
        <f>IF(speciated_chemicals_147[[#This Row],[Inert / Not a Contaminant?]]="Yes", 0, speciated_chemicals_147[[#This Row],[Weight Percent]]*(unique_components_146[[#Totals],[Controlled lb/hr]]+standard_components_145[[#Totals],[Controlled
lb/hr]]))</f>
        <v>0</v>
      </c>
      <c r="J177" s="51">
        <f>IF(speciated_chemicals_147[[#This Row],[Inert / Not a Contaminant?]]="Yes", 0, speciated_chemicals_147[[#This Row],[Weight Percent]]*(unique_components_146[[#Totals],[Controlled
tpy]]+standard_components_145[[#Totals],[Controlled
tpy]]))</f>
        <v>0</v>
      </c>
    </row>
    <row r="178" spans="1:10" x14ac:dyDescent="0.2">
      <c r="A178" s="103"/>
      <c r="B178" s="51" t="str">
        <f>IFERROR(VLOOKUP(speciated_chemicals_147[[#This Row],[CAS '#]],species[],MATCH("Substance", species[#Headers], 0),FALSE),"No CAS Number Entered")</f>
        <v>No CAS Number Entered</v>
      </c>
      <c r="C178" s="102"/>
      <c r="D178" s="102" t="s">
        <v>12666</v>
      </c>
      <c r="E178" s="102" t="s">
        <v>12666</v>
      </c>
      <c r="F178" s="102" t="s">
        <v>12666</v>
      </c>
      <c r="G178" s="102" t="s">
        <v>12666</v>
      </c>
      <c r="H178" s="164"/>
      <c r="I178" s="51">
        <f>IF(speciated_chemicals_147[[#This Row],[Inert / Not a Contaminant?]]="Yes", 0, speciated_chemicals_147[[#This Row],[Weight Percent]]*(unique_components_146[[#Totals],[Controlled lb/hr]]+standard_components_145[[#Totals],[Controlled
lb/hr]]))</f>
        <v>0</v>
      </c>
      <c r="J178" s="51">
        <f>IF(speciated_chemicals_147[[#This Row],[Inert / Not a Contaminant?]]="Yes", 0, speciated_chemicals_147[[#This Row],[Weight Percent]]*(unique_components_146[[#Totals],[Controlled
tpy]]+standard_components_145[[#Totals],[Controlled
tpy]]))</f>
        <v>0</v>
      </c>
    </row>
    <row r="179" spans="1:10" x14ac:dyDescent="0.2">
      <c r="A179" s="103"/>
      <c r="B179" s="51" t="str">
        <f>IFERROR(VLOOKUP(speciated_chemicals_147[[#This Row],[CAS '#]],species[],MATCH("Substance", species[#Headers], 0),FALSE),"No CAS Number Entered")</f>
        <v>No CAS Number Entered</v>
      </c>
      <c r="C179" s="102"/>
      <c r="D179" s="102" t="s">
        <v>12666</v>
      </c>
      <c r="E179" s="102" t="s">
        <v>12666</v>
      </c>
      <c r="F179" s="102" t="s">
        <v>12666</v>
      </c>
      <c r="G179" s="102" t="s">
        <v>12666</v>
      </c>
      <c r="H179" s="164"/>
      <c r="I179" s="51">
        <f>IF(speciated_chemicals_147[[#This Row],[Inert / Not a Contaminant?]]="Yes", 0, speciated_chemicals_147[[#This Row],[Weight Percent]]*(unique_components_146[[#Totals],[Controlled lb/hr]]+standard_components_145[[#Totals],[Controlled
lb/hr]]))</f>
        <v>0</v>
      </c>
      <c r="J179" s="51">
        <f>IF(speciated_chemicals_147[[#This Row],[Inert / Not a Contaminant?]]="Yes", 0, speciated_chemicals_147[[#This Row],[Weight Percent]]*(unique_components_146[[#Totals],[Controlled
tpy]]+standard_components_145[[#Totals],[Controlled
tpy]]))</f>
        <v>0</v>
      </c>
    </row>
    <row r="180" spans="1:10" x14ac:dyDescent="0.2">
      <c r="A180" s="103"/>
      <c r="B180" s="51" t="str">
        <f>IFERROR(VLOOKUP(speciated_chemicals_147[[#This Row],[CAS '#]],species[],MATCH("Substance", species[#Headers], 0),FALSE),"No CAS Number Entered")</f>
        <v>No CAS Number Entered</v>
      </c>
      <c r="C180" s="102"/>
      <c r="D180" s="102" t="s">
        <v>12666</v>
      </c>
      <c r="E180" s="102" t="s">
        <v>12666</v>
      </c>
      <c r="F180" s="102" t="s">
        <v>12666</v>
      </c>
      <c r="G180" s="102" t="s">
        <v>12666</v>
      </c>
      <c r="H180" s="164"/>
      <c r="I180" s="51">
        <f>IF(speciated_chemicals_147[[#This Row],[Inert / Not a Contaminant?]]="Yes", 0, speciated_chemicals_147[[#This Row],[Weight Percent]]*(unique_components_146[[#Totals],[Controlled lb/hr]]+standard_components_145[[#Totals],[Controlled
lb/hr]]))</f>
        <v>0</v>
      </c>
      <c r="J180" s="51">
        <f>IF(speciated_chemicals_147[[#This Row],[Inert / Not a Contaminant?]]="Yes", 0, speciated_chemicals_147[[#This Row],[Weight Percent]]*(unique_components_146[[#Totals],[Controlled
tpy]]+standard_components_145[[#Totals],[Controlled
tpy]]))</f>
        <v>0</v>
      </c>
    </row>
    <row r="181" spans="1:10" ht="30" x14ac:dyDescent="0.2">
      <c r="A181" s="184" t="s">
        <v>12705</v>
      </c>
      <c r="B181" s="52"/>
      <c r="C181" s="53"/>
      <c r="D181" s="52"/>
      <c r="E181" s="52"/>
      <c r="F181" s="52"/>
      <c r="G181" s="52"/>
      <c r="H181" s="166">
        <f>SUBTOTAL(109,speciated_chemicals_147[Weight Percent])</f>
        <v>0</v>
      </c>
      <c r="I181" s="167">
        <f>SUBTOTAL(109,speciated_chemicals_147[lb/hr])</f>
        <v>0</v>
      </c>
      <c r="J181" s="167">
        <f>SUBTOTAL(109,speciated_chemicals_147[tpy])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MATCH(speciated_ghg_148[[#This Row],[CAS '#]], gwp_table[CAS No.], 0), MATCH("Name", gwp_table[#Headers], 0)),"No CAS Number Entered")</f>
        <v>No CAS Number Entered</v>
      </c>
      <c r="C185" s="79" t="str">
        <f>IFERROR(INDEX(gwp_table[], MATCH(speciated_ghg_148[[#This Row],[CAS '#]], gwp_table[CAS No.], 0), MATCH("Global warming potential", gwp_table[#Headers], 0)),"No CAS Number Entered")</f>
        <v>No CAS Number Entered</v>
      </c>
      <c r="D185" s="219"/>
      <c r="E185" s="79">
        <f>IFERROR(speciated_ghg_148[[#This Row],[Weight Percent]]*(unique_components_146[[#Totals],[Controlled
tpy]]+standard_components_145[[#Totals],[Controlled
tpy]]), "-")</f>
        <v>0</v>
      </c>
      <c r="F185" s="81" t="str">
        <f>IFERROR(speciated_ghg_148[[#This Row],[Mass Emissions (U.S. tons per year)]]*speciated_ghg_148[[#This Row],[Global Warming Potential (GWP)]], "-")</f>
        <v>-</v>
      </c>
      <c r="G185" s="30"/>
      <c r="H185" s="168"/>
      <c r="I185" s="168"/>
    </row>
    <row r="186" spans="1:10" x14ac:dyDescent="0.2">
      <c r="A186" s="210"/>
      <c r="B186" s="79" t="str">
        <f>IFERROR(INDEX(gwp_table[], MATCH(speciated_ghg_148[[#This Row],[CAS '#]], gwp_table[CAS No.], 0), MATCH("Name", gwp_table[#Headers], 0)),"No CAS Number Entered")</f>
        <v>No CAS Number Entered</v>
      </c>
      <c r="C186" s="79" t="str">
        <f>IFERROR(INDEX(gwp_table[], MATCH(speciated_ghg_148[[#This Row],[CAS '#]], gwp_table[CAS No.], 0), MATCH("Global warming potential", gwp_table[#Headers], 0)),"No CAS Number Entered")</f>
        <v>No CAS Number Entered</v>
      </c>
      <c r="D186" s="219"/>
      <c r="E186" s="79">
        <f>IFERROR(speciated_ghg_148[[#This Row],[Weight Percent]]*(unique_components_146[[#Totals],[Controlled
tpy]]+standard_components_145[[#Totals],[Controlled
tpy]]), "-")</f>
        <v>0</v>
      </c>
      <c r="F186" s="81" t="str">
        <f>IFERROR(speciated_ghg_148[[#This Row],[Mass Emissions (U.S. tons per year)]]*speciated_ghg_148[[#This Row],[Global Warming Potential (GWP)]], "-")</f>
        <v>-</v>
      </c>
      <c r="G186" s="30"/>
      <c r="H186" s="168"/>
      <c r="I186" s="168"/>
    </row>
    <row r="187" spans="1:10" x14ac:dyDescent="0.2">
      <c r="A187" s="210"/>
      <c r="B187" s="79" t="str">
        <f>IFERROR(INDEX(gwp_table[], MATCH(speciated_ghg_148[[#This Row],[CAS '#]], gwp_table[CAS No.], 0), MATCH("Name", gwp_table[#Headers], 0)),"No CAS Number Entered")</f>
        <v>No CAS Number Entered</v>
      </c>
      <c r="C187" s="79" t="str">
        <f>IFERROR(INDEX(gwp_table[], MATCH(speciated_ghg_148[[#This Row],[CAS '#]], gwp_table[CAS No.], 0), MATCH("Global warming potential", gwp_table[#Headers], 0)),"No CAS Number Entered")</f>
        <v>No CAS Number Entered</v>
      </c>
      <c r="D187" s="219"/>
      <c r="E187" s="79">
        <f>IFERROR(speciated_ghg_148[[#This Row],[Weight Percent]]*(unique_components_146[[#Totals],[Controlled
tpy]]+standard_components_145[[#Totals],[Controlled
tpy]]), "-")</f>
        <v>0</v>
      </c>
      <c r="F187" s="81" t="str">
        <f>IFERROR(speciated_ghg_148[[#This Row],[Mass Emissions (U.S. tons per year)]]*speciated_ghg_148[[#This Row],[Global Warming Potential (GWP)]], "-")</f>
        <v>-</v>
      </c>
      <c r="G187" s="30"/>
      <c r="H187" s="168"/>
      <c r="I187" s="168"/>
    </row>
    <row r="188" spans="1:10" x14ac:dyDescent="0.2">
      <c r="A188" s="210"/>
      <c r="B188" s="79" t="str">
        <f>IFERROR(INDEX(gwp_table[], MATCH(speciated_ghg_148[[#This Row],[CAS '#]], gwp_table[CAS No.], 0), MATCH("Name", gwp_table[#Headers], 0)),"No CAS Number Entered")</f>
        <v>No CAS Number Entered</v>
      </c>
      <c r="C188" s="79" t="str">
        <f>IFERROR(INDEX(gwp_table[], MATCH(speciated_ghg_148[[#This Row],[CAS '#]], gwp_table[CAS No.], 0), MATCH("Global warming potential", gwp_table[#Headers], 0)),"No CAS Number Entered")</f>
        <v>No CAS Number Entered</v>
      </c>
      <c r="D188" s="219"/>
      <c r="E188" s="79">
        <f>IFERROR(speciated_ghg_148[[#This Row],[Weight Percent]]*(unique_components_146[[#Totals],[Controlled
tpy]]+standard_components_145[[#Totals],[Controlled
tpy]]), "-")</f>
        <v>0</v>
      </c>
      <c r="F188" s="81" t="str">
        <f>IFERROR(speciated_ghg_148[[#This Row],[Mass Emissions (U.S. tons per year)]]*speciated_ghg_148[[#This Row],[Global Warming Potential (GWP)]], "-")</f>
        <v>-</v>
      </c>
      <c r="G188" s="30"/>
      <c r="H188" s="168"/>
      <c r="I188" s="168"/>
    </row>
    <row r="189" spans="1:10" x14ac:dyDescent="0.2">
      <c r="A189" s="210"/>
      <c r="B189" s="79" t="str">
        <f>IFERROR(INDEX(gwp_table[], MATCH(speciated_ghg_148[[#This Row],[CAS '#]], gwp_table[CAS No.], 0), MATCH("Name", gwp_table[#Headers], 0)),"No CAS Number Entered")</f>
        <v>No CAS Number Entered</v>
      </c>
      <c r="C189" s="79" t="str">
        <f>IFERROR(INDEX(gwp_table[], MATCH(speciated_ghg_148[[#This Row],[CAS '#]], gwp_table[CAS No.], 0), MATCH("Global warming potential", gwp_table[#Headers], 0)),"No CAS Number Entered")</f>
        <v>No CAS Number Entered</v>
      </c>
      <c r="D189" s="219"/>
      <c r="E189" s="79">
        <f>IFERROR(speciated_ghg_148[[#This Row],[Weight Percent]]*(unique_components_146[[#Totals],[Controlled
tpy]]+standard_components_145[[#Totals],[Controlled
tpy]]), "-")</f>
        <v>0</v>
      </c>
      <c r="F189" s="81" t="str">
        <f>IFERROR(speciated_ghg_148[[#This Row],[Mass Emissions (U.S. tons per year)]]*speciated_ghg_148[[#This Row],[Global Warming Potential (GWP)]], "-")</f>
        <v>-</v>
      </c>
      <c r="G189" s="30"/>
      <c r="H189" s="168"/>
      <c r="I189" s="168"/>
    </row>
    <row r="190" spans="1:10" x14ac:dyDescent="0.2">
      <c r="A190" s="210"/>
      <c r="B190" s="79" t="str">
        <f>IFERROR(INDEX(gwp_table[], MATCH(speciated_ghg_148[[#This Row],[CAS '#]], gwp_table[CAS No.], 0), MATCH("Name", gwp_table[#Headers], 0)),"No CAS Number Entered")</f>
        <v>No CAS Number Entered</v>
      </c>
      <c r="C190" s="79" t="str">
        <f>IFERROR(INDEX(gwp_table[], MATCH(speciated_ghg_148[[#This Row],[CAS '#]], gwp_table[CAS No.], 0), MATCH("Global warming potential", gwp_table[#Headers], 0)),"No CAS Number Entered")</f>
        <v>No CAS Number Entered</v>
      </c>
      <c r="D190" s="219"/>
      <c r="E190" s="79">
        <f>IFERROR(speciated_ghg_148[[#This Row],[Weight Percent]]*(unique_components_146[[#Totals],[Controlled
tpy]]+standard_components_145[[#Totals],[Controlled
tpy]]), "-")</f>
        <v>0</v>
      </c>
      <c r="F190" s="81" t="str">
        <f>IFERROR(speciated_ghg_148[[#This Row],[Mass Emissions (U.S. tons per year)]]*speciated_ghg_148[[#This Row],[Global Warming Potential (GWP)]], "-")</f>
        <v>-</v>
      </c>
      <c r="G190" s="30"/>
      <c r="H190" s="168"/>
      <c r="I190" s="168"/>
    </row>
    <row r="191" spans="1:10" x14ac:dyDescent="0.2">
      <c r="A191" s="210"/>
      <c r="B191" s="79" t="str">
        <f>IFERROR(INDEX(gwp_table[], MATCH(speciated_ghg_148[[#This Row],[CAS '#]], gwp_table[CAS No.], 0), MATCH("Name", gwp_table[#Headers], 0)),"No CAS Number Entered")</f>
        <v>No CAS Number Entered</v>
      </c>
      <c r="C191" s="79" t="str">
        <f>IFERROR(INDEX(gwp_table[], MATCH(speciated_ghg_148[[#This Row],[CAS '#]], gwp_table[CAS No.], 0), MATCH("Global warming potential", gwp_table[#Headers], 0)),"No CAS Number Entered")</f>
        <v>No CAS Number Entered</v>
      </c>
      <c r="D191" s="219"/>
      <c r="E191" s="79">
        <f>IFERROR(speciated_ghg_148[[#This Row],[Weight Percent]]*(unique_components_146[[#Totals],[Controlled
tpy]]+standard_components_145[[#Totals],[Controlled
tpy]]), "-")</f>
        <v>0</v>
      </c>
      <c r="F191" s="81" t="str">
        <f>IFERROR(speciated_ghg_148[[#This Row],[Mass Emissions (U.S. tons per year)]]*speciated_ghg_148[[#This Row],[Global Warming Potential (GWP)]], "-")</f>
        <v>-</v>
      </c>
      <c r="G191" s="17"/>
    </row>
    <row r="192" spans="1:10" ht="15" x14ac:dyDescent="0.25">
      <c r="A192" s="210"/>
      <c r="B192" s="79" t="str">
        <f>IFERROR(INDEX(gwp_table[], MATCH(speciated_ghg_148[[#This Row],[CAS '#]], gwp_table[CAS No.], 0), MATCH("Name", gwp_table[#Headers], 0)),"No CAS Number Entered")</f>
        <v>No CAS Number Entered</v>
      </c>
      <c r="C192" s="79" t="str">
        <f>IFERROR(INDEX(gwp_table[], MATCH(speciated_ghg_148[[#This Row],[CAS '#]], gwp_table[CAS No.], 0), MATCH("Global warming potential", gwp_table[#Headers], 0)),"No CAS Number Entered")</f>
        <v>No CAS Number Entered</v>
      </c>
      <c r="D192" s="219"/>
      <c r="E192" s="79">
        <f>IFERROR(speciated_ghg_148[[#This Row],[Weight Percent]]*(unique_components_146[[#Totals],[Controlled
tpy]]+standard_components_145[[#Totals],[Controlled
tpy]]), "-")</f>
        <v>0</v>
      </c>
      <c r="F192" s="81" t="str">
        <f>IFERROR(speciated_ghg_148[[#This Row],[Mass Emissions (U.S. tons per year)]]*speciated_ghg_148[[#This Row],[Global Warming Potential (GWP)]], "-")</f>
        <v>-</v>
      </c>
      <c r="G192" s="134"/>
      <c r="H192" s="169"/>
    </row>
    <row r="193" spans="1:9" ht="15" x14ac:dyDescent="0.25">
      <c r="A193" s="210"/>
      <c r="B193" s="79" t="str">
        <f>IFERROR(INDEX(gwp_table[], MATCH(speciated_ghg_148[[#This Row],[CAS '#]], gwp_table[CAS No.], 0), MATCH("Name", gwp_table[#Headers], 0)),"No CAS Number Entered")</f>
        <v>No CAS Number Entered</v>
      </c>
      <c r="C193" s="79" t="str">
        <f>IFERROR(INDEX(gwp_table[], MATCH(speciated_ghg_148[[#This Row],[CAS '#]], gwp_table[CAS No.], 0), MATCH("Global warming potential", gwp_table[#Headers], 0)),"No CAS Number Entered")</f>
        <v>No CAS Number Entered</v>
      </c>
      <c r="D193" s="219"/>
      <c r="E193" s="79">
        <f>IFERROR(speciated_ghg_148[[#This Row],[Weight Percent]]*(unique_components_146[[#Totals],[Controlled
tpy]]+standard_components_145[[#Totals],[Controlled
tpy]]), "-")</f>
        <v>0</v>
      </c>
      <c r="F193" s="81" t="str">
        <f>IFERROR(speciated_ghg_148[[#This Row],[Mass Emissions (U.S. tons per year)]]*speciated_ghg_148[[#This Row],[Global Warming Potential (GWP)]], "-")</f>
        <v>-</v>
      </c>
      <c r="G193" s="134"/>
      <c r="H193" s="169"/>
    </row>
    <row r="194" spans="1:9" ht="15" x14ac:dyDescent="0.25">
      <c r="A194" s="210"/>
      <c r="B194" s="79" t="str">
        <f>IFERROR(INDEX(gwp_table[], MATCH(speciated_ghg_148[[#This Row],[CAS '#]], gwp_table[CAS No.], 0), MATCH("Name", gwp_table[#Headers], 0)),"No CAS Number Entered")</f>
        <v>No CAS Number Entered</v>
      </c>
      <c r="C194" s="79" t="str">
        <f>IFERROR(INDEX(gwp_table[], MATCH(speciated_ghg_148[[#This Row],[CAS '#]], gwp_table[CAS No.], 0), MATCH("Global warming potential", gwp_table[#Headers], 0)),"No CAS Number Entered")</f>
        <v>No CAS Number Entered</v>
      </c>
      <c r="D194" s="219"/>
      <c r="E194" s="79">
        <f>IFERROR(speciated_ghg_148[[#This Row],[Weight Percent]]*(unique_components_146[[#Totals],[Controlled
tpy]]+standard_components_145[[#Totals],[Controlled
tpy]]), "-")</f>
        <v>0</v>
      </c>
      <c r="F194" s="81" t="str">
        <f>IFERROR(speciated_ghg_148[[#This Row],[Mass Emissions (U.S. tons per year)]]*speciated_ghg_148[[#This Row],[Global Warming Potential (GWP)]], "-")</f>
        <v>-</v>
      </c>
      <c r="G194" s="134"/>
      <c r="H194" s="169"/>
    </row>
    <row r="195" spans="1:9" x14ac:dyDescent="0.2">
      <c r="A195" s="210"/>
      <c r="B195" s="79" t="str">
        <f>IFERROR(INDEX(gwp_table[], MATCH(speciated_ghg_148[[#This Row],[CAS '#]], gwp_table[CAS No.], 0), MATCH("Name", gwp_table[#Headers], 0)),"No CAS Number Entered")</f>
        <v>No CAS Number Entered</v>
      </c>
      <c r="C195" s="79" t="str">
        <f>IFERROR(INDEX(gwp_table[], MATCH(speciated_ghg_148[[#This Row],[CAS '#]], gwp_table[CAS No.], 0), MATCH("Global warming potential", gwp_table[#Headers], 0)),"No CAS Number Entered")</f>
        <v>No CAS Number Entered</v>
      </c>
      <c r="D195" s="219"/>
      <c r="E195" s="79">
        <f>IFERROR(speciated_ghg_148[[#This Row],[Weight Percent]]*(unique_components_146[[#Totals],[Controlled
tpy]]+standard_components_145[[#Totals],[Controlled
tpy]]), "-")</f>
        <v>0</v>
      </c>
      <c r="F195" s="81" t="str">
        <f>IFERROR(speciated_ghg_148[[#This Row],[Mass Emissions (U.S. tons per year)]]*speciated_ghg_148[[#This Row],[Global Warming Potential (GWP)]], "-")</f>
        <v>-</v>
      </c>
      <c r="G195" s="69"/>
      <c r="H195" s="169"/>
    </row>
    <row r="196" spans="1:9" x14ac:dyDescent="0.2">
      <c r="A196" s="210"/>
      <c r="B196" s="79" t="str">
        <f>IFERROR(INDEX(gwp_table[], MATCH(speciated_ghg_148[[#This Row],[CAS '#]], gwp_table[CAS No.], 0), MATCH("Name", gwp_table[#Headers], 0)),"No CAS Number Entered")</f>
        <v>No CAS Number Entered</v>
      </c>
      <c r="C196" s="79" t="str">
        <f>IFERROR(INDEX(gwp_table[], MATCH(speciated_ghg_148[[#This Row],[CAS '#]], gwp_table[CAS No.], 0), MATCH("Global warming potential", gwp_table[#Headers], 0)),"No CAS Number Entered")</f>
        <v>No CAS Number Entered</v>
      </c>
      <c r="D196" s="219"/>
      <c r="E196" s="79">
        <f>IFERROR(speciated_ghg_148[[#This Row],[Weight Percent]]*(unique_components_146[[#Totals],[Controlled
tpy]]+standard_components_145[[#Totals],[Controlled
tpy]]), "-")</f>
        <v>0</v>
      </c>
      <c r="F196" s="81" t="str">
        <f>IFERROR(speciated_ghg_148[[#This Row],[Mass Emissions (U.S. tons per year)]]*speciated_ghg_148[[#This Row],[Global Warming Potential (GWP)]], "-")</f>
        <v>-</v>
      </c>
      <c r="G196" s="29"/>
      <c r="H196" s="169"/>
    </row>
    <row r="197" spans="1:9" x14ac:dyDescent="0.2">
      <c r="A197" s="210"/>
      <c r="B197" s="79" t="str">
        <f>IFERROR(INDEX(gwp_table[], MATCH(speciated_ghg_148[[#This Row],[CAS '#]], gwp_table[CAS No.], 0), MATCH("Name", gwp_table[#Headers], 0)),"No CAS Number Entered")</f>
        <v>No CAS Number Entered</v>
      </c>
      <c r="C197" s="79" t="str">
        <f>IFERROR(INDEX(gwp_table[], MATCH(speciated_ghg_148[[#This Row],[CAS '#]], gwp_table[CAS No.], 0), MATCH("Global warming potential", gwp_table[#Headers], 0)),"No CAS Number Entered")</f>
        <v>No CAS Number Entered</v>
      </c>
      <c r="D197" s="219"/>
      <c r="E197" s="79">
        <f>IFERROR(speciated_ghg_148[[#This Row],[Weight Percent]]*(unique_components_146[[#Totals],[Controlled
tpy]]+standard_components_145[[#Totals],[Controlled
tpy]]), "-")</f>
        <v>0</v>
      </c>
      <c r="F197" s="81" t="str">
        <f>IFERROR(speciated_ghg_148[[#This Row],[Mass Emissions (U.S. tons per year)]]*speciated_ghg_148[[#This Row],[Global Warming Potential (GWP)]], "-")</f>
        <v>-</v>
      </c>
      <c r="G197" s="29"/>
      <c r="H197" s="29"/>
      <c r="I197" s="169"/>
    </row>
    <row r="198" spans="1:9" x14ac:dyDescent="0.2">
      <c r="A198" s="210"/>
      <c r="B198" s="79" t="str">
        <f>IFERROR(INDEX(gwp_table[], MATCH(speciated_ghg_148[[#This Row],[CAS '#]], gwp_table[CAS No.], 0), MATCH("Name", gwp_table[#Headers], 0)),"No CAS Number Entered")</f>
        <v>No CAS Number Entered</v>
      </c>
      <c r="C198" s="79" t="str">
        <f>IFERROR(INDEX(gwp_table[], MATCH(speciated_ghg_148[[#This Row],[CAS '#]], gwp_table[CAS No.], 0), MATCH("Global warming potential", gwp_table[#Headers], 0)),"No CAS Number Entered")</f>
        <v>No CAS Number Entered</v>
      </c>
      <c r="D198" s="219"/>
      <c r="E198" s="79">
        <f>IFERROR(speciated_ghg_148[[#This Row],[Weight Percent]]*(unique_components_146[[#Totals],[Controlled
tpy]]+standard_components_145[[#Totals],[Controlled
tpy]]), "-")</f>
        <v>0</v>
      </c>
      <c r="F198" s="81" t="str">
        <f>IFERROR(speciated_ghg_148[[#This Row],[Mass Emissions (U.S. tons per year)]]*speciated_ghg_148[[#This Row],[Global Warming Potential (GWP)]], "-")</f>
        <v>-</v>
      </c>
      <c r="G198" s="29"/>
      <c r="H198" s="29"/>
      <c r="I198" s="169"/>
    </row>
    <row r="199" spans="1:9" x14ac:dyDescent="0.2">
      <c r="A199" s="210"/>
      <c r="B199" s="79" t="str">
        <f>IFERROR(INDEX(gwp_table[], MATCH(speciated_ghg_148[[#This Row],[CAS '#]], gwp_table[CAS No.], 0), MATCH("Name", gwp_table[#Headers], 0)),"No CAS Number Entered")</f>
        <v>No CAS Number Entered</v>
      </c>
      <c r="C199" s="79" t="str">
        <f>IFERROR(INDEX(gwp_table[], MATCH(speciated_ghg_148[[#This Row],[CAS '#]], gwp_table[CAS No.], 0), MATCH("Global warming potential", gwp_table[#Headers], 0)),"No CAS Number Entered")</f>
        <v>No CAS Number Entered</v>
      </c>
      <c r="D199" s="219"/>
      <c r="E199" s="79">
        <f>IFERROR(speciated_ghg_148[[#This Row],[Weight Percent]]*(unique_components_146[[#Totals],[Controlled
tpy]]+standard_components_145[[#Totals],[Controlled
tpy]]), "-")</f>
        <v>0</v>
      </c>
      <c r="F199" s="81" t="str">
        <f>IFERROR(speciated_ghg_148[[#This Row],[Mass Emissions (U.S. tons per year)]]*speciated_ghg_148[[#This Row],[Global Warming Potential (GWP)]], "-")</f>
        <v>-</v>
      </c>
      <c r="G199" s="29"/>
      <c r="H199" s="29"/>
      <c r="I199" s="169"/>
    </row>
    <row r="200" spans="1:9" x14ac:dyDescent="0.2">
      <c r="A200" s="210"/>
      <c r="B200" s="79" t="str">
        <f>IFERROR(INDEX(gwp_table[], MATCH(speciated_ghg_148[[#This Row],[CAS '#]], gwp_table[CAS No.], 0), MATCH("Name", gwp_table[#Headers], 0)),"No CAS Number Entered")</f>
        <v>No CAS Number Entered</v>
      </c>
      <c r="C200" s="79" t="str">
        <f>IFERROR(INDEX(gwp_table[], MATCH(speciated_ghg_148[[#This Row],[CAS '#]], gwp_table[CAS No.], 0), MATCH("Global warming potential", gwp_table[#Headers], 0)),"No CAS Number Entered")</f>
        <v>No CAS Number Entered</v>
      </c>
      <c r="D200" s="219"/>
      <c r="E200" s="79">
        <f>IFERROR(speciated_ghg_148[[#This Row],[Weight Percent]]*(unique_components_146[[#Totals],[Controlled
tpy]]+standard_components_145[[#Totals],[Controlled
tpy]]), "-")</f>
        <v>0</v>
      </c>
      <c r="F200" s="81" t="str">
        <f>IFERROR(speciated_ghg_148[[#This Row],[Mass Emissions (U.S. tons per year)]]*speciated_ghg_148[[#This Row],[Global Warming Potential (GWP)]], "-")</f>
        <v>-</v>
      </c>
      <c r="G200" s="29"/>
      <c r="H200" s="29"/>
      <c r="I200" s="169"/>
    </row>
    <row r="201" spans="1:9" x14ac:dyDescent="0.2">
      <c r="A201" s="210"/>
      <c r="B201" s="79" t="str">
        <f>IFERROR(INDEX(gwp_table[], MATCH(speciated_ghg_148[[#This Row],[CAS '#]], gwp_table[CAS No.], 0), MATCH("Name", gwp_table[#Headers], 0)),"No CAS Number Entered")</f>
        <v>No CAS Number Entered</v>
      </c>
      <c r="C201" s="79" t="str">
        <f>IFERROR(INDEX(gwp_table[], MATCH(speciated_ghg_148[[#This Row],[CAS '#]], gwp_table[CAS No.], 0), MATCH("Global warming potential", gwp_table[#Headers], 0)),"No CAS Number Entered")</f>
        <v>No CAS Number Entered</v>
      </c>
      <c r="D201" s="219"/>
      <c r="E201" s="79">
        <f>IFERROR(speciated_ghg_148[[#This Row],[Weight Percent]]*(unique_components_146[[#Totals],[Controlled
tpy]]+standard_components_145[[#Totals],[Controlled
tpy]]), "-")</f>
        <v>0</v>
      </c>
      <c r="F201" s="81" t="str">
        <f>IFERROR(speciated_ghg_148[[#This Row],[Mass Emissions (U.S. tons per year)]]*speciated_ghg_148[[#This Row],[Global Warming Potential (GWP)]], "-")</f>
        <v>-</v>
      </c>
      <c r="G201" s="169"/>
      <c r="H201" s="169"/>
      <c r="I201" s="169"/>
    </row>
    <row r="202" spans="1:9" x14ac:dyDescent="0.2">
      <c r="A202" s="210"/>
      <c r="B202" s="79" t="str">
        <f>IFERROR(INDEX(gwp_table[], MATCH(speciated_ghg_148[[#This Row],[CAS '#]], gwp_table[CAS No.], 0), MATCH("Name", gwp_table[#Headers], 0)),"No CAS Number Entered")</f>
        <v>No CAS Number Entered</v>
      </c>
      <c r="C202" s="79" t="str">
        <f>IFERROR(INDEX(gwp_table[], MATCH(speciated_ghg_148[[#This Row],[CAS '#]], gwp_table[CAS No.], 0), MATCH("Global warming potential", gwp_table[#Headers], 0)),"No CAS Number Entered")</f>
        <v>No CAS Number Entered</v>
      </c>
      <c r="D202" s="219"/>
      <c r="E202" s="79">
        <f>IFERROR(speciated_ghg_148[[#This Row],[Weight Percent]]*(unique_components_146[[#Totals],[Controlled
tpy]]+standard_components_145[[#Totals],[Controlled
tpy]]), "-")</f>
        <v>0</v>
      </c>
      <c r="F202" s="81" t="str">
        <f>IFERROR(speciated_ghg_148[[#This Row],[Mass Emissions (U.S. tons per year)]]*speciated_ghg_148[[#This Row],[Global Warming Potential (GWP)]], "-")</f>
        <v>-</v>
      </c>
      <c r="G202" s="169"/>
      <c r="H202" s="169"/>
      <c r="I202" s="169"/>
    </row>
    <row r="203" spans="1:9" x14ac:dyDescent="0.2">
      <c r="A203" s="210"/>
      <c r="B203" s="79" t="str">
        <f>IFERROR(INDEX(gwp_table[], MATCH(speciated_ghg_148[[#This Row],[CAS '#]], gwp_table[CAS No.], 0), MATCH("Name", gwp_table[#Headers], 0)),"No CAS Number Entered")</f>
        <v>No CAS Number Entered</v>
      </c>
      <c r="C203" s="79" t="str">
        <f>IFERROR(INDEX(gwp_table[], MATCH(speciated_ghg_148[[#This Row],[CAS '#]], gwp_table[CAS No.], 0), MATCH("Global warming potential", gwp_table[#Headers], 0)),"No CAS Number Entered")</f>
        <v>No CAS Number Entered</v>
      </c>
      <c r="D203" s="219"/>
      <c r="E203" s="79">
        <f>IFERROR(speciated_ghg_148[[#This Row],[Weight Percent]]*(unique_components_146[[#Totals],[Controlled
tpy]]+standard_components_145[[#Totals],[Controlled
tpy]]), "-")</f>
        <v>0</v>
      </c>
      <c r="F203" s="81" t="str">
        <f>IFERROR(speciated_ghg_148[[#This Row],[Mass Emissions (U.S. tons per year)]]*speciated_ghg_148[[#This Row],[Global Warming Potential (GWP)]], "-")</f>
        <v>-</v>
      </c>
      <c r="G203" s="169"/>
      <c r="H203" s="169"/>
      <c r="I203" s="169"/>
    </row>
    <row r="204" spans="1:9" ht="30" x14ac:dyDescent="0.25">
      <c r="A204" s="185" t="s">
        <v>13321</v>
      </c>
      <c r="B204" s="77"/>
      <c r="C204" s="77"/>
      <c r="D204" s="77"/>
      <c r="E204" s="80">
        <f>SUBTOTAL(109,speciated_ghg_148[Mass Emissions (U.S. tons per year)])</f>
        <v>0</v>
      </c>
      <c r="F204" s="82">
        <f>SUBTOTAL(109,speciated_ghg_148[CO2e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speciated_chemicals_147[[#Totals],[lb/hr]]</f>
        <v>0</v>
      </c>
      <c r="C207" s="134"/>
      <c r="D207" s="134"/>
      <c r="E207" s="134"/>
      <c r="F207" s="134"/>
      <c r="G207" s="169"/>
      <c r="H207" s="169"/>
    </row>
    <row r="208" spans="1:9" ht="29.25" x14ac:dyDescent="0.25">
      <c r="A208" s="174" t="s">
        <v>13320</v>
      </c>
      <c r="B208" s="175">
        <f>speciated_chemicals_147[[#Totals],[tpy]]</f>
        <v>0</v>
      </c>
      <c r="C208" s="134"/>
      <c r="D208" s="134"/>
      <c r="E208" s="134"/>
      <c r="F208" s="134"/>
      <c r="G208" s="169"/>
      <c r="H208" s="169"/>
    </row>
    <row r="209" spans="1:8" ht="15" x14ac:dyDescent="0.25">
      <c r="A209" s="126" t="s">
        <v>13277</v>
      </c>
      <c r="B209" s="128">
        <f>SUMIF(speciated_chemicals_147[VOC?],"Yes",speciated_chemicals_147[lb/hr])</f>
        <v>0</v>
      </c>
      <c r="C209" s="134"/>
      <c r="D209" s="29"/>
      <c r="E209" s="29"/>
      <c r="F209" s="29"/>
      <c r="G209" s="169"/>
      <c r="H209" s="169"/>
    </row>
    <row r="210" spans="1:8" ht="15" x14ac:dyDescent="0.25">
      <c r="A210" s="126" t="s">
        <v>12669</v>
      </c>
      <c r="B210" s="128">
        <f>SUMIF(speciated_chemicals_147[VOC?],"Yes",speciated_chemicals_147[tpy])</f>
        <v>0</v>
      </c>
      <c r="C210" s="134"/>
      <c r="D210" s="29"/>
      <c r="E210" s="29"/>
      <c r="F210" s="29"/>
      <c r="G210" s="169"/>
      <c r="H210" s="169"/>
    </row>
    <row r="211" spans="1:8" ht="15" x14ac:dyDescent="0.25">
      <c r="A211" s="126" t="s">
        <v>12775</v>
      </c>
      <c r="B211" s="128">
        <f>SUMIF(speciated_chemicals_147[Inorganic?],"Yes",speciated_chemicals_147[lb/hr])</f>
        <v>0</v>
      </c>
      <c r="C211" s="134"/>
      <c r="D211" s="29"/>
      <c r="E211" s="29"/>
      <c r="F211" s="29"/>
      <c r="G211" s="169"/>
      <c r="H211" s="169"/>
    </row>
    <row r="212" spans="1:8" ht="15" x14ac:dyDescent="0.25">
      <c r="A212" s="126" t="s">
        <v>12770</v>
      </c>
      <c r="B212" s="128">
        <f>SUMIF(speciated_chemicals_147[Inorganic?],"Yes",speciated_chemicals_147[tpy])</f>
        <v>0</v>
      </c>
      <c r="C212" s="134"/>
      <c r="D212" s="29"/>
      <c r="E212" s="29"/>
      <c r="F212" s="29"/>
      <c r="G212" s="169"/>
      <c r="H212" s="169"/>
    </row>
    <row r="213" spans="1:8" ht="15" x14ac:dyDescent="0.25">
      <c r="A213" s="126" t="s">
        <v>13276</v>
      </c>
      <c r="B213" s="128">
        <f>SUMIF(speciated_chemicals_147[VOC-Exempt Solvent?],"Yes",speciated_chemicals_147[lb/hr])</f>
        <v>0</v>
      </c>
      <c r="C213" s="134"/>
      <c r="D213" s="29"/>
      <c r="E213" s="29"/>
      <c r="F213" s="29"/>
      <c r="G213" s="169"/>
      <c r="H213" s="169"/>
    </row>
    <row r="214" spans="1:8" ht="15" x14ac:dyDescent="0.25">
      <c r="A214" s="126" t="s">
        <v>13278</v>
      </c>
      <c r="B214" s="128">
        <f>SUMIF(speciated_chemicals_147[VOC-Exempt Solvent?],"Yes",speciated_chemicals_147[tpy])</f>
        <v>0</v>
      </c>
      <c r="C214" s="134"/>
      <c r="D214" s="29"/>
      <c r="E214" s="29"/>
      <c r="F214" s="29"/>
      <c r="G214" s="169"/>
      <c r="H214" s="169"/>
    </row>
    <row r="215" spans="1:8" ht="15" x14ac:dyDescent="0.25">
      <c r="A215" s="127" t="s">
        <v>13280</v>
      </c>
      <c r="B215" s="176">
        <f>speciated_ghg_148[[#Totals],[Mass Emissions (U.S. tons per year)]]</f>
        <v>0</v>
      </c>
      <c r="C215" s="134"/>
      <c r="D215" s="29"/>
      <c r="E215" s="29"/>
      <c r="F215" s="29"/>
      <c r="G215" s="169"/>
      <c r="H215" s="169"/>
    </row>
    <row r="216" spans="1:8" ht="18.75" x14ac:dyDescent="0.35">
      <c r="A216" s="127" t="s">
        <v>13281</v>
      </c>
      <c r="B216" s="176">
        <f>speciated_ghg_148[[#Totals],[CO2e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F8/txei0R+E4SeJ+IGahi3i5S3XfV8jUiPODHE7mRbH+Egjl4acqYWbnE8LWnMMCe7XuVuPpVAgolJt0P4DioA==" saltValue="lufIdEqvmIeec0U9RdTfUA==" spinCount="100000" sheet="1" objects="1" scenarios="1" formatColumns="0" formatRows="0" autoFilter="0"/>
  <conditionalFormatting sqref="A21:H21">
    <cfRule type="expression" dxfId="1699" priority="5">
      <formula>$F$19="No"</formula>
    </cfRule>
  </conditionalFormatting>
  <conditionalFormatting sqref="A105:E106 F106:G126">
    <cfRule type="expression" dxfId="1698" priority="4">
      <formula>$E$104="no"</formula>
    </cfRule>
  </conditionalFormatting>
  <conditionalFormatting sqref="C131:C180">
    <cfRule type="expression" dxfId="1697" priority="3">
      <formula>NOT(B131="Other (Please specify):")</formula>
    </cfRule>
  </conditionalFormatting>
  <conditionalFormatting sqref="A107:E126">
    <cfRule type="expression" dxfId="1696" priority="2">
      <formula>$A$58="No"</formula>
    </cfRule>
  </conditionalFormatting>
  <conditionalFormatting sqref="A107:E126 A206:B214 A215:A216">
    <cfRule type="expression" dxfId="1695"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9F8D037A-5161-4274-97F0-4955F12E0810}"/>
    <dataValidation type="list" allowBlank="1" showInputMessage="1" showErrorMessage="1" sqref="E104:H104 B10" xr:uid="{B7767E2F-C142-4319-9679-5A942CA71DEE}">
      <formula1>"Yes,No"</formula1>
    </dataValidation>
    <dataValidation type="list" allowBlank="1" showInputMessage="1" showErrorMessage="1" sqref="F19:H20" xr:uid="{993B60FC-B346-45C2-8359-1C45451E739A}">
      <formula1>"No,Yes - 75%,Yes - 95%"</formula1>
    </dataValidation>
    <dataValidation type="list" allowBlank="1" showInputMessage="1" showErrorMessage="1" sqref="F18" xr:uid="{F8815B18-B6E2-4C25-96C2-EF75C1C765AE}">
      <formula1>IF(#REF!="SOCMI Non-leaker",ListNone,ListInspection)</formula1>
    </dataValidation>
    <dataValidation type="list" allowBlank="1" showInputMessage="1" showErrorMessage="1" sqref="F16:F17" xr:uid="{E4115509-E590-4AFB-9A70-79ECBE09A7AB}">
      <formula1>IF(#REF!="SOCMI Non-Leaker",ListNone,ListInstrument)</formula1>
    </dataValidation>
    <dataValidation type="list" allowBlank="1" showInputMessage="1" prompt="Please specify whether the substance is a volatile organic compound (VOC); methane and ethane are not classifed as VOCs" sqref="D132:D180" xr:uid="{0479B2DE-C098-4749-8DBA-EA2C90554940}">
      <formula1>"Yes,No"</formula1>
    </dataValidation>
    <dataValidation allowBlank="1" showInputMessage="1" showErrorMessage="1" prompt="Enter the weight percent of the substance" sqref="H178:H180 H132:H176" xr:uid="{60E26CE2-2F2C-41FC-AC72-8894B4082C1C}"/>
    <dataValidation type="list" allowBlank="1" showInputMessage="1" showErrorMessage="1" prompt="Enter or select Chemical Abstracts Service number; select &quot;N/A&quot; if a CAS # is not applicable" sqref="A131:A175 A177:A180" xr:uid="{DAFBC209-953F-4328-BA92-C788D8C31803}">
      <formula1>SpeciesList</formula1>
    </dataValidation>
    <dataValidation type="list" allowBlank="1" showInputMessage="1" prompt="Select other species from dropdown" sqref="C131:C180" xr:uid="{82F17C32-FD09-4FA0-A19D-C8ECA6693C93}">
      <formula1>NoCASList</formula1>
    </dataValidation>
    <dataValidation allowBlank="1" showInputMessage="1" showErrorMessage="1" prompt="Proposed control efficiency (0-1)" sqref="E107:E126" xr:uid="{A2C77AEA-3170-491C-877D-3927E80C0189}"/>
    <dataValidation allowBlank="1" showInputMessage="1" showErrorMessage="1" prompt="Count of unique component" sqref="C107:C126" xr:uid="{A9B96ED2-7DDB-439D-AA4A-A6F7C1201CB3}"/>
    <dataValidation allowBlank="1" showInputMessage="1" showErrorMessage="1" prompt="Type of service (e.g. gas, vapor, or liquid)" sqref="B107:B126" xr:uid="{880F2496-CBCC-48F0-AB0F-A22FC79F2223}"/>
    <dataValidation allowBlank="1" showInputMessage="1" showErrorMessage="1" prompt="Name of unique component" sqref="A107:A126" xr:uid="{05AE9F0E-74BF-4C3B-BDDF-6DEB5AFE73B1}"/>
    <dataValidation type="list" allowBlank="1" showInputMessage="1" showErrorMessage="1" sqref="B13" xr:uid="{3D35758D-9BB5-49FB-8BB6-4E9DF10389CA}">
      <formula1>industry_names</formula1>
    </dataValidation>
    <dataValidation type="list" allowBlank="1" showInputMessage="1" showErrorMessage="1" sqref="B19" xr:uid="{E83045E0-6E1E-4348-A935-B1C95DBB89F3}">
      <formula1>yes_no_list</formula1>
    </dataValidation>
    <dataValidation type="list" allowBlank="1" showInputMessage="1" showErrorMessage="1" sqref="B20" xr:uid="{263C969F-0AF9-4429-A94D-3E3F8941F55B}">
      <formula1>process_drains_effs</formula1>
    </dataValidation>
    <dataValidation allowBlank="1" showInputMessage="1" showErrorMessage="1" prompt="Proposed emission factor" sqref="D107:D126" xr:uid="{49E3C74E-EE61-4D06-AC77-28B92A4CF922}"/>
    <dataValidation type="list" allowBlank="1" showInputMessage="1" prompt="Please specify if the substance is an inert substance or is not considered a contaminant (e.g. steam)" sqref="G131:G180" xr:uid="{B911A0C4-D261-4791-884C-54C2DF825B88}">
      <formula1>"Yes,No"</formula1>
    </dataValidation>
    <dataValidation type="list" allowBlank="1" showInputMessage="1" showErrorMessage="1" prompt="Please select from the dropdown" sqref="B104" xr:uid="{1A879F6F-B760-41A5-8409-94703C4CF34E}">
      <formula1>yes_no_list</formula1>
    </dataValidation>
    <dataValidation allowBlank="1" showInputMessage="1" showErrorMessage="1" prompt="Provide justification" sqref="B105" xr:uid="{454456E7-C03E-46D4-945C-918BDF666629}"/>
    <dataValidation type="list" showInputMessage="1" prompt="Please specify whether the substance is a volatile organic compound (VOC); methane and ethane are not classifed as VOCs" sqref="D131" xr:uid="{19CDA026-2B0A-46A9-9281-8351CD8AB644}">
      <formula1>"Yes,No"</formula1>
    </dataValidation>
    <dataValidation type="list" showInputMessage="1" prompt="Please specify whether the substance is an inorganic contaminant (e.g. ammonia or chlorine gas)" sqref="E131:E180" xr:uid="{BD397A84-0DBF-47A6-8177-BF428827A516}">
      <formula1>"Yes,No"</formula1>
    </dataValidation>
    <dataValidation type="list" allowBlank="1" showInputMessage="1" prompt="Please specify whether the substance is an VOC-exempt solvent." sqref="F131:F180" xr:uid="{11AD7DC7-0BFA-4FF2-98F0-3905CBDEB11F}">
      <formula1>"Yes,No"</formula1>
    </dataValidation>
    <dataValidation type="list" allowBlank="1" showInputMessage="1" showErrorMessage="1" prompt="Enter or select Chemical Abstracts Service number; select &quot;N/A&quot; if a CAS # is not applicable" sqref="A185:A203 A176" xr:uid="{75332197-103E-4D85-A5F8-43492971318E}">
      <formula1>gwp_table_cas</formula1>
    </dataValidation>
    <dataValidation type="decimal" allowBlank="1" showInputMessage="1" showErrorMessage="1" prompt="Enter the weight percent of the substance" sqref="H177" xr:uid="{106E1805-9210-406B-8C7D-AA786CF626CA}">
      <formula1>0</formula1>
      <formula2>1</formula2>
    </dataValidation>
    <dataValidation type="decimal" operator="greaterThan" allowBlank="1" showInputMessage="1" showErrorMessage="1" prompt="Enter the weight percent of the substance" sqref="H131 D185:D203" xr:uid="{DD0FEAFE-9808-49EE-A89D-8309274B8F55}">
      <formula1>0</formula1>
    </dataValidation>
    <dataValidation type="list" allowBlank="1" showInputMessage="1" showErrorMessage="1" sqref="B18" xr:uid="{C0E79C43-6491-4F68-87D8-8C52429D1469}">
      <formula1>inspection_ldar_list</formula1>
    </dataValidation>
    <dataValidation type="list" allowBlank="1" showInputMessage="1" showErrorMessage="1" sqref="B17" xr:uid="{C3E478B0-E58A-4050-8BCC-A3716C96B691}">
      <formula1>connector_ldar_list</formula1>
    </dataValidation>
    <dataValidation type="list" allowBlank="1" showInputMessage="1" showErrorMessage="1" sqref="B16" xr:uid="{04C68D66-5A32-4A34-B79B-C7D54F1552D2}">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8D2A-B04F-4DD8-BB0B-9BB664726643}">
  <sheetPr codeName="Sheet15">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INDEX((standard_components_149[[#This Row],[Component]]=factor_eff_table[Component])*(standard_components_149[[#This Row],[Service]]=factor_eff_table[Service]), 0, 1), 0)),
 "-")</f>
        <v>-</v>
      </c>
      <c r="E25" s="145" t="str" cm="1">
        <f t="array" ref="E2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25" s="145" t="str" cm="1">
        <f t="array" ref="F2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25" s="145" t="str" cm="1">
        <f t="array" ref="G2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2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2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INDEX((standard_components_149[[#This Row],[Component]]=factor_eff_table[Component])*(standard_components_149[[#This Row],[Service]]=factor_eff_table[Service]), 0, 1), 0)),
 "-")</f>
        <v>-</v>
      </c>
      <c r="E26" s="145" t="str" cm="1">
        <f t="array" ref="E2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26" s="145" t="str" cm="1">
        <f t="array" ref="F2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26" s="145" t="str" cm="1">
        <f t="array" ref="G2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2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2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INDEX((standard_components_149[[#This Row],[Component]]=factor_eff_table[Component])*(standard_components_149[[#This Row],[Service]]=factor_eff_table[Service]), 0, 1), 0)),
 "-")</f>
        <v>-</v>
      </c>
      <c r="E27" s="145" t="str" cm="1">
        <f t="array" ref="E2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27" s="145" t="str" cm="1">
        <f t="array" ref="F2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27" s="145" t="str" cm="1">
        <f t="array" ref="G2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2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2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INDEX((standard_components_149[[#This Row],[Component]]=factor_eff_table[Component])*(standard_components_149[[#This Row],[Service]]=factor_eff_table[Service]), 0, 1), 0)),
 "-")</f>
        <v>-</v>
      </c>
      <c r="E28" s="145" t="str" cm="1">
        <f t="array" ref="E2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28" s="145" t="str" cm="1">
        <f t="array" ref="F2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28" s="145" t="str" cm="1">
        <f t="array" ref="G2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2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2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INDEX((standard_components_149[[#This Row],[Component]]=factor_eff_table[Component])*(standard_components_149[[#This Row],[Service]]=factor_eff_table[Service]), 0, 1), 0)),
 "-")</f>
        <v>-</v>
      </c>
      <c r="E29" s="145" t="str" cm="1">
        <f t="array" ref="E2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29" s="145" t="str" cm="1">
        <f t="array" ref="F2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29" s="145" t="str" cm="1">
        <f t="array" ref="G2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2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2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INDEX((standard_components_149[[#This Row],[Component]]=factor_eff_table[Component])*(standard_components_149[[#This Row],[Service]]=factor_eff_table[Service]), 0, 1), 0)),
 "-")</f>
        <v>-</v>
      </c>
      <c r="E30" s="145" t="str" cm="1">
        <f t="array" ref="E3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0" s="145" t="str" cm="1">
        <f t="array" ref="F3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0" s="145" t="str" cm="1">
        <f t="array" ref="G3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INDEX((standard_components_149[[#This Row],[Component]]=factor_eff_table[Component])*(standard_components_149[[#This Row],[Service]]=factor_eff_table[Service]), 0, 1), 0)),
 "-")</f>
        <v>-</v>
      </c>
      <c r="E31" s="145" t="str" cm="1">
        <f t="array" ref="E3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1" s="145" t="str" cm="1">
        <f t="array" ref="F3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1" s="145" t="str" cm="1">
        <f t="array" ref="G3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INDEX((standard_components_149[[#This Row],[Component]]=factor_eff_table[Component])*(standard_components_149[[#This Row],[Service]]=factor_eff_table[Service]), 0, 1), 0)),
 "-")</f>
        <v>-</v>
      </c>
      <c r="E32" s="145" t="str" cm="1">
        <f t="array" ref="E3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2" s="145" t="str" cm="1">
        <f t="array" ref="F3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2" s="145" t="str" cm="1">
        <f t="array" ref="G3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INDEX((standard_components_149[[#This Row],[Component]]=factor_eff_table[Component])*(standard_components_149[[#This Row],[Service]]=factor_eff_table[Service]), 0, 1), 0)),
 "-")</f>
        <v>-</v>
      </c>
      <c r="E33" s="145" t="str" cm="1">
        <f t="array" ref="E3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3" s="145" t="str" cm="1">
        <f t="array" ref="F3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3" s="145" t="str" cm="1">
        <f t="array" ref="G3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INDEX((standard_components_149[[#This Row],[Component]]=factor_eff_table[Component])*(standard_components_149[[#This Row],[Service]]=factor_eff_table[Service]), 0, 1), 0)),
 "-")</f>
        <v>-</v>
      </c>
      <c r="E34" s="145" t="str" cm="1">
        <f t="array" ref="E3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4" s="145" t="str" cm="1">
        <f t="array" ref="F3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4" s="145" t="str" cm="1">
        <f t="array" ref="G3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INDEX((standard_components_149[[#This Row],[Component]]=factor_eff_table[Component])*(standard_components_149[[#This Row],[Service]]=factor_eff_table[Service]), 0, 1), 0)),
 "-")</f>
        <v>-</v>
      </c>
      <c r="E35" s="145" t="str" cm="1">
        <f t="array" ref="E3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5" s="145" t="str" cm="1">
        <f t="array" ref="F3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5" s="145" t="str" cm="1">
        <f t="array" ref="G3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INDEX((standard_components_149[[#This Row],[Component]]=factor_eff_table[Component])*(standard_components_149[[#This Row],[Service]]=factor_eff_table[Service]), 0, 1), 0)),
 "-")</f>
        <v>-</v>
      </c>
      <c r="E36" s="145" t="str" cm="1">
        <f t="array" ref="E3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6" s="145" t="str" cm="1">
        <f t="array" ref="F3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6" s="145" t="str" cm="1">
        <f t="array" ref="G3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INDEX((standard_components_149[[#This Row],[Component]]=factor_eff_table[Component])*(standard_components_149[[#This Row],[Service]]=factor_eff_table[Service]), 0, 1), 0)),
 "-")</f>
        <v>-</v>
      </c>
      <c r="E37" s="145" t="str" cm="1">
        <f t="array" ref="E3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7" s="145" t="str" cm="1">
        <f t="array" ref="F3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7" s="145" t="str" cm="1">
        <f t="array" ref="G3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INDEX((standard_components_149[[#This Row],[Component]]=factor_eff_table[Component])*(standard_components_149[[#This Row],[Service]]=factor_eff_table[Service]), 0, 1), 0)),
 "-")</f>
        <v>-</v>
      </c>
      <c r="E38" s="145" t="str" cm="1">
        <f t="array" ref="E3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8" s="145" t="str" cm="1">
        <f t="array" ref="F3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8" s="145" t="str" cm="1">
        <f t="array" ref="G3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INDEX((standard_components_149[[#This Row],[Component]]=factor_eff_table[Component])*(standard_components_149[[#This Row],[Service]]=factor_eff_table[Service]), 0, 1), 0)),
 "-")</f>
        <v>-</v>
      </c>
      <c r="E39" s="145" t="str" cm="1">
        <f t="array" ref="E3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39" s="145" t="str" cm="1">
        <f t="array" ref="F3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39" s="145" t="str" cm="1">
        <f t="array" ref="G3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3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3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INDEX((standard_components_149[[#This Row],[Component]]=factor_eff_table[Component])*(standard_components_149[[#This Row],[Service]]=factor_eff_table[Service]), 0, 1), 0)),
 "-")</f>
        <v>-</v>
      </c>
      <c r="E40" s="145" t="str" cm="1">
        <f t="array" ref="E4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0" s="145" t="str" cm="1">
        <f t="array" ref="F4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0" s="145" t="str" cm="1">
        <f t="array" ref="G4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INDEX((standard_components_149[[#This Row],[Component]]=factor_eff_table[Component])*(standard_components_149[[#This Row],[Service]]=factor_eff_table[Service]), 0, 1), 0)),
 "-")</f>
        <v>-</v>
      </c>
      <c r="E41" s="145" t="str" cm="1">
        <f t="array" ref="E4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1" s="145" t="str" cm="1">
        <f t="array" ref="F4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1" s="145" t="str" cm="1">
        <f t="array" ref="G4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INDEX((standard_components_149[[#This Row],[Component]]=factor_eff_table[Component])*(standard_components_149[[#This Row],[Service]]=factor_eff_table[Service]), 0, 1), 0)),
 "-")</f>
        <v>-</v>
      </c>
      <c r="E42" s="145" t="str" cm="1">
        <f t="array" ref="E4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2" s="145" t="str" cm="1">
        <f t="array" ref="F4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2" s="145" t="str" cm="1">
        <f t="array" ref="G4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INDEX((standard_components_149[[#This Row],[Component]]=factor_eff_table[Component])*(standard_components_149[[#This Row],[Service]]=factor_eff_table[Service]), 0, 1), 0)),
 "-")</f>
        <v>-</v>
      </c>
      <c r="E43" s="145" t="str" cm="1">
        <f t="array" ref="E4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3" s="145" t="str" cm="1">
        <f t="array" ref="F4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3" s="145" t="str" cm="1">
        <f t="array" ref="G4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INDEX((standard_components_149[[#This Row],[Component]]=factor_eff_table[Component])*(standard_components_149[[#This Row],[Service]]=factor_eff_table[Service]), 0, 1), 0)),
 "-")</f>
        <v>-</v>
      </c>
      <c r="E44" s="145" t="str" cm="1">
        <f t="array" ref="E4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4" s="145" t="str" cm="1">
        <f t="array" ref="F4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4" s="145" t="str" cm="1">
        <f t="array" ref="G4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INDEX((standard_components_149[[#This Row],[Component]]=factor_eff_table[Component])*(standard_components_149[[#This Row],[Service]]=factor_eff_table[Service]), 0, 1), 0)),
 "-")</f>
        <v>-</v>
      </c>
      <c r="E45" s="145" t="str" cm="1">
        <f t="array" ref="E4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5" s="145" t="str" cm="1">
        <f t="array" ref="F4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5" s="145" t="str" cm="1">
        <f t="array" ref="G4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INDEX((standard_components_149[[#This Row],[Component]]=factor_eff_table[Component])*(standard_components_149[[#This Row],[Service]]=factor_eff_table[Service]), 0, 1), 0)),
 "-")</f>
        <v>-</v>
      </c>
      <c r="E46" s="145" t="str" cm="1">
        <f t="array" ref="E4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6" s="145" t="str" cm="1">
        <f t="array" ref="F4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6" s="145" t="str" cm="1">
        <f t="array" ref="G4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INDEX((standard_components_149[[#This Row],[Component]]=factor_eff_table[Component])*(standard_components_149[[#This Row],[Service]]=factor_eff_table[Service]), 0, 1), 0)),
 "-")</f>
        <v>-</v>
      </c>
      <c r="E47" s="145" t="str" cm="1">
        <f t="array" ref="E4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7" s="145" t="str" cm="1">
        <f t="array" ref="F4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7" s="145" t="str" cm="1">
        <f t="array" ref="G4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INDEX((standard_components_149[[#This Row],[Component]]=factor_eff_table[Component])*(standard_components_149[[#This Row],[Service]]=factor_eff_table[Service]), 0, 1), 0)),
 "-")</f>
        <v>-</v>
      </c>
      <c r="E48" s="145" t="str" cm="1">
        <f t="array" ref="E4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8" s="145" t="str" cm="1">
        <f t="array" ref="F4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8" s="145" t="str" cm="1">
        <f t="array" ref="G4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INDEX((standard_components_149[[#This Row],[Component]]=factor_eff_table[Component])*(standard_components_149[[#This Row],[Service]]=factor_eff_table[Service]), 0, 1), 0)),
 "-")</f>
        <v>-</v>
      </c>
      <c r="E49" s="145" t="str" cm="1">
        <f t="array" ref="E4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49" s="145" t="str" cm="1">
        <f t="array" ref="F4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49" s="145" t="str" cm="1">
        <f t="array" ref="G4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4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4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INDEX((standard_components_149[[#This Row],[Component]]=factor_eff_table[Component])*(standard_components_149[[#This Row],[Service]]=factor_eff_table[Service]), 0, 1), 0)),
 "-")</f>
        <v>-</v>
      </c>
      <c r="E50" s="145" t="str" cm="1">
        <f t="array" ref="E5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0" s="145" t="str" cm="1">
        <f t="array" ref="F5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0" s="145" t="str" cm="1">
        <f t="array" ref="G5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INDEX((standard_components_149[[#This Row],[Component]]=factor_eff_table[Component])*(standard_components_149[[#This Row],[Service]]=factor_eff_table[Service]), 0, 1), 0)),
 "-")</f>
        <v>-</v>
      </c>
      <c r="E51" s="145" t="str" cm="1">
        <f t="array" ref="E5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1" s="145" t="str" cm="1">
        <f t="array" ref="F5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1" s="145" t="str" cm="1">
        <f t="array" ref="G5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INDEX((standard_components_149[[#This Row],[Component]]=factor_eff_table[Component])*(standard_components_149[[#This Row],[Service]]=factor_eff_table[Service]), 0, 1), 0)),
 "-")</f>
        <v>-</v>
      </c>
      <c r="E52" s="145" t="str" cm="1">
        <f t="array" ref="E5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2" s="145" t="str" cm="1">
        <f t="array" ref="F5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2" s="145" t="str" cm="1">
        <f t="array" ref="G5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INDEX((standard_components_149[[#This Row],[Component]]=factor_eff_table[Component])*(standard_components_149[[#This Row],[Service]]=factor_eff_table[Service]), 0, 1), 0)),
 "-")</f>
        <v>-</v>
      </c>
      <c r="E53" s="145" t="str" cm="1">
        <f t="array" ref="E5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3" s="145" t="str" cm="1">
        <f t="array" ref="F5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3" s="145" t="str" cm="1">
        <f t="array" ref="G5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INDEX((standard_components_149[[#This Row],[Component]]=factor_eff_table[Component])*(standard_components_149[[#This Row],[Service]]=factor_eff_table[Service]), 0, 1), 0)),
 "-")</f>
        <v>-</v>
      </c>
      <c r="E54" s="145" t="str" cm="1">
        <f t="array" ref="E5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4" s="145" t="str" cm="1">
        <f t="array" ref="F5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4" s="145" t="str" cm="1">
        <f t="array" ref="G5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INDEX((standard_components_149[[#This Row],[Component]]=factor_eff_table[Component])*(standard_components_149[[#This Row],[Service]]=factor_eff_table[Service]), 0, 1), 0)),
 "-")</f>
        <v>-</v>
      </c>
      <c r="E55" s="145" t="str" cm="1">
        <f t="array" ref="E5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5" s="145" t="str" cm="1">
        <f t="array" ref="F5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5" s="145" t="str" cm="1">
        <f t="array" ref="G5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INDEX((standard_components_149[[#This Row],[Component]]=factor_eff_table[Component])*(standard_components_149[[#This Row],[Service]]=factor_eff_table[Service]), 0, 1), 0)),
 "-")</f>
        <v>-</v>
      </c>
      <c r="E56" s="145" t="str" cm="1">
        <f t="array" ref="E5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6" s="145" t="str" cm="1">
        <f t="array" ref="F5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6" s="145" t="str" cm="1">
        <f t="array" ref="G5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INDEX((standard_components_149[[#This Row],[Component]]=factor_eff_table[Component])*(standard_components_149[[#This Row],[Service]]=factor_eff_table[Service]), 0, 1), 0)),
 "-")</f>
        <v>-</v>
      </c>
      <c r="E57" s="145" t="str" cm="1">
        <f t="array" ref="E5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7" s="145" t="str" cm="1">
        <f t="array" ref="F5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7" s="145" t="str" cm="1">
        <f t="array" ref="G5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INDEX((standard_components_149[[#This Row],[Component]]=factor_eff_table[Component])*(standard_components_149[[#This Row],[Service]]=factor_eff_table[Service]), 0, 1), 0)),
 "-")</f>
        <v>-</v>
      </c>
      <c r="E58" s="145" t="str" cm="1">
        <f t="array" ref="E5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8" s="145" t="str" cm="1">
        <f t="array" ref="F5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8" s="145" t="str" cm="1">
        <f t="array" ref="G5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INDEX((standard_components_149[[#This Row],[Component]]=factor_eff_table[Component])*(standard_components_149[[#This Row],[Service]]=factor_eff_table[Service]), 0, 1), 0)),
 "-")</f>
        <v>-</v>
      </c>
      <c r="E59" s="145" t="str" cm="1">
        <f t="array" ref="E5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59" s="145" t="str" cm="1">
        <f t="array" ref="F5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59" s="145" t="str" cm="1">
        <f t="array" ref="G5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5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5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INDEX((standard_components_149[[#This Row],[Component]]=factor_eff_table[Component])*(standard_components_149[[#This Row],[Service]]=factor_eff_table[Service]), 0, 1), 0)),
 "-")</f>
        <v>-</v>
      </c>
      <c r="E60" s="145" t="str" cm="1">
        <f t="array" ref="E6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0" s="145" t="str" cm="1">
        <f t="array" ref="F6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0" s="145" t="str" cm="1">
        <f t="array" ref="G6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INDEX((standard_components_149[[#This Row],[Component]]=factor_eff_table[Component])*(standard_components_149[[#This Row],[Service]]=factor_eff_table[Service]), 0, 1), 0)),
 "-")</f>
        <v>-</v>
      </c>
      <c r="E61" s="145" t="str" cm="1">
        <f t="array" ref="E6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1" s="145" t="str" cm="1">
        <f t="array" ref="F6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1" s="145" t="str" cm="1">
        <f t="array" ref="G6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INDEX((standard_components_149[[#This Row],[Component]]=factor_eff_table[Component])*(standard_components_149[[#This Row],[Service]]=factor_eff_table[Service]), 0, 1), 0)),
 "-")</f>
        <v>-</v>
      </c>
      <c r="E62" s="145" t="str" cm="1">
        <f t="array" ref="E6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2" s="145" t="str" cm="1">
        <f t="array" ref="F6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2" s="145" t="str" cm="1">
        <f t="array" ref="G6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INDEX((standard_components_149[[#This Row],[Component]]=factor_eff_table[Component])*(standard_components_149[[#This Row],[Service]]=factor_eff_table[Service]), 0, 1), 0)),
 "-")</f>
        <v>-</v>
      </c>
      <c r="E63" s="145" t="str" cm="1">
        <f t="array" ref="E6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3" s="145" t="str" cm="1">
        <f t="array" ref="F6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3" s="145" t="str" cm="1">
        <f t="array" ref="G6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INDEX((standard_components_149[[#This Row],[Component]]=factor_eff_table[Component])*(standard_components_149[[#This Row],[Service]]=factor_eff_table[Service]), 0, 1), 0)),
 "-")</f>
        <v>-</v>
      </c>
      <c r="E64" s="145" t="str" cm="1">
        <f t="array" ref="E6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4" s="145" t="str" cm="1">
        <f t="array" ref="F6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4" s="145" t="str" cm="1">
        <f t="array" ref="G6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INDEX((standard_components_149[[#This Row],[Component]]=factor_eff_table[Component])*(standard_components_149[[#This Row],[Service]]=factor_eff_table[Service]), 0, 1), 0)),
 "-")</f>
        <v>-</v>
      </c>
      <c r="E65" s="145" t="str" cm="1">
        <f t="array" ref="E6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5" s="145" t="str" cm="1">
        <f t="array" ref="F6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5" s="145" t="str" cm="1">
        <f t="array" ref="G6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INDEX((standard_components_149[[#This Row],[Component]]=factor_eff_table[Component])*(standard_components_149[[#This Row],[Service]]=factor_eff_table[Service]), 0, 1), 0)),
 "-")</f>
        <v>-</v>
      </c>
      <c r="E66" s="145" t="str" cm="1">
        <f t="array" ref="E6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6" s="145" t="str" cm="1">
        <f t="array" ref="F6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6" s="145" t="str" cm="1">
        <f t="array" ref="G6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INDEX((standard_components_149[[#This Row],[Component]]=factor_eff_table[Component])*(standard_components_149[[#This Row],[Service]]=factor_eff_table[Service]), 0, 1), 0)),
 "-")</f>
        <v>-</v>
      </c>
      <c r="E67" s="145" t="str" cm="1">
        <f t="array" ref="E6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7" s="145" t="str" cm="1">
        <f t="array" ref="F6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7" s="145" t="str" cm="1">
        <f t="array" ref="G6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INDEX((standard_components_149[[#This Row],[Component]]=factor_eff_table[Component])*(standard_components_149[[#This Row],[Service]]=factor_eff_table[Service]), 0, 1), 0)),
 "-")</f>
        <v>-</v>
      </c>
      <c r="E68" s="145" t="str" cm="1">
        <f t="array" ref="E6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8" s="145" t="str" cm="1">
        <f t="array" ref="F6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8" s="145" t="str" cm="1">
        <f t="array" ref="G6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INDEX((standard_components_149[[#This Row],[Component]]=factor_eff_table[Component])*(standard_components_149[[#This Row],[Service]]=factor_eff_table[Service]), 0, 1), 0)),
 "-")</f>
        <v>-</v>
      </c>
      <c r="E69" s="145" t="str" cm="1">
        <f t="array" ref="E6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69" s="145" t="str" cm="1">
        <f t="array" ref="F6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69" s="145" t="str" cm="1">
        <f t="array" ref="G6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6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6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INDEX((standard_components_149[[#This Row],[Component]]=factor_eff_table[Component])*(standard_components_149[[#This Row],[Service]]=factor_eff_table[Service]), 0, 1), 0)),
 "-")</f>
        <v>-</v>
      </c>
      <c r="E70" s="145" t="str" cm="1">
        <f t="array" ref="E7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0" s="145" t="str" cm="1">
        <f t="array" ref="F7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0" s="145" t="str" cm="1">
        <f t="array" ref="G7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INDEX((standard_components_149[[#This Row],[Component]]=factor_eff_table[Component])*(standard_components_149[[#This Row],[Service]]=factor_eff_table[Service]), 0, 1), 0)),
 "-")</f>
        <v>-</v>
      </c>
      <c r="E71" s="145" t="str" cm="1">
        <f t="array" ref="E7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1" s="145" t="str" cm="1">
        <f t="array" ref="F7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1" s="145" t="str" cm="1">
        <f t="array" ref="G7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INDEX((standard_components_149[[#This Row],[Component]]=factor_eff_table[Component])*(standard_components_149[[#This Row],[Service]]=factor_eff_table[Service]), 0, 1), 0)),
 "-")</f>
        <v>-</v>
      </c>
      <c r="E72" s="145" t="str" cm="1">
        <f t="array" ref="E7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2" s="145" t="str" cm="1">
        <f t="array" ref="F7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2" s="145" t="str" cm="1">
        <f t="array" ref="G7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INDEX((standard_components_149[[#This Row],[Component]]=factor_eff_table[Component])*(standard_components_149[[#This Row],[Service]]=factor_eff_table[Service]), 0, 1), 0)),
 "-")</f>
        <v>-</v>
      </c>
      <c r="E73" s="145" t="str" cm="1">
        <f t="array" ref="E7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3" s="145" t="str" cm="1">
        <f t="array" ref="F7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3" s="145" t="str" cm="1">
        <f t="array" ref="G7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INDEX((standard_components_149[[#This Row],[Component]]=factor_eff_table[Component])*(standard_components_149[[#This Row],[Service]]=factor_eff_table[Service]), 0, 1), 0)),
 "-")</f>
        <v>-</v>
      </c>
      <c r="E74" s="145" t="str" cm="1">
        <f t="array" ref="E7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4" s="145" t="str" cm="1">
        <f t="array" ref="F7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4" s="145" t="str" cm="1">
        <f t="array" ref="G7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INDEX((standard_components_149[[#This Row],[Component]]=factor_eff_table[Component])*(standard_components_149[[#This Row],[Service]]=factor_eff_table[Service]), 0, 1), 0)),
 "-")</f>
        <v>-</v>
      </c>
      <c r="E75" s="145" t="str" cm="1">
        <f t="array" ref="E7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5" s="145" t="str" cm="1">
        <f t="array" ref="F7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5" s="145" t="str" cm="1">
        <f t="array" ref="G7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INDEX((standard_components_149[[#This Row],[Component]]=factor_eff_table[Component])*(standard_components_149[[#This Row],[Service]]=factor_eff_table[Service]), 0, 1), 0)),
 "-")</f>
        <v>-</v>
      </c>
      <c r="E76" s="145" t="str" cm="1">
        <f t="array" ref="E7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6" s="145" t="str" cm="1">
        <f t="array" ref="F7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6" s="145" t="str" cm="1">
        <f t="array" ref="G7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INDEX((standard_components_149[[#This Row],[Component]]=factor_eff_table[Component])*(standard_components_149[[#This Row],[Service]]=factor_eff_table[Service]), 0, 1), 0)),
 "-")</f>
        <v>-</v>
      </c>
      <c r="E77" s="145" t="str" cm="1">
        <f t="array" ref="E7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7" s="145" t="str" cm="1">
        <f t="array" ref="F7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7" s="145" t="str" cm="1">
        <f t="array" ref="G7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INDEX((standard_components_149[[#This Row],[Component]]=factor_eff_table[Component])*(standard_components_149[[#This Row],[Service]]=factor_eff_table[Service]), 0, 1), 0)),
 "-")</f>
        <v>-</v>
      </c>
      <c r="E78" s="145" t="str" cm="1">
        <f t="array" ref="E7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8" s="145" t="str" cm="1">
        <f t="array" ref="F7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8" s="145" t="str" cm="1">
        <f t="array" ref="G7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INDEX((standard_components_149[[#This Row],[Component]]=factor_eff_table[Component])*(standard_components_149[[#This Row],[Service]]=factor_eff_table[Service]), 0, 1), 0)),
 "-")</f>
        <v>-</v>
      </c>
      <c r="E79" s="145" t="str" cm="1">
        <f t="array" ref="E7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79" s="145" t="str" cm="1">
        <f t="array" ref="F7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79" s="145" t="str" cm="1">
        <f t="array" ref="G7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7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7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INDEX((standard_components_149[[#This Row],[Component]]=factor_eff_table[Component])*(standard_components_149[[#This Row],[Service]]=factor_eff_table[Service]), 0, 1), 0)),
 "-")</f>
        <v>-</v>
      </c>
      <c r="E80" s="145" t="str" cm="1">
        <f t="array" ref="E8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0" s="145" t="str" cm="1">
        <f t="array" ref="F8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0" s="145" t="str" cm="1">
        <f t="array" ref="G8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INDEX((standard_components_149[[#This Row],[Component]]=factor_eff_table[Component])*(standard_components_149[[#This Row],[Service]]=factor_eff_table[Service]), 0, 1), 0)),
 "-")</f>
        <v>-</v>
      </c>
      <c r="E81" s="145" t="str" cm="1">
        <f t="array" ref="E8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1" s="145" t="str" cm="1">
        <f t="array" ref="F8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1" s="145" t="str" cm="1">
        <f t="array" ref="G8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INDEX((standard_components_149[[#This Row],[Component]]=factor_eff_table[Component])*(standard_components_149[[#This Row],[Service]]=factor_eff_table[Service]), 0, 1), 0)),
 "-")</f>
        <v>-</v>
      </c>
      <c r="E82" s="145" t="str" cm="1">
        <f t="array" ref="E8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2" s="145" t="str" cm="1">
        <f t="array" ref="F8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2" s="145" t="str" cm="1">
        <f t="array" ref="G8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INDEX((standard_components_149[[#This Row],[Component]]=factor_eff_table[Component])*(standard_components_149[[#This Row],[Service]]=factor_eff_table[Service]), 0, 1), 0)),
 "-")</f>
        <v>-</v>
      </c>
      <c r="E83" s="145" t="str" cm="1">
        <f t="array" ref="E8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3" s="145" t="str" cm="1">
        <f t="array" ref="F8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3" s="145" t="str" cm="1">
        <f t="array" ref="G8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INDEX((standard_components_149[[#This Row],[Component]]=factor_eff_table[Component])*(standard_components_149[[#This Row],[Service]]=factor_eff_table[Service]), 0, 1), 0)),
 "-")</f>
        <v>-</v>
      </c>
      <c r="E84" s="145" t="str" cm="1">
        <f t="array" ref="E8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4" s="145" t="str" cm="1">
        <f t="array" ref="F8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4" s="145" t="str" cm="1">
        <f t="array" ref="G8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INDEX((standard_components_149[[#This Row],[Component]]=factor_eff_table[Component])*(standard_components_149[[#This Row],[Service]]=factor_eff_table[Service]), 0, 1), 0)),
 "-")</f>
        <v>-</v>
      </c>
      <c r="E85" s="145" t="str" cm="1">
        <f t="array" ref="E8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5" s="145" t="str" cm="1">
        <f t="array" ref="F8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5" s="145" t="str" cm="1">
        <f t="array" ref="G8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INDEX((standard_components_149[[#This Row],[Component]]=factor_eff_table[Component])*(standard_components_149[[#This Row],[Service]]=factor_eff_table[Service]), 0, 1), 0)),
 "-")</f>
        <v>-</v>
      </c>
      <c r="E86" s="145" t="str" cm="1">
        <f t="array" ref="E8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6" s="145" t="str" cm="1">
        <f t="array" ref="F8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6" s="145" t="str" cm="1">
        <f t="array" ref="G8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INDEX((standard_components_149[[#This Row],[Component]]=factor_eff_table[Component])*(standard_components_149[[#This Row],[Service]]=factor_eff_table[Service]), 0, 1), 0)),
 "-")</f>
        <v>-</v>
      </c>
      <c r="E87" s="145" t="str" cm="1">
        <f t="array" ref="E8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7" s="145" t="str" cm="1">
        <f t="array" ref="F8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7" s="145" t="str" cm="1">
        <f t="array" ref="G8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INDEX((standard_components_149[[#This Row],[Component]]=factor_eff_table[Component])*(standard_components_149[[#This Row],[Service]]=factor_eff_table[Service]), 0, 1), 0)),
 "-")</f>
        <v>-</v>
      </c>
      <c r="E88" s="145" t="str" cm="1">
        <f t="array" ref="E8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8" s="145" t="str" cm="1">
        <f t="array" ref="F8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8" s="145" t="str" cm="1">
        <f t="array" ref="G8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INDEX((standard_components_149[[#This Row],[Component]]=factor_eff_table[Component])*(standard_components_149[[#This Row],[Service]]=factor_eff_table[Service]), 0, 1), 0)),
 "-")</f>
        <v>-</v>
      </c>
      <c r="E89" s="145" t="str" cm="1">
        <f t="array" ref="E8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89" s="145" t="str" cm="1">
        <f t="array" ref="F8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89" s="145" t="str" cm="1">
        <f t="array" ref="G8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8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8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INDEX((standard_components_149[[#This Row],[Component]]=factor_eff_table[Component])*(standard_components_149[[#This Row],[Service]]=factor_eff_table[Service]), 0, 1), 0)),
 "-")</f>
        <v>-</v>
      </c>
      <c r="E90" s="145" t="str" cm="1">
        <f t="array" ref="E9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0" s="145" t="str" cm="1">
        <f t="array" ref="F9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0" s="145" t="str" cm="1">
        <f t="array" ref="G9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INDEX((standard_components_149[[#This Row],[Component]]=factor_eff_table[Component])*(standard_components_149[[#This Row],[Service]]=factor_eff_table[Service]), 0, 1), 0)),
 "-")</f>
        <v>-</v>
      </c>
      <c r="E91" s="145" t="str" cm="1">
        <f t="array" ref="E91">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1" s="145" t="str" cm="1">
        <f t="array" ref="F91">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1" s="145" t="str" cm="1">
        <f t="array" ref="G91">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1"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1"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INDEX((standard_components_149[[#This Row],[Component]]=factor_eff_table[Component])*(standard_components_149[[#This Row],[Service]]=factor_eff_table[Service]), 0, 1), 0)),
 "-")</f>
        <v>-</v>
      </c>
      <c r="E92" s="145" t="str" cm="1">
        <f t="array" ref="E92">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2" s="145" t="str" cm="1">
        <f t="array" ref="F92">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2" s="145" t="str" cm="1">
        <f t="array" ref="G92">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2"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2"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INDEX((standard_components_149[[#This Row],[Component]]=factor_eff_table[Component])*(standard_components_149[[#This Row],[Service]]=factor_eff_table[Service]), 0, 1), 0)),
 "-")</f>
        <v>-</v>
      </c>
      <c r="E93" s="145" t="str" cm="1">
        <f t="array" ref="E93">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3" s="145" t="str" cm="1">
        <f t="array" ref="F93">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3" s="145" t="str" cm="1">
        <f t="array" ref="G93">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3"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3"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INDEX((standard_components_149[[#This Row],[Component]]=factor_eff_table[Component])*(standard_components_149[[#This Row],[Service]]=factor_eff_table[Service]), 0, 1), 0)),
 "-")</f>
        <v>-</v>
      </c>
      <c r="E94" s="145" t="str" cm="1">
        <f t="array" ref="E94">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4" s="145" t="str" cm="1">
        <f t="array" ref="F94">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4" s="145" t="str" cm="1">
        <f t="array" ref="G94">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4"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4"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INDEX((standard_components_149[[#This Row],[Component]]=factor_eff_table[Component])*(standard_components_149[[#This Row],[Service]]=factor_eff_table[Service]), 0, 1), 0)),
 "-")</f>
        <v>-</v>
      </c>
      <c r="E95" s="145" t="str" cm="1">
        <f t="array" ref="E95">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5" s="145" t="str" cm="1">
        <f t="array" ref="F95">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5" s="145" t="str" cm="1">
        <f t="array" ref="G95">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5"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5"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INDEX((standard_components_149[[#This Row],[Component]]=factor_eff_table[Component])*(standard_components_149[[#This Row],[Service]]=factor_eff_table[Service]), 0, 1), 0)),
 "-")</f>
        <v>-</v>
      </c>
      <c r="E96" s="145" t="str" cm="1">
        <f t="array" ref="E96">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6" s="145" t="str" cm="1">
        <f t="array" ref="F96">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6" s="145" t="str" cm="1">
        <f t="array" ref="G96">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6"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6"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INDEX((standard_components_149[[#This Row],[Component]]=factor_eff_table[Component])*(standard_components_149[[#This Row],[Service]]=factor_eff_table[Service]), 0, 1), 0)),
 "-")</f>
        <v>-</v>
      </c>
      <c r="E97" s="145" t="str" cm="1">
        <f t="array" ref="E97">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7" s="145" t="str" cm="1">
        <f t="array" ref="F97">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7" s="145" t="str" cm="1">
        <f t="array" ref="G97">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7"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7"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INDEX((standard_components_149[[#This Row],[Component]]=factor_eff_table[Component])*(standard_components_149[[#This Row],[Service]]=factor_eff_table[Service]), 0, 1), 0)),
 "-")</f>
        <v>-</v>
      </c>
      <c r="E98" s="145" t="str" cm="1">
        <f t="array" ref="E98">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8" s="145" t="str" cm="1">
        <f t="array" ref="F98">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8" s="145" t="str" cm="1">
        <f t="array" ref="G98">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8"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8"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INDEX((standard_components_149[[#This Row],[Component]]=factor_eff_table[Component])*(standard_components_149[[#This Row],[Service]]=factor_eff_table[Service]), 0, 1), 0)),
 "-")</f>
        <v>-</v>
      </c>
      <c r="E99" s="145" t="str" cm="1">
        <f t="array" ref="E99">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99" s="145" t="str" cm="1">
        <f t="array" ref="F99">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99" s="145" t="str" cm="1">
        <f t="array" ref="G99">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99"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99"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INDEX((standard_components_149[[#This Row],[Component]]=factor_eff_table[Component])*(standard_components_149[[#This Row],[Service]]=factor_eff_table[Service]), 0, 1), 0)),
 "-")</f>
        <v>-</v>
      </c>
      <c r="E100" s="145" t="str" cm="1">
        <f t="array" ref="E100">IF(AND(process_drain_bool="Yes",LEFT(standard_components_149[[#This Row],[Component]], LEN("Process drains"))="Process Drains", ISBLANK(instrument_ldar)=FALSE), process_drain_eff,
IFERROR(
INDEX(
INDEX(factor_eff_table[], , MATCH(instrument_ldar, factor_eff_table[#Headers], 0)),
MATCH(1, INDEX((standard_components_149[[#This Row],[Component]]=factor_eff_table[Component])*(standard_components_149[[#This Row],[Service]]=factor_eff_table[Service]), 0, 1), 0)),
 "-"))</f>
        <v>-</v>
      </c>
      <c r="F100" s="145" t="str" cm="1">
        <f t="array" ref="F100">IF(AND(process_drain_bool="Yes",LEFT(standard_components_149[[#This Row],[Component]], LEN("Process drains"))="Process Drains", ISBLANK(connector_ldar)=FALSE), process_drain_eff,
IFERROR(
INDEX(
INDEX(factor_eff_table[], , MATCH(connector_ldar, factor_eff_table[#Headers], 0)),
MATCH(1, INDEX((standard_components_149[[#This Row],[Component]]=factor_eff_table[Component])*(standard_components_149[[#This Row],[Service]]=factor_eff_table[Service]), 0, 1), 0)),
 "-"))</f>
        <v>-</v>
      </c>
      <c r="G100" s="145" t="str" cm="1">
        <f t="array" ref="G100">IF(AND(process_drain_bool="Yes",LEFT(standard_components_149[[#This Row],[Component]], LEN("Process Drains"))="Process Drains", ISBLANK(inspection_ldar)=FALSE), process_drain_eff,
IFERROR(
INDEX(
INDEX(factor_eff_table[], , MATCH(inspection_ldar, factor_eff_table[#Headers], 0)),
MATCH(1, INDEX((standard_components_149[[#This Row],[Component]]=factor_eff_table[Component])*(standard_components_149[[#This Row],[Service]]=factor_eff_table[Service]), 0, 1), 0)),
 "-"))</f>
        <v>-</v>
      </c>
      <c r="H100" s="146" t="str">
        <f>IF(standard_components_149[[#This Row],[Component]]="Sampling Connections (annual) [2]", "N/A",
 IF(standard_components_149[[#This Row],[Component]]="Sampling Connections (hourly) [1]", standard_components_149[[#This Row],[Count]]*standard_components_149[[#This Row],[Industry Emission Factor]],
IFERROR(standard_components_149[[#This Row],[Count]]*standard_components_149[[#This Row],[Industry Emission Factor]]*MIN(1-standard_components_149[[#This Row],[Instrument Monitoring LDAR Control Efficiency]], 1-standard_components_149[[#This Row],[Physical Inspection LDAR Control Efficiency]], 1-standard_components_149[[#This Row],[Connector Monitoring LDAR Control Efficiency]]), "-")))</f>
        <v>-</v>
      </c>
      <c r="I100" s="146" t="str">
        <f>IF(standard_components_149[[#This Row],[Component]]="Sampling Connections (hourly) [1]", "N/A",
 IF(standard_components_149[[#This Row],[Component]]="Sampling Connections (annual) [2]", standard_components_149[[#This Row],[Count]]*standard_components_149[[#This Row],[Industry Emission Factor]]/stons_to_lbs,
 IFERROR(years_to_hrs/stons_to_lbs*standard_components_149[[#This Row],[Controlled
lb/hr]], "-")))</f>
        <v>-</v>
      </c>
    </row>
    <row r="101" spans="1:9" ht="15" x14ac:dyDescent="0.25">
      <c r="A101" s="147" t="s">
        <v>12776</v>
      </c>
      <c r="B101" s="148"/>
      <c r="C101" s="149">
        <f>SUBTOTAL(109,standard_components_149[Count])</f>
        <v>0</v>
      </c>
      <c r="D101" s="150"/>
      <c r="E101" s="150"/>
      <c r="F101" s="150"/>
      <c r="G101" s="150"/>
      <c r="H101" s="151">
        <f>SUBTOTAL(109,standard_components_149[Controlled
lb/hr])</f>
        <v>0</v>
      </c>
      <c r="I101" s="151">
        <f>SUBTOTAL(109,standard_components_149[Controlled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unique_components_150[[#This Row],[Count]]*unique_components_150[[#This Row],[Proposed Emission Factor]]*(1-unique_components_150[[#This Row],[Proposed Control Efficiency]])</f>
        <v>0</v>
      </c>
      <c r="G107" s="155">
        <f>IFERROR(unique_components_150[[#This Row],[Controlled lb/hr]]*4.38,"")</f>
        <v>0</v>
      </c>
    </row>
    <row r="108" spans="1:9" x14ac:dyDescent="0.2">
      <c r="A108" s="103"/>
      <c r="B108" s="104"/>
      <c r="C108" s="153"/>
      <c r="D108" s="154"/>
      <c r="E108" s="154"/>
      <c r="F108" s="146">
        <f>unique_components_150[[#This Row],[Count]]*unique_components_150[[#This Row],[Proposed Emission Factor]]*(1-unique_components_150[[#This Row],[Proposed Control Efficiency]])</f>
        <v>0</v>
      </c>
      <c r="G108" s="155">
        <f>IFERROR(unique_components_150[[#This Row],[Controlled lb/hr]]*4.38,"")</f>
        <v>0</v>
      </c>
    </row>
    <row r="109" spans="1:9" x14ac:dyDescent="0.2">
      <c r="A109" s="103"/>
      <c r="B109" s="104"/>
      <c r="C109" s="153"/>
      <c r="D109" s="154"/>
      <c r="E109" s="154"/>
      <c r="F109" s="146">
        <f>unique_components_150[[#This Row],[Count]]*unique_components_150[[#This Row],[Proposed Emission Factor]]*(1-unique_components_150[[#This Row],[Proposed Control Efficiency]])</f>
        <v>0</v>
      </c>
      <c r="G109" s="155">
        <f>IFERROR(unique_components_150[[#This Row],[Controlled lb/hr]]*4.38,"")</f>
        <v>0</v>
      </c>
    </row>
    <row r="110" spans="1:9" x14ac:dyDescent="0.2">
      <c r="A110" s="103"/>
      <c r="B110" s="104"/>
      <c r="C110" s="153"/>
      <c r="D110" s="154"/>
      <c r="E110" s="154"/>
      <c r="F110" s="146">
        <f>unique_components_150[[#This Row],[Count]]*unique_components_150[[#This Row],[Proposed Emission Factor]]*(1-unique_components_150[[#This Row],[Proposed Control Efficiency]])</f>
        <v>0</v>
      </c>
      <c r="G110" s="155">
        <f>IFERROR(unique_components_150[[#This Row],[Controlled lb/hr]]*4.38,"")</f>
        <v>0</v>
      </c>
    </row>
    <row r="111" spans="1:9" x14ac:dyDescent="0.2">
      <c r="A111" s="103"/>
      <c r="B111" s="104"/>
      <c r="C111" s="153"/>
      <c r="D111" s="154"/>
      <c r="E111" s="154"/>
      <c r="F111" s="146">
        <f>unique_components_150[[#This Row],[Count]]*unique_components_150[[#This Row],[Proposed Emission Factor]]*(1-unique_components_150[[#This Row],[Proposed Control Efficiency]])</f>
        <v>0</v>
      </c>
      <c r="G111" s="155">
        <f>IFERROR(unique_components_150[[#This Row],[Controlled lb/hr]]*4.38,"")</f>
        <v>0</v>
      </c>
    </row>
    <row r="112" spans="1:9" x14ac:dyDescent="0.2">
      <c r="A112" s="103"/>
      <c r="B112" s="104"/>
      <c r="C112" s="153"/>
      <c r="D112" s="154"/>
      <c r="E112" s="154"/>
      <c r="F112" s="146">
        <f>unique_components_150[[#This Row],[Count]]*unique_components_150[[#This Row],[Proposed Emission Factor]]*(1-unique_components_150[[#This Row],[Proposed Control Efficiency]])</f>
        <v>0</v>
      </c>
      <c r="G112" s="155">
        <f>IFERROR(unique_components_150[[#This Row],[Controlled lb/hr]]*4.38,"")</f>
        <v>0</v>
      </c>
    </row>
    <row r="113" spans="1:8" x14ac:dyDescent="0.2">
      <c r="A113" s="103"/>
      <c r="B113" s="104"/>
      <c r="C113" s="153"/>
      <c r="D113" s="154"/>
      <c r="E113" s="154"/>
      <c r="F113" s="146">
        <f>unique_components_150[[#This Row],[Count]]*unique_components_150[[#This Row],[Proposed Emission Factor]]*(1-unique_components_150[[#This Row],[Proposed Control Efficiency]])</f>
        <v>0</v>
      </c>
      <c r="G113" s="155">
        <f>IFERROR(unique_components_150[[#This Row],[Controlled lb/hr]]*4.38,"")</f>
        <v>0</v>
      </c>
    </row>
    <row r="114" spans="1:8" x14ac:dyDescent="0.2">
      <c r="A114" s="103"/>
      <c r="B114" s="104"/>
      <c r="C114" s="153"/>
      <c r="D114" s="154"/>
      <c r="E114" s="154"/>
      <c r="F114" s="146">
        <f>unique_components_150[[#This Row],[Count]]*unique_components_150[[#This Row],[Proposed Emission Factor]]*(1-unique_components_150[[#This Row],[Proposed Control Efficiency]])</f>
        <v>0</v>
      </c>
      <c r="G114" s="155">
        <f>IFERROR(unique_components_150[[#This Row],[Controlled lb/hr]]*4.38,"")</f>
        <v>0</v>
      </c>
    </row>
    <row r="115" spans="1:8" x14ac:dyDescent="0.2">
      <c r="A115" s="103"/>
      <c r="B115" s="104"/>
      <c r="C115" s="153"/>
      <c r="D115" s="154"/>
      <c r="E115" s="154"/>
      <c r="F115" s="146">
        <f>unique_components_150[[#This Row],[Count]]*unique_components_150[[#This Row],[Proposed Emission Factor]]*(1-unique_components_150[[#This Row],[Proposed Control Efficiency]])</f>
        <v>0</v>
      </c>
      <c r="G115" s="155">
        <f>IFERROR(unique_components_150[[#This Row],[Controlled lb/hr]]*4.38,"")</f>
        <v>0</v>
      </c>
    </row>
    <row r="116" spans="1:8" x14ac:dyDescent="0.2">
      <c r="A116" s="103"/>
      <c r="B116" s="104"/>
      <c r="C116" s="153"/>
      <c r="D116" s="154"/>
      <c r="E116" s="154"/>
      <c r="F116" s="146">
        <f>unique_components_150[[#This Row],[Count]]*unique_components_150[[#This Row],[Proposed Emission Factor]]*(1-unique_components_150[[#This Row],[Proposed Control Efficiency]])</f>
        <v>0</v>
      </c>
      <c r="G116" s="155">
        <f>IFERROR(unique_components_150[[#This Row],[Controlled lb/hr]]*4.38,"")</f>
        <v>0</v>
      </c>
    </row>
    <row r="117" spans="1:8" x14ac:dyDescent="0.2">
      <c r="A117" s="103"/>
      <c r="B117" s="104"/>
      <c r="C117" s="153"/>
      <c r="D117" s="154"/>
      <c r="E117" s="154"/>
      <c r="F117" s="146">
        <f>unique_components_150[[#This Row],[Count]]*unique_components_150[[#This Row],[Proposed Emission Factor]]*(1-unique_components_150[[#This Row],[Proposed Control Efficiency]])</f>
        <v>0</v>
      </c>
      <c r="G117" s="155">
        <f>IFERROR(unique_components_150[[#This Row],[Controlled lb/hr]]*4.38,"")</f>
        <v>0</v>
      </c>
    </row>
    <row r="118" spans="1:8" x14ac:dyDescent="0.2">
      <c r="A118" s="103"/>
      <c r="B118" s="104"/>
      <c r="C118" s="153"/>
      <c r="D118" s="154"/>
      <c r="E118" s="154"/>
      <c r="F118" s="146">
        <f>unique_components_150[[#This Row],[Count]]*unique_components_150[[#This Row],[Proposed Emission Factor]]*(1-unique_components_150[[#This Row],[Proposed Control Efficiency]])</f>
        <v>0</v>
      </c>
      <c r="G118" s="155">
        <f>IFERROR(unique_components_150[[#This Row],[Controlled lb/hr]]*4.38,"")</f>
        <v>0</v>
      </c>
    </row>
    <row r="119" spans="1:8" x14ac:dyDescent="0.2">
      <c r="A119" s="103"/>
      <c r="B119" s="104"/>
      <c r="C119" s="153"/>
      <c r="D119" s="154"/>
      <c r="E119" s="154"/>
      <c r="F119" s="146">
        <f>unique_components_150[[#This Row],[Count]]*unique_components_150[[#This Row],[Proposed Emission Factor]]*(1-unique_components_150[[#This Row],[Proposed Control Efficiency]])</f>
        <v>0</v>
      </c>
      <c r="G119" s="155">
        <f>IFERROR(unique_components_150[[#This Row],[Controlled lb/hr]]*4.38,"")</f>
        <v>0</v>
      </c>
    </row>
    <row r="120" spans="1:8" x14ac:dyDescent="0.2">
      <c r="A120" s="103"/>
      <c r="B120" s="104"/>
      <c r="C120" s="153"/>
      <c r="D120" s="154"/>
      <c r="E120" s="154"/>
      <c r="F120" s="146">
        <f>unique_components_150[[#This Row],[Count]]*unique_components_150[[#This Row],[Proposed Emission Factor]]*(1-unique_components_150[[#This Row],[Proposed Control Efficiency]])</f>
        <v>0</v>
      </c>
      <c r="G120" s="155">
        <f>IFERROR(unique_components_150[[#This Row],[Controlled lb/hr]]*4.38,"")</f>
        <v>0</v>
      </c>
    </row>
    <row r="121" spans="1:8" x14ac:dyDescent="0.2">
      <c r="A121" s="103"/>
      <c r="B121" s="104"/>
      <c r="C121" s="153"/>
      <c r="D121" s="154"/>
      <c r="E121" s="154"/>
      <c r="F121" s="146">
        <f>unique_components_150[[#This Row],[Count]]*unique_components_150[[#This Row],[Proposed Emission Factor]]*(1-unique_components_150[[#This Row],[Proposed Control Efficiency]])</f>
        <v>0</v>
      </c>
      <c r="G121" s="155">
        <f>IFERROR(unique_components_150[[#This Row],[Controlled lb/hr]]*4.38,"")</f>
        <v>0</v>
      </c>
    </row>
    <row r="122" spans="1:8" x14ac:dyDescent="0.2">
      <c r="A122" s="103"/>
      <c r="B122" s="104"/>
      <c r="C122" s="153"/>
      <c r="D122" s="154"/>
      <c r="E122" s="154"/>
      <c r="F122" s="146">
        <f>unique_components_150[[#This Row],[Count]]*unique_components_150[[#This Row],[Proposed Emission Factor]]*(1-unique_components_150[[#This Row],[Proposed Control Efficiency]])</f>
        <v>0</v>
      </c>
      <c r="G122" s="155">
        <f>IFERROR(unique_components_150[[#This Row],[Controlled lb/hr]]*4.38,"")</f>
        <v>0</v>
      </c>
    </row>
    <row r="123" spans="1:8" x14ac:dyDescent="0.2">
      <c r="A123" s="103"/>
      <c r="B123" s="104"/>
      <c r="C123" s="153"/>
      <c r="D123" s="154"/>
      <c r="E123" s="154"/>
      <c r="F123" s="146">
        <f>unique_components_150[[#This Row],[Count]]*unique_components_150[[#This Row],[Proposed Emission Factor]]*(1-unique_components_150[[#This Row],[Proposed Control Efficiency]])</f>
        <v>0</v>
      </c>
      <c r="G123" s="155">
        <f>IFERROR(unique_components_150[[#This Row],[Controlled lb/hr]]*4.38,"")</f>
        <v>0</v>
      </c>
    </row>
    <row r="124" spans="1:8" x14ac:dyDescent="0.2">
      <c r="A124" s="103"/>
      <c r="B124" s="104"/>
      <c r="C124" s="153"/>
      <c r="D124" s="154"/>
      <c r="E124" s="154"/>
      <c r="F124" s="146">
        <f>unique_components_150[[#This Row],[Count]]*unique_components_150[[#This Row],[Proposed Emission Factor]]*(1-unique_components_150[[#This Row],[Proposed Control Efficiency]])</f>
        <v>0</v>
      </c>
      <c r="G124" s="155">
        <f>IFERROR(unique_components_150[[#This Row],[Controlled lb/hr]]*4.38,"")</f>
        <v>0</v>
      </c>
    </row>
    <row r="125" spans="1:8" x14ac:dyDescent="0.2">
      <c r="A125" s="103"/>
      <c r="B125" s="104"/>
      <c r="C125" s="153"/>
      <c r="D125" s="154"/>
      <c r="E125" s="154"/>
      <c r="F125" s="146">
        <f>unique_components_150[[#This Row],[Count]]*unique_components_150[[#This Row],[Proposed Emission Factor]]*(1-unique_components_150[[#This Row],[Proposed Control Efficiency]])</f>
        <v>0</v>
      </c>
      <c r="G125" s="155">
        <f>IFERROR(unique_components_150[[#This Row],[Controlled lb/hr]]*4.38,"")</f>
        <v>0</v>
      </c>
    </row>
    <row r="126" spans="1:8" x14ac:dyDescent="0.2">
      <c r="A126" s="105"/>
      <c r="B126" s="106"/>
      <c r="C126" s="156"/>
      <c r="D126" s="154"/>
      <c r="E126" s="157"/>
      <c r="F126" s="158">
        <f>unique_components_150[[#This Row],[Count]]*unique_components_150[[#This Row],[Proposed Emission Factor]]*(1-unique_components_150[[#This Row],[Proposed Control Efficiency]])</f>
        <v>0</v>
      </c>
      <c r="G126" s="159">
        <f>IFERROR(unique_components_150[[#This Row],[Controlled lb/hr]]*4.38,"")</f>
        <v>0</v>
      </c>
    </row>
    <row r="127" spans="1:8" ht="30" x14ac:dyDescent="0.2">
      <c r="A127" s="57" t="s">
        <v>13297</v>
      </c>
      <c r="B127" s="54"/>
      <c r="C127" s="160">
        <f>SUBTOTAL(109,unique_components_150[Count])</f>
        <v>0</v>
      </c>
      <c r="D127" s="161"/>
      <c r="E127" s="161"/>
      <c r="F127" s="162">
        <f>SUBTOTAL(109,unique_components_150[Controlled lb/hr])</f>
        <v>0</v>
      </c>
      <c r="G127" s="162">
        <f>SUBTOTAL(109,unique_components_150[Controlled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IFERROR(VLOOKUP(speciated_chemicals_151[[#This Row],[CAS '#]],species[],MATCH("Substance", species[#Headers], 0),FALSE),"No CAS Number Entered")</f>
        <v>No CAS Number Entered</v>
      </c>
      <c r="C131" s="102"/>
      <c r="D131" s="102" t="s">
        <v>12666</v>
      </c>
      <c r="E131" s="102" t="s">
        <v>12666</v>
      </c>
      <c r="F131" s="102" t="s">
        <v>12666</v>
      </c>
      <c r="G131" s="102" t="s">
        <v>12666</v>
      </c>
      <c r="H131" s="164"/>
      <c r="I131" s="51">
        <f>IF(speciated_chemicals_151[[#This Row],[Inert / Not a Contaminant?]]="Yes", 0, speciated_chemicals_151[[#This Row],[Weight Percent]]*(unique_components_150[[#Totals],[Controlled lb/hr]]+standard_components_149[[#Totals],[Controlled
lb/hr]]))</f>
        <v>0</v>
      </c>
      <c r="J131" s="51">
        <f>IF(speciated_chemicals_151[[#This Row],[Inert / Not a Contaminant?]]="Yes", 0, speciated_chemicals_151[[#This Row],[Weight Percent]]*(unique_components_150[[#Totals],[Controlled
tpy]]+standard_components_149[[#Totals],[Controlled
tpy]]))</f>
        <v>0</v>
      </c>
    </row>
    <row r="132" spans="1:10" x14ac:dyDescent="0.2">
      <c r="A132" s="103"/>
      <c r="B132" s="51" t="str">
        <f>IFERROR(VLOOKUP(speciated_chemicals_151[[#This Row],[CAS '#]],species[],MATCH("Substance", species[#Headers], 0),FALSE),"No CAS Number Entered")</f>
        <v>No CAS Number Entered</v>
      </c>
      <c r="C132" s="102"/>
      <c r="D132" s="102" t="s">
        <v>12666</v>
      </c>
      <c r="E132" s="102" t="s">
        <v>12666</v>
      </c>
      <c r="F132" s="102" t="s">
        <v>12666</v>
      </c>
      <c r="G132" s="102" t="s">
        <v>12666</v>
      </c>
      <c r="H132" s="164"/>
      <c r="I132" s="51">
        <f>IF(speciated_chemicals_151[[#This Row],[Inert / Not a Contaminant?]]="Yes", 0, speciated_chemicals_151[[#This Row],[Weight Percent]]*(unique_components_150[[#Totals],[Controlled lb/hr]]+standard_components_149[[#Totals],[Controlled
lb/hr]]))</f>
        <v>0</v>
      </c>
      <c r="J132" s="51">
        <f>IF(speciated_chemicals_151[[#This Row],[Inert / Not a Contaminant?]]="Yes", 0, speciated_chemicals_151[[#This Row],[Weight Percent]]*(unique_components_150[[#Totals],[Controlled
tpy]]+standard_components_149[[#Totals],[Controlled
tpy]]))</f>
        <v>0</v>
      </c>
    </row>
    <row r="133" spans="1:10" x14ac:dyDescent="0.2">
      <c r="A133" s="103"/>
      <c r="B133" s="51" t="str">
        <f>IFERROR(VLOOKUP(speciated_chemicals_151[[#This Row],[CAS '#]],species[],MATCH("Substance", species[#Headers], 0),FALSE),"No CAS Number Entered")</f>
        <v>No CAS Number Entered</v>
      </c>
      <c r="C133" s="102"/>
      <c r="D133" s="102" t="s">
        <v>12666</v>
      </c>
      <c r="E133" s="102" t="s">
        <v>12666</v>
      </c>
      <c r="F133" s="102" t="s">
        <v>12666</v>
      </c>
      <c r="G133" s="102" t="s">
        <v>12666</v>
      </c>
      <c r="H133" s="164"/>
      <c r="I133" s="51">
        <f>IF(speciated_chemicals_151[[#This Row],[Inert / Not a Contaminant?]]="Yes", 0, speciated_chemicals_151[[#This Row],[Weight Percent]]*(unique_components_150[[#Totals],[Controlled lb/hr]]+standard_components_149[[#Totals],[Controlled
lb/hr]]))</f>
        <v>0</v>
      </c>
      <c r="J133" s="51">
        <f>IF(speciated_chemicals_151[[#This Row],[Inert / Not a Contaminant?]]="Yes", 0, speciated_chemicals_151[[#This Row],[Weight Percent]]*(unique_components_150[[#Totals],[Controlled
tpy]]+standard_components_149[[#Totals],[Controlled
tpy]]))</f>
        <v>0</v>
      </c>
    </row>
    <row r="134" spans="1:10" x14ac:dyDescent="0.2">
      <c r="A134" s="103"/>
      <c r="B134" s="51" t="str">
        <f>IFERROR(VLOOKUP(speciated_chemicals_151[[#This Row],[CAS '#]],species[],MATCH("Substance", species[#Headers], 0),FALSE),"No CAS Number Entered")</f>
        <v>No CAS Number Entered</v>
      </c>
      <c r="C134" s="102"/>
      <c r="D134" s="102" t="s">
        <v>12666</v>
      </c>
      <c r="E134" s="102" t="s">
        <v>12666</v>
      </c>
      <c r="F134" s="102" t="s">
        <v>12666</v>
      </c>
      <c r="G134" s="102" t="s">
        <v>12666</v>
      </c>
      <c r="H134" s="164"/>
      <c r="I134" s="51">
        <f>IF(speciated_chemicals_151[[#This Row],[Inert / Not a Contaminant?]]="Yes", 0, speciated_chemicals_151[[#This Row],[Weight Percent]]*(unique_components_150[[#Totals],[Controlled lb/hr]]+standard_components_149[[#Totals],[Controlled
lb/hr]]))</f>
        <v>0</v>
      </c>
      <c r="J134" s="51">
        <f>IF(speciated_chemicals_151[[#This Row],[Inert / Not a Contaminant?]]="Yes", 0, speciated_chemicals_151[[#This Row],[Weight Percent]]*(unique_components_150[[#Totals],[Controlled
tpy]]+standard_components_149[[#Totals],[Controlled
tpy]]))</f>
        <v>0</v>
      </c>
    </row>
    <row r="135" spans="1:10" x14ac:dyDescent="0.2">
      <c r="A135" s="103"/>
      <c r="B135" s="51" t="str">
        <f>IFERROR(VLOOKUP(speciated_chemicals_151[[#This Row],[CAS '#]],species[],MATCH("Substance", species[#Headers], 0),FALSE),"No CAS Number Entered")</f>
        <v>No CAS Number Entered</v>
      </c>
      <c r="C135" s="102"/>
      <c r="D135" s="102" t="s">
        <v>12666</v>
      </c>
      <c r="E135" s="102" t="s">
        <v>12666</v>
      </c>
      <c r="F135" s="102" t="s">
        <v>12666</v>
      </c>
      <c r="G135" s="102" t="s">
        <v>12666</v>
      </c>
      <c r="H135" s="164"/>
      <c r="I135" s="51">
        <f>IF(speciated_chemicals_151[[#This Row],[Inert / Not a Contaminant?]]="Yes", 0, speciated_chemicals_151[[#This Row],[Weight Percent]]*(unique_components_150[[#Totals],[Controlled lb/hr]]+standard_components_149[[#Totals],[Controlled
lb/hr]]))</f>
        <v>0</v>
      </c>
      <c r="J135" s="51">
        <f>IF(speciated_chemicals_151[[#This Row],[Inert / Not a Contaminant?]]="Yes", 0, speciated_chemicals_151[[#This Row],[Weight Percent]]*(unique_components_150[[#Totals],[Controlled
tpy]]+standard_components_149[[#Totals],[Controlled
tpy]]))</f>
        <v>0</v>
      </c>
    </row>
    <row r="136" spans="1:10" x14ac:dyDescent="0.2">
      <c r="A136" s="103"/>
      <c r="B136" s="51" t="str">
        <f>IFERROR(VLOOKUP(speciated_chemicals_151[[#This Row],[CAS '#]],species[],MATCH("Substance", species[#Headers], 0),FALSE),"No CAS Number Entered")</f>
        <v>No CAS Number Entered</v>
      </c>
      <c r="C136" s="102"/>
      <c r="D136" s="102" t="s">
        <v>12666</v>
      </c>
      <c r="E136" s="102" t="s">
        <v>12666</v>
      </c>
      <c r="F136" s="102" t="s">
        <v>12666</v>
      </c>
      <c r="G136" s="102" t="s">
        <v>12666</v>
      </c>
      <c r="H136" s="164"/>
      <c r="I136" s="51">
        <f>IF(speciated_chemicals_151[[#This Row],[Inert / Not a Contaminant?]]="Yes", 0, speciated_chemicals_151[[#This Row],[Weight Percent]]*(unique_components_150[[#Totals],[Controlled lb/hr]]+standard_components_149[[#Totals],[Controlled
lb/hr]]))</f>
        <v>0</v>
      </c>
      <c r="J136" s="51">
        <f>IF(speciated_chemicals_151[[#This Row],[Inert / Not a Contaminant?]]="Yes", 0, speciated_chemicals_151[[#This Row],[Weight Percent]]*(unique_components_150[[#Totals],[Controlled
tpy]]+standard_components_149[[#Totals],[Controlled
tpy]]))</f>
        <v>0</v>
      </c>
    </row>
    <row r="137" spans="1:10" x14ac:dyDescent="0.2">
      <c r="A137" s="103"/>
      <c r="B137" s="51" t="str">
        <f>IFERROR(VLOOKUP(speciated_chemicals_151[[#This Row],[CAS '#]],species[],MATCH("Substance", species[#Headers], 0),FALSE),"No CAS Number Entered")</f>
        <v>No CAS Number Entered</v>
      </c>
      <c r="C137" s="102"/>
      <c r="D137" s="102" t="s">
        <v>12666</v>
      </c>
      <c r="E137" s="102" t="s">
        <v>12666</v>
      </c>
      <c r="F137" s="102" t="s">
        <v>12666</v>
      </c>
      <c r="G137" s="102" t="s">
        <v>12666</v>
      </c>
      <c r="H137" s="164"/>
      <c r="I137" s="51">
        <f>IF(speciated_chemicals_151[[#This Row],[Inert / Not a Contaminant?]]="Yes", 0, speciated_chemicals_151[[#This Row],[Weight Percent]]*(unique_components_150[[#Totals],[Controlled lb/hr]]+standard_components_149[[#Totals],[Controlled
lb/hr]]))</f>
        <v>0</v>
      </c>
      <c r="J137" s="51">
        <f>IF(speciated_chemicals_151[[#This Row],[Inert / Not a Contaminant?]]="Yes", 0, speciated_chemicals_151[[#This Row],[Weight Percent]]*(unique_components_150[[#Totals],[Controlled
tpy]]+standard_components_149[[#Totals],[Controlled
tpy]]))</f>
        <v>0</v>
      </c>
    </row>
    <row r="138" spans="1:10" x14ac:dyDescent="0.2">
      <c r="A138" s="103"/>
      <c r="B138" s="51" t="str">
        <f>IFERROR(VLOOKUP(speciated_chemicals_151[[#This Row],[CAS '#]],species[],MATCH("Substance", species[#Headers], 0),FALSE),"No CAS Number Entered")</f>
        <v>No CAS Number Entered</v>
      </c>
      <c r="C138" s="102"/>
      <c r="D138" s="102" t="s">
        <v>12666</v>
      </c>
      <c r="E138" s="102" t="s">
        <v>12666</v>
      </c>
      <c r="F138" s="102" t="s">
        <v>12666</v>
      </c>
      <c r="G138" s="102" t="s">
        <v>12666</v>
      </c>
      <c r="H138" s="164"/>
      <c r="I138" s="51">
        <f>IF(speciated_chemicals_151[[#This Row],[Inert / Not a Contaminant?]]="Yes", 0, speciated_chemicals_151[[#This Row],[Weight Percent]]*(unique_components_150[[#Totals],[Controlled lb/hr]]+standard_components_149[[#Totals],[Controlled
lb/hr]]))</f>
        <v>0</v>
      </c>
      <c r="J138" s="51">
        <f>IF(speciated_chemicals_151[[#This Row],[Inert / Not a Contaminant?]]="Yes", 0, speciated_chemicals_151[[#This Row],[Weight Percent]]*(unique_components_150[[#Totals],[Controlled
tpy]]+standard_components_149[[#Totals],[Controlled
tpy]]))</f>
        <v>0</v>
      </c>
    </row>
    <row r="139" spans="1:10" x14ac:dyDescent="0.2">
      <c r="A139" s="103"/>
      <c r="B139" s="51" t="str">
        <f>IFERROR(VLOOKUP(speciated_chemicals_151[[#This Row],[CAS '#]],species[],MATCH("Substance", species[#Headers], 0),FALSE),"No CAS Number Entered")</f>
        <v>No CAS Number Entered</v>
      </c>
      <c r="C139" s="102"/>
      <c r="D139" s="102" t="s">
        <v>12666</v>
      </c>
      <c r="E139" s="102" t="s">
        <v>12666</v>
      </c>
      <c r="F139" s="102" t="s">
        <v>12666</v>
      </c>
      <c r="G139" s="102" t="s">
        <v>12666</v>
      </c>
      <c r="H139" s="164"/>
      <c r="I139" s="51">
        <f>IF(speciated_chemicals_151[[#This Row],[Inert / Not a Contaminant?]]="Yes", 0, speciated_chemicals_151[[#This Row],[Weight Percent]]*(unique_components_150[[#Totals],[Controlled lb/hr]]+standard_components_149[[#Totals],[Controlled
lb/hr]]))</f>
        <v>0</v>
      </c>
      <c r="J139" s="51">
        <f>IF(speciated_chemicals_151[[#This Row],[Inert / Not a Contaminant?]]="Yes", 0, speciated_chemicals_151[[#This Row],[Weight Percent]]*(unique_components_150[[#Totals],[Controlled
tpy]]+standard_components_149[[#Totals],[Controlled
tpy]]))</f>
        <v>0</v>
      </c>
    </row>
    <row r="140" spans="1:10" x14ac:dyDescent="0.2">
      <c r="A140" s="103"/>
      <c r="B140" s="51" t="str">
        <f>IFERROR(VLOOKUP(speciated_chemicals_151[[#This Row],[CAS '#]],species[],MATCH("Substance", species[#Headers], 0),FALSE),"No CAS Number Entered")</f>
        <v>No CAS Number Entered</v>
      </c>
      <c r="C140" s="102"/>
      <c r="D140" s="102" t="s">
        <v>12666</v>
      </c>
      <c r="E140" s="102" t="s">
        <v>12666</v>
      </c>
      <c r="F140" s="102" t="s">
        <v>12666</v>
      </c>
      <c r="G140" s="102" t="s">
        <v>12666</v>
      </c>
      <c r="H140" s="164"/>
      <c r="I140" s="51">
        <f>IF(speciated_chemicals_151[[#This Row],[Inert / Not a Contaminant?]]="Yes", 0, speciated_chemicals_151[[#This Row],[Weight Percent]]*(unique_components_150[[#Totals],[Controlled lb/hr]]+standard_components_149[[#Totals],[Controlled
lb/hr]]))</f>
        <v>0</v>
      </c>
      <c r="J140" s="51">
        <f>IF(speciated_chemicals_151[[#This Row],[Inert / Not a Contaminant?]]="Yes", 0, speciated_chemicals_151[[#This Row],[Weight Percent]]*(unique_components_150[[#Totals],[Controlled
tpy]]+standard_components_149[[#Totals],[Controlled
tpy]]))</f>
        <v>0</v>
      </c>
    </row>
    <row r="141" spans="1:10" x14ac:dyDescent="0.2">
      <c r="A141" s="103"/>
      <c r="B141" s="51" t="str">
        <f>IFERROR(VLOOKUP(speciated_chemicals_151[[#This Row],[CAS '#]],species[],MATCH("Substance", species[#Headers], 0),FALSE),"No CAS Number Entered")</f>
        <v>No CAS Number Entered</v>
      </c>
      <c r="C141" s="102"/>
      <c r="D141" s="102" t="s">
        <v>12666</v>
      </c>
      <c r="E141" s="102" t="s">
        <v>12666</v>
      </c>
      <c r="F141" s="102" t="s">
        <v>12666</v>
      </c>
      <c r="G141" s="102" t="s">
        <v>12666</v>
      </c>
      <c r="H141" s="164"/>
      <c r="I141" s="51">
        <f>IF(speciated_chemicals_151[[#This Row],[Inert / Not a Contaminant?]]="Yes", 0, speciated_chemicals_151[[#This Row],[Weight Percent]]*(unique_components_150[[#Totals],[Controlled lb/hr]]+standard_components_149[[#Totals],[Controlled
lb/hr]]))</f>
        <v>0</v>
      </c>
      <c r="J141" s="51">
        <f>IF(speciated_chemicals_151[[#This Row],[Inert / Not a Contaminant?]]="Yes", 0, speciated_chemicals_151[[#This Row],[Weight Percent]]*(unique_components_150[[#Totals],[Controlled
tpy]]+standard_components_149[[#Totals],[Controlled
tpy]]))</f>
        <v>0</v>
      </c>
    </row>
    <row r="142" spans="1:10" x14ac:dyDescent="0.2">
      <c r="A142" s="103"/>
      <c r="B142" s="51" t="str">
        <f>IFERROR(VLOOKUP(speciated_chemicals_151[[#This Row],[CAS '#]],species[],MATCH("Substance", species[#Headers], 0),FALSE),"No CAS Number Entered")</f>
        <v>No CAS Number Entered</v>
      </c>
      <c r="C142" s="102"/>
      <c r="D142" s="102" t="s">
        <v>12666</v>
      </c>
      <c r="E142" s="102" t="s">
        <v>12666</v>
      </c>
      <c r="F142" s="102" t="s">
        <v>12666</v>
      </c>
      <c r="G142" s="102" t="s">
        <v>12666</v>
      </c>
      <c r="H142" s="164"/>
      <c r="I142" s="51">
        <f>IF(speciated_chemicals_151[[#This Row],[Inert / Not a Contaminant?]]="Yes", 0, speciated_chemicals_151[[#This Row],[Weight Percent]]*(unique_components_150[[#Totals],[Controlled lb/hr]]+standard_components_149[[#Totals],[Controlled
lb/hr]]))</f>
        <v>0</v>
      </c>
      <c r="J142" s="51">
        <f>IF(speciated_chemicals_151[[#This Row],[Inert / Not a Contaminant?]]="Yes", 0, speciated_chemicals_151[[#This Row],[Weight Percent]]*(unique_components_150[[#Totals],[Controlled
tpy]]+standard_components_149[[#Totals],[Controlled
tpy]]))</f>
        <v>0</v>
      </c>
    </row>
    <row r="143" spans="1:10" x14ac:dyDescent="0.2">
      <c r="A143" s="103"/>
      <c r="B143" s="51" t="str">
        <f>IFERROR(VLOOKUP(speciated_chemicals_151[[#This Row],[CAS '#]],species[],MATCH("Substance", species[#Headers], 0),FALSE),"No CAS Number Entered")</f>
        <v>No CAS Number Entered</v>
      </c>
      <c r="C143" s="102"/>
      <c r="D143" s="102" t="s">
        <v>12666</v>
      </c>
      <c r="E143" s="102" t="s">
        <v>12666</v>
      </c>
      <c r="F143" s="102" t="s">
        <v>12666</v>
      </c>
      <c r="G143" s="102" t="s">
        <v>12666</v>
      </c>
      <c r="H143" s="164"/>
      <c r="I143" s="51">
        <f>IF(speciated_chemicals_151[[#This Row],[Inert / Not a Contaminant?]]="Yes", 0, speciated_chemicals_151[[#This Row],[Weight Percent]]*(unique_components_150[[#Totals],[Controlled lb/hr]]+standard_components_149[[#Totals],[Controlled
lb/hr]]))</f>
        <v>0</v>
      </c>
      <c r="J143" s="51">
        <f>IF(speciated_chemicals_151[[#This Row],[Inert / Not a Contaminant?]]="Yes", 0, speciated_chemicals_151[[#This Row],[Weight Percent]]*(unique_components_150[[#Totals],[Controlled
tpy]]+standard_components_149[[#Totals],[Controlled
tpy]]))</f>
        <v>0</v>
      </c>
    </row>
    <row r="144" spans="1:10" x14ac:dyDescent="0.2">
      <c r="A144" s="103"/>
      <c r="B144" s="51" t="str">
        <f>IFERROR(VLOOKUP(speciated_chemicals_151[[#This Row],[CAS '#]],species[],MATCH("Substance", species[#Headers], 0),FALSE),"No CAS Number Entered")</f>
        <v>No CAS Number Entered</v>
      </c>
      <c r="C144" s="102"/>
      <c r="D144" s="102" t="s">
        <v>12666</v>
      </c>
      <c r="E144" s="102" t="s">
        <v>12666</v>
      </c>
      <c r="F144" s="102" t="s">
        <v>12666</v>
      </c>
      <c r="G144" s="102" t="s">
        <v>12666</v>
      </c>
      <c r="H144" s="164"/>
      <c r="I144" s="51">
        <f>IF(speciated_chemicals_151[[#This Row],[Inert / Not a Contaminant?]]="Yes", 0, speciated_chemicals_151[[#This Row],[Weight Percent]]*(unique_components_150[[#Totals],[Controlled lb/hr]]+standard_components_149[[#Totals],[Controlled
lb/hr]]))</f>
        <v>0</v>
      </c>
      <c r="J144" s="51">
        <f>IF(speciated_chemicals_151[[#This Row],[Inert / Not a Contaminant?]]="Yes", 0, speciated_chemicals_151[[#This Row],[Weight Percent]]*(unique_components_150[[#Totals],[Controlled
tpy]]+standard_components_149[[#Totals],[Controlled
tpy]]))</f>
        <v>0</v>
      </c>
    </row>
    <row r="145" spans="1:10" x14ac:dyDescent="0.2">
      <c r="A145" s="103"/>
      <c r="B145" s="51" t="str">
        <f>IFERROR(VLOOKUP(speciated_chemicals_151[[#This Row],[CAS '#]],species[],MATCH("Substance", species[#Headers], 0),FALSE),"No CAS Number Entered")</f>
        <v>No CAS Number Entered</v>
      </c>
      <c r="C145" s="102"/>
      <c r="D145" s="102" t="s">
        <v>12666</v>
      </c>
      <c r="E145" s="102" t="s">
        <v>12666</v>
      </c>
      <c r="F145" s="102" t="s">
        <v>12666</v>
      </c>
      <c r="G145" s="102" t="s">
        <v>12666</v>
      </c>
      <c r="H145" s="164"/>
      <c r="I145" s="51">
        <f>IF(speciated_chemicals_151[[#This Row],[Inert / Not a Contaminant?]]="Yes", 0, speciated_chemicals_151[[#This Row],[Weight Percent]]*(unique_components_150[[#Totals],[Controlled lb/hr]]+standard_components_149[[#Totals],[Controlled
lb/hr]]))</f>
        <v>0</v>
      </c>
      <c r="J145" s="51">
        <f>IF(speciated_chemicals_151[[#This Row],[Inert / Not a Contaminant?]]="Yes", 0, speciated_chemicals_151[[#This Row],[Weight Percent]]*(unique_components_150[[#Totals],[Controlled
tpy]]+standard_components_149[[#Totals],[Controlled
tpy]]))</f>
        <v>0</v>
      </c>
    </row>
    <row r="146" spans="1:10" x14ac:dyDescent="0.2">
      <c r="A146" s="103"/>
      <c r="B146" s="51" t="str">
        <f>IFERROR(VLOOKUP(speciated_chemicals_151[[#This Row],[CAS '#]],species[],MATCH("Substance", species[#Headers], 0),FALSE),"No CAS Number Entered")</f>
        <v>No CAS Number Entered</v>
      </c>
      <c r="C146" s="102"/>
      <c r="D146" s="102" t="s">
        <v>12666</v>
      </c>
      <c r="E146" s="102" t="s">
        <v>12666</v>
      </c>
      <c r="F146" s="102" t="s">
        <v>12666</v>
      </c>
      <c r="G146" s="102" t="s">
        <v>12666</v>
      </c>
      <c r="H146" s="164"/>
      <c r="I146" s="51">
        <f>IF(speciated_chemicals_151[[#This Row],[Inert / Not a Contaminant?]]="Yes", 0, speciated_chemicals_151[[#This Row],[Weight Percent]]*(unique_components_150[[#Totals],[Controlled lb/hr]]+standard_components_149[[#Totals],[Controlled
lb/hr]]))</f>
        <v>0</v>
      </c>
      <c r="J146" s="51">
        <f>IF(speciated_chemicals_151[[#This Row],[Inert / Not a Contaminant?]]="Yes", 0, speciated_chemicals_151[[#This Row],[Weight Percent]]*(unique_components_150[[#Totals],[Controlled
tpy]]+standard_components_149[[#Totals],[Controlled
tpy]]))</f>
        <v>0</v>
      </c>
    </row>
    <row r="147" spans="1:10" x14ac:dyDescent="0.2">
      <c r="A147" s="103"/>
      <c r="B147" s="51" t="str">
        <f>IFERROR(VLOOKUP(speciated_chemicals_151[[#This Row],[CAS '#]],species[],MATCH("Substance", species[#Headers], 0),FALSE),"No CAS Number Entered")</f>
        <v>No CAS Number Entered</v>
      </c>
      <c r="C147" s="102"/>
      <c r="D147" s="102" t="s">
        <v>12666</v>
      </c>
      <c r="E147" s="102" t="s">
        <v>12666</v>
      </c>
      <c r="F147" s="102" t="s">
        <v>12666</v>
      </c>
      <c r="G147" s="102" t="s">
        <v>12666</v>
      </c>
      <c r="H147" s="164"/>
      <c r="I147" s="51">
        <f>IF(speciated_chemicals_151[[#This Row],[Inert / Not a Contaminant?]]="Yes", 0, speciated_chemicals_151[[#This Row],[Weight Percent]]*(unique_components_150[[#Totals],[Controlled lb/hr]]+standard_components_149[[#Totals],[Controlled
lb/hr]]))</f>
        <v>0</v>
      </c>
      <c r="J147" s="51">
        <f>IF(speciated_chemicals_151[[#This Row],[Inert / Not a Contaminant?]]="Yes", 0, speciated_chemicals_151[[#This Row],[Weight Percent]]*(unique_components_150[[#Totals],[Controlled
tpy]]+standard_components_149[[#Totals],[Controlled
tpy]]))</f>
        <v>0</v>
      </c>
    </row>
    <row r="148" spans="1:10" x14ac:dyDescent="0.2">
      <c r="A148" s="103"/>
      <c r="B148" s="51" t="str">
        <f>IFERROR(VLOOKUP(speciated_chemicals_151[[#This Row],[CAS '#]],species[],MATCH("Substance", species[#Headers], 0),FALSE),"No CAS Number Entered")</f>
        <v>No CAS Number Entered</v>
      </c>
      <c r="C148" s="102"/>
      <c r="D148" s="102" t="s">
        <v>12666</v>
      </c>
      <c r="E148" s="102" t="s">
        <v>12666</v>
      </c>
      <c r="F148" s="102" t="s">
        <v>12666</v>
      </c>
      <c r="G148" s="102" t="s">
        <v>12666</v>
      </c>
      <c r="H148" s="164"/>
      <c r="I148" s="51">
        <f>IF(speciated_chemicals_151[[#This Row],[Inert / Not a Contaminant?]]="Yes", 0, speciated_chemicals_151[[#This Row],[Weight Percent]]*(unique_components_150[[#Totals],[Controlled lb/hr]]+standard_components_149[[#Totals],[Controlled
lb/hr]]))</f>
        <v>0</v>
      </c>
      <c r="J148" s="51">
        <f>IF(speciated_chemicals_151[[#This Row],[Inert / Not a Contaminant?]]="Yes", 0, speciated_chemicals_151[[#This Row],[Weight Percent]]*(unique_components_150[[#Totals],[Controlled
tpy]]+standard_components_149[[#Totals],[Controlled
tpy]]))</f>
        <v>0</v>
      </c>
    </row>
    <row r="149" spans="1:10" x14ac:dyDescent="0.2">
      <c r="A149" s="103"/>
      <c r="B149" s="51" t="str">
        <f>IFERROR(VLOOKUP(speciated_chemicals_151[[#This Row],[CAS '#]],species[],MATCH("Substance", species[#Headers], 0),FALSE),"No CAS Number Entered")</f>
        <v>No CAS Number Entered</v>
      </c>
      <c r="C149" s="102"/>
      <c r="D149" s="102" t="s">
        <v>12666</v>
      </c>
      <c r="E149" s="102" t="s">
        <v>12666</v>
      </c>
      <c r="F149" s="102" t="s">
        <v>12666</v>
      </c>
      <c r="G149" s="102" t="s">
        <v>12666</v>
      </c>
      <c r="H149" s="164"/>
      <c r="I149" s="51">
        <f>IF(speciated_chemicals_151[[#This Row],[Inert / Not a Contaminant?]]="Yes", 0, speciated_chemicals_151[[#This Row],[Weight Percent]]*(unique_components_150[[#Totals],[Controlled lb/hr]]+standard_components_149[[#Totals],[Controlled
lb/hr]]))</f>
        <v>0</v>
      </c>
      <c r="J149" s="51">
        <f>IF(speciated_chemicals_151[[#This Row],[Inert / Not a Contaminant?]]="Yes", 0, speciated_chemicals_151[[#This Row],[Weight Percent]]*(unique_components_150[[#Totals],[Controlled
tpy]]+standard_components_149[[#Totals],[Controlled
tpy]]))</f>
        <v>0</v>
      </c>
    </row>
    <row r="150" spans="1:10" x14ac:dyDescent="0.2">
      <c r="A150" s="103"/>
      <c r="B150" s="51" t="str">
        <f>IFERROR(VLOOKUP(speciated_chemicals_151[[#This Row],[CAS '#]],species[],MATCH("Substance", species[#Headers], 0),FALSE),"No CAS Number Entered")</f>
        <v>No CAS Number Entered</v>
      </c>
      <c r="C150" s="102"/>
      <c r="D150" s="102" t="s">
        <v>12666</v>
      </c>
      <c r="E150" s="102" t="s">
        <v>12666</v>
      </c>
      <c r="F150" s="102" t="s">
        <v>12666</v>
      </c>
      <c r="G150" s="102" t="s">
        <v>12666</v>
      </c>
      <c r="H150" s="164"/>
      <c r="I150" s="51">
        <f>IF(speciated_chemicals_151[[#This Row],[Inert / Not a Contaminant?]]="Yes", 0, speciated_chemicals_151[[#This Row],[Weight Percent]]*(unique_components_150[[#Totals],[Controlled lb/hr]]+standard_components_149[[#Totals],[Controlled
lb/hr]]))</f>
        <v>0</v>
      </c>
      <c r="J150" s="51">
        <f>IF(speciated_chemicals_151[[#This Row],[Inert / Not a Contaminant?]]="Yes", 0, speciated_chemicals_151[[#This Row],[Weight Percent]]*(unique_components_150[[#Totals],[Controlled
tpy]]+standard_components_149[[#Totals],[Controlled
tpy]]))</f>
        <v>0</v>
      </c>
    </row>
    <row r="151" spans="1:10" x14ac:dyDescent="0.2">
      <c r="A151" s="103"/>
      <c r="B151" s="51" t="str">
        <f>IFERROR(VLOOKUP(speciated_chemicals_151[[#This Row],[CAS '#]],species[],MATCH("Substance", species[#Headers], 0),FALSE),"No CAS Number Entered")</f>
        <v>No CAS Number Entered</v>
      </c>
      <c r="C151" s="102"/>
      <c r="D151" s="102" t="s">
        <v>12666</v>
      </c>
      <c r="E151" s="102" t="s">
        <v>12666</v>
      </c>
      <c r="F151" s="102" t="s">
        <v>12666</v>
      </c>
      <c r="G151" s="102" t="s">
        <v>12666</v>
      </c>
      <c r="H151" s="164"/>
      <c r="I151" s="51">
        <f>IF(speciated_chemicals_151[[#This Row],[Inert / Not a Contaminant?]]="Yes", 0, speciated_chemicals_151[[#This Row],[Weight Percent]]*(unique_components_150[[#Totals],[Controlled lb/hr]]+standard_components_149[[#Totals],[Controlled
lb/hr]]))</f>
        <v>0</v>
      </c>
      <c r="J151" s="51">
        <f>IF(speciated_chemicals_151[[#This Row],[Inert / Not a Contaminant?]]="Yes", 0, speciated_chemicals_151[[#This Row],[Weight Percent]]*(unique_components_150[[#Totals],[Controlled
tpy]]+standard_components_149[[#Totals],[Controlled
tpy]]))</f>
        <v>0</v>
      </c>
    </row>
    <row r="152" spans="1:10" x14ac:dyDescent="0.2">
      <c r="A152" s="103"/>
      <c r="B152" s="51" t="str">
        <f>IFERROR(VLOOKUP(speciated_chemicals_151[[#This Row],[CAS '#]],species[],MATCH("Substance", species[#Headers], 0),FALSE),"No CAS Number Entered")</f>
        <v>No CAS Number Entered</v>
      </c>
      <c r="C152" s="102"/>
      <c r="D152" s="102" t="s">
        <v>12666</v>
      </c>
      <c r="E152" s="102" t="s">
        <v>12666</v>
      </c>
      <c r="F152" s="102" t="s">
        <v>12666</v>
      </c>
      <c r="G152" s="102" t="s">
        <v>12666</v>
      </c>
      <c r="H152" s="164"/>
      <c r="I152" s="51">
        <f>IF(speciated_chemicals_151[[#This Row],[Inert / Not a Contaminant?]]="Yes", 0, speciated_chemicals_151[[#This Row],[Weight Percent]]*(unique_components_150[[#Totals],[Controlled lb/hr]]+standard_components_149[[#Totals],[Controlled
lb/hr]]))</f>
        <v>0</v>
      </c>
      <c r="J152" s="51">
        <f>IF(speciated_chemicals_151[[#This Row],[Inert / Not a Contaminant?]]="Yes", 0, speciated_chemicals_151[[#This Row],[Weight Percent]]*(unique_components_150[[#Totals],[Controlled
tpy]]+standard_components_149[[#Totals],[Controlled
tpy]]))</f>
        <v>0</v>
      </c>
    </row>
    <row r="153" spans="1:10" x14ac:dyDescent="0.2">
      <c r="A153" s="103"/>
      <c r="B153" s="51" t="str">
        <f>IFERROR(VLOOKUP(speciated_chemicals_151[[#This Row],[CAS '#]],species[],MATCH("Substance", species[#Headers], 0),FALSE),"No CAS Number Entered")</f>
        <v>No CAS Number Entered</v>
      </c>
      <c r="C153" s="102"/>
      <c r="D153" s="102" t="s">
        <v>12666</v>
      </c>
      <c r="E153" s="102" t="s">
        <v>12666</v>
      </c>
      <c r="F153" s="102" t="s">
        <v>12666</v>
      </c>
      <c r="G153" s="102" t="s">
        <v>12666</v>
      </c>
      <c r="H153" s="164"/>
      <c r="I153" s="51">
        <f>IF(speciated_chemicals_151[[#This Row],[Inert / Not a Contaminant?]]="Yes", 0, speciated_chemicals_151[[#This Row],[Weight Percent]]*(unique_components_150[[#Totals],[Controlled lb/hr]]+standard_components_149[[#Totals],[Controlled
lb/hr]]))</f>
        <v>0</v>
      </c>
      <c r="J153" s="51">
        <f>IF(speciated_chemicals_151[[#This Row],[Inert / Not a Contaminant?]]="Yes", 0, speciated_chemicals_151[[#This Row],[Weight Percent]]*(unique_components_150[[#Totals],[Controlled
tpy]]+standard_components_149[[#Totals],[Controlled
tpy]]))</f>
        <v>0</v>
      </c>
    </row>
    <row r="154" spans="1:10" x14ac:dyDescent="0.2">
      <c r="A154" s="103"/>
      <c r="B154" s="51" t="str">
        <f>IFERROR(VLOOKUP(speciated_chemicals_151[[#This Row],[CAS '#]],species[],MATCH("Substance", species[#Headers], 0),FALSE),"No CAS Number Entered")</f>
        <v>No CAS Number Entered</v>
      </c>
      <c r="C154" s="102"/>
      <c r="D154" s="102" t="s">
        <v>12666</v>
      </c>
      <c r="E154" s="102" t="s">
        <v>12666</v>
      </c>
      <c r="F154" s="102" t="s">
        <v>12666</v>
      </c>
      <c r="G154" s="102" t="s">
        <v>12666</v>
      </c>
      <c r="H154" s="164"/>
      <c r="I154" s="51">
        <f>IF(speciated_chemicals_151[[#This Row],[Inert / Not a Contaminant?]]="Yes", 0, speciated_chemicals_151[[#This Row],[Weight Percent]]*(unique_components_150[[#Totals],[Controlled lb/hr]]+standard_components_149[[#Totals],[Controlled
lb/hr]]))</f>
        <v>0</v>
      </c>
      <c r="J154" s="51">
        <f>IF(speciated_chemicals_151[[#This Row],[Inert / Not a Contaminant?]]="Yes", 0, speciated_chemicals_151[[#This Row],[Weight Percent]]*(unique_components_150[[#Totals],[Controlled
tpy]]+standard_components_149[[#Totals],[Controlled
tpy]]))</f>
        <v>0</v>
      </c>
    </row>
    <row r="155" spans="1:10" x14ac:dyDescent="0.2">
      <c r="A155" s="103"/>
      <c r="B155" s="51" t="str">
        <f>IFERROR(VLOOKUP(speciated_chemicals_151[[#This Row],[CAS '#]],species[],MATCH("Substance", species[#Headers], 0),FALSE),"No CAS Number Entered")</f>
        <v>No CAS Number Entered</v>
      </c>
      <c r="C155" s="102"/>
      <c r="D155" s="102" t="s">
        <v>12666</v>
      </c>
      <c r="E155" s="102" t="s">
        <v>12666</v>
      </c>
      <c r="F155" s="102" t="s">
        <v>12666</v>
      </c>
      <c r="G155" s="102" t="s">
        <v>12666</v>
      </c>
      <c r="H155" s="164"/>
      <c r="I155" s="51">
        <f>IF(speciated_chemicals_151[[#This Row],[Inert / Not a Contaminant?]]="Yes", 0, speciated_chemicals_151[[#This Row],[Weight Percent]]*(unique_components_150[[#Totals],[Controlled lb/hr]]+standard_components_149[[#Totals],[Controlled
lb/hr]]))</f>
        <v>0</v>
      </c>
      <c r="J155" s="51">
        <f>IF(speciated_chemicals_151[[#This Row],[Inert / Not a Contaminant?]]="Yes", 0, speciated_chemicals_151[[#This Row],[Weight Percent]]*(unique_components_150[[#Totals],[Controlled
tpy]]+standard_components_149[[#Totals],[Controlled
tpy]]))</f>
        <v>0</v>
      </c>
    </row>
    <row r="156" spans="1:10" x14ac:dyDescent="0.2">
      <c r="A156" s="103"/>
      <c r="B156" s="51" t="str">
        <f>IFERROR(VLOOKUP(speciated_chemicals_151[[#This Row],[CAS '#]],species[],MATCH("Substance", species[#Headers], 0),FALSE),"No CAS Number Entered")</f>
        <v>No CAS Number Entered</v>
      </c>
      <c r="C156" s="102"/>
      <c r="D156" s="102" t="s">
        <v>12666</v>
      </c>
      <c r="E156" s="102" t="s">
        <v>12666</v>
      </c>
      <c r="F156" s="102" t="s">
        <v>12666</v>
      </c>
      <c r="G156" s="102" t="s">
        <v>12666</v>
      </c>
      <c r="H156" s="164"/>
      <c r="I156" s="51">
        <f>IF(speciated_chemicals_151[[#This Row],[Inert / Not a Contaminant?]]="Yes", 0, speciated_chemicals_151[[#This Row],[Weight Percent]]*(unique_components_150[[#Totals],[Controlled lb/hr]]+standard_components_149[[#Totals],[Controlled
lb/hr]]))</f>
        <v>0</v>
      </c>
      <c r="J156" s="51">
        <f>IF(speciated_chemicals_151[[#This Row],[Inert / Not a Contaminant?]]="Yes", 0, speciated_chemicals_151[[#This Row],[Weight Percent]]*(unique_components_150[[#Totals],[Controlled
tpy]]+standard_components_149[[#Totals],[Controlled
tpy]]))</f>
        <v>0</v>
      </c>
    </row>
    <row r="157" spans="1:10" x14ac:dyDescent="0.2">
      <c r="A157" s="103"/>
      <c r="B157" s="51" t="str">
        <f>IFERROR(VLOOKUP(speciated_chemicals_151[[#This Row],[CAS '#]],species[],MATCH("Substance", species[#Headers], 0),FALSE),"No CAS Number Entered")</f>
        <v>No CAS Number Entered</v>
      </c>
      <c r="C157" s="102"/>
      <c r="D157" s="102" t="s">
        <v>12666</v>
      </c>
      <c r="E157" s="102" t="s">
        <v>12666</v>
      </c>
      <c r="F157" s="102" t="s">
        <v>12666</v>
      </c>
      <c r="G157" s="102" t="s">
        <v>12666</v>
      </c>
      <c r="H157" s="164"/>
      <c r="I157" s="51">
        <f>IF(speciated_chemicals_151[[#This Row],[Inert / Not a Contaminant?]]="Yes", 0, speciated_chemicals_151[[#This Row],[Weight Percent]]*(unique_components_150[[#Totals],[Controlled lb/hr]]+standard_components_149[[#Totals],[Controlled
lb/hr]]))</f>
        <v>0</v>
      </c>
      <c r="J157" s="51">
        <f>IF(speciated_chemicals_151[[#This Row],[Inert / Not a Contaminant?]]="Yes", 0, speciated_chemicals_151[[#This Row],[Weight Percent]]*(unique_components_150[[#Totals],[Controlled
tpy]]+standard_components_149[[#Totals],[Controlled
tpy]]))</f>
        <v>0</v>
      </c>
    </row>
    <row r="158" spans="1:10" x14ac:dyDescent="0.2">
      <c r="A158" s="103"/>
      <c r="B158" s="51" t="str">
        <f>IFERROR(VLOOKUP(speciated_chemicals_151[[#This Row],[CAS '#]],species[],MATCH("Substance", species[#Headers], 0),FALSE),"No CAS Number Entered")</f>
        <v>No CAS Number Entered</v>
      </c>
      <c r="C158" s="102"/>
      <c r="D158" s="102" t="s">
        <v>12666</v>
      </c>
      <c r="E158" s="102" t="s">
        <v>12666</v>
      </c>
      <c r="F158" s="102" t="s">
        <v>12666</v>
      </c>
      <c r="G158" s="102" t="s">
        <v>12666</v>
      </c>
      <c r="H158" s="164"/>
      <c r="I158" s="51">
        <f>IF(speciated_chemicals_151[[#This Row],[Inert / Not a Contaminant?]]="Yes", 0, speciated_chemicals_151[[#This Row],[Weight Percent]]*(unique_components_150[[#Totals],[Controlled lb/hr]]+standard_components_149[[#Totals],[Controlled
lb/hr]]))</f>
        <v>0</v>
      </c>
      <c r="J158" s="51">
        <f>IF(speciated_chemicals_151[[#This Row],[Inert / Not a Contaminant?]]="Yes", 0, speciated_chemicals_151[[#This Row],[Weight Percent]]*(unique_components_150[[#Totals],[Controlled
tpy]]+standard_components_149[[#Totals],[Controlled
tpy]]))</f>
        <v>0</v>
      </c>
    </row>
    <row r="159" spans="1:10" x14ac:dyDescent="0.2">
      <c r="A159" s="103"/>
      <c r="B159" s="51" t="str">
        <f>IFERROR(VLOOKUP(speciated_chemicals_151[[#This Row],[CAS '#]],species[],MATCH("Substance", species[#Headers], 0),FALSE),"No CAS Number Entered")</f>
        <v>No CAS Number Entered</v>
      </c>
      <c r="C159" s="102"/>
      <c r="D159" s="102" t="s">
        <v>12666</v>
      </c>
      <c r="E159" s="102" t="s">
        <v>12666</v>
      </c>
      <c r="F159" s="102" t="s">
        <v>12666</v>
      </c>
      <c r="G159" s="102" t="s">
        <v>12666</v>
      </c>
      <c r="H159" s="164"/>
      <c r="I159" s="51">
        <f>IF(speciated_chemicals_151[[#This Row],[Inert / Not a Contaminant?]]="Yes", 0, speciated_chemicals_151[[#This Row],[Weight Percent]]*(unique_components_150[[#Totals],[Controlled lb/hr]]+standard_components_149[[#Totals],[Controlled
lb/hr]]))</f>
        <v>0</v>
      </c>
      <c r="J159" s="51">
        <f>IF(speciated_chemicals_151[[#This Row],[Inert / Not a Contaminant?]]="Yes", 0, speciated_chemicals_151[[#This Row],[Weight Percent]]*(unique_components_150[[#Totals],[Controlled
tpy]]+standard_components_149[[#Totals],[Controlled
tpy]]))</f>
        <v>0</v>
      </c>
    </row>
    <row r="160" spans="1:10" x14ac:dyDescent="0.2">
      <c r="A160" s="103"/>
      <c r="B160" s="51" t="str">
        <f>IFERROR(VLOOKUP(speciated_chemicals_151[[#This Row],[CAS '#]],species[],MATCH("Substance", species[#Headers], 0),FALSE),"No CAS Number Entered")</f>
        <v>No CAS Number Entered</v>
      </c>
      <c r="C160" s="102"/>
      <c r="D160" s="102" t="s">
        <v>12666</v>
      </c>
      <c r="E160" s="102" t="s">
        <v>12666</v>
      </c>
      <c r="F160" s="102" t="s">
        <v>12666</v>
      </c>
      <c r="G160" s="102" t="s">
        <v>12666</v>
      </c>
      <c r="H160" s="164"/>
      <c r="I160" s="51">
        <f>IF(speciated_chemicals_151[[#This Row],[Inert / Not a Contaminant?]]="Yes", 0, speciated_chemicals_151[[#This Row],[Weight Percent]]*(unique_components_150[[#Totals],[Controlled lb/hr]]+standard_components_149[[#Totals],[Controlled
lb/hr]]))</f>
        <v>0</v>
      </c>
      <c r="J160" s="51">
        <f>IF(speciated_chemicals_151[[#This Row],[Inert / Not a Contaminant?]]="Yes", 0, speciated_chemicals_151[[#This Row],[Weight Percent]]*(unique_components_150[[#Totals],[Controlled
tpy]]+standard_components_149[[#Totals],[Controlled
tpy]]))</f>
        <v>0</v>
      </c>
    </row>
    <row r="161" spans="1:10" x14ac:dyDescent="0.2">
      <c r="A161" s="103"/>
      <c r="B161" s="51" t="str">
        <f>IFERROR(VLOOKUP(speciated_chemicals_151[[#This Row],[CAS '#]],species[],MATCH("Substance", species[#Headers], 0),FALSE),"No CAS Number Entered")</f>
        <v>No CAS Number Entered</v>
      </c>
      <c r="C161" s="102"/>
      <c r="D161" s="102" t="s">
        <v>12666</v>
      </c>
      <c r="E161" s="102" t="s">
        <v>12666</v>
      </c>
      <c r="F161" s="102" t="s">
        <v>12666</v>
      </c>
      <c r="G161" s="102" t="s">
        <v>12666</v>
      </c>
      <c r="H161" s="164"/>
      <c r="I161" s="51">
        <f>IF(speciated_chemicals_151[[#This Row],[Inert / Not a Contaminant?]]="Yes", 0, speciated_chemicals_151[[#This Row],[Weight Percent]]*(unique_components_150[[#Totals],[Controlled lb/hr]]+standard_components_149[[#Totals],[Controlled
lb/hr]]))</f>
        <v>0</v>
      </c>
      <c r="J161" s="51">
        <f>IF(speciated_chemicals_151[[#This Row],[Inert / Not a Contaminant?]]="Yes", 0, speciated_chemicals_151[[#This Row],[Weight Percent]]*(unique_components_150[[#Totals],[Controlled
tpy]]+standard_components_149[[#Totals],[Controlled
tpy]]))</f>
        <v>0</v>
      </c>
    </row>
    <row r="162" spans="1:10" x14ac:dyDescent="0.2">
      <c r="A162" s="103"/>
      <c r="B162" s="51" t="str">
        <f>IFERROR(VLOOKUP(speciated_chemicals_151[[#This Row],[CAS '#]],species[],MATCH("Substance", species[#Headers], 0),FALSE),"No CAS Number Entered")</f>
        <v>No CAS Number Entered</v>
      </c>
      <c r="C162" s="102"/>
      <c r="D162" s="102" t="s">
        <v>12666</v>
      </c>
      <c r="E162" s="102" t="s">
        <v>12666</v>
      </c>
      <c r="F162" s="102" t="s">
        <v>12666</v>
      </c>
      <c r="G162" s="102" t="s">
        <v>12666</v>
      </c>
      <c r="H162" s="164"/>
      <c r="I162" s="51">
        <f>IF(speciated_chemicals_151[[#This Row],[Inert / Not a Contaminant?]]="Yes", 0, speciated_chemicals_151[[#This Row],[Weight Percent]]*(unique_components_150[[#Totals],[Controlled lb/hr]]+standard_components_149[[#Totals],[Controlled
lb/hr]]))</f>
        <v>0</v>
      </c>
      <c r="J162" s="51">
        <f>IF(speciated_chemicals_151[[#This Row],[Inert / Not a Contaminant?]]="Yes", 0, speciated_chemicals_151[[#This Row],[Weight Percent]]*(unique_components_150[[#Totals],[Controlled
tpy]]+standard_components_149[[#Totals],[Controlled
tpy]]))</f>
        <v>0</v>
      </c>
    </row>
    <row r="163" spans="1:10" x14ac:dyDescent="0.2">
      <c r="A163" s="103"/>
      <c r="B163" s="51" t="str">
        <f>IFERROR(VLOOKUP(speciated_chemicals_151[[#This Row],[CAS '#]],species[],MATCH("Substance", species[#Headers], 0),FALSE),"No CAS Number Entered")</f>
        <v>No CAS Number Entered</v>
      </c>
      <c r="C163" s="102"/>
      <c r="D163" s="102" t="s">
        <v>12666</v>
      </c>
      <c r="E163" s="102" t="s">
        <v>12666</v>
      </c>
      <c r="F163" s="102" t="s">
        <v>12666</v>
      </c>
      <c r="G163" s="102" t="s">
        <v>12666</v>
      </c>
      <c r="H163" s="164"/>
      <c r="I163" s="51">
        <f>IF(speciated_chemicals_151[[#This Row],[Inert / Not a Contaminant?]]="Yes", 0, speciated_chemicals_151[[#This Row],[Weight Percent]]*(unique_components_150[[#Totals],[Controlled lb/hr]]+standard_components_149[[#Totals],[Controlled
lb/hr]]))</f>
        <v>0</v>
      </c>
      <c r="J163" s="51">
        <f>IF(speciated_chemicals_151[[#This Row],[Inert / Not a Contaminant?]]="Yes", 0, speciated_chemicals_151[[#This Row],[Weight Percent]]*(unique_components_150[[#Totals],[Controlled
tpy]]+standard_components_149[[#Totals],[Controlled
tpy]]))</f>
        <v>0</v>
      </c>
    </row>
    <row r="164" spans="1:10" x14ac:dyDescent="0.2">
      <c r="A164" s="103"/>
      <c r="B164" s="51" t="str">
        <f>IFERROR(VLOOKUP(speciated_chemicals_151[[#This Row],[CAS '#]],species[],MATCH("Substance", species[#Headers], 0),FALSE),"No CAS Number Entered")</f>
        <v>No CAS Number Entered</v>
      </c>
      <c r="C164" s="102"/>
      <c r="D164" s="102" t="s">
        <v>12666</v>
      </c>
      <c r="E164" s="102" t="s">
        <v>12666</v>
      </c>
      <c r="F164" s="102" t="s">
        <v>12666</v>
      </c>
      <c r="G164" s="102" t="s">
        <v>12666</v>
      </c>
      <c r="H164" s="164"/>
      <c r="I164" s="51">
        <f>IF(speciated_chemicals_151[[#This Row],[Inert / Not a Contaminant?]]="Yes", 0, speciated_chemicals_151[[#This Row],[Weight Percent]]*(unique_components_150[[#Totals],[Controlled lb/hr]]+standard_components_149[[#Totals],[Controlled
lb/hr]]))</f>
        <v>0</v>
      </c>
      <c r="J164" s="51">
        <f>IF(speciated_chemicals_151[[#This Row],[Inert / Not a Contaminant?]]="Yes", 0, speciated_chemicals_151[[#This Row],[Weight Percent]]*(unique_components_150[[#Totals],[Controlled
tpy]]+standard_components_149[[#Totals],[Controlled
tpy]]))</f>
        <v>0</v>
      </c>
    </row>
    <row r="165" spans="1:10" x14ac:dyDescent="0.2">
      <c r="A165" s="103"/>
      <c r="B165" s="51" t="str">
        <f>IFERROR(VLOOKUP(speciated_chemicals_151[[#This Row],[CAS '#]],species[],MATCH("Substance", species[#Headers], 0),FALSE),"No CAS Number Entered")</f>
        <v>No CAS Number Entered</v>
      </c>
      <c r="C165" s="102"/>
      <c r="D165" s="102" t="s">
        <v>12666</v>
      </c>
      <c r="E165" s="102" t="s">
        <v>12666</v>
      </c>
      <c r="F165" s="102" t="s">
        <v>12666</v>
      </c>
      <c r="G165" s="102" t="s">
        <v>12666</v>
      </c>
      <c r="H165" s="164"/>
      <c r="I165" s="51">
        <f>IF(speciated_chemicals_151[[#This Row],[Inert / Not a Contaminant?]]="Yes", 0, speciated_chemicals_151[[#This Row],[Weight Percent]]*(unique_components_150[[#Totals],[Controlled lb/hr]]+standard_components_149[[#Totals],[Controlled
lb/hr]]))</f>
        <v>0</v>
      </c>
      <c r="J165" s="51">
        <f>IF(speciated_chemicals_151[[#This Row],[Inert / Not a Contaminant?]]="Yes", 0, speciated_chemicals_151[[#This Row],[Weight Percent]]*(unique_components_150[[#Totals],[Controlled
tpy]]+standard_components_149[[#Totals],[Controlled
tpy]]))</f>
        <v>0</v>
      </c>
    </row>
    <row r="166" spans="1:10" x14ac:dyDescent="0.2">
      <c r="A166" s="103"/>
      <c r="B166" s="51" t="str">
        <f>IFERROR(VLOOKUP(speciated_chemicals_151[[#This Row],[CAS '#]],species[],MATCH("Substance", species[#Headers], 0),FALSE),"No CAS Number Entered")</f>
        <v>No CAS Number Entered</v>
      </c>
      <c r="C166" s="102"/>
      <c r="D166" s="102" t="s">
        <v>12666</v>
      </c>
      <c r="E166" s="102" t="s">
        <v>12666</v>
      </c>
      <c r="F166" s="102" t="s">
        <v>12666</v>
      </c>
      <c r="G166" s="102" t="s">
        <v>12666</v>
      </c>
      <c r="H166" s="164"/>
      <c r="I166" s="51">
        <f>IF(speciated_chemicals_151[[#This Row],[Inert / Not a Contaminant?]]="Yes", 0, speciated_chemicals_151[[#This Row],[Weight Percent]]*(unique_components_150[[#Totals],[Controlled lb/hr]]+standard_components_149[[#Totals],[Controlled
lb/hr]]))</f>
        <v>0</v>
      </c>
      <c r="J166" s="51">
        <f>IF(speciated_chemicals_151[[#This Row],[Inert / Not a Contaminant?]]="Yes", 0, speciated_chemicals_151[[#This Row],[Weight Percent]]*(unique_components_150[[#Totals],[Controlled
tpy]]+standard_components_149[[#Totals],[Controlled
tpy]]))</f>
        <v>0</v>
      </c>
    </row>
    <row r="167" spans="1:10" x14ac:dyDescent="0.2">
      <c r="A167" s="103"/>
      <c r="B167" s="51" t="str">
        <f>IFERROR(VLOOKUP(speciated_chemicals_151[[#This Row],[CAS '#]],species[],MATCH("Substance", species[#Headers], 0),FALSE),"No CAS Number Entered")</f>
        <v>No CAS Number Entered</v>
      </c>
      <c r="C167" s="102"/>
      <c r="D167" s="102" t="s">
        <v>12666</v>
      </c>
      <c r="E167" s="102" t="s">
        <v>12666</v>
      </c>
      <c r="F167" s="102" t="s">
        <v>12666</v>
      </c>
      <c r="G167" s="102" t="s">
        <v>12666</v>
      </c>
      <c r="H167" s="164"/>
      <c r="I167" s="51">
        <f>IF(speciated_chemicals_151[[#This Row],[Inert / Not a Contaminant?]]="Yes", 0, speciated_chemicals_151[[#This Row],[Weight Percent]]*(unique_components_150[[#Totals],[Controlled lb/hr]]+standard_components_149[[#Totals],[Controlled
lb/hr]]))</f>
        <v>0</v>
      </c>
      <c r="J167" s="51">
        <f>IF(speciated_chemicals_151[[#This Row],[Inert / Not a Contaminant?]]="Yes", 0, speciated_chemicals_151[[#This Row],[Weight Percent]]*(unique_components_150[[#Totals],[Controlled
tpy]]+standard_components_149[[#Totals],[Controlled
tpy]]))</f>
        <v>0</v>
      </c>
    </row>
    <row r="168" spans="1:10" x14ac:dyDescent="0.2">
      <c r="A168" s="103"/>
      <c r="B168" s="51" t="str">
        <f>IFERROR(VLOOKUP(speciated_chemicals_151[[#This Row],[CAS '#]],species[],MATCH("Substance", species[#Headers], 0),FALSE),"No CAS Number Entered")</f>
        <v>No CAS Number Entered</v>
      </c>
      <c r="C168" s="102"/>
      <c r="D168" s="102" t="s">
        <v>12666</v>
      </c>
      <c r="E168" s="102" t="s">
        <v>12666</v>
      </c>
      <c r="F168" s="102" t="s">
        <v>12666</v>
      </c>
      <c r="G168" s="102" t="s">
        <v>12666</v>
      </c>
      <c r="H168" s="164"/>
      <c r="I168" s="51">
        <f>IF(speciated_chemicals_151[[#This Row],[Inert / Not a Contaminant?]]="Yes", 0, speciated_chemicals_151[[#This Row],[Weight Percent]]*(unique_components_150[[#Totals],[Controlled lb/hr]]+standard_components_149[[#Totals],[Controlled
lb/hr]]))</f>
        <v>0</v>
      </c>
      <c r="J168" s="51">
        <f>IF(speciated_chemicals_151[[#This Row],[Inert / Not a Contaminant?]]="Yes", 0, speciated_chemicals_151[[#This Row],[Weight Percent]]*(unique_components_150[[#Totals],[Controlled
tpy]]+standard_components_149[[#Totals],[Controlled
tpy]]))</f>
        <v>0</v>
      </c>
    </row>
    <row r="169" spans="1:10" x14ac:dyDescent="0.2">
      <c r="A169" s="103"/>
      <c r="B169" s="51" t="str">
        <f>IFERROR(VLOOKUP(speciated_chemicals_151[[#This Row],[CAS '#]],species[],MATCH("Substance", species[#Headers], 0),FALSE),"No CAS Number Entered")</f>
        <v>No CAS Number Entered</v>
      </c>
      <c r="C169" s="102"/>
      <c r="D169" s="102" t="s">
        <v>12666</v>
      </c>
      <c r="E169" s="102" t="s">
        <v>12666</v>
      </c>
      <c r="F169" s="102" t="s">
        <v>12666</v>
      </c>
      <c r="G169" s="102" t="s">
        <v>12666</v>
      </c>
      <c r="H169" s="164"/>
      <c r="I169" s="51">
        <f>IF(speciated_chemicals_151[[#This Row],[Inert / Not a Contaminant?]]="Yes", 0, speciated_chemicals_151[[#This Row],[Weight Percent]]*(unique_components_150[[#Totals],[Controlled lb/hr]]+standard_components_149[[#Totals],[Controlled
lb/hr]]))</f>
        <v>0</v>
      </c>
      <c r="J169" s="51">
        <f>IF(speciated_chemicals_151[[#This Row],[Inert / Not a Contaminant?]]="Yes", 0, speciated_chemicals_151[[#This Row],[Weight Percent]]*(unique_components_150[[#Totals],[Controlled
tpy]]+standard_components_149[[#Totals],[Controlled
tpy]]))</f>
        <v>0</v>
      </c>
    </row>
    <row r="170" spans="1:10" x14ac:dyDescent="0.2">
      <c r="A170" s="103"/>
      <c r="B170" s="51" t="str">
        <f>IFERROR(VLOOKUP(speciated_chemicals_151[[#This Row],[CAS '#]],species[],MATCH("Substance", species[#Headers], 0),FALSE),"No CAS Number Entered")</f>
        <v>No CAS Number Entered</v>
      </c>
      <c r="C170" s="102"/>
      <c r="D170" s="102" t="s">
        <v>12666</v>
      </c>
      <c r="E170" s="102" t="s">
        <v>12666</v>
      </c>
      <c r="F170" s="102" t="s">
        <v>12666</v>
      </c>
      <c r="G170" s="102" t="s">
        <v>12666</v>
      </c>
      <c r="H170" s="164"/>
      <c r="I170" s="51">
        <f>IF(speciated_chemicals_151[[#This Row],[Inert / Not a Contaminant?]]="Yes", 0, speciated_chemicals_151[[#This Row],[Weight Percent]]*(unique_components_150[[#Totals],[Controlled lb/hr]]+standard_components_149[[#Totals],[Controlled
lb/hr]]))</f>
        <v>0</v>
      </c>
      <c r="J170" s="51">
        <f>IF(speciated_chemicals_151[[#This Row],[Inert / Not a Contaminant?]]="Yes", 0, speciated_chemicals_151[[#This Row],[Weight Percent]]*(unique_components_150[[#Totals],[Controlled
tpy]]+standard_components_149[[#Totals],[Controlled
tpy]]))</f>
        <v>0</v>
      </c>
    </row>
    <row r="171" spans="1:10" x14ac:dyDescent="0.2">
      <c r="A171" s="103"/>
      <c r="B171" s="51" t="str">
        <f>IFERROR(VLOOKUP(speciated_chemicals_151[[#This Row],[CAS '#]],species[],MATCH("Substance", species[#Headers], 0),FALSE),"No CAS Number Entered")</f>
        <v>No CAS Number Entered</v>
      </c>
      <c r="C171" s="102"/>
      <c r="D171" s="102" t="s">
        <v>12666</v>
      </c>
      <c r="E171" s="102" t="s">
        <v>12666</v>
      </c>
      <c r="F171" s="102" t="s">
        <v>12666</v>
      </c>
      <c r="G171" s="102" t="s">
        <v>12666</v>
      </c>
      <c r="H171" s="164"/>
      <c r="I171" s="51">
        <f>IF(speciated_chemicals_151[[#This Row],[Inert / Not a Contaminant?]]="Yes", 0, speciated_chemicals_151[[#This Row],[Weight Percent]]*(unique_components_150[[#Totals],[Controlled lb/hr]]+standard_components_149[[#Totals],[Controlled
lb/hr]]))</f>
        <v>0</v>
      </c>
      <c r="J171" s="51">
        <f>IF(speciated_chemicals_151[[#This Row],[Inert / Not a Contaminant?]]="Yes", 0, speciated_chemicals_151[[#This Row],[Weight Percent]]*(unique_components_150[[#Totals],[Controlled
tpy]]+standard_components_149[[#Totals],[Controlled
tpy]]))</f>
        <v>0</v>
      </c>
    </row>
    <row r="172" spans="1:10" x14ac:dyDescent="0.2">
      <c r="A172" s="103"/>
      <c r="B172" s="51" t="str">
        <f>IFERROR(VLOOKUP(speciated_chemicals_151[[#This Row],[CAS '#]],species[],MATCH("Substance", species[#Headers], 0),FALSE),"No CAS Number Entered")</f>
        <v>No CAS Number Entered</v>
      </c>
      <c r="C172" s="102"/>
      <c r="D172" s="102" t="s">
        <v>12666</v>
      </c>
      <c r="E172" s="102" t="s">
        <v>12666</v>
      </c>
      <c r="F172" s="102" t="s">
        <v>12666</v>
      </c>
      <c r="G172" s="102" t="s">
        <v>12666</v>
      </c>
      <c r="H172" s="164"/>
      <c r="I172" s="51">
        <f>IF(speciated_chemicals_151[[#This Row],[Inert / Not a Contaminant?]]="Yes", 0, speciated_chemicals_151[[#This Row],[Weight Percent]]*(unique_components_150[[#Totals],[Controlled lb/hr]]+standard_components_149[[#Totals],[Controlled
lb/hr]]))</f>
        <v>0</v>
      </c>
      <c r="J172" s="51">
        <f>IF(speciated_chemicals_151[[#This Row],[Inert / Not a Contaminant?]]="Yes", 0, speciated_chemicals_151[[#This Row],[Weight Percent]]*(unique_components_150[[#Totals],[Controlled
tpy]]+standard_components_149[[#Totals],[Controlled
tpy]]))</f>
        <v>0</v>
      </c>
    </row>
    <row r="173" spans="1:10" x14ac:dyDescent="0.2">
      <c r="A173" s="103"/>
      <c r="B173" s="51" t="str">
        <f>IFERROR(VLOOKUP(speciated_chemicals_151[[#This Row],[CAS '#]],species[],MATCH("Substance", species[#Headers], 0),FALSE),"No CAS Number Entered")</f>
        <v>No CAS Number Entered</v>
      </c>
      <c r="C173" s="102"/>
      <c r="D173" s="102" t="s">
        <v>12666</v>
      </c>
      <c r="E173" s="102" t="s">
        <v>12666</v>
      </c>
      <c r="F173" s="102" t="s">
        <v>12666</v>
      </c>
      <c r="G173" s="102" t="s">
        <v>12666</v>
      </c>
      <c r="H173" s="164"/>
      <c r="I173" s="51">
        <f>IF(speciated_chemicals_151[[#This Row],[Inert / Not a Contaminant?]]="Yes", 0, speciated_chemicals_151[[#This Row],[Weight Percent]]*(unique_components_150[[#Totals],[Controlled lb/hr]]+standard_components_149[[#Totals],[Controlled
lb/hr]]))</f>
        <v>0</v>
      </c>
      <c r="J173" s="51">
        <f>IF(speciated_chemicals_151[[#This Row],[Inert / Not a Contaminant?]]="Yes", 0, speciated_chemicals_151[[#This Row],[Weight Percent]]*(unique_components_150[[#Totals],[Controlled
tpy]]+standard_components_149[[#Totals],[Controlled
tpy]]))</f>
        <v>0</v>
      </c>
    </row>
    <row r="174" spans="1:10" x14ac:dyDescent="0.2">
      <c r="A174" s="103"/>
      <c r="B174" s="51" t="str">
        <f>IFERROR(VLOOKUP(speciated_chemicals_151[[#This Row],[CAS '#]],species[],MATCH("Substance", species[#Headers], 0),FALSE),"No CAS Number Entered")</f>
        <v>No CAS Number Entered</v>
      </c>
      <c r="C174" s="102"/>
      <c r="D174" s="102" t="s">
        <v>12666</v>
      </c>
      <c r="E174" s="102" t="s">
        <v>12666</v>
      </c>
      <c r="F174" s="102" t="s">
        <v>12666</v>
      </c>
      <c r="G174" s="102" t="s">
        <v>12666</v>
      </c>
      <c r="H174" s="164"/>
      <c r="I174" s="51">
        <f>IF(speciated_chemicals_151[[#This Row],[Inert / Not a Contaminant?]]="Yes", 0, speciated_chemicals_151[[#This Row],[Weight Percent]]*(unique_components_150[[#Totals],[Controlled lb/hr]]+standard_components_149[[#Totals],[Controlled
lb/hr]]))</f>
        <v>0</v>
      </c>
      <c r="J174" s="51">
        <f>IF(speciated_chemicals_151[[#This Row],[Inert / Not a Contaminant?]]="Yes", 0, speciated_chemicals_151[[#This Row],[Weight Percent]]*(unique_components_150[[#Totals],[Controlled
tpy]]+standard_components_149[[#Totals],[Controlled
tpy]]))</f>
        <v>0</v>
      </c>
    </row>
    <row r="175" spans="1:10" x14ac:dyDescent="0.2">
      <c r="A175" s="103"/>
      <c r="B175" s="51" t="str">
        <f>IFERROR(VLOOKUP(speciated_chemicals_151[[#This Row],[CAS '#]],species[],MATCH("Substance", species[#Headers], 0),FALSE),"No CAS Number Entered")</f>
        <v>No CAS Number Entered</v>
      </c>
      <c r="C175" s="102"/>
      <c r="D175" s="102" t="s">
        <v>12666</v>
      </c>
      <c r="E175" s="102" t="s">
        <v>12666</v>
      </c>
      <c r="F175" s="102" t="s">
        <v>12666</v>
      </c>
      <c r="G175" s="102" t="s">
        <v>12666</v>
      </c>
      <c r="H175" s="164"/>
      <c r="I175" s="51">
        <f>IF(speciated_chemicals_151[[#This Row],[Inert / Not a Contaminant?]]="Yes", 0, speciated_chemicals_151[[#This Row],[Weight Percent]]*(unique_components_150[[#Totals],[Controlled lb/hr]]+standard_components_149[[#Totals],[Controlled
lb/hr]]))</f>
        <v>0</v>
      </c>
      <c r="J175" s="51">
        <f>IF(speciated_chemicals_151[[#This Row],[Inert / Not a Contaminant?]]="Yes", 0, speciated_chemicals_151[[#This Row],[Weight Percent]]*(unique_components_150[[#Totals],[Controlled
tpy]]+standard_components_149[[#Totals],[Controlled
tpy]]))</f>
        <v>0</v>
      </c>
    </row>
    <row r="176" spans="1:10" x14ac:dyDescent="0.2">
      <c r="A176" s="165"/>
      <c r="B176" s="51" t="str">
        <f>IFERROR(VLOOKUP(speciated_chemicals_151[[#This Row],[CAS '#]],species[],MATCH("Substance", species[#Headers], 0),FALSE),"No CAS Number Entered")</f>
        <v>No CAS Number Entered</v>
      </c>
      <c r="C176" s="102"/>
      <c r="D176" s="102" t="s">
        <v>12666</v>
      </c>
      <c r="E176" s="102" t="s">
        <v>12666</v>
      </c>
      <c r="F176" s="102" t="s">
        <v>12666</v>
      </c>
      <c r="G176" s="102" t="s">
        <v>12666</v>
      </c>
      <c r="H176" s="164"/>
      <c r="I176" s="51">
        <f>IF(speciated_chemicals_151[[#This Row],[Inert / Not a Contaminant?]]="Yes", 0, speciated_chemicals_151[[#This Row],[Weight Percent]]*(unique_components_150[[#Totals],[Controlled lb/hr]]+standard_components_149[[#Totals],[Controlled
lb/hr]]))</f>
        <v>0</v>
      </c>
      <c r="J176" s="51">
        <f>IF(speciated_chemicals_151[[#This Row],[Inert / Not a Contaminant?]]="Yes", 0, speciated_chemicals_151[[#This Row],[Weight Percent]]*(unique_components_150[[#Totals],[Controlled
tpy]]+standard_components_149[[#Totals],[Controlled
tpy]]))</f>
        <v>0</v>
      </c>
    </row>
    <row r="177" spans="1:10" x14ac:dyDescent="0.2">
      <c r="A177" s="103"/>
      <c r="B177" s="51" t="str">
        <f>IFERROR(VLOOKUP(speciated_chemicals_151[[#This Row],[CAS '#]],species[],MATCH("Substance", species[#Headers], 0),FALSE),"No CAS Number Entered")</f>
        <v>No CAS Number Entered</v>
      </c>
      <c r="C177" s="102"/>
      <c r="D177" s="102" t="s">
        <v>12666</v>
      </c>
      <c r="E177" s="102" t="s">
        <v>12666</v>
      </c>
      <c r="F177" s="102" t="s">
        <v>12666</v>
      </c>
      <c r="G177" s="102" t="s">
        <v>12666</v>
      </c>
      <c r="H177" s="164"/>
      <c r="I177" s="51">
        <f>IF(speciated_chemicals_151[[#This Row],[Inert / Not a Contaminant?]]="Yes", 0, speciated_chemicals_151[[#This Row],[Weight Percent]]*(unique_components_150[[#Totals],[Controlled lb/hr]]+standard_components_149[[#Totals],[Controlled
lb/hr]]))</f>
        <v>0</v>
      </c>
      <c r="J177" s="51">
        <f>IF(speciated_chemicals_151[[#This Row],[Inert / Not a Contaminant?]]="Yes", 0, speciated_chemicals_151[[#This Row],[Weight Percent]]*(unique_components_150[[#Totals],[Controlled
tpy]]+standard_components_149[[#Totals],[Controlled
tpy]]))</f>
        <v>0</v>
      </c>
    </row>
    <row r="178" spans="1:10" x14ac:dyDescent="0.2">
      <c r="A178" s="103"/>
      <c r="B178" s="51" t="str">
        <f>IFERROR(VLOOKUP(speciated_chemicals_151[[#This Row],[CAS '#]],species[],MATCH("Substance", species[#Headers], 0),FALSE),"No CAS Number Entered")</f>
        <v>No CAS Number Entered</v>
      </c>
      <c r="C178" s="102"/>
      <c r="D178" s="102" t="s">
        <v>12666</v>
      </c>
      <c r="E178" s="102" t="s">
        <v>12666</v>
      </c>
      <c r="F178" s="102" t="s">
        <v>12666</v>
      </c>
      <c r="G178" s="102" t="s">
        <v>12666</v>
      </c>
      <c r="H178" s="164"/>
      <c r="I178" s="51">
        <f>IF(speciated_chemicals_151[[#This Row],[Inert / Not a Contaminant?]]="Yes", 0, speciated_chemicals_151[[#This Row],[Weight Percent]]*(unique_components_150[[#Totals],[Controlled lb/hr]]+standard_components_149[[#Totals],[Controlled
lb/hr]]))</f>
        <v>0</v>
      </c>
      <c r="J178" s="51">
        <f>IF(speciated_chemicals_151[[#This Row],[Inert / Not a Contaminant?]]="Yes", 0, speciated_chemicals_151[[#This Row],[Weight Percent]]*(unique_components_150[[#Totals],[Controlled
tpy]]+standard_components_149[[#Totals],[Controlled
tpy]]))</f>
        <v>0</v>
      </c>
    </row>
    <row r="179" spans="1:10" x14ac:dyDescent="0.2">
      <c r="A179" s="103"/>
      <c r="B179" s="51" t="str">
        <f>IFERROR(VLOOKUP(speciated_chemicals_151[[#This Row],[CAS '#]],species[],MATCH("Substance", species[#Headers], 0),FALSE),"No CAS Number Entered")</f>
        <v>No CAS Number Entered</v>
      </c>
      <c r="C179" s="102"/>
      <c r="D179" s="102" t="s">
        <v>12666</v>
      </c>
      <c r="E179" s="102" t="s">
        <v>12666</v>
      </c>
      <c r="F179" s="102" t="s">
        <v>12666</v>
      </c>
      <c r="G179" s="102" t="s">
        <v>12666</v>
      </c>
      <c r="H179" s="164"/>
      <c r="I179" s="51">
        <f>IF(speciated_chemicals_151[[#This Row],[Inert / Not a Contaminant?]]="Yes", 0, speciated_chemicals_151[[#This Row],[Weight Percent]]*(unique_components_150[[#Totals],[Controlled lb/hr]]+standard_components_149[[#Totals],[Controlled
lb/hr]]))</f>
        <v>0</v>
      </c>
      <c r="J179" s="51">
        <f>IF(speciated_chemicals_151[[#This Row],[Inert / Not a Contaminant?]]="Yes", 0, speciated_chemicals_151[[#This Row],[Weight Percent]]*(unique_components_150[[#Totals],[Controlled
tpy]]+standard_components_149[[#Totals],[Controlled
tpy]]))</f>
        <v>0</v>
      </c>
    </row>
    <row r="180" spans="1:10" x14ac:dyDescent="0.2">
      <c r="A180" s="103"/>
      <c r="B180" s="51" t="str">
        <f>IFERROR(VLOOKUP(speciated_chemicals_151[[#This Row],[CAS '#]],species[],MATCH("Substance", species[#Headers], 0),FALSE),"No CAS Number Entered")</f>
        <v>No CAS Number Entered</v>
      </c>
      <c r="C180" s="102"/>
      <c r="D180" s="102" t="s">
        <v>12666</v>
      </c>
      <c r="E180" s="102" t="s">
        <v>12666</v>
      </c>
      <c r="F180" s="102" t="s">
        <v>12666</v>
      </c>
      <c r="G180" s="102" t="s">
        <v>12666</v>
      </c>
      <c r="H180" s="164"/>
      <c r="I180" s="51">
        <f>IF(speciated_chemicals_151[[#This Row],[Inert / Not a Contaminant?]]="Yes", 0, speciated_chemicals_151[[#This Row],[Weight Percent]]*(unique_components_150[[#Totals],[Controlled lb/hr]]+standard_components_149[[#Totals],[Controlled
lb/hr]]))</f>
        <v>0</v>
      </c>
      <c r="J180" s="51">
        <f>IF(speciated_chemicals_151[[#This Row],[Inert / Not a Contaminant?]]="Yes", 0, speciated_chemicals_151[[#This Row],[Weight Percent]]*(unique_components_150[[#Totals],[Controlled
tpy]]+standard_components_149[[#Totals],[Controlled
tpy]]))</f>
        <v>0</v>
      </c>
    </row>
    <row r="181" spans="1:10" ht="30" x14ac:dyDescent="0.2">
      <c r="A181" s="184" t="s">
        <v>12705</v>
      </c>
      <c r="B181" s="52"/>
      <c r="C181" s="53"/>
      <c r="D181" s="52"/>
      <c r="E181" s="52"/>
      <c r="F181" s="52"/>
      <c r="G181" s="52"/>
      <c r="H181" s="166">
        <f>SUBTOTAL(109,speciated_chemicals_151[Weight Percent])</f>
        <v>0</v>
      </c>
      <c r="I181" s="167">
        <f>SUBTOTAL(109,speciated_chemicals_151[lb/hr])</f>
        <v>0</v>
      </c>
      <c r="J181" s="167">
        <f>SUBTOTAL(109,speciated_chemicals_151[tpy])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MATCH(speciated_ghg_152[[#This Row],[CAS '#]], gwp_table[CAS No.], 0), MATCH("Name", gwp_table[#Headers], 0)),"No CAS Number Entered")</f>
        <v>No CAS Number Entered</v>
      </c>
      <c r="C185" s="79" t="str">
        <f>IFERROR(INDEX(gwp_table[], MATCH(speciated_ghg_152[[#This Row],[CAS '#]], gwp_table[CAS No.], 0), MATCH("Global warming potential", gwp_table[#Headers], 0)),"No CAS Number Entered")</f>
        <v>No CAS Number Entered</v>
      </c>
      <c r="D185" s="219"/>
      <c r="E185" s="79">
        <f>IFERROR(speciated_ghg_152[[#This Row],[Weight Percent]]*(unique_components_150[[#Totals],[Controlled
tpy]]+standard_components_149[[#Totals],[Controlled
tpy]]), "-")</f>
        <v>0</v>
      </c>
      <c r="F185" s="81" t="str">
        <f>IFERROR(speciated_ghg_152[[#This Row],[Mass Emissions (U.S. tons per year)]]*speciated_ghg_152[[#This Row],[Global Warming Potential (GWP)]], "-")</f>
        <v>-</v>
      </c>
      <c r="G185" s="30"/>
      <c r="H185" s="168"/>
      <c r="I185" s="168"/>
    </row>
    <row r="186" spans="1:10" x14ac:dyDescent="0.2">
      <c r="A186" s="210"/>
      <c r="B186" s="79" t="str">
        <f>IFERROR(INDEX(gwp_table[], MATCH(speciated_ghg_152[[#This Row],[CAS '#]], gwp_table[CAS No.], 0), MATCH("Name", gwp_table[#Headers], 0)),"No CAS Number Entered")</f>
        <v>No CAS Number Entered</v>
      </c>
      <c r="C186" s="79" t="str">
        <f>IFERROR(INDEX(gwp_table[], MATCH(speciated_ghg_152[[#This Row],[CAS '#]], gwp_table[CAS No.], 0), MATCH("Global warming potential", gwp_table[#Headers], 0)),"No CAS Number Entered")</f>
        <v>No CAS Number Entered</v>
      </c>
      <c r="D186" s="219"/>
      <c r="E186" s="79">
        <f>IFERROR(speciated_ghg_152[[#This Row],[Weight Percent]]*(unique_components_150[[#Totals],[Controlled
tpy]]+standard_components_149[[#Totals],[Controlled
tpy]]), "-")</f>
        <v>0</v>
      </c>
      <c r="F186" s="81" t="str">
        <f>IFERROR(speciated_ghg_152[[#This Row],[Mass Emissions (U.S. tons per year)]]*speciated_ghg_152[[#This Row],[Global Warming Potential (GWP)]], "-")</f>
        <v>-</v>
      </c>
      <c r="G186" s="30"/>
      <c r="H186" s="168"/>
      <c r="I186" s="168"/>
    </row>
    <row r="187" spans="1:10" x14ac:dyDescent="0.2">
      <c r="A187" s="210"/>
      <c r="B187" s="79" t="str">
        <f>IFERROR(INDEX(gwp_table[], MATCH(speciated_ghg_152[[#This Row],[CAS '#]], gwp_table[CAS No.], 0), MATCH("Name", gwp_table[#Headers], 0)),"No CAS Number Entered")</f>
        <v>No CAS Number Entered</v>
      </c>
      <c r="C187" s="79" t="str">
        <f>IFERROR(INDEX(gwp_table[], MATCH(speciated_ghg_152[[#This Row],[CAS '#]], gwp_table[CAS No.], 0), MATCH("Global warming potential", gwp_table[#Headers], 0)),"No CAS Number Entered")</f>
        <v>No CAS Number Entered</v>
      </c>
      <c r="D187" s="219"/>
      <c r="E187" s="79">
        <f>IFERROR(speciated_ghg_152[[#This Row],[Weight Percent]]*(unique_components_150[[#Totals],[Controlled
tpy]]+standard_components_149[[#Totals],[Controlled
tpy]]), "-")</f>
        <v>0</v>
      </c>
      <c r="F187" s="81" t="str">
        <f>IFERROR(speciated_ghg_152[[#This Row],[Mass Emissions (U.S. tons per year)]]*speciated_ghg_152[[#This Row],[Global Warming Potential (GWP)]], "-")</f>
        <v>-</v>
      </c>
      <c r="G187" s="30"/>
      <c r="H187" s="168"/>
      <c r="I187" s="168"/>
    </row>
    <row r="188" spans="1:10" x14ac:dyDescent="0.2">
      <c r="A188" s="210"/>
      <c r="B188" s="79" t="str">
        <f>IFERROR(INDEX(gwp_table[], MATCH(speciated_ghg_152[[#This Row],[CAS '#]], gwp_table[CAS No.], 0), MATCH("Name", gwp_table[#Headers], 0)),"No CAS Number Entered")</f>
        <v>No CAS Number Entered</v>
      </c>
      <c r="C188" s="79" t="str">
        <f>IFERROR(INDEX(gwp_table[], MATCH(speciated_ghg_152[[#This Row],[CAS '#]], gwp_table[CAS No.], 0), MATCH("Global warming potential", gwp_table[#Headers], 0)),"No CAS Number Entered")</f>
        <v>No CAS Number Entered</v>
      </c>
      <c r="D188" s="219"/>
      <c r="E188" s="79">
        <f>IFERROR(speciated_ghg_152[[#This Row],[Weight Percent]]*(unique_components_150[[#Totals],[Controlled
tpy]]+standard_components_149[[#Totals],[Controlled
tpy]]), "-")</f>
        <v>0</v>
      </c>
      <c r="F188" s="81" t="str">
        <f>IFERROR(speciated_ghg_152[[#This Row],[Mass Emissions (U.S. tons per year)]]*speciated_ghg_152[[#This Row],[Global Warming Potential (GWP)]], "-")</f>
        <v>-</v>
      </c>
      <c r="G188" s="30"/>
      <c r="H188" s="168"/>
      <c r="I188" s="168"/>
    </row>
    <row r="189" spans="1:10" x14ac:dyDescent="0.2">
      <c r="A189" s="210"/>
      <c r="B189" s="79" t="str">
        <f>IFERROR(INDEX(gwp_table[], MATCH(speciated_ghg_152[[#This Row],[CAS '#]], gwp_table[CAS No.], 0), MATCH("Name", gwp_table[#Headers], 0)),"No CAS Number Entered")</f>
        <v>No CAS Number Entered</v>
      </c>
      <c r="C189" s="79" t="str">
        <f>IFERROR(INDEX(gwp_table[], MATCH(speciated_ghg_152[[#This Row],[CAS '#]], gwp_table[CAS No.], 0), MATCH("Global warming potential", gwp_table[#Headers], 0)),"No CAS Number Entered")</f>
        <v>No CAS Number Entered</v>
      </c>
      <c r="D189" s="219"/>
      <c r="E189" s="79">
        <f>IFERROR(speciated_ghg_152[[#This Row],[Weight Percent]]*(unique_components_150[[#Totals],[Controlled
tpy]]+standard_components_149[[#Totals],[Controlled
tpy]]), "-")</f>
        <v>0</v>
      </c>
      <c r="F189" s="81" t="str">
        <f>IFERROR(speciated_ghg_152[[#This Row],[Mass Emissions (U.S. tons per year)]]*speciated_ghg_152[[#This Row],[Global Warming Potential (GWP)]], "-")</f>
        <v>-</v>
      </c>
      <c r="G189" s="30"/>
      <c r="H189" s="168"/>
      <c r="I189" s="168"/>
    </row>
    <row r="190" spans="1:10" x14ac:dyDescent="0.2">
      <c r="A190" s="210"/>
      <c r="B190" s="79" t="str">
        <f>IFERROR(INDEX(gwp_table[], MATCH(speciated_ghg_152[[#This Row],[CAS '#]], gwp_table[CAS No.], 0), MATCH("Name", gwp_table[#Headers], 0)),"No CAS Number Entered")</f>
        <v>No CAS Number Entered</v>
      </c>
      <c r="C190" s="79" t="str">
        <f>IFERROR(INDEX(gwp_table[], MATCH(speciated_ghg_152[[#This Row],[CAS '#]], gwp_table[CAS No.], 0), MATCH("Global warming potential", gwp_table[#Headers], 0)),"No CAS Number Entered")</f>
        <v>No CAS Number Entered</v>
      </c>
      <c r="D190" s="219"/>
      <c r="E190" s="79">
        <f>IFERROR(speciated_ghg_152[[#This Row],[Weight Percent]]*(unique_components_150[[#Totals],[Controlled
tpy]]+standard_components_149[[#Totals],[Controlled
tpy]]), "-")</f>
        <v>0</v>
      </c>
      <c r="F190" s="81" t="str">
        <f>IFERROR(speciated_ghg_152[[#This Row],[Mass Emissions (U.S. tons per year)]]*speciated_ghg_152[[#This Row],[Global Warming Potential (GWP)]], "-")</f>
        <v>-</v>
      </c>
      <c r="G190" s="30"/>
      <c r="H190" s="168"/>
      <c r="I190" s="168"/>
    </row>
    <row r="191" spans="1:10" x14ac:dyDescent="0.2">
      <c r="A191" s="210"/>
      <c r="B191" s="79" t="str">
        <f>IFERROR(INDEX(gwp_table[], MATCH(speciated_ghg_152[[#This Row],[CAS '#]], gwp_table[CAS No.], 0), MATCH("Name", gwp_table[#Headers], 0)),"No CAS Number Entered")</f>
        <v>No CAS Number Entered</v>
      </c>
      <c r="C191" s="79" t="str">
        <f>IFERROR(INDEX(gwp_table[], MATCH(speciated_ghg_152[[#This Row],[CAS '#]], gwp_table[CAS No.], 0), MATCH("Global warming potential", gwp_table[#Headers], 0)),"No CAS Number Entered")</f>
        <v>No CAS Number Entered</v>
      </c>
      <c r="D191" s="219"/>
      <c r="E191" s="79">
        <f>IFERROR(speciated_ghg_152[[#This Row],[Weight Percent]]*(unique_components_150[[#Totals],[Controlled
tpy]]+standard_components_149[[#Totals],[Controlled
tpy]]), "-")</f>
        <v>0</v>
      </c>
      <c r="F191" s="81" t="str">
        <f>IFERROR(speciated_ghg_152[[#This Row],[Mass Emissions (U.S. tons per year)]]*speciated_ghg_152[[#This Row],[Global Warming Potential (GWP)]], "-")</f>
        <v>-</v>
      </c>
      <c r="G191" s="17"/>
    </row>
    <row r="192" spans="1:10" ht="15" x14ac:dyDescent="0.25">
      <c r="A192" s="210"/>
      <c r="B192" s="79" t="str">
        <f>IFERROR(INDEX(gwp_table[], MATCH(speciated_ghg_152[[#This Row],[CAS '#]], gwp_table[CAS No.], 0), MATCH("Name", gwp_table[#Headers], 0)),"No CAS Number Entered")</f>
        <v>No CAS Number Entered</v>
      </c>
      <c r="C192" s="79" t="str">
        <f>IFERROR(INDEX(gwp_table[], MATCH(speciated_ghg_152[[#This Row],[CAS '#]], gwp_table[CAS No.], 0), MATCH("Global warming potential", gwp_table[#Headers], 0)),"No CAS Number Entered")</f>
        <v>No CAS Number Entered</v>
      </c>
      <c r="D192" s="219"/>
      <c r="E192" s="79">
        <f>IFERROR(speciated_ghg_152[[#This Row],[Weight Percent]]*(unique_components_150[[#Totals],[Controlled
tpy]]+standard_components_149[[#Totals],[Controlled
tpy]]), "-")</f>
        <v>0</v>
      </c>
      <c r="F192" s="81" t="str">
        <f>IFERROR(speciated_ghg_152[[#This Row],[Mass Emissions (U.S. tons per year)]]*speciated_ghg_152[[#This Row],[Global Warming Potential (GWP)]], "-")</f>
        <v>-</v>
      </c>
      <c r="G192" s="134"/>
      <c r="H192" s="169"/>
    </row>
    <row r="193" spans="1:9" ht="15" x14ac:dyDescent="0.25">
      <c r="A193" s="210"/>
      <c r="B193" s="79" t="str">
        <f>IFERROR(INDEX(gwp_table[], MATCH(speciated_ghg_152[[#This Row],[CAS '#]], gwp_table[CAS No.], 0), MATCH("Name", gwp_table[#Headers], 0)),"No CAS Number Entered")</f>
        <v>No CAS Number Entered</v>
      </c>
      <c r="C193" s="79" t="str">
        <f>IFERROR(INDEX(gwp_table[], MATCH(speciated_ghg_152[[#This Row],[CAS '#]], gwp_table[CAS No.], 0), MATCH("Global warming potential", gwp_table[#Headers], 0)),"No CAS Number Entered")</f>
        <v>No CAS Number Entered</v>
      </c>
      <c r="D193" s="219"/>
      <c r="E193" s="79">
        <f>IFERROR(speciated_ghg_152[[#This Row],[Weight Percent]]*(unique_components_150[[#Totals],[Controlled
tpy]]+standard_components_149[[#Totals],[Controlled
tpy]]), "-")</f>
        <v>0</v>
      </c>
      <c r="F193" s="81" t="str">
        <f>IFERROR(speciated_ghg_152[[#This Row],[Mass Emissions (U.S. tons per year)]]*speciated_ghg_152[[#This Row],[Global Warming Potential (GWP)]], "-")</f>
        <v>-</v>
      </c>
      <c r="G193" s="134"/>
      <c r="H193" s="169"/>
    </row>
    <row r="194" spans="1:9" ht="15" x14ac:dyDescent="0.25">
      <c r="A194" s="210"/>
      <c r="B194" s="79" t="str">
        <f>IFERROR(INDEX(gwp_table[], MATCH(speciated_ghg_152[[#This Row],[CAS '#]], gwp_table[CAS No.], 0), MATCH("Name", gwp_table[#Headers], 0)),"No CAS Number Entered")</f>
        <v>No CAS Number Entered</v>
      </c>
      <c r="C194" s="79" t="str">
        <f>IFERROR(INDEX(gwp_table[], MATCH(speciated_ghg_152[[#This Row],[CAS '#]], gwp_table[CAS No.], 0), MATCH("Global warming potential", gwp_table[#Headers], 0)),"No CAS Number Entered")</f>
        <v>No CAS Number Entered</v>
      </c>
      <c r="D194" s="219"/>
      <c r="E194" s="79">
        <f>IFERROR(speciated_ghg_152[[#This Row],[Weight Percent]]*(unique_components_150[[#Totals],[Controlled
tpy]]+standard_components_149[[#Totals],[Controlled
tpy]]), "-")</f>
        <v>0</v>
      </c>
      <c r="F194" s="81" t="str">
        <f>IFERROR(speciated_ghg_152[[#This Row],[Mass Emissions (U.S. tons per year)]]*speciated_ghg_152[[#This Row],[Global Warming Potential (GWP)]], "-")</f>
        <v>-</v>
      </c>
      <c r="G194" s="134"/>
      <c r="H194" s="169"/>
    </row>
    <row r="195" spans="1:9" x14ac:dyDescent="0.2">
      <c r="A195" s="210"/>
      <c r="B195" s="79" t="str">
        <f>IFERROR(INDEX(gwp_table[], MATCH(speciated_ghg_152[[#This Row],[CAS '#]], gwp_table[CAS No.], 0), MATCH("Name", gwp_table[#Headers], 0)),"No CAS Number Entered")</f>
        <v>No CAS Number Entered</v>
      </c>
      <c r="C195" s="79" t="str">
        <f>IFERROR(INDEX(gwp_table[], MATCH(speciated_ghg_152[[#This Row],[CAS '#]], gwp_table[CAS No.], 0), MATCH("Global warming potential", gwp_table[#Headers], 0)),"No CAS Number Entered")</f>
        <v>No CAS Number Entered</v>
      </c>
      <c r="D195" s="219"/>
      <c r="E195" s="79">
        <f>IFERROR(speciated_ghg_152[[#This Row],[Weight Percent]]*(unique_components_150[[#Totals],[Controlled
tpy]]+standard_components_149[[#Totals],[Controlled
tpy]]), "-")</f>
        <v>0</v>
      </c>
      <c r="F195" s="81" t="str">
        <f>IFERROR(speciated_ghg_152[[#This Row],[Mass Emissions (U.S. tons per year)]]*speciated_ghg_152[[#This Row],[Global Warming Potential (GWP)]], "-")</f>
        <v>-</v>
      </c>
      <c r="G195" s="69"/>
      <c r="H195" s="169"/>
    </row>
    <row r="196" spans="1:9" x14ac:dyDescent="0.2">
      <c r="A196" s="210"/>
      <c r="B196" s="79" t="str">
        <f>IFERROR(INDEX(gwp_table[], MATCH(speciated_ghg_152[[#This Row],[CAS '#]], gwp_table[CAS No.], 0), MATCH("Name", gwp_table[#Headers], 0)),"No CAS Number Entered")</f>
        <v>No CAS Number Entered</v>
      </c>
      <c r="C196" s="79" t="str">
        <f>IFERROR(INDEX(gwp_table[], MATCH(speciated_ghg_152[[#This Row],[CAS '#]], gwp_table[CAS No.], 0), MATCH("Global warming potential", gwp_table[#Headers], 0)),"No CAS Number Entered")</f>
        <v>No CAS Number Entered</v>
      </c>
      <c r="D196" s="219"/>
      <c r="E196" s="79">
        <f>IFERROR(speciated_ghg_152[[#This Row],[Weight Percent]]*(unique_components_150[[#Totals],[Controlled
tpy]]+standard_components_149[[#Totals],[Controlled
tpy]]), "-")</f>
        <v>0</v>
      </c>
      <c r="F196" s="81" t="str">
        <f>IFERROR(speciated_ghg_152[[#This Row],[Mass Emissions (U.S. tons per year)]]*speciated_ghg_152[[#This Row],[Global Warming Potential (GWP)]], "-")</f>
        <v>-</v>
      </c>
      <c r="G196" s="29"/>
      <c r="H196" s="169"/>
    </row>
    <row r="197" spans="1:9" x14ac:dyDescent="0.2">
      <c r="A197" s="210"/>
      <c r="B197" s="79" t="str">
        <f>IFERROR(INDEX(gwp_table[], MATCH(speciated_ghg_152[[#This Row],[CAS '#]], gwp_table[CAS No.], 0), MATCH("Name", gwp_table[#Headers], 0)),"No CAS Number Entered")</f>
        <v>No CAS Number Entered</v>
      </c>
      <c r="C197" s="79" t="str">
        <f>IFERROR(INDEX(gwp_table[], MATCH(speciated_ghg_152[[#This Row],[CAS '#]], gwp_table[CAS No.], 0), MATCH("Global warming potential", gwp_table[#Headers], 0)),"No CAS Number Entered")</f>
        <v>No CAS Number Entered</v>
      </c>
      <c r="D197" s="219"/>
      <c r="E197" s="79">
        <f>IFERROR(speciated_ghg_152[[#This Row],[Weight Percent]]*(unique_components_150[[#Totals],[Controlled
tpy]]+standard_components_149[[#Totals],[Controlled
tpy]]), "-")</f>
        <v>0</v>
      </c>
      <c r="F197" s="81" t="str">
        <f>IFERROR(speciated_ghg_152[[#This Row],[Mass Emissions (U.S. tons per year)]]*speciated_ghg_152[[#This Row],[Global Warming Potential (GWP)]], "-")</f>
        <v>-</v>
      </c>
      <c r="G197" s="29"/>
      <c r="H197" s="29"/>
      <c r="I197" s="169"/>
    </row>
    <row r="198" spans="1:9" x14ac:dyDescent="0.2">
      <c r="A198" s="210"/>
      <c r="B198" s="79" t="str">
        <f>IFERROR(INDEX(gwp_table[], MATCH(speciated_ghg_152[[#This Row],[CAS '#]], gwp_table[CAS No.], 0), MATCH("Name", gwp_table[#Headers], 0)),"No CAS Number Entered")</f>
        <v>No CAS Number Entered</v>
      </c>
      <c r="C198" s="79" t="str">
        <f>IFERROR(INDEX(gwp_table[], MATCH(speciated_ghg_152[[#This Row],[CAS '#]], gwp_table[CAS No.], 0), MATCH("Global warming potential", gwp_table[#Headers], 0)),"No CAS Number Entered")</f>
        <v>No CAS Number Entered</v>
      </c>
      <c r="D198" s="219"/>
      <c r="E198" s="79">
        <f>IFERROR(speciated_ghg_152[[#This Row],[Weight Percent]]*(unique_components_150[[#Totals],[Controlled
tpy]]+standard_components_149[[#Totals],[Controlled
tpy]]), "-")</f>
        <v>0</v>
      </c>
      <c r="F198" s="81" t="str">
        <f>IFERROR(speciated_ghg_152[[#This Row],[Mass Emissions (U.S. tons per year)]]*speciated_ghg_152[[#This Row],[Global Warming Potential (GWP)]], "-")</f>
        <v>-</v>
      </c>
      <c r="G198" s="29"/>
      <c r="H198" s="29"/>
      <c r="I198" s="169"/>
    </row>
    <row r="199" spans="1:9" x14ac:dyDescent="0.2">
      <c r="A199" s="210"/>
      <c r="B199" s="79" t="str">
        <f>IFERROR(INDEX(gwp_table[], MATCH(speciated_ghg_152[[#This Row],[CAS '#]], gwp_table[CAS No.], 0), MATCH("Name", gwp_table[#Headers], 0)),"No CAS Number Entered")</f>
        <v>No CAS Number Entered</v>
      </c>
      <c r="C199" s="79" t="str">
        <f>IFERROR(INDEX(gwp_table[], MATCH(speciated_ghg_152[[#This Row],[CAS '#]], gwp_table[CAS No.], 0), MATCH("Global warming potential", gwp_table[#Headers], 0)),"No CAS Number Entered")</f>
        <v>No CAS Number Entered</v>
      </c>
      <c r="D199" s="219"/>
      <c r="E199" s="79">
        <f>IFERROR(speciated_ghg_152[[#This Row],[Weight Percent]]*(unique_components_150[[#Totals],[Controlled
tpy]]+standard_components_149[[#Totals],[Controlled
tpy]]), "-")</f>
        <v>0</v>
      </c>
      <c r="F199" s="81" t="str">
        <f>IFERROR(speciated_ghg_152[[#This Row],[Mass Emissions (U.S. tons per year)]]*speciated_ghg_152[[#This Row],[Global Warming Potential (GWP)]], "-")</f>
        <v>-</v>
      </c>
      <c r="G199" s="29"/>
      <c r="H199" s="29"/>
      <c r="I199" s="169"/>
    </row>
    <row r="200" spans="1:9" x14ac:dyDescent="0.2">
      <c r="A200" s="210"/>
      <c r="B200" s="79" t="str">
        <f>IFERROR(INDEX(gwp_table[], MATCH(speciated_ghg_152[[#This Row],[CAS '#]], gwp_table[CAS No.], 0), MATCH("Name", gwp_table[#Headers], 0)),"No CAS Number Entered")</f>
        <v>No CAS Number Entered</v>
      </c>
      <c r="C200" s="79" t="str">
        <f>IFERROR(INDEX(gwp_table[], MATCH(speciated_ghg_152[[#This Row],[CAS '#]], gwp_table[CAS No.], 0), MATCH("Global warming potential", gwp_table[#Headers], 0)),"No CAS Number Entered")</f>
        <v>No CAS Number Entered</v>
      </c>
      <c r="D200" s="219"/>
      <c r="E200" s="79">
        <f>IFERROR(speciated_ghg_152[[#This Row],[Weight Percent]]*(unique_components_150[[#Totals],[Controlled
tpy]]+standard_components_149[[#Totals],[Controlled
tpy]]), "-")</f>
        <v>0</v>
      </c>
      <c r="F200" s="81" t="str">
        <f>IFERROR(speciated_ghg_152[[#This Row],[Mass Emissions (U.S. tons per year)]]*speciated_ghg_152[[#This Row],[Global Warming Potential (GWP)]], "-")</f>
        <v>-</v>
      </c>
      <c r="G200" s="29"/>
      <c r="H200" s="29"/>
      <c r="I200" s="169"/>
    </row>
    <row r="201" spans="1:9" x14ac:dyDescent="0.2">
      <c r="A201" s="210"/>
      <c r="B201" s="79" t="str">
        <f>IFERROR(INDEX(gwp_table[], MATCH(speciated_ghg_152[[#This Row],[CAS '#]], gwp_table[CAS No.], 0), MATCH("Name", gwp_table[#Headers], 0)),"No CAS Number Entered")</f>
        <v>No CAS Number Entered</v>
      </c>
      <c r="C201" s="79" t="str">
        <f>IFERROR(INDEX(gwp_table[], MATCH(speciated_ghg_152[[#This Row],[CAS '#]], gwp_table[CAS No.], 0), MATCH("Global warming potential", gwp_table[#Headers], 0)),"No CAS Number Entered")</f>
        <v>No CAS Number Entered</v>
      </c>
      <c r="D201" s="219"/>
      <c r="E201" s="79">
        <f>IFERROR(speciated_ghg_152[[#This Row],[Weight Percent]]*(unique_components_150[[#Totals],[Controlled
tpy]]+standard_components_149[[#Totals],[Controlled
tpy]]), "-")</f>
        <v>0</v>
      </c>
      <c r="F201" s="81" t="str">
        <f>IFERROR(speciated_ghg_152[[#This Row],[Mass Emissions (U.S. tons per year)]]*speciated_ghg_152[[#This Row],[Global Warming Potential (GWP)]], "-")</f>
        <v>-</v>
      </c>
      <c r="G201" s="169"/>
      <c r="H201" s="169"/>
      <c r="I201" s="169"/>
    </row>
    <row r="202" spans="1:9" x14ac:dyDescent="0.2">
      <c r="A202" s="210"/>
      <c r="B202" s="79" t="str">
        <f>IFERROR(INDEX(gwp_table[], MATCH(speciated_ghg_152[[#This Row],[CAS '#]], gwp_table[CAS No.], 0), MATCH("Name", gwp_table[#Headers], 0)),"No CAS Number Entered")</f>
        <v>No CAS Number Entered</v>
      </c>
      <c r="C202" s="79" t="str">
        <f>IFERROR(INDEX(gwp_table[], MATCH(speciated_ghg_152[[#This Row],[CAS '#]], gwp_table[CAS No.], 0), MATCH("Global warming potential", gwp_table[#Headers], 0)),"No CAS Number Entered")</f>
        <v>No CAS Number Entered</v>
      </c>
      <c r="D202" s="219"/>
      <c r="E202" s="79">
        <f>IFERROR(speciated_ghg_152[[#This Row],[Weight Percent]]*(unique_components_150[[#Totals],[Controlled
tpy]]+standard_components_149[[#Totals],[Controlled
tpy]]), "-")</f>
        <v>0</v>
      </c>
      <c r="F202" s="81" t="str">
        <f>IFERROR(speciated_ghg_152[[#This Row],[Mass Emissions (U.S. tons per year)]]*speciated_ghg_152[[#This Row],[Global Warming Potential (GWP)]], "-")</f>
        <v>-</v>
      </c>
      <c r="G202" s="169"/>
      <c r="H202" s="169"/>
      <c r="I202" s="169"/>
    </row>
    <row r="203" spans="1:9" x14ac:dyDescent="0.2">
      <c r="A203" s="210"/>
      <c r="B203" s="79" t="str">
        <f>IFERROR(INDEX(gwp_table[], MATCH(speciated_ghg_152[[#This Row],[CAS '#]], gwp_table[CAS No.], 0), MATCH("Name", gwp_table[#Headers], 0)),"No CAS Number Entered")</f>
        <v>No CAS Number Entered</v>
      </c>
      <c r="C203" s="79" t="str">
        <f>IFERROR(INDEX(gwp_table[], MATCH(speciated_ghg_152[[#This Row],[CAS '#]], gwp_table[CAS No.], 0), MATCH("Global warming potential", gwp_table[#Headers], 0)),"No CAS Number Entered")</f>
        <v>No CAS Number Entered</v>
      </c>
      <c r="D203" s="219"/>
      <c r="E203" s="79">
        <f>IFERROR(speciated_ghg_152[[#This Row],[Weight Percent]]*(unique_components_150[[#Totals],[Controlled
tpy]]+standard_components_149[[#Totals],[Controlled
tpy]]), "-")</f>
        <v>0</v>
      </c>
      <c r="F203" s="81" t="str">
        <f>IFERROR(speciated_ghg_152[[#This Row],[Mass Emissions (U.S. tons per year)]]*speciated_ghg_152[[#This Row],[Global Warming Potential (GWP)]], "-")</f>
        <v>-</v>
      </c>
      <c r="G203" s="169"/>
      <c r="H203" s="169"/>
      <c r="I203" s="169"/>
    </row>
    <row r="204" spans="1:9" ht="30" x14ac:dyDescent="0.25">
      <c r="A204" s="185" t="s">
        <v>13321</v>
      </c>
      <c r="B204" s="77"/>
      <c r="C204" s="77"/>
      <c r="D204" s="77"/>
      <c r="E204" s="80">
        <f>SUBTOTAL(109,speciated_ghg_152[Mass Emissions (U.S. tons per year)])</f>
        <v>0</v>
      </c>
      <c r="F204" s="82">
        <f>SUBTOTAL(109,speciated_ghg_152[CO2e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speciated_chemicals_151[[#Totals],[lb/hr]]</f>
        <v>0</v>
      </c>
      <c r="C207" s="134"/>
      <c r="D207" s="134"/>
      <c r="E207" s="134"/>
      <c r="F207" s="134"/>
      <c r="G207" s="169"/>
      <c r="H207" s="169"/>
    </row>
    <row r="208" spans="1:9" ht="29.25" x14ac:dyDescent="0.25">
      <c r="A208" s="174" t="s">
        <v>13320</v>
      </c>
      <c r="B208" s="175">
        <f>speciated_chemicals_151[[#Totals],[tpy]]</f>
        <v>0</v>
      </c>
      <c r="C208" s="134"/>
      <c r="D208" s="134"/>
      <c r="E208" s="134"/>
      <c r="F208" s="134"/>
      <c r="G208" s="169"/>
      <c r="H208" s="169"/>
    </row>
    <row r="209" spans="1:8" ht="15" x14ac:dyDescent="0.25">
      <c r="A209" s="126" t="s">
        <v>13277</v>
      </c>
      <c r="B209" s="128">
        <f>SUMIF(speciated_chemicals_151[VOC?],"Yes",speciated_chemicals_151[lb/hr])</f>
        <v>0</v>
      </c>
      <c r="C209" s="134"/>
      <c r="D209" s="29"/>
      <c r="E209" s="29"/>
      <c r="F209" s="29"/>
      <c r="G209" s="169"/>
      <c r="H209" s="169"/>
    </row>
    <row r="210" spans="1:8" ht="15" x14ac:dyDescent="0.25">
      <c r="A210" s="126" t="s">
        <v>12669</v>
      </c>
      <c r="B210" s="128">
        <f>SUMIF(speciated_chemicals_151[VOC?],"Yes",speciated_chemicals_151[tpy])</f>
        <v>0</v>
      </c>
      <c r="C210" s="134"/>
      <c r="D210" s="29"/>
      <c r="E210" s="29"/>
      <c r="F210" s="29"/>
      <c r="G210" s="169"/>
      <c r="H210" s="169"/>
    </row>
    <row r="211" spans="1:8" ht="15" x14ac:dyDescent="0.25">
      <c r="A211" s="126" t="s">
        <v>12775</v>
      </c>
      <c r="B211" s="128">
        <f>SUMIF(speciated_chemicals_151[Inorganic?],"Yes",speciated_chemicals_151[lb/hr])</f>
        <v>0</v>
      </c>
      <c r="C211" s="134"/>
      <c r="D211" s="29"/>
      <c r="E211" s="29"/>
      <c r="F211" s="29"/>
      <c r="G211" s="169"/>
      <c r="H211" s="169"/>
    </row>
    <row r="212" spans="1:8" ht="15" x14ac:dyDescent="0.25">
      <c r="A212" s="126" t="s">
        <v>12770</v>
      </c>
      <c r="B212" s="128">
        <f>SUMIF(speciated_chemicals_151[Inorganic?],"Yes",speciated_chemicals_151[tpy])</f>
        <v>0</v>
      </c>
      <c r="C212" s="134"/>
      <c r="D212" s="29"/>
      <c r="E212" s="29"/>
      <c r="F212" s="29"/>
      <c r="G212" s="169"/>
      <c r="H212" s="169"/>
    </row>
    <row r="213" spans="1:8" ht="15" x14ac:dyDescent="0.25">
      <c r="A213" s="126" t="s">
        <v>13276</v>
      </c>
      <c r="B213" s="128">
        <f>SUMIF(speciated_chemicals_151[VOC-Exempt Solvent?],"Yes",speciated_chemicals_151[lb/hr])</f>
        <v>0</v>
      </c>
      <c r="C213" s="134"/>
      <c r="D213" s="29"/>
      <c r="E213" s="29"/>
      <c r="F213" s="29"/>
      <c r="G213" s="169"/>
      <c r="H213" s="169"/>
    </row>
    <row r="214" spans="1:8" ht="15" x14ac:dyDescent="0.25">
      <c r="A214" s="126" t="s">
        <v>13278</v>
      </c>
      <c r="B214" s="128">
        <f>SUMIF(speciated_chemicals_151[VOC-Exempt Solvent?],"Yes",speciated_chemicals_151[tpy])</f>
        <v>0</v>
      </c>
      <c r="C214" s="134"/>
      <c r="D214" s="29"/>
      <c r="E214" s="29"/>
      <c r="F214" s="29"/>
      <c r="G214" s="169"/>
      <c r="H214" s="169"/>
    </row>
    <row r="215" spans="1:8" ht="15" x14ac:dyDescent="0.25">
      <c r="A215" s="127" t="s">
        <v>13280</v>
      </c>
      <c r="B215" s="176">
        <f>speciated_ghg_152[[#Totals],[Mass Emissions (U.S. tons per year)]]</f>
        <v>0</v>
      </c>
      <c r="C215" s="134"/>
      <c r="D215" s="29"/>
      <c r="E215" s="29"/>
      <c r="F215" s="29"/>
      <c r="G215" s="169"/>
      <c r="H215" s="169"/>
    </row>
    <row r="216" spans="1:8" ht="18.75" x14ac:dyDescent="0.35">
      <c r="A216" s="127" t="s">
        <v>13281</v>
      </c>
      <c r="B216" s="176">
        <f>speciated_ghg_152[[#Totals],[CO2e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m19cDqgbtdgn5hc+uA++/ivOrEqsaqvCggzZZ64D/j73Rp0jR7J9o1iz5Bu+5E71/I+lC4d20EL7DrS2Jlzihg==" saltValue="iPVrwhZHnuwHV7MHqm/7bQ==" spinCount="100000" sheet="1" objects="1" scenarios="1" formatColumns="0" formatRows="0" autoFilter="0"/>
  <conditionalFormatting sqref="A21:H21">
    <cfRule type="expression" dxfId="1606" priority="5">
      <formula>$F$19="No"</formula>
    </cfRule>
  </conditionalFormatting>
  <conditionalFormatting sqref="A105:E106 F106:G126">
    <cfRule type="expression" dxfId="1605" priority="4">
      <formula>$E$104="no"</formula>
    </cfRule>
  </conditionalFormatting>
  <conditionalFormatting sqref="C131:C180">
    <cfRule type="expression" dxfId="1604" priority="3">
      <formula>NOT(B131="Other (Please specify):")</formula>
    </cfRule>
  </conditionalFormatting>
  <conditionalFormatting sqref="A107:E126">
    <cfRule type="expression" dxfId="1603" priority="2">
      <formula>$A$58="No"</formula>
    </cfRule>
  </conditionalFormatting>
  <conditionalFormatting sqref="A107:E126 A206:B214 A215:A216">
    <cfRule type="expression" dxfId="1602"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44DAEE7B-C368-47B7-AF52-A1CFC41A4DA5}"/>
    <dataValidation type="list" allowBlank="1" showInputMessage="1" showErrorMessage="1" sqref="E104:H104 B10" xr:uid="{C4B4798B-7D43-429B-8681-7310C4D70400}">
      <formula1>"Yes,No"</formula1>
    </dataValidation>
    <dataValidation type="list" allowBlank="1" showInputMessage="1" showErrorMessage="1" sqref="F19:H20" xr:uid="{CECA58BF-ECE0-4E0C-8046-AD44A33E5477}">
      <formula1>"No,Yes - 75%,Yes - 95%"</formula1>
    </dataValidation>
    <dataValidation type="list" allowBlank="1" showInputMessage="1" showErrorMessage="1" sqref="F18" xr:uid="{5DEB90DB-8A23-4B18-AA1C-FFB7431C7614}">
      <formula1>IF(#REF!="SOCMI Non-leaker",ListNone,ListInspection)</formula1>
    </dataValidation>
    <dataValidation type="list" allowBlank="1" showInputMessage="1" showErrorMessage="1" sqref="F16:F17" xr:uid="{A516CC93-A65F-4D55-947D-0FD9DDCA2753}">
      <formula1>IF(#REF!="SOCMI Non-Leaker",ListNone,ListInstrument)</formula1>
    </dataValidation>
    <dataValidation type="list" allowBlank="1" showInputMessage="1" prompt="Please specify whether the substance is a volatile organic compound (VOC); methane and ethane are not classifed as VOCs" sqref="D132:D180" xr:uid="{AFFDCF2D-ED01-4752-897E-2AEFEDBECE72}">
      <formula1>"Yes,No"</formula1>
    </dataValidation>
    <dataValidation allowBlank="1" showInputMessage="1" showErrorMessage="1" prompt="Enter the weight percent of the substance" sqref="H178:H180 H132:H176" xr:uid="{8225B862-B018-4972-A069-F57EB3C8644E}"/>
    <dataValidation type="list" allowBlank="1" showInputMessage="1" showErrorMessage="1" prompt="Enter or select Chemical Abstracts Service number; select &quot;N/A&quot; if a CAS # is not applicable" sqref="A131:A175 A177:A180" xr:uid="{A5545559-5BF2-4D01-BC73-F5DC9245384D}">
      <formula1>SpeciesList</formula1>
    </dataValidation>
    <dataValidation type="list" allowBlank="1" showInputMessage="1" prompt="Select other species from dropdown" sqref="C131:C180" xr:uid="{84C0F850-7AE7-41CA-8DB6-BC9CC3EDAAEB}">
      <formula1>NoCASList</formula1>
    </dataValidation>
    <dataValidation allowBlank="1" showInputMessage="1" showErrorMessage="1" prompt="Proposed control efficiency (0-1)" sqref="E107:E126" xr:uid="{415DAF86-6CFF-4582-9998-65D89494CE1F}"/>
    <dataValidation allowBlank="1" showInputMessage="1" showErrorMessage="1" prompt="Count of unique component" sqref="C107:C126" xr:uid="{8C92D633-9DB6-49D3-825E-914D5405D805}"/>
    <dataValidation allowBlank="1" showInputMessage="1" showErrorMessage="1" prompt="Type of service (e.g. gas, vapor, or liquid)" sqref="B107:B126" xr:uid="{6FCF570A-0410-4A74-B923-8E11DCFB8912}"/>
    <dataValidation allowBlank="1" showInputMessage="1" showErrorMessage="1" prompt="Name of unique component" sqref="A107:A126" xr:uid="{09BA4B84-0642-4916-9E79-9723F53CB04D}"/>
    <dataValidation type="list" allowBlank="1" showInputMessage="1" showErrorMessage="1" sqref="B13" xr:uid="{009687D6-2AE8-4766-846A-C9F39D16A133}">
      <formula1>industry_names</formula1>
    </dataValidation>
    <dataValidation type="list" allowBlank="1" showInputMessage="1" showErrorMessage="1" sqref="B19" xr:uid="{A757AAB9-2726-4D05-B14F-13CDBF65DA3B}">
      <formula1>yes_no_list</formula1>
    </dataValidation>
    <dataValidation type="list" allowBlank="1" showInputMessage="1" showErrorMessage="1" sqref="B20" xr:uid="{371ACC2F-683C-436A-BA91-474EDC6A887D}">
      <formula1>process_drains_effs</formula1>
    </dataValidation>
    <dataValidation allowBlank="1" showInputMessage="1" showErrorMessage="1" prompt="Proposed emission factor" sqref="D107:D126" xr:uid="{21F0A37C-DD97-4628-81F8-BB341F5A44EB}"/>
    <dataValidation type="list" allowBlank="1" showInputMessage="1" prompt="Please specify if the substance is an inert substance or is not considered a contaminant (e.g. steam)" sqref="G131:G180" xr:uid="{9AA95EC0-F1F6-42E0-BF2E-3C3059B1AE3E}">
      <formula1>"Yes,No"</formula1>
    </dataValidation>
    <dataValidation type="list" allowBlank="1" showInputMessage="1" showErrorMessage="1" prompt="Please select from the dropdown" sqref="B104" xr:uid="{B0A1B078-7562-401A-8064-46BFFFF2FB1B}">
      <formula1>yes_no_list</formula1>
    </dataValidation>
    <dataValidation allowBlank="1" showInputMessage="1" showErrorMessage="1" prompt="Provide justification" sqref="B105" xr:uid="{777F81EC-F0E3-41EE-B172-D331FFD59BE7}"/>
    <dataValidation type="list" showInputMessage="1" prompt="Please specify whether the substance is a volatile organic compound (VOC); methane and ethane are not classifed as VOCs" sqref="D131" xr:uid="{73CE51FF-0DDC-42B0-A0CF-83984D23C1BB}">
      <formula1>"Yes,No"</formula1>
    </dataValidation>
    <dataValidation type="list" showInputMessage="1" prompt="Please specify whether the substance is an inorganic contaminant (e.g. ammonia or chlorine gas)" sqref="E131:E180" xr:uid="{5283026E-253F-4EFB-8C96-3675E6EDEECB}">
      <formula1>"Yes,No"</formula1>
    </dataValidation>
    <dataValidation type="list" allowBlank="1" showInputMessage="1" prompt="Please specify whether the substance is an VOC-exempt solvent." sqref="F131:F180" xr:uid="{B320D590-4A99-438F-A944-4D6CF2FB2620}">
      <formula1>"Yes,No"</formula1>
    </dataValidation>
    <dataValidation type="list" allowBlank="1" showInputMessage="1" showErrorMessage="1" prompt="Enter or select Chemical Abstracts Service number; select &quot;N/A&quot; if a CAS # is not applicable" sqref="A185:A203 A176" xr:uid="{4E373732-B5FD-48A9-9632-8BD1DC5F4472}">
      <formula1>gwp_table_cas</formula1>
    </dataValidation>
    <dataValidation type="decimal" allowBlank="1" showInputMessage="1" showErrorMessage="1" prompt="Enter the weight percent of the substance" sqref="H177" xr:uid="{332F3030-B2EF-49E8-B3D3-F5C9A2CAB728}">
      <formula1>0</formula1>
      <formula2>1</formula2>
    </dataValidation>
    <dataValidation type="decimal" operator="greaterThan" allowBlank="1" showInputMessage="1" showErrorMessage="1" prompt="Enter the weight percent of the substance" sqref="H131 D185:D203" xr:uid="{24783740-C115-4528-BE6D-59E2F2551DBE}">
      <formula1>0</formula1>
    </dataValidation>
    <dataValidation type="list" allowBlank="1" showInputMessage="1" showErrorMessage="1" sqref="B18" xr:uid="{2F1ACAEE-52A5-456D-B424-6803D898FED3}">
      <formula1>inspection_ldar_list</formula1>
    </dataValidation>
    <dataValidation type="list" allowBlank="1" showInputMessage="1" showErrorMessage="1" sqref="B17" xr:uid="{BF6340AE-9996-4D1E-83D9-4B47E03B2C33}">
      <formula1>connector_ldar_list</formula1>
    </dataValidation>
    <dataValidation type="list" allowBlank="1" showInputMessage="1" showErrorMessage="1" sqref="B16" xr:uid="{05D8D39F-AB65-458B-B7FA-75D100A67557}">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52BA8-32D6-495C-A3E0-A3D01FE2F9D5}">
  <sheetPr codeName="Sheet16">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INDEX((standard_components_153[[#This Row],[Component]]=factor_eff_table[Component])*(standard_components_153[[#This Row],[Service]]=factor_eff_table[Service]), 0, 1), 0)),
 "-")</f>
        <v>-</v>
      </c>
      <c r="E25" s="145" t="str" cm="1">
        <f t="array" ref="E2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25" s="145" t="str" cm="1">
        <f t="array" ref="F2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25" s="145" t="str" cm="1">
        <f t="array" ref="G2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2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2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INDEX((standard_components_153[[#This Row],[Component]]=factor_eff_table[Component])*(standard_components_153[[#This Row],[Service]]=factor_eff_table[Service]), 0, 1), 0)),
 "-")</f>
        <v>-</v>
      </c>
      <c r="E26" s="145" t="str" cm="1">
        <f t="array" ref="E2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26" s="145" t="str" cm="1">
        <f t="array" ref="F2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26" s="145" t="str" cm="1">
        <f t="array" ref="G2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2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2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INDEX((standard_components_153[[#This Row],[Component]]=factor_eff_table[Component])*(standard_components_153[[#This Row],[Service]]=factor_eff_table[Service]), 0, 1), 0)),
 "-")</f>
        <v>-</v>
      </c>
      <c r="E27" s="145" t="str" cm="1">
        <f t="array" ref="E2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27" s="145" t="str" cm="1">
        <f t="array" ref="F2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27" s="145" t="str" cm="1">
        <f t="array" ref="G2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2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2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INDEX((standard_components_153[[#This Row],[Component]]=factor_eff_table[Component])*(standard_components_153[[#This Row],[Service]]=factor_eff_table[Service]), 0, 1), 0)),
 "-")</f>
        <v>-</v>
      </c>
      <c r="E28" s="145" t="str" cm="1">
        <f t="array" ref="E2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28" s="145" t="str" cm="1">
        <f t="array" ref="F2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28" s="145" t="str" cm="1">
        <f t="array" ref="G2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2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2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INDEX((standard_components_153[[#This Row],[Component]]=factor_eff_table[Component])*(standard_components_153[[#This Row],[Service]]=factor_eff_table[Service]), 0, 1), 0)),
 "-")</f>
        <v>-</v>
      </c>
      <c r="E29" s="145" t="str" cm="1">
        <f t="array" ref="E2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29" s="145" t="str" cm="1">
        <f t="array" ref="F2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29" s="145" t="str" cm="1">
        <f t="array" ref="G2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2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2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INDEX((standard_components_153[[#This Row],[Component]]=factor_eff_table[Component])*(standard_components_153[[#This Row],[Service]]=factor_eff_table[Service]), 0, 1), 0)),
 "-")</f>
        <v>-</v>
      </c>
      <c r="E30" s="145" t="str" cm="1">
        <f t="array" ref="E3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0" s="145" t="str" cm="1">
        <f t="array" ref="F3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0" s="145" t="str" cm="1">
        <f t="array" ref="G3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INDEX((standard_components_153[[#This Row],[Component]]=factor_eff_table[Component])*(standard_components_153[[#This Row],[Service]]=factor_eff_table[Service]), 0, 1), 0)),
 "-")</f>
        <v>-</v>
      </c>
      <c r="E31" s="145" t="str" cm="1">
        <f t="array" ref="E3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1" s="145" t="str" cm="1">
        <f t="array" ref="F3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1" s="145" t="str" cm="1">
        <f t="array" ref="G3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INDEX((standard_components_153[[#This Row],[Component]]=factor_eff_table[Component])*(standard_components_153[[#This Row],[Service]]=factor_eff_table[Service]), 0, 1), 0)),
 "-")</f>
        <v>-</v>
      </c>
      <c r="E32" s="145" t="str" cm="1">
        <f t="array" ref="E3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2" s="145" t="str" cm="1">
        <f t="array" ref="F3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2" s="145" t="str" cm="1">
        <f t="array" ref="G3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INDEX((standard_components_153[[#This Row],[Component]]=factor_eff_table[Component])*(standard_components_153[[#This Row],[Service]]=factor_eff_table[Service]), 0, 1), 0)),
 "-")</f>
        <v>-</v>
      </c>
      <c r="E33" s="145" t="str" cm="1">
        <f t="array" ref="E3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3" s="145" t="str" cm="1">
        <f t="array" ref="F3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3" s="145" t="str" cm="1">
        <f t="array" ref="G3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INDEX((standard_components_153[[#This Row],[Component]]=factor_eff_table[Component])*(standard_components_153[[#This Row],[Service]]=factor_eff_table[Service]), 0, 1), 0)),
 "-")</f>
        <v>-</v>
      </c>
      <c r="E34" s="145" t="str" cm="1">
        <f t="array" ref="E3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4" s="145" t="str" cm="1">
        <f t="array" ref="F3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4" s="145" t="str" cm="1">
        <f t="array" ref="G3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INDEX((standard_components_153[[#This Row],[Component]]=factor_eff_table[Component])*(standard_components_153[[#This Row],[Service]]=factor_eff_table[Service]), 0, 1), 0)),
 "-")</f>
        <v>-</v>
      </c>
      <c r="E35" s="145" t="str" cm="1">
        <f t="array" ref="E3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5" s="145" t="str" cm="1">
        <f t="array" ref="F3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5" s="145" t="str" cm="1">
        <f t="array" ref="G3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INDEX((standard_components_153[[#This Row],[Component]]=factor_eff_table[Component])*(standard_components_153[[#This Row],[Service]]=factor_eff_table[Service]), 0, 1), 0)),
 "-")</f>
        <v>-</v>
      </c>
      <c r="E36" s="145" t="str" cm="1">
        <f t="array" ref="E3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6" s="145" t="str" cm="1">
        <f t="array" ref="F3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6" s="145" t="str" cm="1">
        <f t="array" ref="G3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INDEX((standard_components_153[[#This Row],[Component]]=factor_eff_table[Component])*(standard_components_153[[#This Row],[Service]]=factor_eff_table[Service]), 0, 1), 0)),
 "-")</f>
        <v>-</v>
      </c>
      <c r="E37" s="145" t="str" cm="1">
        <f t="array" ref="E3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7" s="145" t="str" cm="1">
        <f t="array" ref="F3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7" s="145" t="str" cm="1">
        <f t="array" ref="G3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INDEX((standard_components_153[[#This Row],[Component]]=factor_eff_table[Component])*(standard_components_153[[#This Row],[Service]]=factor_eff_table[Service]), 0, 1), 0)),
 "-")</f>
        <v>-</v>
      </c>
      <c r="E38" s="145" t="str" cm="1">
        <f t="array" ref="E3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8" s="145" t="str" cm="1">
        <f t="array" ref="F3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8" s="145" t="str" cm="1">
        <f t="array" ref="G3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INDEX((standard_components_153[[#This Row],[Component]]=factor_eff_table[Component])*(standard_components_153[[#This Row],[Service]]=factor_eff_table[Service]), 0, 1), 0)),
 "-")</f>
        <v>-</v>
      </c>
      <c r="E39" s="145" t="str" cm="1">
        <f t="array" ref="E3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39" s="145" t="str" cm="1">
        <f t="array" ref="F3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39" s="145" t="str" cm="1">
        <f t="array" ref="G3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3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3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INDEX((standard_components_153[[#This Row],[Component]]=factor_eff_table[Component])*(standard_components_153[[#This Row],[Service]]=factor_eff_table[Service]), 0, 1), 0)),
 "-")</f>
        <v>-</v>
      </c>
      <c r="E40" s="145" t="str" cm="1">
        <f t="array" ref="E4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0" s="145" t="str" cm="1">
        <f t="array" ref="F4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0" s="145" t="str" cm="1">
        <f t="array" ref="G4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INDEX((standard_components_153[[#This Row],[Component]]=factor_eff_table[Component])*(standard_components_153[[#This Row],[Service]]=factor_eff_table[Service]), 0, 1), 0)),
 "-")</f>
        <v>-</v>
      </c>
      <c r="E41" s="145" t="str" cm="1">
        <f t="array" ref="E4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1" s="145" t="str" cm="1">
        <f t="array" ref="F4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1" s="145" t="str" cm="1">
        <f t="array" ref="G4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INDEX((standard_components_153[[#This Row],[Component]]=factor_eff_table[Component])*(standard_components_153[[#This Row],[Service]]=factor_eff_table[Service]), 0, 1), 0)),
 "-")</f>
        <v>-</v>
      </c>
      <c r="E42" s="145" t="str" cm="1">
        <f t="array" ref="E4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2" s="145" t="str" cm="1">
        <f t="array" ref="F4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2" s="145" t="str" cm="1">
        <f t="array" ref="G4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INDEX((standard_components_153[[#This Row],[Component]]=factor_eff_table[Component])*(standard_components_153[[#This Row],[Service]]=factor_eff_table[Service]), 0, 1), 0)),
 "-")</f>
        <v>-</v>
      </c>
      <c r="E43" s="145" t="str" cm="1">
        <f t="array" ref="E4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3" s="145" t="str" cm="1">
        <f t="array" ref="F4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3" s="145" t="str" cm="1">
        <f t="array" ref="G4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INDEX((standard_components_153[[#This Row],[Component]]=factor_eff_table[Component])*(standard_components_153[[#This Row],[Service]]=factor_eff_table[Service]), 0, 1), 0)),
 "-")</f>
        <v>-</v>
      </c>
      <c r="E44" s="145" t="str" cm="1">
        <f t="array" ref="E4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4" s="145" t="str" cm="1">
        <f t="array" ref="F4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4" s="145" t="str" cm="1">
        <f t="array" ref="G4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INDEX((standard_components_153[[#This Row],[Component]]=factor_eff_table[Component])*(standard_components_153[[#This Row],[Service]]=factor_eff_table[Service]), 0, 1), 0)),
 "-")</f>
        <v>-</v>
      </c>
      <c r="E45" s="145" t="str" cm="1">
        <f t="array" ref="E4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5" s="145" t="str" cm="1">
        <f t="array" ref="F4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5" s="145" t="str" cm="1">
        <f t="array" ref="G4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INDEX((standard_components_153[[#This Row],[Component]]=factor_eff_table[Component])*(standard_components_153[[#This Row],[Service]]=factor_eff_table[Service]), 0, 1), 0)),
 "-")</f>
        <v>-</v>
      </c>
      <c r="E46" s="145" t="str" cm="1">
        <f t="array" ref="E4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6" s="145" t="str" cm="1">
        <f t="array" ref="F4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6" s="145" t="str" cm="1">
        <f t="array" ref="G4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INDEX((standard_components_153[[#This Row],[Component]]=factor_eff_table[Component])*(standard_components_153[[#This Row],[Service]]=factor_eff_table[Service]), 0, 1), 0)),
 "-")</f>
        <v>-</v>
      </c>
      <c r="E47" s="145" t="str" cm="1">
        <f t="array" ref="E4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7" s="145" t="str" cm="1">
        <f t="array" ref="F4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7" s="145" t="str" cm="1">
        <f t="array" ref="G4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INDEX((standard_components_153[[#This Row],[Component]]=factor_eff_table[Component])*(standard_components_153[[#This Row],[Service]]=factor_eff_table[Service]), 0, 1), 0)),
 "-")</f>
        <v>-</v>
      </c>
      <c r="E48" s="145" t="str" cm="1">
        <f t="array" ref="E4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8" s="145" t="str" cm="1">
        <f t="array" ref="F4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8" s="145" t="str" cm="1">
        <f t="array" ref="G4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INDEX((standard_components_153[[#This Row],[Component]]=factor_eff_table[Component])*(standard_components_153[[#This Row],[Service]]=factor_eff_table[Service]), 0, 1), 0)),
 "-")</f>
        <v>-</v>
      </c>
      <c r="E49" s="145" t="str" cm="1">
        <f t="array" ref="E4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49" s="145" t="str" cm="1">
        <f t="array" ref="F4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49" s="145" t="str" cm="1">
        <f t="array" ref="G4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4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4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INDEX((standard_components_153[[#This Row],[Component]]=factor_eff_table[Component])*(standard_components_153[[#This Row],[Service]]=factor_eff_table[Service]), 0, 1), 0)),
 "-")</f>
        <v>-</v>
      </c>
      <c r="E50" s="145" t="str" cm="1">
        <f t="array" ref="E5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0" s="145" t="str" cm="1">
        <f t="array" ref="F5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0" s="145" t="str" cm="1">
        <f t="array" ref="G5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INDEX((standard_components_153[[#This Row],[Component]]=factor_eff_table[Component])*(standard_components_153[[#This Row],[Service]]=factor_eff_table[Service]), 0, 1), 0)),
 "-")</f>
        <v>-</v>
      </c>
      <c r="E51" s="145" t="str" cm="1">
        <f t="array" ref="E5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1" s="145" t="str" cm="1">
        <f t="array" ref="F5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1" s="145" t="str" cm="1">
        <f t="array" ref="G5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INDEX((standard_components_153[[#This Row],[Component]]=factor_eff_table[Component])*(standard_components_153[[#This Row],[Service]]=factor_eff_table[Service]), 0, 1), 0)),
 "-")</f>
        <v>-</v>
      </c>
      <c r="E52" s="145" t="str" cm="1">
        <f t="array" ref="E5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2" s="145" t="str" cm="1">
        <f t="array" ref="F5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2" s="145" t="str" cm="1">
        <f t="array" ref="G5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INDEX((standard_components_153[[#This Row],[Component]]=factor_eff_table[Component])*(standard_components_153[[#This Row],[Service]]=factor_eff_table[Service]), 0, 1), 0)),
 "-")</f>
        <v>-</v>
      </c>
      <c r="E53" s="145" t="str" cm="1">
        <f t="array" ref="E5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3" s="145" t="str" cm="1">
        <f t="array" ref="F5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3" s="145" t="str" cm="1">
        <f t="array" ref="G5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INDEX((standard_components_153[[#This Row],[Component]]=factor_eff_table[Component])*(standard_components_153[[#This Row],[Service]]=factor_eff_table[Service]), 0, 1), 0)),
 "-")</f>
        <v>-</v>
      </c>
      <c r="E54" s="145" t="str" cm="1">
        <f t="array" ref="E5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4" s="145" t="str" cm="1">
        <f t="array" ref="F5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4" s="145" t="str" cm="1">
        <f t="array" ref="G5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INDEX((standard_components_153[[#This Row],[Component]]=factor_eff_table[Component])*(standard_components_153[[#This Row],[Service]]=factor_eff_table[Service]), 0, 1), 0)),
 "-")</f>
        <v>-</v>
      </c>
      <c r="E55" s="145" t="str" cm="1">
        <f t="array" ref="E5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5" s="145" t="str" cm="1">
        <f t="array" ref="F5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5" s="145" t="str" cm="1">
        <f t="array" ref="G5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INDEX((standard_components_153[[#This Row],[Component]]=factor_eff_table[Component])*(standard_components_153[[#This Row],[Service]]=factor_eff_table[Service]), 0, 1), 0)),
 "-")</f>
        <v>-</v>
      </c>
      <c r="E56" s="145" t="str" cm="1">
        <f t="array" ref="E5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6" s="145" t="str" cm="1">
        <f t="array" ref="F5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6" s="145" t="str" cm="1">
        <f t="array" ref="G5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INDEX((standard_components_153[[#This Row],[Component]]=factor_eff_table[Component])*(standard_components_153[[#This Row],[Service]]=factor_eff_table[Service]), 0, 1), 0)),
 "-")</f>
        <v>-</v>
      </c>
      <c r="E57" s="145" t="str" cm="1">
        <f t="array" ref="E5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7" s="145" t="str" cm="1">
        <f t="array" ref="F5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7" s="145" t="str" cm="1">
        <f t="array" ref="G5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INDEX((standard_components_153[[#This Row],[Component]]=factor_eff_table[Component])*(standard_components_153[[#This Row],[Service]]=factor_eff_table[Service]), 0, 1), 0)),
 "-")</f>
        <v>-</v>
      </c>
      <c r="E58" s="145" t="str" cm="1">
        <f t="array" ref="E5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8" s="145" t="str" cm="1">
        <f t="array" ref="F5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8" s="145" t="str" cm="1">
        <f t="array" ref="G5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INDEX((standard_components_153[[#This Row],[Component]]=factor_eff_table[Component])*(standard_components_153[[#This Row],[Service]]=factor_eff_table[Service]), 0, 1), 0)),
 "-")</f>
        <v>-</v>
      </c>
      <c r="E59" s="145" t="str" cm="1">
        <f t="array" ref="E5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59" s="145" t="str" cm="1">
        <f t="array" ref="F5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59" s="145" t="str" cm="1">
        <f t="array" ref="G5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5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5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INDEX((standard_components_153[[#This Row],[Component]]=factor_eff_table[Component])*(standard_components_153[[#This Row],[Service]]=factor_eff_table[Service]), 0, 1), 0)),
 "-")</f>
        <v>-</v>
      </c>
      <c r="E60" s="145" t="str" cm="1">
        <f t="array" ref="E6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0" s="145" t="str" cm="1">
        <f t="array" ref="F6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0" s="145" t="str" cm="1">
        <f t="array" ref="G6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INDEX((standard_components_153[[#This Row],[Component]]=factor_eff_table[Component])*(standard_components_153[[#This Row],[Service]]=factor_eff_table[Service]), 0, 1), 0)),
 "-")</f>
        <v>-</v>
      </c>
      <c r="E61" s="145" t="str" cm="1">
        <f t="array" ref="E6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1" s="145" t="str" cm="1">
        <f t="array" ref="F6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1" s="145" t="str" cm="1">
        <f t="array" ref="G6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INDEX((standard_components_153[[#This Row],[Component]]=factor_eff_table[Component])*(standard_components_153[[#This Row],[Service]]=factor_eff_table[Service]), 0, 1), 0)),
 "-")</f>
        <v>-</v>
      </c>
      <c r="E62" s="145" t="str" cm="1">
        <f t="array" ref="E6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2" s="145" t="str" cm="1">
        <f t="array" ref="F6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2" s="145" t="str" cm="1">
        <f t="array" ref="G6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INDEX((standard_components_153[[#This Row],[Component]]=factor_eff_table[Component])*(standard_components_153[[#This Row],[Service]]=factor_eff_table[Service]), 0, 1), 0)),
 "-")</f>
        <v>-</v>
      </c>
      <c r="E63" s="145" t="str" cm="1">
        <f t="array" ref="E6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3" s="145" t="str" cm="1">
        <f t="array" ref="F6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3" s="145" t="str" cm="1">
        <f t="array" ref="G6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INDEX((standard_components_153[[#This Row],[Component]]=factor_eff_table[Component])*(standard_components_153[[#This Row],[Service]]=factor_eff_table[Service]), 0, 1), 0)),
 "-")</f>
        <v>-</v>
      </c>
      <c r="E64" s="145" t="str" cm="1">
        <f t="array" ref="E6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4" s="145" t="str" cm="1">
        <f t="array" ref="F6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4" s="145" t="str" cm="1">
        <f t="array" ref="G6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INDEX((standard_components_153[[#This Row],[Component]]=factor_eff_table[Component])*(standard_components_153[[#This Row],[Service]]=factor_eff_table[Service]), 0, 1), 0)),
 "-")</f>
        <v>-</v>
      </c>
      <c r="E65" s="145" t="str" cm="1">
        <f t="array" ref="E6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5" s="145" t="str" cm="1">
        <f t="array" ref="F6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5" s="145" t="str" cm="1">
        <f t="array" ref="G6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INDEX((standard_components_153[[#This Row],[Component]]=factor_eff_table[Component])*(standard_components_153[[#This Row],[Service]]=factor_eff_table[Service]), 0, 1), 0)),
 "-")</f>
        <v>-</v>
      </c>
      <c r="E66" s="145" t="str" cm="1">
        <f t="array" ref="E6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6" s="145" t="str" cm="1">
        <f t="array" ref="F6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6" s="145" t="str" cm="1">
        <f t="array" ref="G6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INDEX((standard_components_153[[#This Row],[Component]]=factor_eff_table[Component])*(standard_components_153[[#This Row],[Service]]=factor_eff_table[Service]), 0, 1), 0)),
 "-")</f>
        <v>-</v>
      </c>
      <c r="E67" s="145" t="str" cm="1">
        <f t="array" ref="E6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7" s="145" t="str" cm="1">
        <f t="array" ref="F6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7" s="145" t="str" cm="1">
        <f t="array" ref="G6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INDEX((standard_components_153[[#This Row],[Component]]=factor_eff_table[Component])*(standard_components_153[[#This Row],[Service]]=factor_eff_table[Service]), 0, 1), 0)),
 "-")</f>
        <v>-</v>
      </c>
      <c r="E68" s="145" t="str" cm="1">
        <f t="array" ref="E6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8" s="145" t="str" cm="1">
        <f t="array" ref="F6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8" s="145" t="str" cm="1">
        <f t="array" ref="G6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INDEX((standard_components_153[[#This Row],[Component]]=factor_eff_table[Component])*(standard_components_153[[#This Row],[Service]]=factor_eff_table[Service]), 0, 1), 0)),
 "-")</f>
        <v>-</v>
      </c>
      <c r="E69" s="145" t="str" cm="1">
        <f t="array" ref="E6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69" s="145" t="str" cm="1">
        <f t="array" ref="F6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69" s="145" t="str" cm="1">
        <f t="array" ref="G6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6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6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INDEX((standard_components_153[[#This Row],[Component]]=factor_eff_table[Component])*(standard_components_153[[#This Row],[Service]]=factor_eff_table[Service]), 0, 1), 0)),
 "-")</f>
        <v>-</v>
      </c>
      <c r="E70" s="145" t="str" cm="1">
        <f t="array" ref="E7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0" s="145" t="str" cm="1">
        <f t="array" ref="F7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0" s="145" t="str" cm="1">
        <f t="array" ref="G7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INDEX((standard_components_153[[#This Row],[Component]]=factor_eff_table[Component])*(standard_components_153[[#This Row],[Service]]=factor_eff_table[Service]), 0, 1), 0)),
 "-")</f>
        <v>-</v>
      </c>
      <c r="E71" s="145" t="str" cm="1">
        <f t="array" ref="E7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1" s="145" t="str" cm="1">
        <f t="array" ref="F7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1" s="145" t="str" cm="1">
        <f t="array" ref="G7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INDEX((standard_components_153[[#This Row],[Component]]=factor_eff_table[Component])*(standard_components_153[[#This Row],[Service]]=factor_eff_table[Service]), 0, 1), 0)),
 "-")</f>
        <v>-</v>
      </c>
      <c r="E72" s="145" t="str" cm="1">
        <f t="array" ref="E7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2" s="145" t="str" cm="1">
        <f t="array" ref="F7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2" s="145" t="str" cm="1">
        <f t="array" ref="G7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INDEX((standard_components_153[[#This Row],[Component]]=factor_eff_table[Component])*(standard_components_153[[#This Row],[Service]]=factor_eff_table[Service]), 0, 1), 0)),
 "-")</f>
        <v>-</v>
      </c>
      <c r="E73" s="145" t="str" cm="1">
        <f t="array" ref="E7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3" s="145" t="str" cm="1">
        <f t="array" ref="F7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3" s="145" t="str" cm="1">
        <f t="array" ref="G7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INDEX((standard_components_153[[#This Row],[Component]]=factor_eff_table[Component])*(standard_components_153[[#This Row],[Service]]=factor_eff_table[Service]), 0, 1), 0)),
 "-")</f>
        <v>-</v>
      </c>
      <c r="E74" s="145" t="str" cm="1">
        <f t="array" ref="E7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4" s="145" t="str" cm="1">
        <f t="array" ref="F7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4" s="145" t="str" cm="1">
        <f t="array" ref="G7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INDEX((standard_components_153[[#This Row],[Component]]=factor_eff_table[Component])*(standard_components_153[[#This Row],[Service]]=factor_eff_table[Service]), 0, 1), 0)),
 "-")</f>
        <v>-</v>
      </c>
      <c r="E75" s="145" t="str" cm="1">
        <f t="array" ref="E7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5" s="145" t="str" cm="1">
        <f t="array" ref="F7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5" s="145" t="str" cm="1">
        <f t="array" ref="G7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INDEX((standard_components_153[[#This Row],[Component]]=factor_eff_table[Component])*(standard_components_153[[#This Row],[Service]]=factor_eff_table[Service]), 0, 1), 0)),
 "-")</f>
        <v>-</v>
      </c>
      <c r="E76" s="145" t="str" cm="1">
        <f t="array" ref="E7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6" s="145" t="str" cm="1">
        <f t="array" ref="F7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6" s="145" t="str" cm="1">
        <f t="array" ref="G7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INDEX((standard_components_153[[#This Row],[Component]]=factor_eff_table[Component])*(standard_components_153[[#This Row],[Service]]=factor_eff_table[Service]), 0, 1), 0)),
 "-")</f>
        <v>-</v>
      </c>
      <c r="E77" s="145" t="str" cm="1">
        <f t="array" ref="E7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7" s="145" t="str" cm="1">
        <f t="array" ref="F7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7" s="145" t="str" cm="1">
        <f t="array" ref="G7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INDEX((standard_components_153[[#This Row],[Component]]=factor_eff_table[Component])*(standard_components_153[[#This Row],[Service]]=factor_eff_table[Service]), 0, 1), 0)),
 "-")</f>
        <v>-</v>
      </c>
      <c r="E78" s="145" t="str" cm="1">
        <f t="array" ref="E7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8" s="145" t="str" cm="1">
        <f t="array" ref="F7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8" s="145" t="str" cm="1">
        <f t="array" ref="G7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INDEX((standard_components_153[[#This Row],[Component]]=factor_eff_table[Component])*(standard_components_153[[#This Row],[Service]]=factor_eff_table[Service]), 0, 1), 0)),
 "-")</f>
        <v>-</v>
      </c>
      <c r="E79" s="145" t="str" cm="1">
        <f t="array" ref="E7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79" s="145" t="str" cm="1">
        <f t="array" ref="F7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79" s="145" t="str" cm="1">
        <f t="array" ref="G7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7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7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INDEX((standard_components_153[[#This Row],[Component]]=factor_eff_table[Component])*(standard_components_153[[#This Row],[Service]]=factor_eff_table[Service]), 0, 1), 0)),
 "-")</f>
        <v>-</v>
      </c>
      <c r="E80" s="145" t="str" cm="1">
        <f t="array" ref="E8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0" s="145" t="str" cm="1">
        <f t="array" ref="F8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0" s="145" t="str" cm="1">
        <f t="array" ref="G8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INDEX((standard_components_153[[#This Row],[Component]]=factor_eff_table[Component])*(standard_components_153[[#This Row],[Service]]=factor_eff_table[Service]), 0, 1), 0)),
 "-")</f>
        <v>-</v>
      </c>
      <c r="E81" s="145" t="str" cm="1">
        <f t="array" ref="E8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1" s="145" t="str" cm="1">
        <f t="array" ref="F8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1" s="145" t="str" cm="1">
        <f t="array" ref="G8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INDEX((standard_components_153[[#This Row],[Component]]=factor_eff_table[Component])*(standard_components_153[[#This Row],[Service]]=factor_eff_table[Service]), 0, 1), 0)),
 "-")</f>
        <v>-</v>
      </c>
      <c r="E82" s="145" t="str" cm="1">
        <f t="array" ref="E8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2" s="145" t="str" cm="1">
        <f t="array" ref="F8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2" s="145" t="str" cm="1">
        <f t="array" ref="G8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INDEX((standard_components_153[[#This Row],[Component]]=factor_eff_table[Component])*(standard_components_153[[#This Row],[Service]]=factor_eff_table[Service]), 0, 1), 0)),
 "-")</f>
        <v>-</v>
      </c>
      <c r="E83" s="145" t="str" cm="1">
        <f t="array" ref="E8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3" s="145" t="str" cm="1">
        <f t="array" ref="F8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3" s="145" t="str" cm="1">
        <f t="array" ref="G8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INDEX((standard_components_153[[#This Row],[Component]]=factor_eff_table[Component])*(standard_components_153[[#This Row],[Service]]=factor_eff_table[Service]), 0, 1), 0)),
 "-")</f>
        <v>-</v>
      </c>
      <c r="E84" s="145" t="str" cm="1">
        <f t="array" ref="E8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4" s="145" t="str" cm="1">
        <f t="array" ref="F8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4" s="145" t="str" cm="1">
        <f t="array" ref="G8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INDEX((standard_components_153[[#This Row],[Component]]=factor_eff_table[Component])*(standard_components_153[[#This Row],[Service]]=factor_eff_table[Service]), 0, 1), 0)),
 "-")</f>
        <v>-</v>
      </c>
      <c r="E85" s="145" t="str" cm="1">
        <f t="array" ref="E8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5" s="145" t="str" cm="1">
        <f t="array" ref="F8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5" s="145" t="str" cm="1">
        <f t="array" ref="G8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INDEX((standard_components_153[[#This Row],[Component]]=factor_eff_table[Component])*(standard_components_153[[#This Row],[Service]]=factor_eff_table[Service]), 0, 1), 0)),
 "-")</f>
        <v>-</v>
      </c>
      <c r="E86" s="145" t="str" cm="1">
        <f t="array" ref="E8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6" s="145" t="str" cm="1">
        <f t="array" ref="F8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6" s="145" t="str" cm="1">
        <f t="array" ref="G8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INDEX((standard_components_153[[#This Row],[Component]]=factor_eff_table[Component])*(standard_components_153[[#This Row],[Service]]=factor_eff_table[Service]), 0, 1), 0)),
 "-")</f>
        <v>-</v>
      </c>
      <c r="E87" s="145" t="str" cm="1">
        <f t="array" ref="E8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7" s="145" t="str" cm="1">
        <f t="array" ref="F8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7" s="145" t="str" cm="1">
        <f t="array" ref="G8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INDEX((standard_components_153[[#This Row],[Component]]=factor_eff_table[Component])*(standard_components_153[[#This Row],[Service]]=factor_eff_table[Service]), 0, 1), 0)),
 "-")</f>
        <v>-</v>
      </c>
      <c r="E88" s="145" t="str" cm="1">
        <f t="array" ref="E8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8" s="145" t="str" cm="1">
        <f t="array" ref="F8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8" s="145" t="str" cm="1">
        <f t="array" ref="G8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INDEX((standard_components_153[[#This Row],[Component]]=factor_eff_table[Component])*(standard_components_153[[#This Row],[Service]]=factor_eff_table[Service]), 0, 1), 0)),
 "-")</f>
        <v>-</v>
      </c>
      <c r="E89" s="145" t="str" cm="1">
        <f t="array" ref="E8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89" s="145" t="str" cm="1">
        <f t="array" ref="F8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89" s="145" t="str" cm="1">
        <f t="array" ref="G8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8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8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INDEX((standard_components_153[[#This Row],[Component]]=factor_eff_table[Component])*(standard_components_153[[#This Row],[Service]]=factor_eff_table[Service]), 0, 1), 0)),
 "-")</f>
        <v>-</v>
      </c>
      <c r="E90" s="145" t="str" cm="1">
        <f t="array" ref="E9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0" s="145" t="str" cm="1">
        <f t="array" ref="F9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0" s="145" t="str" cm="1">
        <f t="array" ref="G9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INDEX((standard_components_153[[#This Row],[Component]]=factor_eff_table[Component])*(standard_components_153[[#This Row],[Service]]=factor_eff_table[Service]), 0, 1), 0)),
 "-")</f>
        <v>-</v>
      </c>
      <c r="E91" s="145" t="str" cm="1">
        <f t="array" ref="E91">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1" s="145" t="str" cm="1">
        <f t="array" ref="F91">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1" s="145" t="str" cm="1">
        <f t="array" ref="G91">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1"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1"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INDEX((standard_components_153[[#This Row],[Component]]=factor_eff_table[Component])*(standard_components_153[[#This Row],[Service]]=factor_eff_table[Service]), 0, 1), 0)),
 "-")</f>
        <v>-</v>
      </c>
      <c r="E92" s="145" t="str" cm="1">
        <f t="array" ref="E92">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2" s="145" t="str" cm="1">
        <f t="array" ref="F92">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2" s="145" t="str" cm="1">
        <f t="array" ref="G92">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2"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2"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INDEX((standard_components_153[[#This Row],[Component]]=factor_eff_table[Component])*(standard_components_153[[#This Row],[Service]]=factor_eff_table[Service]), 0, 1), 0)),
 "-")</f>
        <v>-</v>
      </c>
      <c r="E93" s="145" t="str" cm="1">
        <f t="array" ref="E93">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3" s="145" t="str" cm="1">
        <f t="array" ref="F93">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3" s="145" t="str" cm="1">
        <f t="array" ref="G93">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3"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3"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INDEX((standard_components_153[[#This Row],[Component]]=factor_eff_table[Component])*(standard_components_153[[#This Row],[Service]]=factor_eff_table[Service]), 0, 1), 0)),
 "-")</f>
        <v>-</v>
      </c>
      <c r="E94" s="145" t="str" cm="1">
        <f t="array" ref="E94">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4" s="145" t="str" cm="1">
        <f t="array" ref="F94">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4" s="145" t="str" cm="1">
        <f t="array" ref="G94">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4"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4"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INDEX((standard_components_153[[#This Row],[Component]]=factor_eff_table[Component])*(standard_components_153[[#This Row],[Service]]=factor_eff_table[Service]), 0, 1), 0)),
 "-")</f>
        <v>-</v>
      </c>
      <c r="E95" s="145" t="str" cm="1">
        <f t="array" ref="E95">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5" s="145" t="str" cm="1">
        <f t="array" ref="F95">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5" s="145" t="str" cm="1">
        <f t="array" ref="G95">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5"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5"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INDEX((standard_components_153[[#This Row],[Component]]=factor_eff_table[Component])*(standard_components_153[[#This Row],[Service]]=factor_eff_table[Service]), 0, 1), 0)),
 "-")</f>
        <v>-</v>
      </c>
      <c r="E96" s="145" t="str" cm="1">
        <f t="array" ref="E96">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6" s="145" t="str" cm="1">
        <f t="array" ref="F96">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6" s="145" t="str" cm="1">
        <f t="array" ref="G96">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6"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6"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INDEX((standard_components_153[[#This Row],[Component]]=factor_eff_table[Component])*(standard_components_153[[#This Row],[Service]]=factor_eff_table[Service]), 0, 1), 0)),
 "-")</f>
        <v>-</v>
      </c>
      <c r="E97" s="145" t="str" cm="1">
        <f t="array" ref="E97">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7" s="145" t="str" cm="1">
        <f t="array" ref="F97">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7" s="145" t="str" cm="1">
        <f t="array" ref="G97">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7"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7"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INDEX((standard_components_153[[#This Row],[Component]]=factor_eff_table[Component])*(standard_components_153[[#This Row],[Service]]=factor_eff_table[Service]), 0, 1), 0)),
 "-")</f>
        <v>-</v>
      </c>
      <c r="E98" s="145" t="str" cm="1">
        <f t="array" ref="E98">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8" s="145" t="str" cm="1">
        <f t="array" ref="F98">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8" s="145" t="str" cm="1">
        <f t="array" ref="G98">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8"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8"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INDEX((standard_components_153[[#This Row],[Component]]=factor_eff_table[Component])*(standard_components_153[[#This Row],[Service]]=factor_eff_table[Service]), 0, 1), 0)),
 "-")</f>
        <v>-</v>
      </c>
      <c r="E99" s="145" t="str" cm="1">
        <f t="array" ref="E99">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99" s="145" t="str" cm="1">
        <f t="array" ref="F99">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99" s="145" t="str" cm="1">
        <f t="array" ref="G99">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99"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99"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INDEX((standard_components_153[[#This Row],[Component]]=factor_eff_table[Component])*(standard_components_153[[#This Row],[Service]]=factor_eff_table[Service]), 0, 1), 0)),
 "-")</f>
        <v>-</v>
      </c>
      <c r="E100" s="145" t="str" cm="1">
        <f t="array" ref="E100">IF(AND(process_drain_bool="Yes",LEFT(standard_components_153[[#This Row],[Component]], LEN("Process drains"))="Process Drains", ISBLANK(instrument_ldar)=FALSE), process_drain_eff,
IFERROR(
INDEX(
INDEX(factor_eff_table[], , MATCH(instrument_ldar, factor_eff_table[#Headers], 0)),
MATCH(1, INDEX((standard_components_153[[#This Row],[Component]]=factor_eff_table[Component])*(standard_components_153[[#This Row],[Service]]=factor_eff_table[Service]), 0, 1), 0)),
 "-"))</f>
        <v>-</v>
      </c>
      <c r="F100" s="145" t="str" cm="1">
        <f t="array" ref="F100">IF(AND(process_drain_bool="Yes",LEFT(standard_components_153[[#This Row],[Component]], LEN("Process drains"))="Process Drains", ISBLANK(connector_ldar)=FALSE), process_drain_eff,
IFERROR(
INDEX(
INDEX(factor_eff_table[], , MATCH(connector_ldar, factor_eff_table[#Headers], 0)),
MATCH(1, INDEX((standard_components_153[[#This Row],[Component]]=factor_eff_table[Component])*(standard_components_153[[#This Row],[Service]]=factor_eff_table[Service]), 0, 1), 0)),
 "-"))</f>
        <v>-</v>
      </c>
      <c r="G100" s="145" t="str" cm="1">
        <f t="array" ref="G100">IF(AND(process_drain_bool="Yes",LEFT(standard_components_153[[#This Row],[Component]], LEN("Process Drains"))="Process Drains", ISBLANK(inspection_ldar)=FALSE), process_drain_eff,
IFERROR(
INDEX(
INDEX(factor_eff_table[], , MATCH(inspection_ldar, factor_eff_table[#Headers], 0)),
MATCH(1, INDEX((standard_components_153[[#This Row],[Component]]=factor_eff_table[Component])*(standard_components_153[[#This Row],[Service]]=factor_eff_table[Service]), 0, 1), 0)),
 "-"))</f>
        <v>-</v>
      </c>
      <c r="H100" s="146" t="str">
        <f>IF(standard_components_153[[#This Row],[Component]]="Sampling Connections (annual) [2]", "N/A",
 IF(standard_components_153[[#This Row],[Component]]="Sampling Connections (hourly) [1]", standard_components_153[[#This Row],[Count]]*standard_components_153[[#This Row],[Industry Emission Factor]],
IFERROR(standard_components_153[[#This Row],[Count]]*standard_components_153[[#This Row],[Industry Emission Factor]]*MIN(1-standard_components_153[[#This Row],[Instrument Monitoring LDAR Control Efficiency]], 1-standard_components_153[[#This Row],[Physical Inspection LDAR Control Efficiency]], 1-standard_components_153[[#This Row],[Connector Monitoring LDAR Control Efficiency]]), "-")))</f>
        <v>-</v>
      </c>
      <c r="I100" s="146" t="str">
        <f>IF(standard_components_153[[#This Row],[Component]]="Sampling Connections (hourly) [1]", "N/A",
 IF(standard_components_153[[#This Row],[Component]]="Sampling Connections (annual) [2]", standard_components_153[[#This Row],[Count]]*standard_components_153[[#This Row],[Industry Emission Factor]]/stons_to_lbs,
 IFERROR(years_to_hrs/stons_to_lbs*standard_components_153[[#This Row],[Controlled
lb/hr]], "-")))</f>
        <v>-</v>
      </c>
    </row>
    <row r="101" spans="1:9" ht="15" x14ac:dyDescent="0.25">
      <c r="A101" s="147" t="s">
        <v>12776</v>
      </c>
      <c r="B101" s="148"/>
      <c r="C101" s="149">
        <f>SUBTOTAL(109,standard_components_153[Count])</f>
        <v>0</v>
      </c>
      <c r="D101" s="150"/>
      <c r="E101" s="150"/>
      <c r="F101" s="150"/>
      <c r="G101" s="150"/>
      <c r="H101" s="151">
        <f>SUBTOTAL(109,standard_components_153[Controlled
lb/hr])</f>
        <v>0</v>
      </c>
      <c r="I101" s="151">
        <f>SUBTOTAL(109,standard_components_153[Controlled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unique_components_154[[#This Row],[Count]]*unique_components_154[[#This Row],[Proposed Emission Factor]]*(1-unique_components_154[[#This Row],[Proposed Control Efficiency]])</f>
        <v>0</v>
      </c>
      <c r="G107" s="155">
        <f>IFERROR(unique_components_154[[#This Row],[Controlled lb/hr]]*4.38,"")</f>
        <v>0</v>
      </c>
    </row>
    <row r="108" spans="1:9" x14ac:dyDescent="0.2">
      <c r="A108" s="103"/>
      <c r="B108" s="104"/>
      <c r="C108" s="153"/>
      <c r="D108" s="154"/>
      <c r="E108" s="154"/>
      <c r="F108" s="146">
        <f>unique_components_154[[#This Row],[Count]]*unique_components_154[[#This Row],[Proposed Emission Factor]]*(1-unique_components_154[[#This Row],[Proposed Control Efficiency]])</f>
        <v>0</v>
      </c>
      <c r="G108" s="155">
        <f>IFERROR(unique_components_154[[#This Row],[Controlled lb/hr]]*4.38,"")</f>
        <v>0</v>
      </c>
    </row>
    <row r="109" spans="1:9" x14ac:dyDescent="0.2">
      <c r="A109" s="103"/>
      <c r="B109" s="104"/>
      <c r="C109" s="153"/>
      <c r="D109" s="154"/>
      <c r="E109" s="154"/>
      <c r="F109" s="146">
        <f>unique_components_154[[#This Row],[Count]]*unique_components_154[[#This Row],[Proposed Emission Factor]]*(1-unique_components_154[[#This Row],[Proposed Control Efficiency]])</f>
        <v>0</v>
      </c>
      <c r="G109" s="155">
        <f>IFERROR(unique_components_154[[#This Row],[Controlled lb/hr]]*4.38,"")</f>
        <v>0</v>
      </c>
    </row>
    <row r="110" spans="1:9" x14ac:dyDescent="0.2">
      <c r="A110" s="103"/>
      <c r="B110" s="104"/>
      <c r="C110" s="153"/>
      <c r="D110" s="154"/>
      <c r="E110" s="154"/>
      <c r="F110" s="146">
        <f>unique_components_154[[#This Row],[Count]]*unique_components_154[[#This Row],[Proposed Emission Factor]]*(1-unique_components_154[[#This Row],[Proposed Control Efficiency]])</f>
        <v>0</v>
      </c>
      <c r="G110" s="155">
        <f>IFERROR(unique_components_154[[#This Row],[Controlled lb/hr]]*4.38,"")</f>
        <v>0</v>
      </c>
    </row>
    <row r="111" spans="1:9" x14ac:dyDescent="0.2">
      <c r="A111" s="103"/>
      <c r="B111" s="104"/>
      <c r="C111" s="153"/>
      <c r="D111" s="154"/>
      <c r="E111" s="154"/>
      <c r="F111" s="146">
        <f>unique_components_154[[#This Row],[Count]]*unique_components_154[[#This Row],[Proposed Emission Factor]]*(1-unique_components_154[[#This Row],[Proposed Control Efficiency]])</f>
        <v>0</v>
      </c>
      <c r="G111" s="155">
        <f>IFERROR(unique_components_154[[#This Row],[Controlled lb/hr]]*4.38,"")</f>
        <v>0</v>
      </c>
    </row>
    <row r="112" spans="1:9" x14ac:dyDescent="0.2">
      <c r="A112" s="103"/>
      <c r="B112" s="104"/>
      <c r="C112" s="153"/>
      <c r="D112" s="154"/>
      <c r="E112" s="154"/>
      <c r="F112" s="146">
        <f>unique_components_154[[#This Row],[Count]]*unique_components_154[[#This Row],[Proposed Emission Factor]]*(1-unique_components_154[[#This Row],[Proposed Control Efficiency]])</f>
        <v>0</v>
      </c>
      <c r="G112" s="155">
        <f>IFERROR(unique_components_154[[#This Row],[Controlled lb/hr]]*4.38,"")</f>
        <v>0</v>
      </c>
    </row>
    <row r="113" spans="1:8" x14ac:dyDescent="0.2">
      <c r="A113" s="103"/>
      <c r="B113" s="104"/>
      <c r="C113" s="153"/>
      <c r="D113" s="154"/>
      <c r="E113" s="154"/>
      <c r="F113" s="146">
        <f>unique_components_154[[#This Row],[Count]]*unique_components_154[[#This Row],[Proposed Emission Factor]]*(1-unique_components_154[[#This Row],[Proposed Control Efficiency]])</f>
        <v>0</v>
      </c>
      <c r="G113" s="155">
        <f>IFERROR(unique_components_154[[#This Row],[Controlled lb/hr]]*4.38,"")</f>
        <v>0</v>
      </c>
    </row>
    <row r="114" spans="1:8" x14ac:dyDescent="0.2">
      <c r="A114" s="103"/>
      <c r="B114" s="104"/>
      <c r="C114" s="153"/>
      <c r="D114" s="154"/>
      <c r="E114" s="154"/>
      <c r="F114" s="146">
        <f>unique_components_154[[#This Row],[Count]]*unique_components_154[[#This Row],[Proposed Emission Factor]]*(1-unique_components_154[[#This Row],[Proposed Control Efficiency]])</f>
        <v>0</v>
      </c>
      <c r="G114" s="155">
        <f>IFERROR(unique_components_154[[#This Row],[Controlled lb/hr]]*4.38,"")</f>
        <v>0</v>
      </c>
    </row>
    <row r="115" spans="1:8" x14ac:dyDescent="0.2">
      <c r="A115" s="103"/>
      <c r="B115" s="104"/>
      <c r="C115" s="153"/>
      <c r="D115" s="154"/>
      <c r="E115" s="154"/>
      <c r="F115" s="146">
        <f>unique_components_154[[#This Row],[Count]]*unique_components_154[[#This Row],[Proposed Emission Factor]]*(1-unique_components_154[[#This Row],[Proposed Control Efficiency]])</f>
        <v>0</v>
      </c>
      <c r="G115" s="155">
        <f>IFERROR(unique_components_154[[#This Row],[Controlled lb/hr]]*4.38,"")</f>
        <v>0</v>
      </c>
    </row>
    <row r="116" spans="1:8" x14ac:dyDescent="0.2">
      <c r="A116" s="103"/>
      <c r="B116" s="104"/>
      <c r="C116" s="153"/>
      <c r="D116" s="154"/>
      <c r="E116" s="154"/>
      <c r="F116" s="146">
        <f>unique_components_154[[#This Row],[Count]]*unique_components_154[[#This Row],[Proposed Emission Factor]]*(1-unique_components_154[[#This Row],[Proposed Control Efficiency]])</f>
        <v>0</v>
      </c>
      <c r="G116" s="155">
        <f>IFERROR(unique_components_154[[#This Row],[Controlled lb/hr]]*4.38,"")</f>
        <v>0</v>
      </c>
    </row>
    <row r="117" spans="1:8" x14ac:dyDescent="0.2">
      <c r="A117" s="103"/>
      <c r="B117" s="104"/>
      <c r="C117" s="153"/>
      <c r="D117" s="154"/>
      <c r="E117" s="154"/>
      <c r="F117" s="146">
        <f>unique_components_154[[#This Row],[Count]]*unique_components_154[[#This Row],[Proposed Emission Factor]]*(1-unique_components_154[[#This Row],[Proposed Control Efficiency]])</f>
        <v>0</v>
      </c>
      <c r="G117" s="155">
        <f>IFERROR(unique_components_154[[#This Row],[Controlled lb/hr]]*4.38,"")</f>
        <v>0</v>
      </c>
    </row>
    <row r="118" spans="1:8" x14ac:dyDescent="0.2">
      <c r="A118" s="103"/>
      <c r="B118" s="104"/>
      <c r="C118" s="153"/>
      <c r="D118" s="154"/>
      <c r="E118" s="154"/>
      <c r="F118" s="146">
        <f>unique_components_154[[#This Row],[Count]]*unique_components_154[[#This Row],[Proposed Emission Factor]]*(1-unique_components_154[[#This Row],[Proposed Control Efficiency]])</f>
        <v>0</v>
      </c>
      <c r="G118" s="155">
        <f>IFERROR(unique_components_154[[#This Row],[Controlled lb/hr]]*4.38,"")</f>
        <v>0</v>
      </c>
    </row>
    <row r="119" spans="1:8" x14ac:dyDescent="0.2">
      <c r="A119" s="103"/>
      <c r="B119" s="104"/>
      <c r="C119" s="153"/>
      <c r="D119" s="154"/>
      <c r="E119" s="154"/>
      <c r="F119" s="146">
        <f>unique_components_154[[#This Row],[Count]]*unique_components_154[[#This Row],[Proposed Emission Factor]]*(1-unique_components_154[[#This Row],[Proposed Control Efficiency]])</f>
        <v>0</v>
      </c>
      <c r="G119" s="155">
        <f>IFERROR(unique_components_154[[#This Row],[Controlled lb/hr]]*4.38,"")</f>
        <v>0</v>
      </c>
    </row>
    <row r="120" spans="1:8" x14ac:dyDescent="0.2">
      <c r="A120" s="103"/>
      <c r="B120" s="104"/>
      <c r="C120" s="153"/>
      <c r="D120" s="154"/>
      <c r="E120" s="154"/>
      <c r="F120" s="146">
        <f>unique_components_154[[#This Row],[Count]]*unique_components_154[[#This Row],[Proposed Emission Factor]]*(1-unique_components_154[[#This Row],[Proposed Control Efficiency]])</f>
        <v>0</v>
      </c>
      <c r="G120" s="155">
        <f>IFERROR(unique_components_154[[#This Row],[Controlled lb/hr]]*4.38,"")</f>
        <v>0</v>
      </c>
    </row>
    <row r="121" spans="1:8" x14ac:dyDescent="0.2">
      <c r="A121" s="103"/>
      <c r="B121" s="104"/>
      <c r="C121" s="153"/>
      <c r="D121" s="154"/>
      <c r="E121" s="154"/>
      <c r="F121" s="146">
        <f>unique_components_154[[#This Row],[Count]]*unique_components_154[[#This Row],[Proposed Emission Factor]]*(1-unique_components_154[[#This Row],[Proposed Control Efficiency]])</f>
        <v>0</v>
      </c>
      <c r="G121" s="155">
        <f>IFERROR(unique_components_154[[#This Row],[Controlled lb/hr]]*4.38,"")</f>
        <v>0</v>
      </c>
    </row>
    <row r="122" spans="1:8" x14ac:dyDescent="0.2">
      <c r="A122" s="103"/>
      <c r="B122" s="104"/>
      <c r="C122" s="153"/>
      <c r="D122" s="154"/>
      <c r="E122" s="154"/>
      <c r="F122" s="146">
        <f>unique_components_154[[#This Row],[Count]]*unique_components_154[[#This Row],[Proposed Emission Factor]]*(1-unique_components_154[[#This Row],[Proposed Control Efficiency]])</f>
        <v>0</v>
      </c>
      <c r="G122" s="155">
        <f>IFERROR(unique_components_154[[#This Row],[Controlled lb/hr]]*4.38,"")</f>
        <v>0</v>
      </c>
    </row>
    <row r="123" spans="1:8" x14ac:dyDescent="0.2">
      <c r="A123" s="103"/>
      <c r="B123" s="104"/>
      <c r="C123" s="153"/>
      <c r="D123" s="154"/>
      <c r="E123" s="154"/>
      <c r="F123" s="146">
        <f>unique_components_154[[#This Row],[Count]]*unique_components_154[[#This Row],[Proposed Emission Factor]]*(1-unique_components_154[[#This Row],[Proposed Control Efficiency]])</f>
        <v>0</v>
      </c>
      <c r="G123" s="155">
        <f>IFERROR(unique_components_154[[#This Row],[Controlled lb/hr]]*4.38,"")</f>
        <v>0</v>
      </c>
    </row>
    <row r="124" spans="1:8" x14ac:dyDescent="0.2">
      <c r="A124" s="103"/>
      <c r="B124" s="104"/>
      <c r="C124" s="153"/>
      <c r="D124" s="154"/>
      <c r="E124" s="154"/>
      <c r="F124" s="146">
        <f>unique_components_154[[#This Row],[Count]]*unique_components_154[[#This Row],[Proposed Emission Factor]]*(1-unique_components_154[[#This Row],[Proposed Control Efficiency]])</f>
        <v>0</v>
      </c>
      <c r="G124" s="155">
        <f>IFERROR(unique_components_154[[#This Row],[Controlled lb/hr]]*4.38,"")</f>
        <v>0</v>
      </c>
    </row>
    <row r="125" spans="1:8" x14ac:dyDescent="0.2">
      <c r="A125" s="103"/>
      <c r="B125" s="104"/>
      <c r="C125" s="153"/>
      <c r="D125" s="154"/>
      <c r="E125" s="154"/>
      <c r="F125" s="146">
        <f>unique_components_154[[#This Row],[Count]]*unique_components_154[[#This Row],[Proposed Emission Factor]]*(1-unique_components_154[[#This Row],[Proposed Control Efficiency]])</f>
        <v>0</v>
      </c>
      <c r="G125" s="155">
        <f>IFERROR(unique_components_154[[#This Row],[Controlled lb/hr]]*4.38,"")</f>
        <v>0</v>
      </c>
    </row>
    <row r="126" spans="1:8" x14ac:dyDescent="0.2">
      <c r="A126" s="105"/>
      <c r="B126" s="106"/>
      <c r="C126" s="156"/>
      <c r="D126" s="154"/>
      <c r="E126" s="157"/>
      <c r="F126" s="158">
        <f>unique_components_154[[#This Row],[Count]]*unique_components_154[[#This Row],[Proposed Emission Factor]]*(1-unique_components_154[[#This Row],[Proposed Control Efficiency]])</f>
        <v>0</v>
      </c>
      <c r="G126" s="159">
        <f>IFERROR(unique_components_154[[#This Row],[Controlled lb/hr]]*4.38,"")</f>
        <v>0</v>
      </c>
    </row>
    <row r="127" spans="1:8" ht="30" x14ac:dyDescent="0.2">
      <c r="A127" s="57" t="s">
        <v>13297</v>
      </c>
      <c r="B127" s="54"/>
      <c r="C127" s="160">
        <f>SUBTOTAL(109,unique_components_154[Count])</f>
        <v>0</v>
      </c>
      <c r="D127" s="161"/>
      <c r="E127" s="161"/>
      <c r="F127" s="162">
        <f>SUBTOTAL(109,unique_components_154[Controlled lb/hr])</f>
        <v>0</v>
      </c>
      <c r="G127" s="162">
        <f>SUBTOTAL(109,unique_components_154[Controlled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IFERROR(VLOOKUP(speciated_chemicals_155[[#This Row],[CAS '#]],species[],MATCH("Substance", species[#Headers], 0),FALSE),"No CAS Number Entered")</f>
        <v>No CAS Number Entered</v>
      </c>
      <c r="C131" s="102"/>
      <c r="D131" s="102" t="s">
        <v>12666</v>
      </c>
      <c r="E131" s="102" t="s">
        <v>12666</v>
      </c>
      <c r="F131" s="102" t="s">
        <v>12666</v>
      </c>
      <c r="G131" s="102" t="s">
        <v>12666</v>
      </c>
      <c r="H131" s="164"/>
      <c r="I131" s="51">
        <f>IF(speciated_chemicals_155[[#This Row],[Inert / Not a Contaminant?]]="Yes", 0, speciated_chemicals_155[[#This Row],[Weight Percent]]*(unique_components_154[[#Totals],[Controlled lb/hr]]+standard_components_153[[#Totals],[Controlled
lb/hr]]))</f>
        <v>0</v>
      </c>
      <c r="J131" s="51">
        <f>IF(speciated_chemicals_155[[#This Row],[Inert / Not a Contaminant?]]="Yes", 0, speciated_chemicals_155[[#This Row],[Weight Percent]]*(unique_components_154[[#Totals],[Controlled
tpy]]+standard_components_153[[#Totals],[Controlled
tpy]]))</f>
        <v>0</v>
      </c>
    </row>
    <row r="132" spans="1:10" x14ac:dyDescent="0.2">
      <c r="A132" s="103"/>
      <c r="B132" s="51" t="str">
        <f>IFERROR(VLOOKUP(speciated_chemicals_155[[#This Row],[CAS '#]],species[],MATCH("Substance", species[#Headers], 0),FALSE),"No CAS Number Entered")</f>
        <v>No CAS Number Entered</v>
      </c>
      <c r="C132" s="102"/>
      <c r="D132" s="102" t="s">
        <v>12666</v>
      </c>
      <c r="E132" s="102" t="s">
        <v>12666</v>
      </c>
      <c r="F132" s="102" t="s">
        <v>12666</v>
      </c>
      <c r="G132" s="102" t="s">
        <v>12666</v>
      </c>
      <c r="H132" s="164"/>
      <c r="I132" s="51">
        <f>IF(speciated_chemicals_155[[#This Row],[Inert / Not a Contaminant?]]="Yes", 0, speciated_chemicals_155[[#This Row],[Weight Percent]]*(unique_components_154[[#Totals],[Controlled lb/hr]]+standard_components_153[[#Totals],[Controlled
lb/hr]]))</f>
        <v>0</v>
      </c>
      <c r="J132" s="51">
        <f>IF(speciated_chemicals_155[[#This Row],[Inert / Not a Contaminant?]]="Yes", 0, speciated_chemicals_155[[#This Row],[Weight Percent]]*(unique_components_154[[#Totals],[Controlled
tpy]]+standard_components_153[[#Totals],[Controlled
tpy]]))</f>
        <v>0</v>
      </c>
    </row>
    <row r="133" spans="1:10" x14ac:dyDescent="0.2">
      <c r="A133" s="103"/>
      <c r="B133" s="51" t="str">
        <f>IFERROR(VLOOKUP(speciated_chemicals_155[[#This Row],[CAS '#]],species[],MATCH("Substance", species[#Headers], 0),FALSE),"No CAS Number Entered")</f>
        <v>No CAS Number Entered</v>
      </c>
      <c r="C133" s="102"/>
      <c r="D133" s="102" t="s">
        <v>12666</v>
      </c>
      <c r="E133" s="102" t="s">
        <v>12666</v>
      </c>
      <c r="F133" s="102" t="s">
        <v>12666</v>
      </c>
      <c r="G133" s="102" t="s">
        <v>12666</v>
      </c>
      <c r="H133" s="164"/>
      <c r="I133" s="51">
        <f>IF(speciated_chemicals_155[[#This Row],[Inert / Not a Contaminant?]]="Yes", 0, speciated_chemicals_155[[#This Row],[Weight Percent]]*(unique_components_154[[#Totals],[Controlled lb/hr]]+standard_components_153[[#Totals],[Controlled
lb/hr]]))</f>
        <v>0</v>
      </c>
      <c r="J133" s="51">
        <f>IF(speciated_chemicals_155[[#This Row],[Inert / Not a Contaminant?]]="Yes", 0, speciated_chemicals_155[[#This Row],[Weight Percent]]*(unique_components_154[[#Totals],[Controlled
tpy]]+standard_components_153[[#Totals],[Controlled
tpy]]))</f>
        <v>0</v>
      </c>
    </row>
    <row r="134" spans="1:10" x14ac:dyDescent="0.2">
      <c r="A134" s="103"/>
      <c r="B134" s="51" t="str">
        <f>IFERROR(VLOOKUP(speciated_chemicals_155[[#This Row],[CAS '#]],species[],MATCH("Substance", species[#Headers], 0),FALSE),"No CAS Number Entered")</f>
        <v>No CAS Number Entered</v>
      </c>
      <c r="C134" s="102"/>
      <c r="D134" s="102" t="s">
        <v>12666</v>
      </c>
      <c r="E134" s="102" t="s">
        <v>12666</v>
      </c>
      <c r="F134" s="102" t="s">
        <v>12666</v>
      </c>
      <c r="G134" s="102" t="s">
        <v>12666</v>
      </c>
      <c r="H134" s="164"/>
      <c r="I134" s="51">
        <f>IF(speciated_chemicals_155[[#This Row],[Inert / Not a Contaminant?]]="Yes", 0, speciated_chemicals_155[[#This Row],[Weight Percent]]*(unique_components_154[[#Totals],[Controlled lb/hr]]+standard_components_153[[#Totals],[Controlled
lb/hr]]))</f>
        <v>0</v>
      </c>
      <c r="J134" s="51">
        <f>IF(speciated_chemicals_155[[#This Row],[Inert / Not a Contaminant?]]="Yes", 0, speciated_chemicals_155[[#This Row],[Weight Percent]]*(unique_components_154[[#Totals],[Controlled
tpy]]+standard_components_153[[#Totals],[Controlled
tpy]]))</f>
        <v>0</v>
      </c>
    </row>
    <row r="135" spans="1:10" x14ac:dyDescent="0.2">
      <c r="A135" s="103"/>
      <c r="B135" s="51" t="str">
        <f>IFERROR(VLOOKUP(speciated_chemicals_155[[#This Row],[CAS '#]],species[],MATCH("Substance", species[#Headers], 0),FALSE),"No CAS Number Entered")</f>
        <v>No CAS Number Entered</v>
      </c>
      <c r="C135" s="102"/>
      <c r="D135" s="102" t="s">
        <v>12666</v>
      </c>
      <c r="E135" s="102" t="s">
        <v>12666</v>
      </c>
      <c r="F135" s="102" t="s">
        <v>12666</v>
      </c>
      <c r="G135" s="102" t="s">
        <v>12666</v>
      </c>
      <c r="H135" s="164"/>
      <c r="I135" s="51">
        <f>IF(speciated_chemicals_155[[#This Row],[Inert / Not a Contaminant?]]="Yes", 0, speciated_chemicals_155[[#This Row],[Weight Percent]]*(unique_components_154[[#Totals],[Controlled lb/hr]]+standard_components_153[[#Totals],[Controlled
lb/hr]]))</f>
        <v>0</v>
      </c>
      <c r="J135" s="51">
        <f>IF(speciated_chemicals_155[[#This Row],[Inert / Not a Contaminant?]]="Yes", 0, speciated_chemicals_155[[#This Row],[Weight Percent]]*(unique_components_154[[#Totals],[Controlled
tpy]]+standard_components_153[[#Totals],[Controlled
tpy]]))</f>
        <v>0</v>
      </c>
    </row>
    <row r="136" spans="1:10" x14ac:dyDescent="0.2">
      <c r="A136" s="103"/>
      <c r="B136" s="51" t="str">
        <f>IFERROR(VLOOKUP(speciated_chemicals_155[[#This Row],[CAS '#]],species[],MATCH("Substance", species[#Headers], 0),FALSE),"No CAS Number Entered")</f>
        <v>No CAS Number Entered</v>
      </c>
      <c r="C136" s="102"/>
      <c r="D136" s="102" t="s">
        <v>12666</v>
      </c>
      <c r="E136" s="102" t="s">
        <v>12666</v>
      </c>
      <c r="F136" s="102" t="s">
        <v>12666</v>
      </c>
      <c r="G136" s="102" t="s">
        <v>12666</v>
      </c>
      <c r="H136" s="164"/>
      <c r="I136" s="51">
        <f>IF(speciated_chemicals_155[[#This Row],[Inert / Not a Contaminant?]]="Yes", 0, speciated_chemicals_155[[#This Row],[Weight Percent]]*(unique_components_154[[#Totals],[Controlled lb/hr]]+standard_components_153[[#Totals],[Controlled
lb/hr]]))</f>
        <v>0</v>
      </c>
      <c r="J136" s="51">
        <f>IF(speciated_chemicals_155[[#This Row],[Inert / Not a Contaminant?]]="Yes", 0, speciated_chemicals_155[[#This Row],[Weight Percent]]*(unique_components_154[[#Totals],[Controlled
tpy]]+standard_components_153[[#Totals],[Controlled
tpy]]))</f>
        <v>0</v>
      </c>
    </row>
    <row r="137" spans="1:10" x14ac:dyDescent="0.2">
      <c r="A137" s="103"/>
      <c r="B137" s="51" t="str">
        <f>IFERROR(VLOOKUP(speciated_chemicals_155[[#This Row],[CAS '#]],species[],MATCH("Substance", species[#Headers], 0),FALSE),"No CAS Number Entered")</f>
        <v>No CAS Number Entered</v>
      </c>
      <c r="C137" s="102"/>
      <c r="D137" s="102" t="s">
        <v>12666</v>
      </c>
      <c r="E137" s="102" t="s">
        <v>12666</v>
      </c>
      <c r="F137" s="102" t="s">
        <v>12666</v>
      </c>
      <c r="G137" s="102" t="s">
        <v>12666</v>
      </c>
      <c r="H137" s="164"/>
      <c r="I137" s="51">
        <f>IF(speciated_chemicals_155[[#This Row],[Inert / Not a Contaminant?]]="Yes", 0, speciated_chemicals_155[[#This Row],[Weight Percent]]*(unique_components_154[[#Totals],[Controlled lb/hr]]+standard_components_153[[#Totals],[Controlled
lb/hr]]))</f>
        <v>0</v>
      </c>
      <c r="J137" s="51">
        <f>IF(speciated_chemicals_155[[#This Row],[Inert / Not a Contaminant?]]="Yes", 0, speciated_chemicals_155[[#This Row],[Weight Percent]]*(unique_components_154[[#Totals],[Controlled
tpy]]+standard_components_153[[#Totals],[Controlled
tpy]]))</f>
        <v>0</v>
      </c>
    </row>
    <row r="138" spans="1:10" x14ac:dyDescent="0.2">
      <c r="A138" s="103"/>
      <c r="B138" s="51" t="str">
        <f>IFERROR(VLOOKUP(speciated_chemicals_155[[#This Row],[CAS '#]],species[],MATCH("Substance", species[#Headers], 0),FALSE),"No CAS Number Entered")</f>
        <v>No CAS Number Entered</v>
      </c>
      <c r="C138" s="102"/>
      <c r="D138" s="102" t="s">
        <v>12666</v>
      </c>
      <c r="E138" s="102" t="s">
        <v>12666</v>
      </c>
      <c r="F138" s="102" t="s">
        <v>12666</v>
      </c>
      <c r="G138" s="102" t="s">
        <v>12666</v>
      </c>
      <c r="H138" s="164"/>
      <c r="I138" s="51">
        <f>IF(speciated_chemicals_155[[#This Row],[Inert / Not a Contaminant?]]="Yes", 0, speciated_chemicals_155[[#This Row],[Weight Percent]]*(unique_components_154[[#Totals],[Controlled lb/hr]]+standard_components_153[[#Totals],[Controlled
lb/hr]]))</f>
        <v>0</v>
      </c>
      <c r="J138" s="51">
        <f>IF(speciated_chemicals_155[[#This Row],[Inert / Not a Contaminant?]]="Yes", 0, speciated_chemicals_155[[#This Row],[Weight Percent]]*(unique_components_154[[#Totals],[Controlled
tpy]]+standard_components_153[[#Totals],[Controlled
tpy]]))</f>
        <v>0</v>
      </c>
    </row>
    <row r="139" spans="1:10" x14ac:dyDescent="0.2">
      <c r="A139" s="103"/>
      <c r="B139" s="51" t="str">
        <f>IFERROR(VLOOKUP(speciated_chemicals_155[[#This Row],[CAS '#]],species[],MATCH("Substance", species[#Headers], 0),FALSE),"No CAS Number Entered")</f>
        <v>No CAS Number Entered</v>
      </c>
      <c r="C139" s="102"/>
      <c r="D139" s="102" t="s">
        <v>12666</v>
      </c>
      <c r="E139" s="102" t="s">
        <v>12666</v>
      </c>
      <c r="F139" s="102" t="s">
        <v>12666</v>
      </c>
      <c r="G139" s="102" t="s">
        <v>12666</v>
      </c>
      <c r="H139" s="164"/>
      <c r="I139" s="51">
        <f>IF(speciated_chemicals_155[[#This Row],[Inert / Not a Contaminant?]]="Yes", 0, speciated_chemicals_155[[#This Row],[Weight Percent]]*(unique_components_154[[#Totals],[Controlled lb/hr]]+standard_components_153[[#Totals],[Controlled
lb/hr]]))</f>
        <v>0</v>
      </c>
      <c r="J139" s="51">
        <f>IF(speciated_chemicals_155[[#This Row],[Inert / Not a Contaminant?]]="Yes", 0, speciated_chemicals_155[[#This Row],[Weight Percent]]*(unique_components_154[[#Totals],[Controlled
tpy]]+standard_components_153[[#Totals],[Controlled
tpy]]))</f>
        <v>0</v>
      </c>
    </row>
    <row r="140" spans="1:10" x14ac:dyDescent="0.2">
      <c r="A140" s="103"/>
      <c r="B140" s="51" t="str">
        <f>IFERROR(VLOOKUP(speciated_chemicals_155[[#This Row],[CAS '#]],species[],MATCH("Substance", species[#Headers], 0),FALSE),"No CAS Number Entered")</f>
        <v>No CAS Number Entered</v>
      </c>
      <c r="C140" s="102"/>
      <c r="D140" s="102" t="s">
        <v>12666</v>
      </c>
      <c r="E140" s="102" t="s">
        <v>12666</v>
      </c>
      <c r="F140" s="102" t="s">
        <v>12666</v>
      </c>
      <c r="G140" s="102" t="s">
        <v>12666</v>
      </c>
      <c r="H140" s="164"/>
      <c r="I140" s="51">
        <f>IF(speciated_chemicals_155[[#This Row],[Inert / Not a Contaminant?]]="Yes", 0, speciated_chemicals_155[[#This Row],[Weight Percent]]*(unique_components_154[[#Totals],[Controlled lb/hr]]+standard_components_153[[#Totals],[Controlled
lb/hr]]))</f>
        <v>0</v>
      </c>
      <c r="J140" s="51">
        <f>IF(speciated_chemicals_155[[#This Row],[Inert / Not a Contaminant?]]="Yes", 0, speciated_chemicals_155[[#This Row],[Weight Percent]]*(unique_components_154[[#Totals],[Controlled
tpy]]+standard_components_153[[#Totals],[Controlled
tpy]]))</f>
        <v>0</v>
      </c>
    </row>
    <row r="141" spans="1:10" x14ac:dyDescent="0.2">
      <c r="A141" s="103"/>
      <c r="B141" s="51" t="str">
        <f>IFERROR(VLOOKUP(speciated_chemicals_155[[#This Row],[CAS '#]],species[],MATCH("Substance", species[#Headers], 0),FALSE),"No CAS Number Entered")</f>
        <v>No CAS Number Entered</v>
      </c>
      <c r="C141" s="102"/>
      <c r="D141" s="102" t="s">
        <v>12666</v>
      </c>
      <c r="E141" s="102" t="s">
        <v>12666</v>
      </c>
      <c r="F141" s="102" t="s">
        <v>12666</v>
      </c>
      <c r="G141" s="102" t="s">
        <v>12666</v>
      </c>
      <c r="H141" s="164"/>
      <c r="I141" s="51">
        <f>IF(speciated_chemicals_155[[#This Row],[Inert / Not a Contaminant?]]="Yes", 0, speciated_chemicals_155[[#This Row],[Weight Percent]]*(unique_components_154[[#Totals],[Controlled lb/hr]]+standard_components_153[[#Totals],[Controlled
lb/hr]]))</f>
        <v>0</v>
      </c>
      <c r="J141" s="51">
        <f>IF(speciated_chemicals_155[[#This Row],[Inert / Not a Contaminant?]]="Yes", 0, speciated_chemicals_155[[#This Row],[Weight Percent]]*(unique_components_154[[#Totals],[Controlled
tpy]]+standard_components_153[[#Totals],[Controlled
tpy]]))</f>
        <v>0</v>
      </c>
    </row>
    <row r="142" spans="1:10" x14ac:dyDescent="0.2">
      <c r="A142" s="103"/>
      <c r="B142" s="51" t="str">
        <f>IFERROR(VLOOKUP(speciated_chemicals_155[[#This Row],[CAS '#]],species[],MATCH("Substance", species[#Headers], 0),FALSE),"No CAS Number Entered")</f>
        <v>No CAS Number Entered</v>
      </c>
      <c r="C142" s="102"/>
      <c r="D142" s="102" t="s">
        <v>12666</v>
      </c>
      <c r="E142" s="102" t="s">
        <v>12666</v>
      </c>
      <c r="F142" s="102" t="s">
        <v>12666</v>
      </c>
      <c r="G142" s="102" t="s">
        <v>12666</v>
      </c>
      <c r="H142" s="164"/>
      <c r="I142" s="51">
        <f>IF(speciated_chemicals_155[[#This Row],[Inert / Not a Contaminant?]]="Yes", 0, speciated_chemicals_155[[#This Row],[Weight Percent]]*(unique_components_154[[#Totals],[Controlled lb/hr]]+standard_components_153[[#Totals],[Controlled
lb/hr]]))</f>
        <v>0</v>
      </c>
      <c r="J142" s="51">
        <f>IF(speciated_chemicals_155[[#This Row],[Inert / Not a Contaminant?]]="Yes", 0, speciated_chemicals_155[[#This Row],[Weight Percent]]*(unique_components_154[[#Totals],[Controlled
tpy]]+standard_components_153[[#Totals],[Controlled
tpy]]))</f>
        <v>0</v>
      </c>
    </row>
    <row r="143" spans="1:10" x14ac:dyDescent="0.2">
      <c r="A143" s="103"/>
      <c r="B143" s="51" t="str">
        <f>IFERROR(VLOOKUP(speciated_chemicals_155[[#This Row],[CAS '#]],species[],MATCH("Substance", species[#Headers], 0),FALSE),"No CAS Number Entered")</f>
        <v>No CAS Number Entered</v>
      </c>
      <c r="C143" s="102"/>
      <c r="D143" s="102" t="s">
        <v>12666</v>
      </c>
      <c r="E143" s="102" t="s">
        <v>12666</v>
      </c>
      <c r="F143" s="102" t="s">
        <v>12666</v>
      </c>
      <c r="G143" s="102" t="s">
        <v>12666</v>
      </c>
      <c r="H143" s="164"/>
      <c r="I143" s="51">
        <f>IF(speciated_chemicals_155[[#This Row],[Inert / Not a Contaminant?]]="Yes", 0, speciated_chemicals_155[[#This Row],[Weight Percent]]*(unique_components_154[[#Totals],[Controlled lb/hr]]+standard_components_153[[#Totals],[Controlled
lb/hr]]))</f>
        <v>0</v>
      </c>
      <c r="J143" s="51">
        <f>IF(speciated_chemicals_155[[#This Row],[Inert / Not a Contaminant?]]="Yes", 0, speciated_chemicals_155[[#This Row],[Weight Percent]]*(unique_components_154[[#Totals],[Controlled
tpy]]+standard_components_153[[#Totals],[Controlled
tpy]]))</f>
        <v>0</v>
      </c>
    </row>
    <row r="144" spans="1:10" x14ac:dyDescent="0.2">
      <c r="A144" s="103"/>
      <c r="B144" s="51" t="str">
        <f>IFERROR(VLOOKUP(speciated_chemicals_155[[#This Row],[CAS '#]],species[],MATCH("Substance", species[#Headers], 0),FALSE),"No CAS Number Entered")</f>
        <v>No CAS Number Entered</v>
      </c>
      <c r="C144" s="102"/>
      <c r="D144" s="102" t="s">
        <v>12666</v>
      </c>
      <c r="E144" s="102" t="s">
        <v>12666</v>
      </c>
      <c r="F144" s="102" t="s">
        <v>12666</v>
      </c>
      <c r="G144" s="102" t="s">
        <v>12666</v>
      </c>
      <c r="H144" s="164"/>
      <c r="I144" s="51">
        <f>IF(speciated_chemicals_155[[#This Row],[Inert / Not a Contaminant?]]="Yes", 0, speciated_chemicals_155[[#This Row],[Weight Percent]]*(unique_components_154[[#Totals],[Controlled lb/hr]]+standard_components_153[[#Totals],[Controlled
lb/hr]]))</f>
        <v>0</v>
      </c>
      <c r="J144" s="51">
        <f>IF(speciated_chemicals_155[[#This Row],[Inert / Not a Contaminant?]]="Yes", 0, speciated_chemicals_155[[#This Row],[Weight Percent]]*(unique_components_154[[#Totals],[Controlled
tpy]]+standard_components_153[[#Totals],[Controlled
tpy]]))</f>
        <v>0</v>
      </c>
    </row>
    <row r="145" spans="1:10" x14ac:dyDescent="0.2">
      <c r="A145" s="103"/>
      <c r="B145" s="51" t="str">
        <f>IFERROR(VLOOKUP(speciated_chemicals_155[[#This Row],[CAS '#]],species[],MATCH("Substance", species[#Headers], 0),FALSE),"No CAS Number Entered")</f>
        <v>No CAS Number Entered</v>
      </c>
      <c r="C145" s="102"/>
      <c r="D145" s="102" t="s">
        <v>12666</v>
      </c>
      <c r="E145" s="102" t="s">
        <v>12666</v>
      </c>
      <c r="F145" s="102" t="s">
        <v>12666</v>
      </c>
      <c r="G145" s="102" t="s">
        <v>12666</v>
      </c>
      <c r="H145" s="164"/>
      <c r="I145" s="51">
        <f>IF(speciated_chemicals_155[[#This Row],[Inert / Not a Contaminant?]]="Yes", 0, speciated_chemicals_155[[#This Row],[Weight Percent]]*(unique_components_154[[#Totals],[Controlled lb/hr]]+standard_components_153[[#Totals],[Controlled
lb/hr]]))</f>
        <v>0</v>
      </c>
      <c r="J145" s="51">
        <f>IF(speciated_chemicals_155[[#This Row],[Inert / Not a Contaminant?]]="Yes", 0, speciated_chemicals_155[[#This Row],[Weight Percent]]*(unique_components_154[[#Totals],[Controlled
tpy]]+standard_components_153[[#Totals],[Controlled
tpy]]))</f>
        <v>0</v>
      </c>
    </row>
    <row r="146" spans="1:10" x14ac:dyDescent="0.2">
      <c r="A146" s="103"/>
      <c r="B146" s="51" t="str">
        <f>IFERROR(VLOOKUP(speciated_chemicals_155[[#This Row],[CAS '#]],species[],MATCH("Substance", species[#Headers], 0),FALSE),"No CAS Number Entered")</f>
        <v>No CAS Number Entered</v>
      </c>
      <c r="C146" s="102"/>
      <c r="D146" s="102" t="s">
        <v>12666</v>
      </c>
      <c r="E146" s="102" t="s">
        <v>12666</v>
      </c>
      <c r="F146" s="102" t="s">
        <v>12666</v>
      </c>
      <c r="G146" s="102" t="s">
        <v>12666</v>
      </c>
      <c r="H146" s="164"/>
      <c r="I146" s="51">
        <f>IF(speciated_chemicals_155[[#This Row],[Inert / Not a Contaminant?]]="Yes", 0, speciated_chemicals_155[[#This Row],[Weight Percent]]*(unique_components_154[[#Totals],[Controlled lb/hr]]+standard_components_153[[#Totals],[Controlled
lb/hr]]))</f>
        <v>0</v>
      </c>
      <c r="J146" s="51">
        <f>IF(speciated_chemicals_155[[#This Row],[Inert / Not a Contaminant?]]="Yes", 0, speciated_chemicals_155[[#This Row],[Weight Percent]]*(unique_components_154[[#Totals],[Controlled
tpy]]+standard_components_153[[#Totals],[Controlled
tpy]]))</f>
        <v>0</v>
      </c>
    </row>
    <row r="147" spans="1:10" x14ac:dyDescent="0.2">
      <c r="A147" s="103"/>
      <c r="B147" s="51" t="str">
        <f>IFERROR(VLOOKUP(speciated_chemicals_155[[#This Row],[CAS '#]],species[],MATCH("Substance", species[#Headers], 0),FALSE),"No CAS Number Entered")</f>
        <v>No CAS Number Entered</v>
      </c>
      <c r="C147" s="102"/>
      <c r="D147" s="102" t="s">
        <v>12666</v>
      </c>
      <c r="E147" s="102" t="s">
        <v>12666</v>
      </c>
      <c r="F147" s="102" t="s">
        <v>12666</v>
      </c>
      <c r="G147" s="102" t="s">
        <v>12666</v>
      </c>
      <c r="H147" s="164"/>
      <c r="I147" s="51">
        <f>IF(speciated_chemicals_155[[#This Row],[Inert / Not a Contaminant?]]="Yes", 0, speciated_chemicals_155[[#This Row],[Weight Percent]]*(unique_components_154[[#Totals],[Controlled lb/hr]]+standard_components_153[[#Totals],[Controlled
lb/hr]]))</f>
        <v>0</v>
      </c>
      <c r="J147" s="51">
        <f>IF(speciated_chemicals_155[[#This Row],[Inert / Not a Contaminant?]]="Yes", 0, speciated_chemicals_155[[#This Row],[Weight Percent]]*(unique_components_154[[#Totals],[Controlled
tpy]]+standard_components_153[[#Totals],[Controlled
tpy]]))</f>
        <v>0</v>
      </c>
    </row>
    <row r="148" spans="1:10" x14ac:dyDescent="0.2">
      <c r="A148" s="103"/>
      <c r="B148" s="51" t="str">
        <f>IFERROR(VLOOKUP(speciated_chemicals_155[[#This Row],[CAS '#]],species[],MATCH("Substance", species[#Headers], 0),FALSE),"No CAS Number Entered")</f>
        <v>No CAS Number Entered</v>
      </c>
      <c r="C148" s="102"/>
      <c r="D148" s="102" t="s">
        <v>12666</v>
      </c>
      <c r="E148" s="102" t="s">
        <v>12666</v>
      </c>
      <c r="F148" s="102" t="s">
        <v>12666</v>
      </c>
      <c r="G148" s="102" t="s">
        <v>12666</v>
      </c>
      <c r="H148" s="164"/>
      <c r="I148" s="51">
        <f>IF(speciated_chemicals_155[[#This Row],[Inert / Not a Contaminant?]]="Yes", 0, speciated_chemicals_155[[#This Row],[Weight Percent]]*(unique_components_154[[#Totals],[Controlled lb/hr]]+standard_components_153[[#Totals],[Controlled
lb/hr]]))</f>
        <v>0</v>
      </c>
      <c r="J148" s="51">
        <f>IF(speciated_chemicals_155[[#This Row],[Inert / Not a Contaminant?]]="Yes", 0, speciated_chemicals_155[[#This Row],[Weight Percent]]*(unique_components_154[[#Totals],[Controlled
tpy]]+standard_components_153[[#Totals],[Controlled
tpy]]))</f>
        <v>0</v>
      </c>
    </row>
    <row r="149" spans="1:10" x14ac:dyDescent="0.2">
      <c r="A149" s="103"/>
      <c r="B149" s="51" t="str">
        <f>IFERROR(VLOOKUP(speciated_chemicals_155[[#This Row],[CAS '#]],species[],MATCH("Substance", species[#Headers], 0),FALSE),"No CAS Number Entered")</f>
        <v>No CAS Number Entered</v>
      </c>
      <c r="C149" s="102"/>
      <c r="D149" s="102" t="s">
        <v>12666</v>
      </c>
      <c r="E149" s="102" t="s">
        <v>12666</v>
      </c>
      <c r="F149" s="102" t="s">
        <v>12666</v>
      </c>
      <c r="G149" s="102" t="s">
        <v>12666</v>
      </c>
      <c r="H149" s="164"/>
      <c r="I149" s="51">
        <f>IF(speciated_chemicals_155[[#This Row],[Inert / Not a Contaminant?]]="Yes", 0, speciated_chemicals_155[[#This Row],[Weight Percent]]*(unique_components_154[[#Totals],[Controlled lb/hr]]+standard_components_153[[#Totals],[Controlled
lb/hr]]))</f>
        <v>0</v>
      </c>
      <c r="J149" s="51">
        <f>IF(speciated_chemicals_155[[#This Row],[Inert / Not a Contaminant?]]="Yes", 0, speciated_chemicals_155[[#This Row],[Weight Percent]]*(unique_components_154[[#Totals],[Controlled
tpy]]+standard_components_153[[#Totals],[Controlled
tpy]]))</f>
        <v>0</v>
      </c>
    </row>
    <row r="150" spans="1:10" x14ac:dyDescent="0.2">
      <c r="A150" s="103"/>
      <c r="B150" s="51" t="str">
        <f>IFERROR(VLOOKUP(speciated_chemicals_155[[#This Row],[CAS '#]],species[],MATCH("Substance", species[#Headers], 0),FALSE),"No CAS Number Entered")</f>
        <v>No CAS Number Entered</v>
      </c>
      <c r="C150" s="102"/>
      <c r="D150" s="102" t="s">
        <v>12666</v>
      </c>
      <c r="E150" s="102" t="s">
        <v>12666</v>
      </c>
      <c r="F150" s="102" t="s">
        <v>12666</v>
      </c>
      <c r="G150" s="102" t="s">
        <v>12666</v>
      </c>
      <c r="H150" s="164"/>
      <c r="I150" s="51">
        <f>IF(speciated_chemicals_155[[#This Row],[Inert / Not a Contaminant?]]="Yes", 0, speciated_chemicals_155[[#This Row],[Weight Percent]]*(unique_components_154[[#Totals],[Controlled lb/hr]]+standard_components_153[[#Totals],[Controlled
lb/hr]]))</f>
        <v>0</v>
      </c>
      <c r="J150" s="51">
        <f>IF(speciated_chemicals_155[[#This Row],[Inert / Not a Contaminant?]]="Yes", 0, speciated_chemicals_155[[#This Row],[Weight Percent]]*(unique_components_154[[#Totals],[Controlled
tpy]]+standard_components_153[[#Totals],[Controlled
tpy]]))</f>
        <v>0</v>
      </c>
    </row>
    <row r="151" spans="1:10" x14ac:dyDescent="0.2">
      <c r="A151" s="103"/>
      <c r="B151" s="51" t="str">
        <f>IFERROR(VLOOKUP(speciated_chemicals_155[[#This Row],[CAS '#]],species[],MATCH("Substance", species[#Headers], 0),FALSE),"No CAS Number Entered")</f>
        <v>No CAS Number Entered</v>
      </c>
      <c r="C151" s="102"/>
      <c r="D151" s="102" t="s">
        <v>12666</v>
      </c>
      <c r="E151" s="102" t="s">
        <v>12666</v>
      </c>
      <c r="F151" s="102" t="s">
        <v>12666</v>
      </c>
      <c r="G151" s="102" t="s">
        <v>12666</v>
      </c>
      <c r="H151" s="164"/>
      <c r="I151" s="51">
        <f>IF(speciated_chemicals_155[[#This Row],[Inert / Not a Contaminant?]]="Yes", 0, speciated_chemicals_155[[#This Row],[Weight Percent]]*(unique_components_154[[#Totals],[Controlled lb/hr]]+standard_components_153[[#Totals],[Controlled
lb/hr]]))</f>
        <v>0</v>
      </c>
      <c r="J151" s="51">
        <f>IF(speciated_chemicals_155[[#This Row],[Inert / Not a Contaminant?]]="Yes", 0, speciated_chemicals_155[[#This Row],[Weight Percent]]*(unique_components_154[[#Totals],[Controlled
tpy]]+standard_components_153[[#Totals],[Controlled
tpy]]))</f>
        <v>0</v>
      </c>
    </row>
    <row r="152" spans="1:10" x14ac:dyDescent="0.2">
      <c r="A152" s="103"/>
      <c r="B152" s="51" t="str">
        <f>IFERROR(VLOOKUP(speciated_chemicals_155[[#This Row],[CAS '#]],species[],MATCH("Substance", species[#Headers], 0),FALSE),"No CAS Number Entered")</f>
        <v>No CAS Number Entered</v>
      </c>
      <c r="C152" s="102"/>
      <c r="D152" s="102" t="s">
        <v>12666</v>
      </c>
      <c r="E152" s="102" t="s">
        <v>12666</v>
      </c>
      <c r="F152" s="102" t="s">
        <v>12666</v>
      </c>
      <c r="G152" s="102" t="s">
        <v>12666</v>
      </c>
      <c r="H152" s="164"/>
      <c r="I152" s="51">
        <f>IF(speciated_chemicals_155[[#This Row],[Inert / Not a Contaminant?]]="Yes", 0, speciated_chemicals_155[[#This Row],[Weight Percent]]*(unique_components_154[[#Totals],[Controlled lb/hr]]+standard_components_153[[#Totals],[Controlled
lb/hr]]))</f>
        <v>0</v>
      </c>
      <c r="J152" s="51">
        <f>IF(speciated_chemicals_155[[#This Row],[Inert / Not a Contaminant?]]="Yes", 0, speciated_chemicals_155[[#This Row],[Weight Percent]]*(unique_components_154[[#Totals],[Controlled
tpy]]+standard_components_153[[#Totals],[Controlled
tpy]]))</f>
        <v>0</v>
      </c>
    </row>
    <row r="153" spans="1:10" x14ac:dyDescent="0.2">
      <c r="A153" s="103"/>
      <c r="B153" s="51" t="str">
        <f>IFERROR(VLOOKUP(speciated_chemicals_155[[#This Row],[CAS '#]],species[],MATCH("Substance", species[#Headers], 0),FALSE),"No CAS Number Entered")</f>
        <v>No CAS Number Entered</v>
      </c>
      <c r="C153" s="102"/>
      <c r="D153" s="102" t="s">
        <v>12666</v>
      </c>
      <c r="E153" s="102" t="s">
        <v>12666</v>
      </c>
      <c r="F153" s="102" t="s">
        <v>12666</v>
      </c>
      <c r="G153" s="102" t="s">
        <v>12666</v>
      </c>
      <c r="H153" s="164"/>
      <c r="I153" s="51">
        <f>IF(speciated_chemicals_155[[#This Row],[Inert / Not a Contaminant?]]="Yes", 0, speciated_chemicals_155[[#This Row],[Weight Percent]]*(unique_components_154[[#Totals],[Controlled lb/hr]]+standard_components_153[[#Totals],[Controlled
lb/hr]]))</f>
        <v>0</v>
      </c>
      <c r="J153" s="51">
        <f>IF(speciated_chemicals_155[[#This Row],[Inert / Not a Contaminant?]]="Yes", 0, speciated_chemicals_155[[#This Row],[Weight Percent]]*(unique_components_154[[#Totals],[Controlled
tpy]]+standard_components_153[[#Totals],[Controlled
tpy]]))</f>
        <v>0</v>
      </c>
    </row>
    <row r="154" spans="1:10" x14ac:dyDescent="0.2">
      <c r="A154" s="103"/>
      <c r="B154" s="51" t="str">
        <f>IFERROR(VLOOKUP(speciated_chemicals_155[[#This Row],[CAS '#]],species[],MATCH("Substance", species[#Headers], 0),FALSE),"No CAS Number Entered")</f>
        <v>No CAS Number Entered</v>
      </c>
      <c r="C154" s="102"/>
      <c r="D154" s="102" t="s">
        <v>12666</v>
      </c>
      <c r="E154" s="102" t="s">
        <v>12666</v>
      </c>
      <c r="F154" s="102" t="s">
        <v>12666</v>
      </c>
      <c r="G154" s="102" t="s">
        <v>12666</v>
      </c>
      <c r="H154" s="164"/>
      <c r="I154" s="51">
        <f>IF(speciated_chemicals_155[[#This Row],[Inert / Not a Contaminant?]]="Yes", 0, speciated_chemicals_155[[#This Row],[Weight Percent]]*(unique_components_154[[#Totals],[Controlled lb/hr]]+standard_components_153[[#Totals],[Controlled
lb/hr]]))</f>
        <v>0</v>
      </c>
      <c r="J154" s="51">
        <f>IF(speciated_chemicals_155[[#This Row],[Inert / Not a Contaminant?]]="Yes", 0, speciated_chemicals_155[[#This Row],[Weight Percent]]*(unique_components_154[[#Totals],[Controlled
tpy]]+standard_components_153[[#Totals],[Controlled
tpy]]))</f>
        <v>0</v>
      </c>
    </row>
    <row r="155" spans="1:10" x14ac:dyDescent="0.2">
      <c r="A155" s="103"/>
      <c r="B155" s="51" t="str">
        <f>IFERROR(VLOOKUP(speciated_chemicals_155[[#This Row],[CAS '#]],species[],MATCH("Substance", species[#Headers], 0),FALSE),"No CAS Number Entered")</f>
        <v>No CAS Number Entered</v>
      </c>
      <c r="C155" s="102"/>
      <c r="D155" s="102" t="s">
        <v>12666</v>
      </c>
      <c r="E155" s="102" t="s">
        <v>12666</v>
      </c>
      <c r="F155" s="102" t="s">
        <v>12666</v>
      </c>
      <c r="G155" s="102" t="s">
        <v>12666</v>
      </c>
      <c r="H155" s="164"/>
      <c r="I155" s="51">
        <f>IF(speciated_chemicals_155[[#This Row],[Inert / Not a Contaminant?]]="Yes", 0, speciated_chemicals_155[[#This Row],[Weight Percent]]*(unique_components_154[[#Totals],[Controlled lb/hr]]+standard_components_153[[#Totals],[Controlled
lb/hr]]))</f>
        <v>0</v>
      </c>
      <c r="J155" s="51">
        <f>IF(speciated_chemicals_155[[#This Row],[Inert / Not a Contaminant?]]="Yes", 0, speciated_chemicals_155[[#This Row],[Weight Percent]]*(unique_components_154[[#Totals],[Controlled
tpy]]+standard_components_153[[#Totals],[Controlled
tpy]]))</f>
        <v>0</v>
      </c>
    </row>
    <row r="156" spans="1:10" x14ac:dyDescent="0.2">
      <c r="A156" s="103"/>
      <c r="B156" s="51" t="str">
        <f>IFERROR(VLOOKUP(speciated_chemicals_155[[#This Row],[CAS '#]],species[],MATCH("Substance", species[#Headers], 0),FALSE),"No CAS Number Entered")</f>
        <v>No CAS Number Entered</v>
      </c>
      <c r="C156" s="102"/>
      <c r="D156" s="102" t="s">
        <v>12666</v>
      </c>
      <c r="E156" s="102" t="s">
        <v>12666</v>
      </c>
      <c r="F156" s="102" t="s">
        <v>12666</v>
      </c>
      <c r="G156" s="102" t="s">
        <v>12666</v>
      </c>
      <c r="H156" s="164"/>
      <c r="I156" s="51">
        <f>IF(speciated_chemicals_155[[#This Row],[Inert / Not a Contaminant?]]="Yes", 0, speciated_chemicals_155[[#This Row],[Weight Percent]]*(unique_components_154[[#Totals],[Controlled lb/hr]]+standard_components_153[[#Totals],[Controlled
lb/hr]]))</f>
        <v>0</v>
      </c>
      <c r="J156" s="51">
        <f>IF(speciated_chemicals_155[[#This Row],[Inert / Not a Contaminant?]]="Yes", 0, speciated_chemicals_155[[#This Row],[Weight Percent]]*(unique_components_154[[#Totals],[Controlled
tpy]]+standard_components_153[[#Totals],[Controlled
tpy]]))</f>
        <v>0</v>
      </c>
    </row>
    <row r="157" spans="1:10" x14ac:dyDescent="0.2">
      <c r="A157" s="103"/>
      <c r="B157" s="51" t="str">
        <f>IFERROR(VLOOKUP(speciated_chemicals_155[[#This Row],[CAS '#]],species[],MATCH("Substance", species[#Headers], 0),FALSE),"No CAS Number Entered")</f>
        <v>No CAS Number Entered</v>
      </c>
      <c r="C157" s="102"/>
      <c r="D157" s="102" t="s">
        <v>12666</v>
      </c>
      <c r="E157" s="102" t="s">
        <v>12666</v>
      </c>
      <c r="F157" s="102" t="s">
        <v>12666</v>
      </c>
      <c r="G157" s="102" t="s">
        <v>12666</v>
      </c>
      <c r="H157" s="164"/>
      <c r="I157" s="51">
        <f>IF(speciated_chemicals_155[[#This Row],[Inert / Not a Contaminant?]]="Yes", 0, speciated_chemicals_155[[#This Row],[Weight Percent]]*(unique_components_154[[#Totals],[Controlled lb/hr]]+standard_components_153[[#Totals],[Controlled
lb/hr]]))</f>
        <v>0</v>
      </c>
      <c r="J157" s="51">
        <f>IF(speciated_chemicals_155[[#This Row],[Inert / Not a Contaminant?]]="Yes", 0, speciated_chemicals_155[[#This Row],[Weight Percent]]*(unique_components_154[[#Totals],[Controlled
tpy]]+standard_components_153[[#Totals],[Controlled
tpy]]))</f>
        <v>0</v>
      </c>
    </row>
    <row r="158" spans="1:10" x14ac:dyDescent="0.2">
      <c r="A158" s="103"/>
      <c r="B158" s="51" t="str">
        <f>IFERROR(VLOOKUP(speciated_chemicals_155[[#This Row],[CAS '#]],species[],MATCH("Substance", species[#Headers], 0),FALSE),"No CAS Number Entered")</f>
        <v>No CAS Number Entered</v>
      </c>
      <c r="C158" s="102"/>
      <c r="D158" s="102" t="s">
        <v>12666</v>
      </c>
      <c r="E158" s="102" t="s">
        <v>12666</v>
      </c>
      <c r="F158" s="102" t="s">
        <v>12666</v>
      </c>
      <c r="G158" s="102" t="s">
        <v>12666</v>
      </c>
      <c r="H158" s="164"/>
      <c r="I158" s="51">
        <f>IF(speciated_chemicals_155[[#This Row],[Inert / Not a Contaminant?]]="Yes", 0, speciated_chemicals_155[[#This Row],[Weight Percent]]*(unique_components_154[[#Totals],[Controlled lb/hr]]+standard_components_153[[#Totals],[Controlled
lb/hr]]))</f>
        <v>0</v>
      </c>
      <c r="J158" s="51">
        <f>IF(speciated_chemicals_155[[#This Row],[Inert / Not a Contaminant?]]="Yes", 0, speciated_chemicals_155[[#This Row],[Weight Percent]]*(unique_components_154[[#Totals],[Controlled
tpy]]+standard_components_153[[#Totals],[Controlled
tpy]]))</f>
        <v>0</v>
      </c>
    </row>
    <row r="159" spans="1:10" x14ac:dyDescent="0.2">
      <c r="A159" s="103"/>
      <c r="B159" s="51" t="str">
        <f>IFERROR(VLOOKUP(speciated_chemicals_155[[#This Row],[CAS '#]],species[],MATCH("Substance", species[#Headers], 0),FALSE),"No CAS Number Entered")</f>
        <v>No CAS Number Entered</v>
      </c>
      <c r="C159" s="102"/>
      <c r="D159" s="102" t="s">
        <v>12666</v>
      </c>
      <c r="E159" s="102" t="s">
        <v>12666</v>
      </c>
      <c r="F159" s="102" t="s">
        <v>12666</v>
      </c>
      <c r="G159" s="102" t="s">
        <v>12666</v>
      </c>
      <c r="H159" s="164"/>
      <c r="I159" s="51">
        <f>IF(speciated_chemicals_155[[#This Row],[Inert / Not a Contaminant?]]="Yes", 0, speciated_chemicals_155[[#This Row],[Weight Percent]]*(unique_components_154[[#Totals],[Controlled lb/hr]]+standard_components_153[[#Totals],[Controlled
lb/hr]]))</f>
        <v>0</v>
      </c>
      <c r="J159" s="51">
        <f>IF(speciated_chemicals_155[[#This Row],[Inert / Not a Contaminant?]]="Yes", 0, speciated_chemicals_155[[#This Row],[Weight Percent]]*(unique_components_154[[#Totals],[Controlled
tpy]]+standard_components_153[[#Totals],[Controlled
tpy]]))</f>
        <v>0</v>
      </c>
    </row>
    <row r="160" spans="1:10" x14ac:dyDescent="0.2">
      <c r="A160" s="103"/>
      <c r="B160" s="51" t="str">
        <f>IFERROR(VLOOKUP(speciated_chemicals_155[[#This Row],[CAS '#]],species[],MATCH("Substance", species[#Headers], 0),FALSE),"No CAS Number Entered")</f>
        <v>No CAS Number Entered</v>
      </c>
      <c r="C160" s="102"/>
      <c r="D160" s="102" t="s">
        <v>12666</v>
      </c>
      <c r="E160" s="102" t="s">
        <v>12666</v>
      </c>
      <c r="F160" s="102" t="s">
        <v>12666</v>
      </c>
      <c r="G160" s="102" t="s">
        <v>12666</v>
      </c>
      <c r="H160" s="164"/>
      <c r="I160" s="51">
        <f>IF(speciated_chemicals_155[[#This Row],[Inert / Not a Contaminant?]]="Yes", 0, speciated_chemicals_155[[#This Row],[Weight Percent]]*(unique_components_154[[#Totals],[Controlled lb/hr]]+standard_components_153[[#Totals],[Controlled
lb/hr]]))</f>
        <v>0</v>
      </c>
      <c r="J160" s="51">
        <f>IF(speciated_chemicals_155[[#This Row],[Inert / Not a Contaminant?]]="Yes", 0, speciated_chemicals_155[[#This Row],[Weight Percent]]*(unique_components_154[[#Totals],[Controlled
tpy]]+standard_components_153[[#Totals],[Controlled
tpy]]))</f>
        <v>0</v>
      </c>
    </row>
    <row r="161" spans="1:10" x14ac:dyDescent="0.2">
      <c r="A161" s="103"/>
      <c r="B161" s="51" t="str">
        <f>IFERROR(VLOOKUP(speciated_chemicals_155[[#This Row],[CAS '#]],species[],MATCH("Substance", species[#Headers], 0),FALSE),"No CAS Number Entered")</f>
        <v>No CAS Number Entered</v>
      </c>
      <c r="C161" s="102"/>
      <c r="D161" s="102" t="s">
        <v>12666</v>
      </c>
      <c r="E161" s="102" t="s">
        <v>12666</v>
      </c>
      <c r="F161" s="102" t="s">
        <v>12666</v>
      </c>
      <c r="G161" s="102" t="s">
        <v>12666</v>
      </c>
      <c r="H161" s="164"/>
      <c r="I161" s="51">
        <f>IF(speciated_chemicals_155[[#This Row],[Inert / Not a Contaminant?]]="Yes", 0, speciated_chemicals_155[[#This Row],[Weight Percent]]*(unique_components_154[[#Totals],[Controlled lb/hr]]+standard_components_153[[#Totals],[Controlled
lb/hr]]))</f>
        <v>0</v>
      </c>
      <c r="J161" s="51">
        <f>IF(speciated_chemicals_155[[#This Row],[Inert / Not a Contaminant?]]="Yes", 0, speciated_chemicals_155[[#This Row],[Weight Percent]]*(unique_components_154[[#Totals],[Controlled
tpy]]+standard_components_153[[#Totals],[Controlled
tpy]]))</f>
        <v>0</v>
      </c>
    </row>
    <row r="162" spans="1:10" x14ac:dyDescent="0.2">
      <c r="A162" s="103"/>
      <c r="B162" s="51" t="str">
        <f>IFERROR(VLOOKUP(speciated_chemicals_155[[#This Row],[CAS '#]],species[],MATCH("Substance", species[#Headers], 0),FALSE),"No CAS Number Entered")</f>
        <v>No CAS Number Entered</v>
      </c>
      <c r="C162" s="102"/>
      <c r="D162" s="102" t="s">
        <v>12666</v>
      </c>
      <c r="E162" s="102" t="s">
        <v>12666</v>
      </c>
      <c r="F162" s="102" t="s">
        <v>12666</v>
      </c>
      <c r="G162" s="102" t="s">
        <v>12666</v>
      </c>
      <c r="H162" s="164"/>
      <c r="I162" s="51">
        <f>IF(speciated_chemicals_155[[#This Row],[Inert / Not a Contaminant?]]="Yes", 0, speciated_chemicals_155[[#This Row],[Weight Percent]]*(unique_components_154[[#Totals],[Controlled lb/hr]]+standard_components_153[[#Totals],[Controlled
lb/hr]]))</f>
        <v>0</v>
      </c>
      <c r="J162" s="51">
        <f>IF(speciated_chemicals_155[[#This Row],[Inert / Not a Contaminant?]]="Yes", 0, speciated_chemicals_155[[#This Row],[Weight Percent]]*(unique_components_154[[#Totals],[Controlled
tpy]]+standard_components_153[[#Totals],[Controlled
tpy]]))</f>
        <v>0</v>
      </c>
    </row>
    <row r="163" spans="1:10" x14ac:dyDescent="0.2">
      <c r="A163" s="103"/>
      <c r="B163" s="51" t="str">
        <f>IFERROR(VLOOKUP(speciated_chemicals_155[[#This Row],[CAS '#]],species[],MATCH("Substance", species[#Headers], 0),FALSE),"No CAS Number Entered")</f>
        <v>No CAS Number Entered</v>
      </c>
      <c r="C163" s="102"/>
      <c r="D163" s="102" t="s">
        <v>12666</v>
      </c>
      <c r="E163" s="102" t="s">
        <v>12666</v>
      </c>
      <c r="F163" s="102" t="s">
        <v>12666</v>
      </c>
      <c r="G163" s="102" t="s">
        <v>12666</v>
      </c>
      <c r="H163" s="164"/>
      <c r="I163" s="51">
        <f>IF(speciated_chemicals_155[[#This Row],[Inert / Not a Contaminant?]]="Yes", 0, speciated_chemicals_155[[#This Row],[Weight Percent]]*(unique_components_154[[#Totals],[Controlled lb/hr]]+standard_components_153[[#Totals],[Controlled
lb/hr]]))</f>
        <v>0</v>
      </c>
      <c r="J163" s="51">
        <f>IF(speciated_chemicals_155[[#This Row],[Inert / Not a Contaminant?]]="Yes", 0, speciated_chemicals_155[[#This Row],[Weight Percent]]*(unique_components_154[[#Totals],[Controlled
tpy]]+standard_components_153[[#Totals],[Controlled
tpy]]))</f>
        <v>0</v>
      </c>
    </row>
    <row r="164" spans="1:10" x14ac:dyDescent="0.2">
      <c r="A164" s="103"/>
      <c r="B164" s="51" t="str">
        <f>IFERROR(VLOOKUP(speciated_chemicals_155[[#This Row],[CAS '#]],species[],MATCH("Substance", species[#Headers], 0),FALSE),"No CAS Number Entered")</f>
        <v>No CAS Number Entered</v>
      </c>
      <c r="C164" s="102"/>
      <c r="D164" s="102" t="s">
        <v>12666</v>
      </c>
      <c r="E164" s="102" t="s">
        <v>12666</v>
      </c>
      <c r="F164" s="102" t="s">
        <v>12666</v>
      </c>
      <c r="G164" s="102" t="s">
        <v>12666</v>
      </c>
      <c r="H164" s="164"/>
      <c r="I164" s="51">
        <f>IF(speciated_chemicals_155[[#This Row],[Inert / Not a Contaminant?]]="Yes", 0, speciated_chemicals_155[[#This Row],[Weight Percent]]*(unique_components_154[[#Totals],[Controlled lb/hr]]+standard_components_153[[#Totals],[Controlled
lb/hr]]))</f>
        <v>0</v>
      </c>
      <c r="J164" s="51">
        <f>IF(speciated_chemicals_155[[#This Row],[Inert / Not a Contaminant?]]="Yes", 0, speciated_chemicals_155[[#This Row],[Weight Percent]]*(unique_components_154[[#Totals],[Controlled
tpy]]+standard_components_153[[#Totals],[Controlled
tpy]]))</f>
        <v>0</v>
      </c>
    </row>
    <row r="165" spans="1:10" x14ac:dyDescent="0.2">
      <c r="A165" s="103"/>
      <c r="B165" s="51" t="str">
        <f>IFERROR(VLOOKUP(speciated_chemicals_155[[#This Row],[CAS '#]],species[],MATCH("Substance", species[#Headers], 0),FALSE),"No CAS Number Entered")</f>
        <v>No CAS Number Entered</v>
      </c>
      <c r="C165" s="102"/>
      <c r="D165" s="102" t="s">
        <v>12666</v>
      </c>
      <c r="E165" s="102" t="s">
        <v>12666</v>
      </c>
      <c r="F165" s="102" t="s">
        <v>12666</v>
      </c>
      <c r="G165" s="102" t="s">
        <v>12666</v>
      </c>
      <c r="H165" s="164"/>
      <c r="I165" s="51">
        <f>IF(speciated_chemicals_155[[#This Row],[Inert / Not a Contaminant?]]="Yes", 0, speciated_chemicals_155[[#This Row],[Weight Percent]]*(unique_components_154[[#Totals],[Controlled lb/hr]]+standard_components_153[[#Totals],[Controlled
lb/hr]]))</f>
        <v>0</v>
      </c>
      <c r="J165" s="51">
        <f>IF(speciated_chemicals_155[[#This Row],[Inert / Not a Contaminant?]]="Yes", 0, speciated_chemicals_155[[#This Row],[Weight Percent]]*(unique_components_154[[#Totals],[Controlled
tpy]]+standard_components_153[[#Totals],[Controlled
tpy]]))</f>
        <v>0</v>
      </c>
    </row>
    <row r="166" spans="1:10" x14ac:dyDescent="0.2">
      <c r="A166" s="103"/>
      <c r="B166" s="51" t="str">
        <f>IFERROR(VLOOKUP(speciated_chemicals_155[[#This Row],[CAS '#]],species[],MATCH("Substance", species[#Headers], 0),FALSE),"No CAS Number Entered")</f>
        <v>No CAS Number Entered</v>
      </c>
      <c r="C166" s="102"/>
      <c r="D166" s="102" t="s">
        <v>12666</v>
      </c>
      <c r="E166" s="102" t="s">
        <v>12666</v>
      </c>
      <c r="F166" s="102" t="s">
        <v>12666</v>
      </c>
      <c r="G166" s="102" t="s">
        <v>12666</v>
      </c>
      <c r="H166" s="164"/>
      <c r="I166" s="51">
        <f>IF(speciated_chemicals_155[[#This Row],[Inert / Not a Contaminant?]]="Yes", 0, speciated_chemicals_155[[#This Row],[Weight Percent]]*(unique_components_154[[#Totals],[Controlled lb/hr]]+standard_components_153[[#Totals],[Controlled
lb/hr]]))</f>
        <v>0</v>
      </c>
      <c r="J166" s="51">
        <f>IF(speciated_chemicals_155[[#This Row],[Inert / Not a Contaminant?]]="Yes", 0, speciated_chemicals_155[[#This Row],[Weight Percent]]*(unique_components_154[[#Totals],[Controlled
tpy]]+standard_components_153[[#Totals],[Controlled
tpy]]))</f>
        <v>0</v>
      </c>
    </row>
    <row r="167" spans="1:10" x14ac:dyDescent="0.2">
      <c r="A167" s="103"/>
      <c r="B167" s="51" t="str">
        <f>IFERROR(VLOOKUP(speciated_chemicals_155[[#This Row],[CAS '#]],species[],MATCH("Substance", species[#Headers], 0),FALSE),"No CAS Number Entered")</f>
        <v>No CAS Number Entered</v>
      </c>
      <c r="C167" s="102"/>
      <c r="D167" s="102" t="s">
        <v>12666</v>
      </c>
      <c r="E167" s="102" t="s">
        <v>12666</v>
      </c>
      <c r="F167" s="102" t="s">
        <v>12666</v>
      </c>
      <c r="G167" s="102" t="s">
        <v>12666</v>
      </c>
      <c r="H167" s="164"/>
      <c r="I167" s="51">
        <f>IF(speciated_chemicals_155[[#This Row],[Inert / Not a Contaminant?]]="Yes", 0, speciated_chemicals_155[[#This Row],[Weight Percent]]*(unique_components_154[[#Totals],[Controlled lb/hr]]+standard_components_153[[#Totals],[Controlled
lb/hr]]))</f>
        <v>0</v>
      </c>
      <c r="J167" s="51">
        <f>IF(speciated_chemicals_155[[#This Row],[Inert / Not a Contaminant?]]="Yes", 0, speciated_chemicals_155[[#This Row],[Weight Percent]]*(unique_components_154[[#Totals],[Controlled
tpy]]+standard_components_153[[#Totals],[Controlled
tpy]]))</f>
        <v>0</v>
      </c>
    </row>
    <row r="168" spans="1:10" x14ac:dyDescent="0.2">
      <c r="A168" s="103"/>
      <c r="B168" s="51" t="str">
        <f>IFERROR(VLOOKUP(speciated_chemicals_155[[#This Row],[CAS '#]],species[],MATCH("Substance", species[#Headers], 0),FALSE),"No CAS Number Entered")</f>
        <v>No CAS Number Entered</v>
      </c>
      <c r="C168" s="102"/>
      <c r="D168" s="102" t="s">
        <v>12666</v>
      </c>
      <c r="E168" s="102" t="s">
        <v>12666</v>
      </c>
      <c r="F168" s="102" t="s">
        <v>12666</v>
      </c>
      <c r="G168" s="102" t="s">
        <v>12666</v>
      </c>
      <c r="H168" s="164"/>
      <c r="I168" s="51">
        <f>IF(speciated_chemicals_155[[#This Row],[Inert / Not a Contaminant?]]="Yes", 0, speciated_chemicals_155[[#This Row],[Weight Percent]]*(unique_components_154[[#Totals],[Controlled lb/hr]]+standard_components_153[[#Totals],[Controlled
lb/hr]]))</f>
        <v>0</v>
      </c>
      <c r="J168" s="51">
        <f>IF(speciated_chemicals_155[[#This Row],[Inert / Not a Contaminant?]]="Yes", 0, speciated_chemicals_155[[#This Row],[Weight Percent]]*(unique_components_154[[#Totals],[Controlled
tpy]]+standard_components_153[[#Totals],[Controlled
tpy]]))</f>
        <v>0</v>
      </c>
    </row>
    <row r="169" spans="1:10" x14ac:dyDescent="0.2">
      <c r="A169" s="103"/>
      <c r="B169" s="51" t="str">
        <f>IFERROR(VLOOKUP(speciated_chemicals_155[[#This Row],[CAS '#]],species[],MATCH("Substance", species[#Headers], 0),FALSE),"No CAS Number Entered")</f>
        <v>No CAS Number Entered</v>
      </c>
      <c r="C169" s="102"/>
      <c r="D169" s="102" t="s">
        <v>12666</v>
      </c>
      <c r="E169" s="102" t="s">
        <v>12666</v>
      </c>
      <c r="F169" s="102" t="s">
        <v>12666</v>
      </c>
      <c r="G169" s="102" t="s">
        <v>12666</v>
      </c>
      <c r="H169" s="164"/>
      <c r="I169" s="51">
        <f>IF(speciated_chemicals_155[[#This Row],[Inert / Not a Contaminant?]]="Yes", 0, speciated_chemicals_155[[#This Row],[Weight Percent]]*(unique_components_154[[#Totals],[Controlled lb/hr]]+standard_components_153[[#Totals],[Controlled
lb/hr]]))</f>
        <v>0</v>
      </c>
      <c r="J169" s="51">
        <f>IF(speciated_chemicals_155[[#This Row],[Inert / Not a Contaminant?]]="Yes", 0, speciated_chemicals_155[[#This Row],[Weight Percent]]*(unique_components_154[[#Totals],[Controlled
tpy]]+standard_components_153[[#Totals],[Controlled
tpy]]))</f>
        <v>0</v>
      </c>
    </row>
    <row r="170" spans="1:10" x14ac:dyDescent="0.2">
      <c r="A170" s="103"/>
      <c r="B170" s="51" t="str">
        <f>IFERROR(VLOOKUP(speciated_chemicals_155[[#This Row],[CAS '#]],species[],MATCH("Substance", species[#Headers], 0),FALSE),"No CAS Number Entered")</f>
        <v>No CAS Number Entered</v>
      </c>
      <c r="C170" s="102"/>
      <c r="D170" s="102" t="s">
        <v>12666</v>
      </c>
      <c r="E170" s="102" t="s">
        <v>12666</v>
      </c>
      <c r="F170" s="102" t="s">
        <v>12666</v>
      </c>
      <c r="G170" s="102" t="s">
        <v>12666</v>
      </c>
      <c r="H170" s="164"/>
      <c r="I170" s="51">
        <f>IF(speciated_chemicals_155[[#This Row],[Inert / Not a Contaminant?]]="Yes", 0, speciated_chemicals_155[[#This Row],[Weight Percent]]*(unique_components_154[[#Totals],[Controlled lb/hr]]+standard_components_153[[#Totals],[Controlled
lb/hr]]))</f>
        <v>0</v>
      </c>
      <c r="J170" s="51">
        <f>IF(speciated_chemicals_155[[#This Row],[Inert / Not a Contaminant?]]="Yes", 0, speciated_chemicals_155[[#This Row],[Weight Percent]]*(unique_components_154[[#Totals],[Controlled
tpy]]+standard_components_153[[#Totals],[Controlled
tpy]]))</f>
        <v>0</v>
      </c>
    </row>
    <row r="171" spans="1:10" x14ac:dyDescent="0.2">
      <c r="A171" s="103"/>
      <c r="B171" s="51" t="str">
        <f>IFERROR(VLOOKUP(speciated_chemicals_155[[#This Row],[CAS '#]],species[],MATCH("Substance", species[#Headers], 0),FALSE),"No CAS Number Entered")</f>
        <v>No CAS Number Entered</v>
      </c>
      <c r="C171" s="102"/>
      <c r="D171" s="102" t="s">
        <v>12666</v>
      </c>
      <c r="E171" s="102" t="s">
        <v>12666</v>
      </c>
      <c r="F171" s="102" t="s">
        <v>12666</v>
      </c>
      <c r="G171" s="102" t="s">
        <v>12666</v>
      </c>
      <c r="H171" s="164"/>
      <c r="I171" s="51">
        <f>IF(speciated_chemicals_155[[#This Row],[Inert / Not a Contaminant?]]="Yes", 0, speciated_chemicals_155[[#This Row],[Weight Percent]]*(unique_components_154[[#Totals],[Controlled lb/hr]]+standard_components_153[[#Totals],[Controlled
lb/hr]]))</f>
        <v>0</v>
      </c>
      <c r="J171" s="51">
        <f>IF(speciated_chemicals_155[[#This Row],[Inert / Not a Contaminant?]]="Yes", 0, speciated_chemicals_155[[#This Row],[Weight Percent]]*(unique_components_154[[#Totals],[Controlled
tpy]]+standard_components_153[[#Totals],[Controlled
tpy]]))</f>
        <v>0</v>
      </c>
    </row>
    <row r="172" spans="1:10" x14ac:dyDescent="0.2">
      <c r="A172" s="103"/>
      <c r="B172" s="51" t="str">
        <f>IFERROR(VLOOKUP(speciated_chemicals_155[[#This Row],[CAS '#]],species[],MATCH("Substance", species[#Headers], 0),FALSE),"No CAS Number Entered")</f>
        <v>No CAS Number Entered</v>
      </c>
      <c r="C172" s="102"/>
      <c r="D172" s="102" t="s">
        <v>12666</v>
      </c>
      <c r="E172" s="102" t="s">
        <v>12666</v>
      </c>
      <c r="F172" s="102" t="s">
        <v>12666</v>
      </c>
      <c r="G172" s="102" t="s">
        <v>12666</v>
      </c>
      <c r="H172" s="164"/>
      <c r="I172" s="51">
        <f>IF(speciated_chemicals_155[[#This Row],[Inert / Not a Contaminant?]]="Yes", 0, speciated_chemicals_155[[#This Row],[Weight Percent]]*(unique_components_154[[#Totals],[Controlled lb/hr]]+standard_components_153[[#Totals],[Controlled
lb/hr]]))</f>
        <v>0</v>
      </c>
      <c r="J172" s="51">
        <f>IF(speciated_chemicals_155[[#This Row],[Inert / Not a Contaminant?]]="Yes", 0, speciated_chemicals_155[[#This Row],[Weight Percent]]*(unique_components_154[[#Totals],[Controlled
tpy]]+standard_components_153[[#Totals],[Controlled
tpy]]))</f>
        <v>0</v>
      </c>
    </row>
    <row r="173" spans="1:10" x14ac:dyDescent="0.2">
      <c r="A173" s="103"/>
      <c r="B173" s="51" t="str">
        <f>IFERROR(VLOOKUP(speciated_chemicals_155[[#This Row],[CAS '#]],species[],MATCH("Substance", species[#Headers], 0),FALSE),"No CAS Number Entered")</f>
        <v>No CAS Number Entered</v>
      </c>
      <c r="C173" s="102"/>
      <c r="D173" s="102" t="s">
        <v>12666</v>
      </c>
      <c r="E173" s="102" t="s">
        <v>12666</v>
      </c>
      <c r="F173" s="102" t="s">
        <v>12666</v>
      </c>
      <c r="G173" s="102" t="s">
        <v>12666</v>
      </c>
      <c r="H173" s="164"/>
      <c r="I173" s="51">
        <f>IF(speciated_chemicals_155[[#This Row],[Inert / Not a Contaminant?]]="Yes", 0, speciated_chemicals_155[[#This Row],[Weight Percent]]*(unique_components_154[[#Totals],[Controlled lb/hr]]+standard_components_153[[#Totals],[Controlled
lb/hr]]))</f>
        <v>0</v>
      </c>
      <c r="J173" s="51">
        <f>IF(speciated_chemicals_155[[#This Row],[Inert / Not a Contaminant?]]="Yes", 0, speciated_chemicals_155[[#This Row],[Weight Percent]]*(unique_components_154[[#Totals],[Controlled
tpy]]+standard_components_153[[#Totals],[Controlled
tpy]]))</f>
        <v>0</v>
      </c>
    </row>
    <row r="174" spans="1:10" x14ac:dyDescent="0.2">
      <c r="A174" s="103"/>
      <c r="B174" s="51" t="str">
        <f>IFERROR(VLOOKUP(speciated_chemicals_155[[#This Row],[CAS '#]],species[],MATCH("Substance", species[#Headers], 0),FALSE),"No CAS Number Entered")</f>
        <v>No CAS Number Entered</v>
      </c>
      <c r="C174" s="102"/>
      <c r="D174" s="102" t="s">
        <v>12666</v>
      </c>
      <c r="E174" s="102" t="s">
        <v>12666</v>
      </c>
      <c r="F174" s="102" t="s">
        <v>12666</v>
      </c>
      <c r="G174" s="102" t="s">
        <v>12666</v>
      </c>
      <c r="H174" s="164"/>
      <c r="I174" s="51">
        <f>IF(speciated_chemicals_155[[#This Row],[Inert / Not a Contaminant?]]="Yes", 0, speciated_chemicals_155[[#This Row],[Weight Percent]]*(unique_components_154[[#Totals],[Controlled lb/hr]]+standard_components_153[[#Totals],[Controlled
lb/hr]]))</f>
        <v>0</v>
      </c>
      <c r="J174" s="51">
        <f>IF(speciated_chemicals_155[[#This Row],[Inert / Not a Contaminant?]]="Yes", 0, speciated_chemicals_155[[#This Row],[Weight Percent]]*(unique_components_154[[#Totals],[Controlled
tpy]]+standard_components_153[[#Totals],[Controlled
tpy]]))</f>
        <v>0</v>
      </c>
    </row>
    <row r="175" spans="1:10" x14ac:dyDescent="0.2">
      <c r="A175" s="103"/>
      <c r="B175" s="51" t="str">
        <f>IFERROR(VLOOKUP(speciated_chemicals_155[[#This Row],[CAS '#]],species[],MATCH("Substance", species[#Headers], 0),FALSE),"No CAS Number Entered")</f>
        <v>No CAS Number Entered</v>
      </c>
      <c r="C175" s="102"/>
      <c r="D175" s="102" t="s">
        <v>12666</v>
      </c>
      <c r="E175" s="102" t="s">
        <v>12666</v>
      </c>
      <c r="F175" s="102" t="s">
        <v>12666</v>
      </c>
      <c r="G175" s="102" t="s">
        <v>12666</v>
      </c>
      <c r="H175" s="164"/>
      <c r="I175" s="51">
        <f>IF(speciated_chemicals_155[[#This Row],[Inert / Not a Contaminant?]]="Yes", 0, speciated_chemicals_155[[#This Row],[Weight Percent]]*(unique_components_154[[#Totals],[Controlled lb/hr]]+standard_components_153[[#Totals],[Controlled
lb/hr]]))</f>
        <v>0</v>
      </c>
      <c r="J175" s="51">
        <f>IF(speciated_chemicals_155[[#This Row],[Inert / Not a Contaminant?]]="Yes", 0, speciated_chemicals_155[[#This Row],[Weight Percent]]*(unique_components_154[[#Totals],[Controlled
tpy]]+standard_components_153[[#Totals],[Controlled
tpy]]))</f>
        <v>0</v>
      </c>
    </row>
    <row r="176" spans="1:10" x14ac:dyDescent="0.2">
      <c r="A176" s="165"/>
      <c r="B176" s="51" t="str">
        <f>IFERROR(VLOOKUP(speciated_chemicals_155[[#This Row],[CAS '#]],species[],MATCH("Substance", species[#Headers], 0),FALSE),"No CAS Number Entered")</f>
        <v>No CAS Number Entered</v>
      </c>
      <c r="C176" s="102"/>
      <c r="D176" s="102" t="s">
        <v>12666</v>
      </c>
      <c r="E176" s="102" t="s">
        <v>12666</v>
      </c>
      <c r="F176" s="102" t="s">
        <v>12666</v>
      </c>
      <c r="G176" s="102" t="s">
        <v>12666</v>
      </c>
      <c r="H176" s="164"/>
      <c r="I176" s="51">
        <f>IF(speciated_chemicals_155[[#This Row],[Inert / Not a Contaminant?]]="Yes", 0, speciated_chemicals_155[[#This Row],[Weight Percent]]*(unique_components_154[[#Totals],[Controlled lb/hr]]+standard_components_153[[#Totals],[Controlled
lb/hr]]))</f>
        <v>0</v>
      </c>
      <c r="J176" s="51">
        <f>IF(speciated_chemicals_155[[#This Row],[Inert / Not a Contaminant?]]="Yes", 0, speciated_chemicals_155[[#This Row],[Weight Percent]]*(unique_components_154[[#Totals],[Controlled
tpy]]+standard_components_153[[#Totals],[Controlled
tpy]]))</f>
        <v>0</v>
      </c>
    </row>
    <row r="177" spans="1:10" x14ac:dyDescent="0.2">
      <c r="A177" s="103"/>
      <c r="B177" s="51" t="str">
        <f>IFERROR(VLOOKUP(speciated_chemicals_155[[#This Row],[CAS '#]],species[],MATCH("Substance", species[#Headers], 0),FALSE),"No CAS Number Entered")</f>
        <v>No CAS Number Entered</v>
      </c>
      <c r="C177" s="102"/>
      <c r="D177" s="102" t="s">
        <v>12666</v>
      </c>
      <c r="E177" s="102" t="s">
        <v>12666</v>
      </c>
      <c r="F177" s="102" t="s">
        <v>12666</v>
      </c>
      <c r="G177" s="102" t="s">
        <v>12666</v>
      </c>
      <c r="H177" s="164"/>
      <c r="I177" s="51">
        <f>IF(speciated_chemicals_155[[#This Row],[Inert / Not a Contaminant?]]="Yes", 0, speciated_chemicals_155[[#This Row],[Weight Percent]]*(unique_components_154[[#Totals],[Controlled lb/hr]]+standard_components_153[[#Totals],[Controlled
lb/hr]]))</f>
        <v>0</v>
      </c>
      <c r="J177" s="51">
        <f>IF(speciated_chemicals_155[[#This Row],[Inert / Not a Contaminant?]]="Yes", 0, speciated_chemicals_155[[#This Row],[Weight Percent]]*(unique_components_154[[#Totals],[Controlled
tpy]]+standard_components_153[[#Totals],[Controlled
tpy]]))</f>
        <v>0</v>
      </c>
    </row>
    <row r="178" spans="1:10" x14ac:dyDescent="0.2">
      <c r="A178" s="103"/>
      <c r="B178" s="51" t="str">
        <f>IFERROR(VLOOKUP(speciated_chemicals_155[[#This Row],[CAS '#]],species[],MATCH("Substance", species[#Headers], 0),FALSE),"No CAS Number Entered")</f>
        <v>No CAS Number Entered</v>
      </c>
      <c r="C178" s="102"/>
      <c r="D178" s="102" t="s">
        <v>12666</v>
      </c>
      <c r="E178" s="102" t="s">
        <v>12666</v>
      </c>
      <c r="F178" s="102" t="s">
        <v>12666</v>
      </c>
      <c r="G178" s="102" t="s">
        <v>12666</v>
      </c>
      <c r="H178" s="164"/>
      <c r="I178" s="51">
        <f>IF(speciated_chemicals_155[[#This Row],[Inert / Not a Contaminant?]]="Yes", 0, speciated_chemicals_155[[#This Row],[Weight Percent]]*(unique_components_154[[#Totals],[Controlled lb/hr]]+standard_components_153[[#Totals],[Controlled
lb/hr]]))</f>
        <v>0</v>
      </c>
      <c r="J178" s="51">
        <f>IF(speciated_chemicals_155[[#This Row],[Inert / Not a Contaminant?]]="Yes", 0, speciated_chemicals_155[[#This Row],[Weight Percent]]*(unique_components_154[[#Totals],[Controlled
tpy]]+standard_components_153[[#Totals],[Controlled
tpy]]))</f>
        <v>0</v>
      </c>
    </row>
    <row r="179" spans="1:10" x14ac:dyDescent="0.2">
      <c r="A179" s="103"/>
      <c r="B179" s="51" t="str">
        <f>IFERROR(VLOOKUP(speciated_chemicals_155[[#This Row],[CAS '#]],species[],MATCH("Substance", species[#Headers], 0),FALSE),"No CAS Number Entered")</f>
        <v>No CAS Number Entered</v>
      </c>
      <c r="C179" s="102"/>
      <c r="D179" s="102" t="s">
        <v>12666</v>
      </c>
      <c r="E179" s="102" t="s">
        <v>12666</v>
      </c>
      <c r="F179" s="102" t="s">
        <v>12666</v>
      </c>
      <c r="G179" s="102" t="s">
        <v>12666</v>
      </c>
      <c r="H179" s="164"/>
      <c r="I179" s="51">
        <f>IF(speciated_chemicals_155[[#This Row],[Inert / Not a Contaminant?]]="Yes", 0, speciated_chemicals_155[[#This Row],[Weight Percent]]*(unique_components_154[[#Totals],[Controlled lb/hr]]+standard_components_153[[#Totals],[Controlled
lb/hr]]))</f>
        <v>0</v>
      </c>
      <c r="J179" s="51">
        <f>IF(speciated_chemicals_155[[#This Row],[Inert / Not a Contaminant?]]="Yes", 0, speciated_chemicals_155[[#This Row],[Weight Percent]]*(unique_components_154[[#Totals],[Controlled
tpy]]+standard_components_153[[#Totals],[Controlled
tpy]]))</f>
        <v>0</v>
      </c>
    </row>
    <row r="180" spans="1:10" x14ac:dyDescent="0.2">
      <c r="A180" s="103"/>
      <c r="B180" s="51" t="str">
        <f>IFERROR(VLOOKUP(speciated_chemicals_155[[#This Row],[CAS '#]],species[],MATCH("Substance", species[#Headers], 0),FALSE),"No CAS Number Entered")</f>
        <v>No CAS Number Entered</v>
      </c>
      <c r="C180" s="102"/>
      <c r="D180" s="102" t="s">
        <v>12666</v>
      </c>
      <c r="E180" s="102" t="s">
        <v>12666</v>
      </c>
      <c r="F180" s="102" t="s">
        <v>12666</v>
      </c>
      <c r="G180" s="102" t="s">
        <v>12666</v>
      </c>
      <c r="H180" s="164"/>
      <c r="I180" s="51">
        <f>IF(speciated_chemicals_155[[#This Row],[Inert / Not a Contaminant?]]="Yes", 0, speciated_chemicals_155[[#This Row],[Weight Percent]]*(unique_components_154[[#Totals],[Controlled lb/hr]]+standard_components_153[[#Totals],[Controlled
lb/hr]]))</f>
        <v>0</v>
      </c>
      <c r="J180" s="51">
        <f>IF(speciated_chemicals_155[[#This Row],[Inert / Not a Contaminant?]]="Yes", 0, speciated_chemicals_155[[#This Row],[Weight Percent]]*(unique_components_154[[#Totals],[Controlled
tpy]]+standard_components_153[[#Totals],[Controlled
tpy]]))</f>
        <v>0</v>
      </c>
    </row>
    <row r="181" spans="1:10" ht="30" x14ac:dyDescent="0.2">
      <c r="A181" s="184" t="s">
        <v>12705</v>
      </c>
      <c r="B181" s="52"/>
      <c r="C181" s="53"/>
      <c r="D181" s="52"/>
      <c r="E181" s="52"/>
      <c r="F181" s="52"/>
      <c r="G181" s="52"/>
      <c r="H181" s="166">
        <f>SUBTOTAL(109,speciated_chemicals_155[Weight Percent])</f>
        <v>0</v>
      </c>
      <c r="I181" s="167">
        <f>SUBTOTAL(109,speciated_chemicals_155[lb/hr])</f>
        <v>0</v>
      </c>
      <c r="J181" s="167">
        <f>SUBTOTAL(109,speciated_chemicals_155[tpy])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MATCH(speciated_ghg_156[[#This Row],[CAS '#]], gwp_table[CAS No.], 0), MATCH("Name", gwp_table[#Headers], 0)),"No CAS Number Entered")</f>
        <v>No CAS Number Entered</v>
      </c>
      <c r="C185" s="79" t="str">
        <f>IFERROR(INDEX(gwp_table[], MATCH(speciated_ghg_156[[#This Row],[CAS '#]], gwp_table[CAS No.], 0), MATCH("Global warming potential", gwp_table[#Headers], 0)),"No CAS Number Entered")</f>
        <v>No CAS Number Entered</v>
      </c>
      <c r="D185" s="219"/>
      <c r="E185" s="79">
        <f>IFERROR(speciated_ghg_156[[#This Row],[Weight Percent]]*(unique_components_154[[#Totals],[Controlled
tpy]]+standard_components_153[[#Totals],[Controlled
tpy]]), "-")</f>
        <v>0</v>
      </c>
      <c r="F185" s="81" t="str">
        <f>IFERROR(speciated_ghg_156[[#This Row],[Mass Emissions (U.S. tons per year)]]*speciated_ghg_156[[#This Row],[Global Warming Potential (GWP)]], "-")</f>
        <v>-</v>
      </c>
      <c r="G185" s="30"/>
      <c r="H185" s="168"/>
      <c r="I185" s="168"/>
    </row>
    <row r="186" spans="1:10" x14ac:dyDescent="0.2">
      <c r="A186" s="210"/>
      <c r="B186" s="79" t="str">
        <f>IFERROR(INDEX(gwp_table[], MATCH(speciated_ghg_156[[#This Row],[CAS '#]], gwp_table[CAS No.], 0), MATCH("Name", gwp_table[#Headers], 0)),"No CAS Number Entered")</f>
        <v>No CAS Number Entered</v>
      </c>
      <c r="C186" s="79" t="str">
        <f>IFERROR(INDEX(gwp_table[], MATCH(speciated_ghg_156[[#This Row],[CAS '#]], gwp_table[CAS No.], 0), MATCH("Global warming potential", gwp_table[#Headers], 0)),"No CAS Number Entered")</f>
        <v>No CAS Number Entered</v>
      </c>
      <c r="D186" s="219"/>
      <c r="E186" s="79">
        <f>IFERROR(speciated_ghg_156[[#This Row],[Weight Percent]]*(unique_components_154[[#Totals],[Controlled
tpy]]+standard_components_153[[#Totals],[Controlled
tpy]]), "-")</f>
        <v>0</v>
      </c>
      <c r="F186" s="81" t="str">
        <f>IFERROR(speciated_ghg_156[[#This Row],[Mass Emissions (U.S. tons per year)]]*speciated_ghg_156[[#This Row],[Global Warming Potential (GWP)]], "-")</f>
        <v>-</v>
      </c>
      <c r="G186" s="30"/>
      <c r="H186" s="168"/>
      <c r="I186" s="168"/>
    </row>
    <row r="187" spans="1:10" x14ac:dyDescent="0.2">
      <c r="A187" s="210"/>
      <c r="B187" s="79" t="str">
        <f>IFERROR(INDEX(gwp_table[], MATCH(speciated_ghg_156[[#This Row],[CAS '#]], gwp_table[CAS No.], 0), MATCH("Name", gwp_table[#Headers], 0)),"No CAS Number Entered")</f>
        <v>No CAS Number Entered</v>
      </c>
      <c r="C187" s="79" t="str">
        <f>IFERROR(INDEX(gwp_table[], MATCH(speciated_ghg_156[[#This Row],[CAS '#]], gwp_table[CAS No.], 0), MATCH("Global warming potential", gwp_table[#Headers], 0)),"No CAS Number Entered")</f>
        <v>No CAS Number Entered</v>
      </c>
      <c r="D187" s="219"/>
      <c r="E187" s="79">
        <f>IFERROR(speciated_ghg_156[[#This Row],[Weight Percent]]*(unique_components_154[[#Totals],[Controlled
tpy]]+standard_components_153[[#Totals],[Controlled
tpy]]), "-")</f>
        <v>0</v>
      </c>
      <c r="F187" s="81" t="str">
        <f>IFERROR(speciated_ghg_156[[#This Row],[Mass Emissions (U.S. tons per year)]]*speciated_ghg_156[[#This Row],[Global Warming Potential (GWP)]], "-")</f>
        <v>-</v>
      </c>
      <c r="G187" s="30"/>
      <c r="H187" s="168"/>
      <c r="I187" s="168"/>
    </row>
    <row r="188" spans="1:10" x14ac:dyDescent="0.2">
      <c r="A188" s="210"/>
      <c r="B188" s="79" t="str">
        <f>IFERROR(INDEX(gwp_table[], MATCH(speciated_ghg_156[[#This Row],[CAS '#]], gwp_table[CAS No.], 0), MATCH("Name", gwp_table[#Headers], 0)),"No CAS Number Entered")</f>
        <v>No CAS Number Entered</v>
      </c>
      <c r="C188" s="79" t="str">
        <f>IFERROR(INDEX(gwp_table[], MATCH(speciated_ghg_156[[#This Row],[CAS '#]], gwp_table[CAS No.], 0), MATCH("Global warming potential", gwp_table[#Headers], 0)),"No CAS Number Entered")</f>
        <v>No CAS Number Entered</v>
      </c>
      <c r="D188" s="219"/>
      <c r="E188" s="79">
        <f>IFERROR(speciated_ghg_156[[#This Row],[Weight Percent]]*(unique_components_154[[#Totals],[Controlled
tpy]]+standard_components_153[[#Totals],[Controlled
tpy]]), "-")</f>
        <v>0</v>
      </c>
      <c r="F188" s="81" t="str">
        <f>IFERROR(speciated_ghg_156[[#This Row],[Mass Emissions (U.S. tons per year)]]*speciated_ghg_156[[#This Row],[Global Warming Potential (GWP)]], "-")</f>
        <v>-</v>
      </c>
      <c r="G188" s="30"/>
      <c r="H188" s="168"/>
      <c r="I188" s="168"/>
    </row>
    <row r="189" spans="1:10" x14ac:dyDescent="0.2">
      <c r="A189" s="210"/>
      <c r="B189" s="79" t="str">
        <f>IFERROR(INDEX(gwp_table[], MATCH(speciated_ghg_156[[#This Row],[CAS '#]], gwp_table[CAS No.], 0), MATCH("Name", gwp_table[#Headers], 0)),"No CAS Number Entered")</f>
        <v>No CAS Number Entered</v>
      </c>
      <c r="C189" s="79" t="str">
        <f>IFERROR(INDEX(gwp_table[], MATCH(speciated_ghg_156[[#This Row],[CAS '#]], gwp_table[CAS No.], 0), MATCH("Global warming potential", gwp_table[#Headers], 0)),"No CAS Number Entered")</f>
        <v>No CAS Number Entered</v>
      </c>
      <c r="D189" s="219"/>
      <c r="E189" s="79">
        <f>IFERROR(speciated_ghg_156[[#This Row],[Weight Percent]]*(unique_components_154[[#Totals],[Controlled
tpy]]+standard_components_153[[#Totals],[Controlled
tpy]]), "-")</f>
        <v>0</v>
      </c>
      <c r="F189" s="81" t="str">
        <f>IFERROR(speciated_ghg_156[[#This Row],[Mass Emissions (U.S. tons per year)]]*speciated_ghg_156[[#This Row],[Global Warming Potential (GWP)]], "-")</f>
        <v>-</v>
      </c>
      <c r="G189" s="30"/>
      <c r="H189" s="168"/>
      <c r="I189" s="168"/>
    </row>
    <row r="190" spans="1:10" x14ac:dyDescent="0.2">
      <c r="A190" s="210"/>
      <c r="B190" s="79" t="str">
        <f>IFERROR(INDEX(gwp_table[], MATCH(speciated_ghg_156[[#This Row],[CAS '#]], gwp_table[CAS No.], 0), MATCH("Name", gwp_table[#Headers], 0)),"No CAS Number Entered")</f>
        <v>No CAS Number Entered</v>
      </c>
      <c r="C190" s="79" t="str">
        <f>IFERROR(INDEX(gwp_table[], MATCH(speciated_ghg_156[[#This Row],[CAS '#]], gwp_table[CAS No.], 0), MATCH("Global warming potential", gwp_table[#Headers], 0)),"No CAS Number Entered")</f>
        <v>No CAS Number Entered</v>
      </c>
      <c r="D190" s="219"/>
      <c r="E190" s="79">
        <f>IFERROR(speciated_ghg_156[[#This Row],[Weight Percent]]*(unique_components_154[[#Totals],[Controlled
tpy]]+standard_components_153[[#Totals],[Controlled
tpy]]), "-")</f>
        <v>0</v>
      </c>
      <c r="F190" s="81" t="str">
        <f>IFERROR(speciated_ghg_156[[#This Row],[Mass Emissions (U.S. tons per year)]]*speciated_ghg_156[[#This Row],[Global Warming Potential (GWP)]], "-")</f>
        <v>-</v>
      </c>
      <c r="G190" s="30"/>
      <c r="H190" s="168"/>
      <c r="I190" s="168"/>
    </row>
    <row r="191" spans="1:10" x14ac:dyDescent="0.2">
      <c r="A191" s="210"/>
      <c r="B191" s="79" t="str">
        <f>IFERROR(INDEX(gwp_table[], MATCH(speciated_ghg_156[[#This Row],[CAS '#]], gwp_table[CAS No.], 0), MATCH("Name", gwp_table[#Headers], 0)),"No CAS Number Entered")</f>
        <v>No CAS Number Entered</v>
      </c>
      <c r="C191" s="79" t="str">
        <f>IFERROR(INDEX(gwp_table[], MATCH(speciated_ghg_156[[#This Row],[CAS '#]], gwp_table[CAS No.], 0), MATCH("Global warming potential", gwp_table[#Headers], 0)),"No CAS Number Entered")</f>
        <v>No CAS Number Entered</v>
      </c>
      <c r="D191" s="219"/>
      <c r="E191" s="79">
        <f>IFERROR(speciated_ghg_156[[#This Row],[Weight Percent]]*(unique_components_154[[#Totals],[Controlled
tpy]]+standard_components_153[[#Totals],[Controlled
tpy]]), "-")</f>
        <v>0</v>
      </c>
      <c r="F191" s="81" t="str">
        <f>IFERROR(speciated_ghg_156[[#This Row],[Mass Emissions (U.S. tons per year)]]*speciated_ghg_156[[#This Row],[Global Warming Potential (GWP)]], "-")</f>
        <v>-</v>
      </c>
      <c r="G191" s="17"/>
    </row>
    <row r="192" spans="1:10" ht="15" x14ac:dyDescent="0.25">
      <c r="A192" s="210"/>
      <c r="B192" s="79" t="str">
        <f>IFERROR(INDEX(gwp_table[], MATCH(speciated_ghg_156[[#This Row],[CAS '#]], gwp_table[CAS No.], 0), MATCH("Name", gwp_table[#Headers], 0)),"No CAS Number Entered")</f>
        <v>No CAS Number Entered</v>
      </c>
      <c r="C192" s="79" t="str">
        <f>IFERROR(INDEX(gwp_table[], MATCH(speciated_ghg_156[[#This Row],[CAS '#]], gwp_table[CAS No.], 0), MATCH("Global warming potential", gwp_table[#Headers], 0)),"No CAS Number Entered")</f>
        <v>No CAS Number Entered</v>
      </c>
      <c r="D192" s="219"/>
      <c r="E192" s="79">
        <f>IFERROR(speciated_ghg_156[[#This Row],[Weight Percent]]*(unique_components_154[[#Totals],[Controlled
tpy]]+standard_components_153[[#Totals],[Controlled
tpy]]), "-")</f>
        <v>0</v>
      </c>
      <c r="F192" s="81" t="str">
        <f>IFERROR(speciated_ghg_156[[#This Row],[Mass Emissions (U.S. tons per year)]]*speciated_ghg_156[[#This Row],[Global Warming Potential (GWP)]], "-")</f>
        <v>-</v>
      </c>
      <c r="G192" s="134"/>
      <c r="H192" s="169"/>
    </row>
    <row r="193" spans="1:9" ht="15" x14ac:dyDescent="0.25">
      <c r="A193" s="210"/>
      <c r="B193" s="79" t="str">
        <f>IFERROR(INDEX(gwp_table[], MATCH(speciated_ghg_156[[#This Row],[CAS '#]], gwp_table[CAS No.], 0), MATCH("Name", gwp_table[#Headers], 0)),"No CAS Number Entered")</f>
        <v>No CAS Number Entered</v>
      </c>
      <c r="C193" s="79" t="str">
        <f>IFERROR(INDEX(gwp_table[], MATCH(speciated_ghg_156[[#This Row],[CAS '#]], gwp_table[CAS No.], 0), MATCH("Global warming potential", gwp_table[#Headers], 0)),"No CAS Number Entered")</f>
        <v>No CAS Number Entered</v>
      </c>
      <c r="D193" s="219"/>
      <c r="E193" s="79">
        <f>IFERROR(speciated_ghg_156[[#This Row],[Weight Percent]]*(unique_components_154[[#Totals],[Controlled
tpy]]+standard_components_153[[#Totals],[Controlled
tpy]]), "-")</f>
        <v>0</v>
      </c>
      <c r="F193" s="81" t="str">
        <f>IFERROR(speciated_ghg_156[[#This Row],[Mass Emissions (U.S. tons per year)]]*speciated_ghg_156[[#This Row],[Global Warming Potential (GWP)]], "-")</f>
        <v>-</v>
      </c>
      <c r="G193" s="134"/>
      <c r="H193" s="169"/>
    </row>
    <row r="194" spans="1:9" ht="15" x14ac:dyDescent="0.25">
      <c r="A194" s="210"/>
      <c r="B194" s="79" t="str">
        <f>IFERROR(INDEX(gwp_table[], MATCH(speciated_ghg_156[[#This Row],[CAS '#]], gwp_table[CAS No.], 0), MATCH("Name", gwp_table[#Headers], 0)),"No CAS Number Entered")</f>
        <v>No CAS Number Entered</v>
      </c>
      <c r="C194" s="79" t="str">
        <f>IFERROR(INDEX(gwp_table[], MATCH(speciated_ghg_156[[#This Row],[CAS '#]], gwp_table[CAS No.], 0), MATCH("Global warming potential", gwp_table[#Headers], 0)),"No CAS Number Entered")</f>
        <v>No CAS Number Entered</v>
      </c>
      <c r="D194" s="219"/>
      <c r="E194" s="79">
        <f>IFERROR(speciated_ghg_156[[#This Row],[Weight Percent]]*(unique_components_154[[#Totals],[Controlled
tpy]]+standard_components_153[[#Totals],[Controlled
tpy]]), "-")</f>
        <v>0</v>
      </c>
      <c r="F194" s="81" t="str">
        <f>IFERROR(speciated_ghg_156[[#This Row],[Mass Emissions (U.S. tons per year)]]*speciated_ghg_156[[#This Row],[Global Warming Potential (GWP)]], "-")</f>
        <v>-</v>
      </c>
      <c r="G194" s="134"/>
      <c r="H194" s="169"/>
    </row>
    <row r="195" spans="1:9" x14ac:dyDescent="0.2">
      <c r="A195" s="210"/>
      <c r="B195" s="79" t="str">
        <f>IFERROR(INDEX(gwp_table[], MATCH(speciated_ghg_156[[#This Row],[CAS '#]], gwp_table[CAS No.], 0), MATCH("Name", gwp_table[#Headers], 0)),"No CAS Number Entered")</f>
        <v>No CAS Number Entered</v>
      </c>
      <c r="C195" s="79" t="str">
        <f>IFERROR(INDEX(gwp_table[], MATCH(speciated_ghg_156[[#This Row],[CAS '#]], gwp_table[CAS No.], 0), MATCH("Global warming potential", gwp_table[#Headers], 0)),"No CAS Number Entered")</f>
        <v>No CAS Number Entered</v>
      </c>
      <c r="D195" s="219"/>
      <c r="E195" s="79">
        <f>IFERROR(speciated_ghg_156[[#This Row],[Weight Percent]]*(unique_components_154[[#Totals],[Controlled
tpy]]+standard_components_153[[#Totals],[Controlled
tpy]]), "-")</f>
        <v>0</v>
      </c>
      <c r="F195" s="81" t="str">
        <f>IFERROR(speciated_ghg_156[[#This Row],[Mass Emissions (U.S. tons per year)]]*speciated_ghg_156[[#This Row],[Global Warming Potential (GWP)]], "-")</f>
        <v>-</v>
      </c>
      <c r="G195" s="69"/>
      <c r="H195" s="169"/>
    </row>
    <row r="196" spans="1:9" x14ac:dyDescent="0.2">
      <c r="A196" s="210"/>
      <c r="B196" s="79" t="str">
        <f>IFERROR(INDEX(gwp_table[], MATCH(speciated_ghg_156[[#This Row],[CAS '#]], gwp_table[CAS No.], 0), MATCH("Name", gwp_table[#Headers], 0)),"No CAS Number Entered")</f>
        <v>No CAS Number Entered</v>
      </c>
      <c r="C196" s="79" t="str">
        <f>IFERROR(INDEX(gwp_table[], MATCH(speciated_ghg_156[[#This Row],[CAS '#]], gwp_table[CAS No.], 0), MATCH("Global warming potential", gwp_table[#Headers], 0)),"No CAS Number Entered")</f>
        <v>No CAS Number Entered</v>
      </c>
      <c r="D196" s="219"/>
      <c r="E196" s="79">
        <f>IFERROR(speciated_ghg_156[[#This Row],[Weight Percent]]*(unique_components_154[[#Totals],[Controlled
tpy]]+standard_components_153[[#Totals],[Controlled
tpy]]), "-")</f>
        <v>0</v>
      </c>
      <c r="F196" s="81" t="str">
        <f>IFERROR(speciated_ghg_156[[#This Row],[Mass Emissions (U.S. tons per year)]]*speciated_ghg_156[[#This Row],[Global Warming Potential (GWP)]], "-")</f>
        <v>-</v>
      </c>
      <c r="G196" s="29"/>
      <c r="H196" s="169"/>
    </row>
    <row r="197" spans="1:9" x14ac:dyDescent="0.2">
      <c r="A197" s="210"/>
      <c r="B197" s="79" t="str">
        <f>IFERROR(INDEX(gwp_table[], MATCH(speciated_ghg_156[[#This Row],[CAS '#]], gwp_table[CAS No.], 0), MATCH("Name", gwp_table[#Headers], 0)),"No CAS Number Entered")</f>
        <v>No CAS Number Entered</v>
      </c>
      <c r="C197" s="79" t="str">
        <f>IFERROR(INDEX(gwp_table[], MATCH(speciated_ghg_156[[#This Row],[CAS '#]], gwp_table[CAS No.], 0), MATCH("Global warming potential", gwp_table[#Headers], 0)),"No CAS Number Entered")</f>
        <v>No CAS Number Entered</v>
      </c>
      <c r="D197" s="219"/>
      <c r="E197" s="79">
        <f>IFERROR(speciated_ghg_156[[#This Row],[Weight Percent]]*(unique_components_154[[#Totals],[Controlled
tpy]]+standard_components_153[[#Totals],[Controlled
tpy]]), "-")</f>
        <v>0</v>
      </c>
      <c r="F197" s="81" t="str">
        <f>IFERROR(speciated_ghg_156[[#This Row],[Mass Emissions (U.S. tons per year)]]*speciated_ghg_156[[#This Row],[Global Warming Potential (GWP)]], "-")</f>
        <v>-</v>
      </c>
      <c r="G197" s="29"/>
      <c r="H197" s="29"/>
      <c r="I197" s="169"/>
    </row>
    <row r="198" spans="1:9" x14ac:dyDescent="0.2">
      <c r="A198" s="210"/>
      <c r="B198" s="79" t="str">
        <f>IFERROR(INDEX(gwp_table[], MATCH(speciated_ghg_156[[#This Row],[CAS '#]], gwp_table[CAS No.], 0), MATCH("Name", gwp_table[#Headers], 0)),"No CAS Number Entered")</f>
        <v>No CAS Number Entered</v>
      </c>
      <c r="C198" s="79" t="str">
        <f>IFERROR(INDEX(gwp_table[], MATCH(speciated_ghg_156[[#This Row],[CAS '#]], gwp_table[CAS No.], 0), MATCH("Global warming potential", gwp_table[#Headers], 0)),"No CAS Number Entered")</f>
        <v>No CAS Number Entered</v>
      </c>
      <c r="D198" s="219"/>
      <c r="E198" s="79">
        <f>IFERROR(speciated_ghg_156[[#This Row],[Weight Percent]]*(unique_components_154[[#Totals],[Controlled
tpy]]+standard_components_153[[#Totals],[Controlled
tpy]]), "-")</f>
        <v>0</v>
      </c>
      <c r="F198" s="81" t="str">
        <f>IFERROR(speciated_ghg_156[[#This Row],[Mass Emissions (U.S. tons per year)]]*speciated_ghg_156[[#This Row],[Global Warming Potential (GWP)]], "-")</f>
        <v>-</v>
      </c>
      <c r="G198" s="29"/>
      <c r="H198" s="29"/>
      <c r="I198" s="169"/>
    </row>
    <row r="199" spans="1:9" x14ac:dyDescent="0.2">
      <c r="A199" s="210"/>
      <c r="B199" s="79" t="str">
        <f>IFERROR(INDEX(gwp_table[], MATCH(speciated_ghg_156[[#This Row],[CAS '#]], gwp_table[CAS No.], 0), MATCH("Name", gwp_table[#Headers], 0)),"No CAS Number Entered")</f>
        <v>No CAS Number Entered</v>
      </c>
      <c r="C199" s="79" t="str">
        <f>IFERROR(INDEX(gwp_table[], MATCH(speciated_ghg_156[[#This Row],[CAS '#]], gwp_table[CAS No.], 0), MATCH("Global warming potential", gwp_table[#Headers], 0)),"No CAS Number Entered")</f>
        <v>No CAS Number Entered</v>
      </c>
      <c r="D199" s="219"/>
      <c r="E199" s="79">
        <f>IFERROR(speciated_ghg_156[[#This Row],[Weight Percent]]*(unique_components_154[[#Totals],[Controlled
tpy]]+standard_components_153[[#Totals],[Controlled
tpy]]), "-")</f>
        <v>0</v>
      </c>
      <c r="F199" s="81" t="str">
        <f>IFERROR(speciated_ghg_156[[#This Row],[Mass Emissions (U.S. tons per year)]]*speciated_ghg_156[[#This Row],[Global Warming Potential (GWP)]], "-")</f>
        <v>-</v>
      </c>
      <c r="G199" s="29"/>
      <c r="H199" s="29"/>
      <c r="I199" s="169"/>
    </row>
    <row r="200" spans="1:9" x14ac:dyDescent="0.2">
      <c r="A200" s="210"/>
      <c r="B200" s="79" t="str">
        <f>IFERROR(INDEX(gwp_table[], MATCH(speciated_ghg_156[[#This Row],[CAS '#]], gwp_table[CAS No.], 0), MATCH("Name", gwp_table[#Headers], 0)),"No CAS Number Entered")</f>
        <v>No CAS Number Entered</v>
      </c>
      <c r="C200" s="79" t="str">
        <f>IFERROR(INDEX(gwp_table[], MATCH(speciated_ghg_156[[#This Row],[CAS '#]], gwp_table[CAS No.], 0), MATCH("Global warming potential", gwp_table[#Headers], 0)),"No CAS Number Entered")</f>
        <v>No CAS Number Entered</v>
      </c>
      <c r="D200" s="219"/>
      <c r="E200" s="79">
        <f>IFERROR(speciated_ghg_156[[#This Row],[Weight Percent]]*(unique_components_154[[#Totals],[Controlled
tpy]]+standard_components_153[[#Totals],[Controlled
tpy]]), "-")</f>
        <v>0</v>
      </c>
      <c r="F200" s="81" t="str">
        <f>IFERROR(speciated_ghg_156[[#This Row],[Mass Emissions (U.S. tons per year)]]*speciated_ghg_156[[#This Row],[Global Warming Potential (GWP)]], "-")</f>
        <v>-</v>
      </c>
      <c r="G200" s="29"/>
      <c r="H200" s="29"/>
      <c r="I200" s="169"/>
    </row>
    <row r="201" spans="1:9" x14ac:dyDescent="0.2">
      <c r="A201" s="210"/>
      <c r="B201" s="79" t="str">
        <f>IFERROR(INDEX(gwp_table[], MATCH(speciated_ghg_156[[#This Row],[CAS '#]], gwp_table[CAS No.], 0), MATCH("Name", gwp_table[#Headers], 0)),"No CAS Number Entered")</f>
        <v>No CAS Number Entered</v>
      </c>
      <c r="C201" s="79" t="str">
        <f>IFERROR(INDEX(gwp_table[], MATCH(speciated_ghg_156[[#This Row],[CAS '#]], gwp_table[CAS No.], 0), MATCH("Global warming potential", gwp_table[#Headers], 0)),"No CAS Number Entered")</f>
        <v>No CAS Number Entered</v>
      </c>
      <c r="D201" s="219"/>
      <c r="E201" s="79">
        <f>IFERROR(speciated_ghg_156[[#This Row],[Weight Percent]]*(unique_components_154[[#Totals],[Controlled
tpy]]+standard_components_153[[#Totals],[Controlled
tpy]]), "-")</f>
        <v>0</v>
      </c>
      <c r="F201" s="81" t="str">
        <f>IFERROR(speciated_ghg_156[[#This Row],[Mass Emissions (U.S. tons per year)]]*speciated_ghg_156[[#This Row],[Global Warming Potential (GWP)]], "-")</f>
        <v>-</v>
      </c>
      <c r="G201" s="169"/>
      <c r="H201" s="169"/>
      <c r="I201" s="169"/>
    </row>
    <row r="202" spans="1:9" x14ac:dyDescent="0.2">
      <c r="A202" s="210"/>
      <c r="B202" s="79" t="str">
        <f>IFERROR(INDEX(gwp_table[], MATCH(speciated_ghg_156[[#This Row],[CAS '#]], gwp_table[CAS No.], 0), MATCH("Name", gwp_table[#Headers], 0)),"No CAS Number Entered")</f>
        <v>No CAS Number Entered</v>
      </c>
      <c r="C202" s="79" t="str">
        <f>IFERROR(INDEX(gwp_table[], MATCH(speciated_ghg_156[[#This Row],[CAS '#]], gwp_table[CAS No.], 0), MATCH("Global warming potential", gwp_table[#Headers], 0)),"No CAS Number Entered")</f>
        <v>No CAS Number Entered</v>
      </c>
      <c r="D202" s="219"/>
      <c r="E202" s="79">
        <f>IFERROR(speciated_ghg_156[[#This Row],[Weight Percent]]*(unique_components_154[[#Totals],[Controlled
tpy]]+standard_components_153[[#Totals],[Controlled
tpy]]), "-")</f>
        <v>0</v>
      </c>
      <c r="F202" s="81" t="str">
        <f>IFERROR(speciated_ghg_156[[#This Row],[Mass Emissions (U.S. tons per year)]]*speciated_ghg_156[[#This Row],[Global Warming Potential (GWP)]], "-")</f>
        <v>-</v>
      </c>
      <c r="G202" s="169"/>
      <c r="H202" s="169"/>
      <c r="I202" s="169"/>
    </row>
    <row r="203" spans="1:9" x14ac:dyDescent="0.2">
      <c r="A203" s="210"/>
      <c r="B203" s="79" t="str">
        <f>IFERROR(INDEX(gwp_table[], MATCH(speciated_ghg_156[[#This Row],[CAS '#]], gwp_table[CAS No.], 0), MATCH("Name", gwp_table[#Headers], 0)),"No CAS Number Entered")</f>
        <v>No CAS Number Entered</v>
      </c>
      <c r="C203" s="79" t="str">
        <f>IFERROR(INDEX(gwp_table[], MATCH(speciated_ghg_156[[#This Row],[CAS '#]], gwp_table[CAS No.], 0), MATCH("Global warming potential", gwp_table[#Headers], 0)),"No CAS Number Entered")</f>
        <v>No CAS Number Entered</v>
      </c>
      <c r="D203" s="219"/>
      <c r="E203" s="79">
        <f>IFERROR(speciated_ghg_156[[#This Row],[Weight Percent]]*(unique_components_154[[#Totals],[Controlled
tpy]]+standard_components_153[[#Totals],[Controlled
tpy]]), "-")</f>
        <v>0</v>
      </c>
      <c r="F203" s="81" t="str">
        <f>IFERROR(speciated_ghg_156[[#This Row],[Mass Emissions (U.S. tons per year)]]*speciated_ghg_156[[#This Row],[Global Warming Potential (GWP)]], "-")</f>
        <v>-</v>
      </c>
      <c r="G203" s="169"/>
      <c r="H203" s="169"/>
      <c r="I203" s="169"/>
    </row>
    <row r="204" spans="1:9" ht="30" x14ac:dyDescent="0.25">
      <c r="A204" s="185" t="s">
        <v>13321</v>
      </c>
      <c r="B204" s="77"/>
      <c r="C204" s="77"/>
      <c r="D204" s="77"/>
      <c r="E204" s="80">
        <f>SUBTOTAL(109,speciated_ghg_156[Mass Emissions (U.S. tons per year)])</f>
        <v>0</v>
      </c>
      <c r="F204" s="82">
        <f>SUBTOTAL(109,speciated_ghg_156[CO2e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speciated_chemicals_155[[#Totals],[lb/hr]]</f>
        <v>0</v>
      </c>
      <c r="C207" s="134"/>
      <c r="D207" s="134"/>
      <c r="E207" s="134"/>
      <c r="F207" s="134"/>
      <c r="G207" s="169"/>
      <c r="H207" s="169"/>
    </row>
    <row r="208" spans="1:9" ht="29.25" x14ac:dyDescent="0.25">
      <c r="A208" s="174" t="s">
        <v>13320</v>
      </c>
      <c r="B208" s="175">
        <f>speciated_chemicals_155[[#Totals],[tpy]]</f>
        <v>0</v>
      </c>
      <c r="C208" s="134"/>
      <c r="D208" s="134"/>
      <c r="E208" s="134"/>
      <c r="F208" s="134"/>
      <c r="G208" s="169"/>
      <c r="H208" s="169"/>
    </row>
    <row r="209" spans="1:8" ht="15" x14ac:dyDescent="0.25">
      <c r="A209" s="126" t="s">
        <v>13277</v>
      </c>
      <c r="B209" s="128">
        <f>SUMIF(speciated_chemicals_155[VOC?],"Yes",speciated_chemicals_155[lb/hr])</f>
        <v>0</v>
      </c>
      <c r="C209" s="134"/>
      <c r="D209" s="29"/>
      <c r="E209" s="29"/>
      <c r="F209" s="29"/>
      <c r="G209" s="169"/>
      <c r="H209" s="169"/>
    </row>
    <row r="210" spans="1:8" ht="15" x14ac:dyDescent="0.25">
      <c r="A210" s="126" t="s">
        <v>12669</v>
      </c>
      <c r="B210" s="128">
        <f>SUMIF(speciated_chemicals_155[VOC?],"Yes",speciated_chemicals_155[tpy])</f>
        <v>0</v>
      </c>
      <c r="C210" s="134"/>
      <c r="D210" s="29"/>
      <c r="E210" s="29"/>
      <c r="F210" s="29"/>
      <c r="G210" s="169"/>
      <c r="H210" s="169"/>
    </row>
    <row r="211" spans="1:8" ht="15" x14ac:dyDescent="0.25">
      <c r="A211" s="126" t="s">
        <v>12775</v>
      </c>
      <c r="B211" s="128">
        <f>SUMIF(speciated_chemicals_155[Inorganic?],"Yes",speciated_chemicals_155[lb/hr])</f>
        <v>0</v>
      </c>
      <c r="C211" s="134"/>
      <c r="D211" s="29"/>
      <c r="E211" s="29"/>
      <c r="F211" s="29"/>
      <c r="G211" s="169"/>
      <c r="H211" s="169"/>
    </row>
    <row r="212" spans="1:8" ht="15" x14ac:dyDescent="0.25">
      <c r="A212" s="126" t="s">
        <v>12770</v>
      </c>
      <c r="B212" s="128">
        <f>SUMIF(speciated_chemicals_155[Inorganic?],"Yes",speciated_chemicals_155[tpy])</f>
        <v>0</v>
      </c>
      <c r="C212" s="134"/>
      <c r="D212" s="29"/>
      <c r="E212" s="29"/>
      <c r="F212" s="29"/>
      <c r="G212" s="169"/>
      <c r="H212" s="169"/>
    </row>
    <row r="213" spans="1:8" ht="15" x14ac:dyDescent="0.25">
      <c r="A213" s="126" t="s">
        <v>13276</v>
      </c>
      <c r="B213" s="128">
        <f>SUMIF(speciated_chemicals_155[VOC-Exempt Solvent?],"Yes",speciated_chemicals_155[lb/hr])</f>
        <v>0</v>
      </c>
      <c r="C213" s="134"/>
      <c r="D213" s="29"/>
      <c r="E213" s="29"/>
      <c r="F213" s="29"/>
      <c r="G213" s="169"/>
      <c r="H213" s="169"/>
    </row>
    <row r="214" spans="1:8" ht="15" x14ac:dyDescent="0.25">
      <c r="A214" s="126" t="s">
        <v>13278</v>
      </c>
      <c r="B214" s="128">
        <f>SUMIF(speciated_chemicals_155[VOC-Exempt Solvent?],"Yes",speciated_chemicals_155[tpy])</f>
        <v>0</v>
      </c>
      <c r="C214" s="134"/>
      <c r="D214" s="29"/>
      <c r="E214" s="29"/>
      <c r="F214" s="29"/>
      <c r="G214" s="169"/>
      <c r="H214" s="169"/>
    </row>
    <row r="215" spans="1:8" ht="15" x14ac:dyDescent="0.25">
      <c r="A215" s="127" t="s">
        <v>13280</v>
      </c>
      <c r="B215" s="176">
        <f>speciated_ghg_156[[#Totals],[Mass Emissions (U.S. tons per year)]]</f>
        <v>0</v>
      </c>
      <c r="C215" s="134"/>
      <c r="D215" s="29"/>
      <c r="E215" s="29"/>
      <c r="F215" s="29"/>
      <c r="G215" s="169"/>
      <c r="H215" s="169"/>
    </row>
    <row r="216" spans="1:8" ht="18.75" x14ac:dyDescent="0.35">
      <c r="A216" s="127" t="s">
        <v>13281</v>
      </c>
      <c r="B216" s="176">
        <f>speciated_ghg_156[[#Totals],[CO2e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h/pM0kCCrYnSYNM0qSY1OKPThXSe9Z4SGTdsqFz9DB9ZxakMb6QV2bVju+7SiXpD4J3usUhrX411dsdxTV7ohA==" saltValue="92ePmQHZnqVGple/x+Egtg==" spinCount="100000" sheet="1" objects="1" scenarios="1" formatColumns="0" formatRows="0" autoFilter="0"/>
  <conditionalFormatting sqref="A21:H21">
    <cfRule type="expression" dxfId="1513" priority="5">
      <formula>$F$19="No"</formula>
    </cfRule>
  </conditionalFormatting>
  <conditionalFormatting sqref="A105:E106 F106:G126">
    <cfRule type="expression" dxfId="1512" priority="4">
      <formula>$E$104="no"</formula>
    </cfRule>
  </conditionalFormatting>
  <conditionalFormatting sqref="C131:C180">
    <cfRule type="expression" dxfId="1511" priority="3">
      <formula>NOT(B131="Other (Please specify):")</formula>
    </cfRule>
  </conditionalFormatting>
  <conditionalFormatting sqref="A107:E126">
    <cfRule type="expression" dxfId="1510" priority="2">
      <formula>$A$58="No"</formula>
    </cfRule>
  </conditionalFormatting>
  <conditionalFormatting sqref="A107:E126 A206:B214 A215:A216">
    <cfRule type="expression" dxfId="1509"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15081557-2FB1-412D-A9B5-9C01D29CD4D3}"/>
    <dataValidation type="list" allowBlank="1" showInputMessage="1" showErrorMessage="1" sqref="E104:H104 B10" xr:uid="{FC40E0A7-A1DF-425B-A177-EEB13A8E59C7}">
      <formula1>"Yes,No"</formula1>
    </dataValidation>
    <dataValidation type="list" allowBlank="1" showInputMessage="1" showErrorMessage="1" sqref="F19:H20" xr:uid="{56434A87-08CA-4E7B-8384-CB2DE11315DA}">
      <formula1>"No,Yes - 75%,Yes - 95%"</formula1>
    </dataValidation>
    <dataValidation type="list" allowBlank="1" showInputMessage="1" showErrorMessage="1" sqref="F18" xr:uid="{AAB612B0-04CC-43B9-9713-DAEDAD3A622F}">
      <formula1>IF(#REF!="SOCMI Non-leaker",ListNone,ListInspection)</formula1>
    </dataValidation>
    <dataValidation type="list" allowBlank="1" showInputMessage="1" showErrorMessage="1" sqref="F16:F17" xr:uid="{A1755F65-932A-417D-AC22-6BE1B6D8923A}">
      <formula1>IF(#REF!="SOCMI Non-Leaker",ListNone,ListInstrument)</formula1>
    </dataValidation>
    <dataValidation type="list" allowBlank="1" showInputMessage="1" prompt="Please specify whether the substance is a volatile organic compound (VOC); methane and ethane are not classifed as VOCs" sqref="D132:D180" xr:uid="{12430FC1-968B-4C66-B8EC-CC66FA55EB7C}">
      <formula1>"Yes,No"</formula1>
    </dataValidation>
    <dataValidation allowBlank="1" showInputMessage="1" showErrorMessage="1" prompt="Enter the weight percent of the substance" sqref="H178:H180 H132:H176" xr:uid="{ED0BE1C3-BC56-41A2-964C-62B9762EBA6F}"/>
    <dataValidation type="list" allowBlank="1" showInputMessage="1" showErrorMessage="1" prompt="Enter or select Chemical Abstracts Service number; select &quot;N/A&quot; if a CAS # is not applicable" sqref="A131:A175 A177:A180" xr:uid="{A6732E59-D3BF-47A1-B7F2-34D84C8339DF}">
      <formula1>SpeciesList</formula1>
    </dataValidation>
    <dataValidation type="list" allowBlank="1" showInputMessage="1" prompt="Select other species from dropdown" sqref="C131:C180" xr:uid="{4241CE0B-6E2D-4B67-9772-6F533AF2A50C}">
      <formula1>NoCASList</formula1>
    </dataValidation>
    <dataValidation allowBlank="1" showInputMessage="1" showErrorMessage="1" prompt="Proposed control efficiency (0-1)" sqref="E107:E126" xr:uid="{43679574-B203-4940-9D2F-42C498A98B56}"/>
    <dataValidation allowBlank="1" showInputMessage="1" showErrorMessage="1" prompt="Count of unique component" sqref="C107:C126" xr:uid="{ED3628AA-2F47-45DD-A92A-81AFD7C4F5DD}"/>
    <dataValidation allowBlank="1" showInputMessage="1" showErrorMessage="1" prompt="Type of service (e.g. gas, vapor, or liquid)" sqref="B107:B126" xr:uid="{B15EEAAA-E3F7-41F8-AF66-1EF9FA4FBA08}"/>
    <dataValidation allowBlank="1" showInputMessage="1" showErrorMessage="1" prompt="Name of unique component" sqref="A107:A126" xr:uid="{000417E0-8042-4786-A5AE-2886E7D2912F}"/>
    <dataValidation type="list" allowBlank="1" showInputMessage="1" showErrorMessage="1" sqref="B13" xr:uid="{5FA798FE-FA58-4C84-AF46-8A1D96CE1EB7}">
      <formula1>industry_names</formula1>
    </dataValidation>
    <dataValidation type="list" allowBlank="1" showInputMessage="1" showErrorMessage="1" sqref="B19" xr:uid="{0C3E714C-3BFD-46A1-9CF2-8ABAA1DB71D2}">
      <formula1>yes_no_list</formula1>
    </dataValidation>
    <dataValidation type="list" allowBlank="1" showInputMessage="1" showErrorMessage="1" sqref="B20" xr:uid="{B8EDD887-9B29-4729-8233-79480365DCE6}">
      <formula1>process_drains_effs</formula1>
    </dataValidation>
    <dataValidation allowBlank="1" showInputMessage="1" showErrorMessage="1" prompt="Proposed emission factor" sqref="D107:D126" xr:uid="{53424B2B-3926-4DAD-B8D0-6AFE7FCFD915}"/>
    <dataValidation type="list" allowBlank="1" showInputMessage="1" prompt="Please specify if the substance is an inert substance or is not considered a contaminant (e.g. steam)" sqref="G131:G180" xr:uid="{FB5457D4-DEC0-42A7-98D6-5F86F73F32F6}">
      <formula1>"Yes,No"</formula1>
    </dataValidation>
    <dataValidation type="list" allowBlank="1" showInputMessage="1" showErrorMessage="1" prompt="Please select from the dropdown" sqref="B104" xr:uid="{361C3BAE-A98D-4FBD-9449-A9B8FEB2297A}">
      <formula1>yes_no_list</formula1>
    </dataValidation>
    <dataValidation allowBlank="1" showInputMessage="1" showErrorMessage="1" prompt="Provide justification" sqref="B105" xr:uid="{AB672F4A-12C7-4387-AE5F-A3975EBD1EC9}"/>
    <dataValidation type="list" showInputMessage="1" prompt="Please specify whether the substance is a volatile organic compound (VOC); methane and ethane are not classifed as VOCs" sqref="D131" xr:uid="{DBF41687-4F10-42BF-BB1D-1F3277597344}">
      <formula1>"Yes,No"</formula1>
    </dataValidation>
    <dataValidation type="list" showInputMessage="1" prompt="Please specify whether the substance is an inorganic contaminant (e.g. ammonia or chlorine gas)" sqref="E131:E180" xr:uid="{961E847A-8760-4E2E-A51B-169E77A8EBCF}">
      <formula1>"Yes,No"</formula1>
    </dataValidation>
    <dataValidation type="list" allowBlank="1" showInputMessage="1" prompt="Please specify whether the substance is an VOC-exempt solvent." sqref="F131:F180" xr:uid="{03FF0E44-C1E2-42D3-AF0A-FC6F555D62A4}">
      <formula1>"Yes,No"</formula1>
    </dataValidation>
    <dataValidation type="list" allowBlank="1" showInputMessage="1" showErrorMessage="1" prompt="Enter or select Chemical Abstracts Service number; select &quot;N/A&quot; if a CAS # is not applicable" sqref="A185:A203 A176" xr:uid="{001AFE4A-966C-4B7B-AEE3-B0614FDBFADA}">
      <formula1>gwp_table_cas</formula1>
    </dataValidation>
    <dataValidation type="decimal" allowBlank="1" showInputMessage="1" showErrorMessage="1" prompt="Enter the weight percent of the substance" sqref="H177" xr:uid="{CC11809D-E176-4633-9A7D-E5053539AF57}">
      <formula1>0</formula1>
      <formula2>1</formula2>
    </dataValidation>
    <dataValidation type="decimal" operator="greaterThan" allowBlank="1" showInputMessage="1" showErrorMessage="1" prompt="Enter the weight percent of the substance" sqref="H131 D185:D203" xr:uid="{7F95279E-4A44-4172-B9EE-7209175E9F85}">
      <formula1>0</formula1>
    </dataValidation>
    <dataValidation type="list" allowBlank="1" showInputMessage="1" showErrorMessage="1" sqref="B18" xr:uid="{C4EBF270-4D4B-4965-8AF8-75581AAF9D2F}">
      <formula1>inspection_ldar_list</formula1>
    </dataValidation>
    <dataValidation type="list" allowBlank="1" showInputMessage="1" showErrorMessage="1" sqref="B17" xr:uid="{0BEEBD36-6A8E-4635-A3CF-AA599DF9F3FB}">
      <formula1>connector_ldar_list</formula1>
    </dataValidation>
    <dataValidation type="list" allowBlank="1" showInputMessage="1" showErrorMessage="1" sqref="B16" xr:uid="{A49FCC97-3A85-4CA5-9B31-D8BB7F4ADCA0}">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1E6D2-73C1-4239-A9EA-532FDE8D6FB9}">
  <sheetPr codeName="Sheet17">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INDEX((standard_components_157[[#This Row],[Component]]=factor_eff_table[Component])*(standard_components_157[[#This Row],[Service]]=factor_eff_table[Service]), 0, 1), 0)),
 "-")</f>
        <v>-</v>
      </c>
      <c r="E25" s="145" t="str" cm="1">
        <f t="array" ref="E2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25" s="145" t="str" cm="1">
        <f t="array" ref="F2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25" s="145" t="str" cm="1">
        <f t="array" ref="G2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2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2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INDEX((standard_components_157[[#This Row],[Component]]=factor_eff_table[Component])*(standard_components_157[[#This Row],[Service]]=factor_eff_table[Service]), 0, 1), 0)),
 "-")</f>
        <v>-</v>
      </c>
      <c r="E26" s="145" t="str" cm="1">
        <f t="array" ref="E2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26" s="145" t="str" cm="1">
        <f t="array" ref="F2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26" s="145" t="str" cm="1">
        <f t="array" ref="G2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2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2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INDEX((standard_components_157[[#This Row],[Component]]=factor_eff_table[Component])*(standard_components_157[[#This Row],[Service]]=factor_eff_table[Service]), 0, 1), 0)),
 "-")</f>
        <v>-</v>
      </c>
      <c r="E27" s="145" t="str" cm="1">
        <f t="array" ref="E2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27" s="145" t="str" cm="1">
        <f t="array" ref="F2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27" s="145" t="str" cm="1">
        <f t="array" ref="G2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2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2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INDEX((standard_components_157[[#This Row],[Component]]=factor_eff_table[Component])*(standard_components_157[[#This Row],[Service]]=factor_eff_table[Service]), 0, 1), 0)),
 "-")</f>
        <v>-</v>
      </c>
      <c r="E28" s="145" t="str" cm="1">
        <f t="array" ref="E2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28" s="145" t="str" cm="1">
        <f t="array" ref="F2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28" s="145" t="str" cm="1">
        <f t="array" ref="G2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2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2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INDEX((standard_components_157[[#This Row],[Component]]=factor_eff_table[Component])*(standard_components_157[[#This Row],[Service]]=factor_eff_table[Service]), 0, 1), 0)),
 "-")</f>
        <v>-</v>
      </c>
      <c r="E29" s="145" t="str" cm="1">
        <f t="array" ref="E2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29" s="145" t="str" cm="1">
        <f t="array" ref="F2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29" s="145" t="str" cm="1">
        <f t="array" ref="G2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2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2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INDEX((standard_components_157[[#This Row],[Component]]=factor_eff_table[Component])*(standard_components_157[[#This Row],[Service]]=factor_eff_table[Service]), 0, 1), 0)),
 "-")</f>
        <v>-</v>
      </c>
      <c r="E30" s="145" t="str" cm="1">
        <f t="array" ref="E3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0" s="145" t="str" cm="1">
        <f t="array" ref="F3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0" s="145" t="str" cm="1">
        <f t="array" ref="G3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INDEX((standard_components_157[[#This Row],[Component]]=factor_eff_table[Component])*(standard_components_157[[#This Row],[Service]]=factor_eff_table[Service]), 0, 1), 0)),
 "-")</f>
        <v>-</v>
      </c>
      <c r="E31" s="145" t="str" cm="1">
        <f t="array" ref="E3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1" s="145" t="str" cm="1">
        <f t="array" ref="F3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1" s="145" t="str" cm="1">
        <f t="array" ref="G3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INDEX((standard_components_157[[#This Row],[Component]]=factor_eff_table[Component])*(standard_components_157[[#This Row],[Service]]=factor_eff_table[Service]), 0, 1), 0)),
 "-")</f>
        <v>-</v>
      </c>
      <c r="E32" s="145" t="str" cm="1">
        <f t="array" ref="E3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2" s="145" t="str" cm="1">
        <f t="array" ref="F3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2" s="145" t="str" cm="1">
        <f t="array" ref="G3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INDEX((standard_components_157[[#This Row],[Component]]=factor_eff_table[Component])*(standard_components_157[[#This Row],[Service]]=factor_eff_table[Service]), 0, 1), 0)),
 "-")</f>
        <v>-</v>
      </c>
      <c r="E33" s="145" t="str" cm="1">
        <f t="array" ref="E3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3" s="145" t="str" cm="1">
        <f t="array" ref="F3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3" s="145" t="str" cm="1">
        <f t="array" ref="G3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INDEX((standard_components_157[[#This Row],[Component]]=factor_eff_table[Component])*(standard_components_157[[#This Row],[Service]]=factor_eff_table[Service]), 0, 1), 0)),
 "-")</f>
        <v>-</v>
      </c>
      <c r="E34" s="145" t="str" cm="1">
        <f t="array" ref="E3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4" s="145" t="str" cm="1">
        <f t="array" ref="F3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4" s="145" t="str" cm="1">
        <f t="array" ref="G3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INDEX((standard_components_157[[#This Row],[Component]]=factor_eff_table[Component])*(standard_components_157[[#This Row],[Service]]=factor_eff_table[Service]), 0, 1), 0)),
 "-")</f>
        <v>-</v>
      </c>
      <c r="E35" s="145" t="str" cm="1">
        <f t="array" ref="E3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5" s="145" t="str" cm="1">
        <f t="array" ref="F3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5" s="145" t="str" cm="1">
        <f t="array" ref="G3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INDEX((standard_components_157[[#This Row],[Component]]=factor_eff_table[Component])*(standard_components_157[[#This Row],[Service]]=factor_eff_table[Service]), 0, 1), 0)),
 "-")</f>
        <v>-</v>
      </c>
      <c r="E36" s="145" t="str" cm="1">
        <f t="array" ref="E3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6" s="145" t="str" cm="1">
        <f t="array" ref="F3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6" s="145" t="str" cm="1">
        <f t="array" ref="G3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INDEX((standard_components_157[[#This Row],[Component]]=factor_eff_table[Component])*(standard_components_157[[#This Row],[Service]]=factor_eff_table[Service]), 0, 1), 0)),
 "-")</f>
        <v>-</v>
      </c>
      <c r="E37" s="145" t="str" cm="1">
        <f t="array" ref="E3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7" s="145" t="str" cm="1">
        <f t="array" ref="F3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7" s="145" t="str" cm="1">
        <f t="array" ref="G3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INDEX((standard_components_157[[#This Row],[Component]]=factor_eff_table[Component])*(standard_components_157[[#This Row],[Service]]=factor_eff_table[Service]), 0, 1), 0)),
 "-")</f>
        <v>-</v>
      </c>
      <c r="E38" s="145" t="str" cm="1">
        <f t="array" ref="E3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8" s="145" t="str" cm="1">
        <f t="array" ref="F3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8" s="145" t="str" cm="1">
        <f t="array" ref="G3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INDEX((standard_components_157[[#This Row],[Component]]=factor_eff_table[Component])*(standard_components_157[[#This Row],[Service]]=factor_eff_table[Service]), 0, 1), 0)),
 "-")</f>
        <v>-</v>
      </c>
      <c r="E39" s="145" t="str" cm="1">
        <f t="array" ref="E3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39" s="145" t="str" cm="1">
        <f t="array" ref="F3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39" s="145" t="str" cm="1">
        <f t="array" ref="G3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3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3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INDEX((standard_components_157[[#This Row],[Component]]=factor_eff_table[Component])*(standard_components_157[[#This Row],[Service]]=factor_eff_table[Service]), 0, 1), 0)),
 "-")</f>
        <v>-</v>
      </c>
      <c r="E40" s="145" t="str" cm="1">
        <f t="array" ref="E4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0" s="145" t="str" cm="1">
        <f t="array" ref="F4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0" s="145" t="str" cm="1">
        <f t="array" ref="G4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INDEX((standard_components_157[[#This Row],[Component]]=factor_eff_table[Component])*(standard_components_157[[#This Row],[Service]]=factor_eff_table[Service]), 0, 1), 0)),
 "-")</f>
        <v>-</v>
      </c>
      <c r="E41" s="145" t="str" cm="1">
        <f t="array" ref="E4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1" s="145" t="str" cm="1">
        <f t="array" ref="F4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1" s="145" t="str" cm="1">
        <f t="array" ref="G4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INDEX((standard_components_157[[#This Row],[Component]]=factor_eff_table[Component])*(standard_components_157[[#This Row],[Service]]=factor_eff_table[Service]), 0, 1), 0)),
 "-")</f>
        <v>-</v>
      </c>
      <c r="E42" s="145" t="str" cm="1">
        <f t="array" ref="E4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2" s="145" t="str" cm="1">
        <f t="array" ref="F4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2" s="145" t="str" cm="1">
        <f t="array" ref="G4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INDEX((standard_components_157[[#This Row],[Component]]=factor_eff_table[Component])*(standard_components_157[[#This Row],[Service]]=factor_eff_table[Service]), 0, 1), 0)),
 "-")</f>
        <v>-</v>
      </c>
      <c r="E43" s="145" t="str" cm="1">
        <f t="array" ref="E4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3" s="145" t="str" cm="1">
        <f t="array" ref="F4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3" s="145" t="str" cm="1">
        <f t="array" ref="G4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INDEX((standard_components_157[[#This Row],[Component]]=factor_eff_table[Component])*(standard_components_157[[#This Row],[Service]]=factor_eff_table[Service]), 0, 1), 0)),
 "-")</f>
        <v>-</v>
      </c>
      <c r="E44" s="145" t="str" cm="1">
        <f t="array" ref="E4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4" s="145" t="str" cm="1">
        <f t="array" ref="F4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4" s="145" t="str" cm="1">
        <f t="array" ref="G4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INDEX((standard_components_157[[#This Row],[Component]]=factor_eff_table[Component])*(standard_components_157[[#This Row],[Service]]=factor_eff_table[Service]), 0, 1), 0)),
 "-")</f>
        <v>-</v>
      </c>
      <c r="E45" s="145" t="str" cm="1">
        <f t="array" ref="E4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5" s="145" t="str" cm="1">
        <f t="array" ref="F4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5" s="145" t="str" cm="1">
        <f t="array" ref="G4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INDEX((standard_components_157[[#This Row],[Component]]=factor_eff_table[Component])*(standard_components_157[[#This Row],[Service]]=factor_eff_table[Service]), 0, 1), 0)),
 "-")</f>
        <v>-</v>
      </c>
      <c r="E46" s="145" t="str" cm="1">
        <f t="array" ref="E4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6" s="145" t="str" cm="1">
        <f t="array" ref="F4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6" s="145" t="str" cm="1">
        <f t="array" ref="G4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INDEX((standard_components_157[[#This Row],[Component]]=factor_eff_table[Component])*(standard_components_157[[#This Row],[Service]]=factor_eff_table[Service]), 0, 1), 0)),
 "-")</f>
        <v>-</v>
      </c>
      <c r="E47" s="145" t="str" cm="1">
        <f t="array" ref="E4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7" s="145" t="str" cm="1">
        <f t="array" ref="F4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7" s="145" t="str" cm="1">
        <f t="array" ref="G4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INDEX((standard_components_157[[#This Row],[Component]]=factor_eff_table[Component])*(standard_components_157[[#This Row],[Service]]=factor_eff_table[Service]), 0, 1), 0)),
 "-")</f>
        <v>-</v>
      </c>
      <c r="E48" s="145" t="str" cm="1">
        <f t="array" ref="E4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8" s="145" t="str" cm="1">
        <f t="array" ref="F4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8" s="145" t="str" cm="1">
        <f t="array" ref="G4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INDEX((standard_components_157[[#This Row],[Component]]=factor_eff_table[Component])*(standard_components_157[[#This Row],[Service]]=factor_eff_table[Service]), 0, 1), 0)),
 "-")</f>
        <v>-</v>
      </c>
      <c r="E49" s="145" t="str" cm="1">
        <f t="array" ref="E4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49" s="145" t="str" cm="1">
        <f t="array" ref="F4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49" s="145" t="str" cm="1">
        <f t="array" ref="G4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4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4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INDEX((standard_components_157[[#This Row],[Component]]=factor_eff_table[Component])*(standard_components_157[[#This Row],[Service]]=factor_eff_table[Service]), 0, 1), 0)),
 "-")</f>
        <v>-</v>
      </c>
      <c r="E50" s="145" t="str" cm="1">
        <f t="array" ref="E5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0" s="145" t="str" cm="1">
        <f t="array" ref="F5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0" s="145" t="str" cm="1">
        <f t="array" ref="G5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INDEX((standard_components_157[[#This Row],[Component]]=factor_eff_table[Component])*(standard_components_157[[#This Row],[Service]]=factor_eff_table[Service]), 0, 1), 0)),
 "-")</f>
        <v>-</v>
      </c>
      <c r="E51" s="145" t="str" cm="1">
        <f t="array" ref="E5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1" s="145" t="str" cm="1">
        <f t="array" ref="F5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1" s="145" t="str" cm="1">
        <f t="array" ref="G5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INDEX((standard_components_157[[#This Row],[Component]]=factor_eff_table[Component])*(standard_components_157[[#This Row],[Service]]=factor_eff_table[Service]), 0, 1), 0)),
 "-")</f>
        <v>-</v>
      </c>
      <c r="E52" s="145" t="str" cm="1">
        <f t="array" ref="E5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2" s="145" t="str" cm="1">
        <f t="array" ref="F5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2" s="145" t="str" cm="1">
        <f t="array" ref="G5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INDEX((standard_components_157[[#This Row],[Component]]=factor_eff_table[Component])*(standard_components_157[[#This Row],[Service]]=factor_eff_table[Service]), 0, 1), 0)),
 "-")</f>
        <v>-</v>
      </c>
      <c r="E53" s="145" t="str" cm="1">
        <f t="array" ref="E5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3" s="145" t="str" cm="1">
        <f t="array" ref="F5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3" s="145" t="str" cm="1">
        <f t="array" ref="G5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INDEX((standard_components_157[[#This Row],[Component]]=factor_eff_table[Component])*(standard_components_157[[#This Row],[Service]]=factor_eff_table[Service]), 0, 1), 0)),
 "-")</f>
        <v>-</v>
      </c>
      <c r="E54" s="145" t="str" cm="1">
        <f t="array" ref="E5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4" s="145" t="str" cm="1">
        <f t="array" ref="F5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4" s="145" t="str" cm="1">
        <f t="array" ref="G5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INDEX((standard_components_157[[#This Row],[Component]]=factor_eff_table[Component])*(standard_components_157[[#This Row],[Service]]=factor_eff_table[Service]), 0, 1), 0)),
 "-")</f>
        <v>-</v>
      </c>
      <c r="E55" s="145" t="str" cm="1">
        <f t="array" ref="E5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5" s="145" t="str" cm="1">
        <f t="array" ref="F5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5" s="145" t="str" cm="1">
        <f t="array" ref="G5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INDEX((standard_components_157[[#This Row],[Component]]=factor_eff_table[Component])*(standard_components_157[[#This Row],[Service]]=factor_eff_table[Service]), 0, 1), 0)),
 "-")</f>
        <v>-</v>
      </c>
      <c r="E56" s="145" t="str" cm="1">
        <f t="array" ref="E5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6" s="145" t="str" cm="1">
        <f t="array" ref="F5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6" s="145" t="str" cm="1">
        <f t="array" ref="G5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INDEX((standard_components_157[[#This Row],[Component]]=factor_eff_table[Component])*(standard_components_157[[#This Row],[Service]]=factor_eff_table[Service]), 0, 1), 0)),
 "-")</f>
        <v>-</v>
      </c>
      <c r="E57" s="145" t="str" cm="1">
        <f t="array" ref="E5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7" s="145" t="str" cm="1">
        <f t="array" ref="F5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7" s="145" t="str" cm="1">
        <f t="array" ref="G5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INDEX((standard_components_157[[#This Row],[Component]]=factor_eff_table[Component])*(standard_components_157[[#This Row],[Service]]=factor_eff_table[Service]), 0, 1), 0)),
 "-")</f>
        <v>-</v>
      </c>
      <c r="E58" s="145" t="str" cm="1">
        <f t="array" ref="E5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8" s="145" t="str" cm="1">
        <f t="array" ref="F5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8" s="145" t="str" cm="1">
        <f t="array" ref="G5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INDEX((standard_components_157[[#This Row],[Component]]=factor_eff_table[Component])*(standard_components_157[[#This Row],[Service]]=factor_eff_table[Service]), 0, 1), 0)),
 "-")</f>
        <v>-</v>
      </c>
      <c r="E59" s="145" t="str" cm="1">
        <f t="array" ref="E5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59" s="145" t="str" cm="1">
        <f t="array" ref="F5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59" s="145" t="str" cm="1">
        <f t="array" ref="G5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5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5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INDEX((standard_components_157[[#This Row],[Component]]=factor_eff_table[Component])*(standard_components_157[[#This Row],[Service]]=factor_eff_table[Service]), 0, 1), 0)),
 "-")</f>
        <v>-</v>
      </c>
      <c r="E60" s="145" t="str" cm="1">
        <f t="array" ref="E6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0" s="145" t="str" cm="1">
        <f t="array" ref="F6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0" s="145" t="str" cm="1">
        <f t="array" ref="G6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INDEX((standard_components_157[[#This Row],[Component]]=factor_eff_table[Component])*(standard_components_157[[#This Row],[Service]]=factor_eff_table[Service]), 0, 1), 0)),
 "-")</f>
        <v>-</v>
      </c>
      <c r="E61" s="145" t="str" cm="1">
        <f t="array" ref="E6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1" s="145" t="str" cm="1">
        <f t="array" ref="F6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1" s="145" t="str" cm="1">
        <f t="array" ref="G6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INDEX((standard_components_157[[#This Row],[Component]]=factor_eff_table[Component])*(standard_components_157[[#This Row],[Service]]=factor_eff_table[Service]), 0, 1), 0)),
 "-")</f>
        <v>-</v>
      </c>
      <c r="E62" s="145" t="str" cm="1">
        <f t="array" ref="E6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2" s="145" t="str" cm="1">
        <f t="array" ref="F6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2" s="145" t="str" cm="1">
        <f t="array" ref="G6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INDEX((standard_components_157[[#This Row],[Component]]=factor_eff_table[Component])*(standard_components_157[[#This Row],[Service]]=factor_eff_table[Service]), 0, 1), 0)),
 "-")</f>
        <v>-</v>
      </c>
      <c r="E63" s="145" t="str" cm="1">
        <f t="array" ref="E6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3" s="145" t="str" cm="1">
        <f t="array" ref="F6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3" s="145" t="str" cm="1">
        <f t="array" ref="G6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INDEX((standard_components_157[[#This Row],[Component]]=factor_eff_table[Component])*(standard_components_157[[#This Row],[Service]]=factor_eff_table[Service]), 0, 1), 0)),
 "-")</f>
        <v>-</v>
      </c>
      <c r="E64" s="145" t="str" cm="1">
        <f t="array" ref="E6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4" s="145" t="str" cm="1">
        <f t="array" ref="F6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4" s="145" t="str" cm="1">
        <f t="array" ref="G6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INDEX((standard_components_157[[#This Row],[Component]]=factor_eff_table[Component])*(standard_components_157[[#This Row],[Service]]=factor_eff_table[Service]), 0, 1), 0)),
 "-")</f>
        <v>-</v>
      </c>
      <c r="E65" s="145" t="str" cm="1">
        <f t="array" ref="E6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5" s="145" t="str" cm="1">
        <f t="array" ref="F6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5" s="145" t="str" cm="1">
        <f t="array" ref="G6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INDEX((standard_components_157[[#This Row],[Component]]=factor_eff_table[Component])*(standard_components_157[[#This Row],[Service]]=factor_eff_table[Service]), 0, 1), 0)),
 "-")</f>
        <v>-</v>
      </c>
      <c r="E66" s="145" t="str" cm="1">
        <f t="array" ref="E6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6" s="145" t="str" cm="1">
        <f t="array" ref="F6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6" s="145" t="str" cm="1">
        <f t="array" ref="G6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INDEX((standard_components_157[[#This Row],[Component]]=factor_eff_table[Component])*(standard_components_157[[#This Row],[Service]]=factor_eff_table[Service]), 0, 1), 0)),
 "-")</f>
        <v>-</v>
      </c>
      <c r="E67" s="145" t="str" cm="1">
        <f t="array" ref="E6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7" s="145" t="str" cm="1">
        <f t="array" ref="F6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7" s="145" t="str" cm="1">
        <f t="array" ref="G6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INDEX((standard_components_157[[#This Row],[Component]]=factor_eff_table[Component])*(standard_components_157[[#This Row],[Service]]=factor_eff_table[Service]), 0, 1), 0)),
 "-")</f>
        <v>-</v>
      </c>
      <c r="E68" s="145" t="str" cm="1">
        <f t="array" ref="E6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8" s="145" t="str" cm="1">
        <f t="array" ref="F6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8" s="145" t="str" cm="1">
        <f t="array" ref="G6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INDEX((standard_components_157[[#This Row],[Component]]=factor_eff_table[Component])*(standard_components_157[[#This Row],[Service]]=factor_eff_table[Service]), 0, 1), 0)),
 "-")</f>
        <v>-</v>
      </c>
      <c r="E69" s="145" t="str" cm="1">
        <f t="array" ref="E6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69" s="145" t="str" cm="1">
        <f t="array" ref="F6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69" s="145" t="str" cm="1">
        <f t="array" ref="G6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6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6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INDEX((standard_components_157[[#This Row],[Component]]=factor_eff_table[Component])*(standard_components_157[[#This Row],[Service]]=factor_eff_table[Service]), 0, 1), 0)),
 "-")</f>
        <v>-</v>
      </c>
      <c r="E70" s="145" t="str" cm="1">
        <f t="array" ref="E7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0" s="145" t="str" cm="1">
        <f t="array" ref="F7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0" s="145" t="str" cm="1">
        <f t="array" ref="G7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INDEX((standard_components_157[[#This Row],[Component]]=factor_eff_table[Component])*(standard_components_157[[#This Row],[Service]]=factor_eff_table[Service]), 0, 1), 0)),
 "-")</f>
        <v>-</v>
      </c>
      <c r="E71" s="145" t="str" cm="1">
        <f t="array" ref="E7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1" s="145" t="str" cm="1">
        <f t="array" ref="F7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1" s="145" t="str" cm="1">
        <f t="array" ref="G7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INDEX((standard_components_157[[#This Row],[Component]]=factor_eff_table[Component])*(standard_components_157[[#This Row],[Service]]=factor_eff_table[Service]), 0, 1), 0)),
 "-")</f>
        <v>-</v>
      </c>
      <c r="E72" s="145" t="str" cm="1">
        <f t="array" ref="E7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2" s="145" t="str" cm="1">
        <f t="array" ref="F7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2" s="145" t="str" cm="1">
        <f t="array" ref="G7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INDEX((standard_components_157[[#This Row],[Component]]=factor_eff_table[Component])*(standard_components_157[[#This Row],[Service]]=factor_eff_table[Service]), 0, 1), 0)),
 "-")</f>
        <v>-</v>
      </c>
      <c r="E73" s="145" t="str" cm="1">
        <f t="array" ref="E7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3" s="145" t="str" cm="1">
        <f t="array" ref="F7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3" s="145" t="str" cm="1">
        <f t="array" ref="G7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INDEX((standard_components_157[[#This Row],[Component]]=factor_eff_table[Component])*(standard_components_157[[#This Row],[Service]]=factor_eff_table[Service]), 0, 1), 0)),
 "-")</f>
        <v>-</v>
      </c>
      <c r="E74" s="145" t="str" cm="1">
        <f t="array" ref="E7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4" s="145" t="str" cm="1">
        <f t="array" ref="F7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4" s="145" t="str" cm="1">
        <f t="array" ref="G7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INDEX((standard_components_157[[#This Row],[Component]]=factor_eff_table[Component])*(standard_components_157[[#This Row],[Service]]=factor_eff_table[Service]), 0, 1), 0)),
 "-")</f>
        <v>-</v>
      </c>
      <c r="E75" s="145" t="str" cm="1">
        <f t="array" ref="E7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5" s="145" t="str" cm="1">
        <f t="array" ref="F7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5" s="145" t="str" cm="1">
        <f t="array" ref="G7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INDEX((standard_components_157[[#This Row],[Component]]=factor_eff_table[Component])*(standard_components_157[[#This Row],[Service]]=factor_eff_table[Service]), 0, 1), 0)),
 "-")</f>
        <v>-</v>
      </c>
      <c r="E76" s="145" t="str" cm="1">
        <f t="array" ref="E7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6" s="145" t="str" cm="1">
        <f t="array" ref="F7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6" s="145" t="str" cm="1">
        <f t="array" ref="G7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INDEX((standard_components_157[[#This Row],[Component]]=factor_eff_table[Component])*(standard_components_157[[#This Row],[Service]]=factor_eff_table[Service]), 0, 1), 0)),
 "-")</f>
        <v>-</v>
      </c>
      <c r="E77" s="145" t="str" cm="1">
        <f t="array" ref="E7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7" s="145" t="str" cm="1">
        <f t="array" ref="F7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7" s="145" t="str" cm="1">
        <f t="array" ref="G7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INDEX((standard_components_157[[#This Row],[Component]]=factor_eff_table[Component])*(standard_components_157[[#This Row],[Service]]=factor_eff_table[Service]), 0, 1), 0)),
 "-")</f>
        <v>-</v>
      </c>
      <c r="E78" s="145" t="str" cm="1">
        <f t="array" ref="E7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8" s="145" t="str" cm="1">
        <f t="array" ref="F7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8" s="145" t="str" cm="1">
        <f t="array" ref="G7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INDEX((standard_components_157[[#This Row],[Component]]=factor_eff_table[Component])*(standard_components_157[[#This Row],[Service]]=factor_eff_table[Service]), 0, 1), 0)),
 "-")</f>
        <v>-</v>
      </c>
      <c r="E79" s="145" t="str" cm="1">
        <f t="array" ref="E7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79" s="145" t="str" cm="1">
        <f t="array" ref="F7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79" s="145" t="str" cm="1">
        <f t="array" ref="G7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7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7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INDEX((standard_components_157[[#This Row],[Component]]=factor_eff_table[Component])*(standard_components_157[[#This Row],[Service]]=factor_eff_table[Service]), 0, 1), 0)),
 "-")</f>
        <v>-</v>
      </c>
      <c r="E80" s="145" t="str" cm="1">
        <f t="array" ref="E8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0" s="145" t="str" cm="1">
        <f t="array" ref="F8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0" s="145" t="str" cm="1">
        <f t="array" ref="G8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INDEX((standard_components_157[[#This Row],[Component]]=factor_eff_table[Component])*(standard_components_157[[#This Row],[Service]]=factor_eff_table[Service]), 0, 1), 0)),
 "-")</f>
        <v>-</v>
      </c>
      <c r="E81" s="145" t="str" cm="1">
        <f t="array" ref="E8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1" s="145" t="str" cm="1">
        <f t="array" ref="F8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1" s="145" t="str" cm="1">
        <f t="array" ref="G8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INDEX((standard_components_157[[#This Row],[Component]]=factor_eff_table[Component])*(standard_components_157[[#This Row],[Service]]=factor_eff_table[Service]), 0, 1), 0)),
 "-")</f>
        <v>-</v>
      </c>
      <c r="E82" s="145" t="str" cm="1">
        <f t="array" ref="E8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2" s="145" t="str" cm="1">
        <f t="array" ref="F8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2" s="145" t="str" cm="1">
        <f t="array" ref="G8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INDEX((standard_components_157[[#This Row],[Component]]=factor_eff_table[Component])*(standard_components_157[[#This Row],[Service]]=factor_eff_table[Service]), 0, 1), 0)),
 "-")</f>
        <v>-</v>
      </c>
      <c r="E83" s="145" t="str" cm="1">
        <f t="array" ref="E8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3" s="145" t="str" cm="1">
        <f t="array" ref="F8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3" s="145" t="str" cm="1">
        <f t="array" ref="G8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INDEX((standard_components_157[[#This Row],[Component]]=factor_eff_table[Component])*(standard_components_157[[#This Row],[Service]]=factor_eff_table[Service]), 0, 1), 0)),
 "-")</f>
        <v>-</v>
      </c>
      <c r="E84" s="145" t="str" cm="1">
        <f t="array" ref="E8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4" s="145" t="str" cm="1">
        <f t="array" ref="F8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4" s="145" t="str" cm="1">
        <f t="array" ref="G8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INDEX((standard_components_157[[#This Row],[Component]]=factor_eff_table[Component])*(standard_components_157[[#This Row],[Service]]=factor_eff_table[Service]), 0, 1), 0)),
 "-")</f>
        <v>-</v>
      </c>
      <c r="E85" s="145" t="str" cm="1">
        <f t="array" ref="E8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5" s="145" t="str" cm="1">
        <f t="array" ref="F8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5" s="145" t="str" cm="1">
        <f t="array" ref="G8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INDEX((standard_components_157[[#This Row],[Component]]=factor_eff_table[Component])*(standard_components_157[[#This Row],[Service]]=factor_eff_table[Service]), 0, 1), 0)),
 "-")</f>
        <v>-</v>
      </c>
      <c r="E86" s="145" t="str" cm="1">
        <f t="array" ref="E8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6" s="145" t="str" cm="1">
        <f t="array" ref="F8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6" s="145" t="str" cm="1">
        <f t="array" ref="G8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INDEX((standard_components_157[[#This Row],[Component]]=factor_eff_table[Component])*(standard_components_157[[#This Row],[Service]]=factor_eff_table[Service]), 0, 1), 0)),
 "-")</f>
        <v>-</v>
      </c>
      <c r="E87" s="145" t="str" cm="1">
        <f t="array" ref="E8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7" s="145" t="str" cm="1">
        <f t="array" ref="F8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7" s="145" t="str" cm="1">
        <f t="array" ref="G8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INDEX((standard_components_157[[#This Row],[Component]]=factor_eff_table[Component])*(standard_components_157[[#This Row],[Service]]=factor_eff_table[Service]), 0, 1), 0)),
 "-")</f>
        <v>-</v>
      </c>
      <c r="E88" s="145" t="str" cm="1">
        <f t="array" ref="E8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8" s="145" t="str" cm="1">
        <f t="array" ref="F8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8" s="145" t="str" cm="1">
        <f t="array" ref="G8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INDEX((standard_components_157[[#This Row],[Component]]=factor_eff_table[Component])*(standard_components_157[[#This Row],[Service]]=factor_eff_table[Service]), 0, 1), 0)),
 "-")</f>
        <v>-</v>
      </c>
      <c r="E89" s="145" t="str" cm="1">
        <f t="array" ref="E8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89" s="145" t="str" cm="1">
        <f t="array" ref="F8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89" s="145" t="str" cm="1">
        <f t="array" ref="G8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8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8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INDEX((standard_components_157[[#This Row],[Component]]=factor_eff_table[Component])*(standard_components_157[[#This Row],[Service]]=factor_eff_table[Service]), 0, 1), 0)),
 "-")</f>
        <v>-</v>
      </c>
      <c r="E90" s="145" t="str" cm="1">
        <f t="array" ref="E9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0" s="145" t="str" cm="1">
        <f t="array" ref="F9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0" s="145" t="str" cm="1">
        <f t="array" ref="G9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INDEX((standard_components_157[[#This Row],[Component]]=factor_eff_table[Component])*(standard_components_157[[#This Row],[Service]]=factor_eff_table[Service]), 0, 1), 0)),
 "-")</f>
        <v>-</v>
      </c>
      <c r="E91" s="145" t="str" cm="1">
        <f t="array" ref="E91">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1" s="145" t="str" cm="1">
        <f t="array" ref="F91">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1" s="145" t="str" cm="1">
        <f t="array" ref="G91">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1"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1"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INDEX((standard_components_157[[#This Row],[Component]]=factor_eff_table[Component])*(standard_components_157[[#This Row],[Service]]=factor_eff_table[Service]), 0, 1), 0)),
 "-")</f>
        <v>-</v>
      </c>
      <c r="E92" s="145" t="str" cm="1">
        <f t="array" ref="E92">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2" s="145" t="str" cm="1">
        <f t="array" ref="F92">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2" s="145" t="str" cm="1">
        <f t="array" ref="G92">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2"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2"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INDEX((standard_components_157[[#This Row],[Component]]=factor_eff_table[Component])*(standard_components_157[[#This Row],[Service]]=factor_eff_table[Service]), 0, 1), 0)),
 "-")</f>
        <v>-</v>
      </c>
      <c r="E93" s="145" t="str" cm="1">
        <f t="array" ref="E93">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3" s="145" t="str" cm="1">
        <f t="array" ref="F93">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3" s="145" t="str" cm="1">
        <f t="array" ref="G93">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3"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3"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INDEX((standard_components_157[[#This Row],[Component]]=factor_eff_table[Component])*(standard_components_157[[#This Row],[Service]]=factor_eff_table[Service]), 0, 1), 0)),
 "-")</f>
        <v>-</v>
      </c>
      <c r="E94" s="145" t="str" cm="1">
        <f t="array" ref="E94">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4" s="145" t="str" cm="1">
        <f t="array" ref="F94">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4" s="145" t="str" cm="1">
        <f t="array" ref="G94">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4"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4"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INDEX((standard_components_157[[#This Row],[Component]]=factor_eff_table[Component])*(standard_components_157[[#This Row],[Service]]=factor_eff_table[Service]), 0, 1), 0)),
 "-")</f>
        <v>-</v>
      </c>
      <c r="E95" s="145" t="str" cm="1">
        <f t="array" ref="E95">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5" s="145" t="str" cm="1">
        <f t="array" ref="F95">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5" s="145" t="str" cm="1">
        <f t="array" ref="G95">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5"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5"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INDEX((standard_components_157[[#This Row],[Component]]=factor_eff_table[Component])*(standard_components_157[[#This Row],[Service]]=factor_eff_table[Service]), 0, 1), 0)),
 "-")</f>
        <v>-</v>
      </c>
      <c r="E96" s="145" t="str" cm="1">
        <f t="array" ref="E96">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6" s="145" t="str" cm="1">
        <f t="array" ref="F96">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6" s="145" t="str" cm="1">
        <f t="array" ref="G96">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6"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6"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INDEX((standard_components_157[[#This Row],[Component]]=factor_eff_table[Component])*(standard_components_157[[#This Row],[Service]]=factor_eff_table[Service]), 0, 1), 0)),
 "-")</f>
        <v>-</v>
      </c>
      <c r="E97" s="145" t="str" cm="1">
        <f t="array" ref="E97">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7" s="145" t="str" cm="1">
        <f t="array" ref="F97">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7" s="145" t="str" cm="1">
        <f t="array" ref="G97">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7"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7"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INDEX((standard_components_157[[#This Row],[Component]]=factor_eff_table[Component])*(standard_components_157[[#This Row],[Service]]=factor_eff_table[Service]), 0, 1), 0)),
 "-")</f>
        <v>-</v>
      </c>
      <c r="E98" s="145" t="str" cm="1">
        <f t="array" ref="E98">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8" s="145" t="str" cm="1">
        <f t="array" ref="F98">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8" s="145" t="str" cm="1">
        <f t="array" ref="G98">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8"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8"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INDEX((standard_components_157[[#This Row],[Component]]=factor_eff_table[Component])*(standard_components_157[[#This Row],[Service]]=factor_eff_table[Service]), 0, 1), 0)),
 "-")</f>
        <v>-</v>
      </c>
      <c r="E99" s="145" t="str" cm="1">
        <f t="array" ref="E99">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99" s="145" t="str" cm="1">
        <f t="array" ref="F99">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99" s="145" t="str" cm="1">
        <f t="array" ref="G99">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99"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99"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INDEX((standard_components_157[[#This Row],[Component]]=factor_eff_table[Component])*(standard_components_157[[#This Row],[Service]]=factor_eff_table[Service]), 0, 1), 0)),
 "-")</f>
        <v>-</v>
      </c>
      <c r="E100" s="145" t="str" cm="1">
        <f t="array" ref="E100">IF(AND(process_drain_bool="Yes",LEFT(standard_components_157[[#This Row],[Component]], LEN("Process drains"))="Process Drains", ISBLANK(instrument_ldar)=FALSE), process_drain_eff,
IFERROR(
INDEX(
INDEX(factor_eff_table[], , MATCH(instrument_ldar, factor_eff_table[#Headers], 0)),
MATCH(1, INDEX((standard_components_157[[#This Row],[Component]]=factor_eff_table[Component])*(standard_components_157[[#This Row],[Service]]=factor_eff_table[Service]), 0, 1), 0)),
 "-"))</f>
        <v>-</v>
      </c>
      <c r="F100" s="145" t="str" cm="1">
        <f t="array" ref="F100">IF(AND(process_drain_bool="Yes",LEFT(standard_components_157[[#This Row],[Component]], LEN("Process drains"))="Process Drains", ISBLANK(connector_ldar)=FALSE), process_drain_eff,
IFERROR(
INDEX(
INDEX(factor_eff_table[], , MATCH(connector_ldar, factor_eff_table[#Headers], 0)),
MATCH(1, INDEX((standard_components_157[[#This Row],[Component]]=factor_eff_table[Component])*(standard_components_157[[#This Row],[Service]]=factor_eff_table[Service]), 0, 1), 0)),
 "-"))</f>
        <v>-</v>
      </c>
      <c r="G100" s="145" t="str" cm="1">
        <f t="array" ref="G100">IF(AND(process_drain_bool="Yes",LEFT(standard_components_157[[#This Row],[Component]], LEN("Process Drains"))="Process Drains", ISBLANK(inspection_ldar)=FALSE), process_drain_eff,
IFERROR(
INDEX(
INDEX(factor_eff_table[], , MATCH(inspection_ldar, factor_eff_table[#Headers], 0)),
MATCH(1, INDEX((standard_components_157[[#This Row],[Component]]=factor_eff_table[Component])*(standard_components_157[[#This Row],[Service]]=factor_eff_table[Service]), 0, 1), 0)),
 "-"))</f>
        <v>-</v>
      </c>
      <c r="H100" s="146" t="str">
        <f>IF(standard_components_157[[#This Row],[Component]]="Sampling Connections (annual) [2]", "N/A",
 IF(standard_components_157[[#This Row],[Component]]="Sampling Connections (hourly) [1]", standard_components_157[[#This Row],[Count]]*standard_components_157[[#This Row],[Industry Emission Factor]],
IFERROR(standard_components_157[[#This Row],[Count]]*standard_components_157[[#This Row],[Industry Emission Factor]]*MIN(1-standard_components_157[[#This Row],[Instrument Monitoring LDAR Control Efficiency]], 1-standard_components_157[[#This Row],[Physical Inspection LDAR Control Efficiency]], 1-standard_components_157[[#This Row],[Connector Monitoring LDAR Control Efficiency]]), "-")))</f>
        <v>-</v>
      </c>
      <c r="I100" s="146" t="str">
        <f>IF(standard_components_157[[#This Row],[Component]]="Sampling Connections (hourly) [1]", "N/A",
 IF(standard_components_157[[#This Row],[Component]]="Sampling Connections (annual) [2]", standard_components_157[[#This Row],[Count]]*standard_components_157[[#This Row],[Industry Emission Factor]]/stons_to_lbs,
 IFERROR(years_to_hrs/stons_to_lbs*standard_components_157[[#This Row],[Controlled
lb/hr]], "-")))</f>
        <v>-</v>
      </c>
    </row>
    <row r="101" spans="1:9" ht="15" x14ac:dyDescent="0.25">
      <c r="A101" s="147" t="s">
        <v>12776</v>
      </c>
      <c r="B101" s="148"/>
      <c r="C101" s="149">
        <f>SUBTOTAL(109,standard_components_157[Count])</f>
        <v>0</v>
      </c>
      <c r="D101" s="150"/>
      <c r="E101" s="150"/>
      <c r="F101" s="150"/>
      <c r="G101" s="150"/>
      <c r="H101" s="151">
        <f>SUBTOTAL(109,standard_components_157[Controlled
lb/hr])</f>
        <v>0</v>
      </c>
      <c r="I101" s="151">
        <f>SUBTOTAL(109,standard_components_157[Controlled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unique_components_158[[#This Row],[Count]]*unique_components_158[[#This Row],[Proposed Emission Factor]]*(1-unique_components_158[[#This Row],[Proposed Control Efficiency]])</f>
        <v>0</v>
      </c>
      <c r="G107" s="155">
        <f>IFERROR(unique_components_158[[#This Row],[Controlled lb/hr]]*4.38,"")</f>
        <v>0</v>
      </c>
    </row>
    <row r="108" spans="1:9" x14ac:dyDescent="0.2">
      <c r="A108" s="103"/>
      <c r="B108" s="104"/>
      <c r="C108" s="153"/>
      <c r="D108" s="154"/>
      <c r="E108" s="154"/>
      <c r="F108" s="146">
        <f>unique_components_158[[#This Row],[Count]]*unique_components_158[[#This Row],[Proposed Emission Factor]]*(1-unique_components_158[[#This Row],[Proposed Control Efficiency]])</f>
        <v>0</v>
      </c>
      <c r="G108" s="155">
        <f>IFERROR(unique_components_158[[#This Row],[Controlled lb/hr]]*4.38,"")</f>
        <v>0</v>
      </c>
    </row>
    <row r="109" spans="1:9" x14ac:dyDescent="0.2">
      <c r="A109" s="103"/>
      <c r="B109" s="104"/>
      <c r="C109" s="153"/>
      <c r="D109" s="154"/>
      <c r="E109" s="154"/>
      <c r="F109" s="146">
        <f>unique_components_158[[#This Row],[Count]]*unique_components_158[[#This Row],[Proposed Emission Factor]]*(1-unique_components_158[[#This Row],[Proposed Control Efficiency]])</f>
        <v>0</v>
      </c>
      <c r="G109" s="155">
        <f>IFERROR(unique_components_158[[#This Row],[Controlled lb/hr]]*4.38,"")</f>
        <v>0</v>
      </c>
    </row>
    <row r="110" spans="1:9" x14ac:dyDescent="0.2">
      <c r="A110" s="103"/>
      <c r="B110" s="104"/>
      <c r="C110" s="153"/>
      <c r="D110" s="154"/>
      <c r="E110" s="154"/>
      <c r="F110" s="146">
        <f>unique_components_158[[#This Row],[Count]]*unique_components_158[[#This Row],[Proposed Emission Factor]]*(1-unique_components_158[[#This Row],[Proposed Control Efficiency]])</f>
        <v>0</v>
      </c>
      <c r="G110" s="155">
        <f>IFERROR(unique_components_158[[#This Row],[Controlled lb/hr]]*4.38,"")</f>
        <v>0</v>
      </c>
    </row>
    <row r="111" spans="1:9" x14ac:dyDescent="0.2">
      <c r="A111" s="103"/>
      <c r="B111" s="104"/>
      <c r="C111" s="153"/>
      <c r="D111" s="154"/>
      <c r="E111" s="154"/>
      <c r="F111" s="146">
        <f>unique_components_158[[#This Row],[Count]]*unique_components_158[[#This Row],[Proposed Emission Factor]]*(1-unique_components_158[[#This Row],[Proposed Control Efficiency]])</f>
        <v>0</v>
      </c>
      <c r="G111" s="155">
        <f>IFERROR(unique_components_158[[#This Row],[Controlled lb/hr]]*4.38,"")</f>
        <v>0</v>
      </c>
    </row>
    <row r="112" spans="1:9" x14ac:dyDescent="0.2">
      <c r="A112" s="103"/>
      <c r="B112" s="104"/>
      <c r="C112" s="153"/>
      <c r="D112" s="154"/>
      <c r="E112" s="154"/>
      <c r="F112" s="146">
        <f>unique_components_158[[#This Row],[Count]]*unique_components_158[[#This Row],[Proposed Emission Factor]]*(1-unique_components_158[[#This Row],[Proposed Control Efficiency]])</f>
        <v>0</v>
      </c>
      <c r="G112" s="155">
        <f>IFERROR(unique_components_158[[#This Row],[Controlled lb/hr]]*4.38,"")</f>
        <v>0</v>
      </c>
    </row>
    <row r="113" spans="1:8" x14ac:dyDescent="0.2">
      <c r="A113" s="103"/>
      <c r="B113" s="104"/>
      <c r="C113" s="153"/>
      <c r="D113" s="154"/>
      <c r="E113" s="154"/>
      <c r="F113" s="146">
        <f>unique_components_158[[#This Row],[Count]]*unique_components_158[[#This Row],[Proposed Emission Factor]]*(1-unique_components_158[[#This Row],[Proposed Control Efficiency]])</f>
        <v>0</v>
      </c>
      <c r="G113" s="155">
        <f>IFERROR(unique_components_158[[#This Row],[Controlled lb/hr]]*4.38,"")</f>
        <v>0</v>
      </c>
    </row>
    <row r="114" spans="1:8" x14ac:dyDescent="0.2">
      <c r="A114" s="103"/>
      <c r="B114" s="104"/>
      <c r="C114" s="153"/>
      <c r="D114" s="154"/>
      <c r="E114" s="154"/>
      <c r="F114" s="146">
        <f>unique_components_158[[#This Row],[Count]]*unique_components_158[[#This Row],[Proposed Emission Factor]]*(1-unique_components_158[[#This Row],[Proposed Control Efficiency]])</f>
        <v>0</v>
      </c>
      <c r="G114" s="155">
        <f>IFERROR(unique_components_158[[#This Row],[Controlled lb/hr]]*4.38,"")</f>
        <v>0</v>
      </c>
    </row>
    <row r="115" spans="1:8" x14ac:dyDescent="0.2">
      <c r="A115" s="103"/>
      <c r="B115" s="104"/>
      <c r="C115" s="153"/>
      <c r="D115" s="154"/>
      <c r="E115" s="154"/>
      <c r="F115" s="146">
        <f>unique_components_158[[#This Row],[Count]]*unique_components_158[[#This Row],[Proposed Emission Factor]]*(1-unique_components_158[[#This Row],[Proposed Control Efficiency]])</f>
        <v>0</v>
      </c>
      <c r="G115" s="155">
        <f>IFERROR(unique_components_158[[#This Row],[Controlled lb/hr]]*4.38,"")</f>
        <v>0</v>
      </c>
    </row>
    <row r="116" spans="1:8" x14ac:dyDescent="0.2">
      <c r="A116" s="103"/>
      <c r="B116" s="104"/>
      <c r="C116" s="153"/>
      <c r="D116" s="154"/>
      <c r="E116" s="154"/>
      <c r="F116" s="146">
        <f>unique_components_158[[#This Row],[Count]]*unique_components_158[[#This Row],[Proposed Emission Factor]]*(1-unique_components_158[[#This Row],[Proposed Control Efficiency]])</f>
        <v>0</v>
      </c>
      <c r="G116" s="155">
        <f>IFERROR(unique_components_158[[#This Row],[Controlled lb/hr]]*4.38,"")</f>
        <v>0</v>
      </c>
    </row>
    <row r="117" spans="1:8" x14ac:dyDescent="0.2">
      <c r="A117" s="103"/>
      <c r="B117" s="104"/>
      <c r="C117" s="153"/>
      <c r="D117" s="154"/>
      <c r="E117" s="154"/>
      <c r="F117" s="146">
        <f>unique_components_158[[#This Row],[Count]]*unique_components_158[[#This Row],[Proposed Emission Factor]]*(1-unique_components_158[[#This Row],[Proposed Control Efficiency]])</f>
        <v>0</v>
      </c>
      <c r="G117" s="155">
        <f>IFERROR(unique_components_158[[#This Row],[Controlled lb/hr]]*4.38,"")</f>
        <v>0</v>
      </c>
    </row>
    <row r="118" spans="1:8" x14ac:dyDescent="0.2">
      <c r="A118" s="103"/>
      <c r="B118" s="104"/>
      <c r="C118" s="153"/>
      <c r="D118" s="154"/>
      <c r="E118" s="154"/>
      <c r="F118" s="146">
        <f>unique_components_158[[#This Row],[Count]]*unique_components_158[[#This Row],[Proposed Emission Factor]]*(1-unique_components_158[[#This Row],[Proposed Control Efficiency]])</f>
        <v>0</v>
      </c>
      <c r="G118" s="155">
        <f>IFERROR(unique_components_158[[#This Row],[Controlled lb/hr]]*4.38,"")</f>
        <v>0</v>
      </c>
    </row>
    <row r="119" spans="1:8" x14ac:dyDescent="0.2">
      <c r="A119" s="103"/>
      <c r="B119" s="104"/>
      <c r="C119" s="153"/>
      <c r="D119" s="154"/>
      <c r="E119" s="154"/>
      <c r="F119" s="146">
        <f>unique_components_158[[#This Row],[Count]]*unique_components_158[[#This Row],[Proposed Emission Factor]]*(1-unique_components_158[[#This Row],[Proposed Control Efficiency]])</f>
        <v>0</v>
      </c>
      <c r="G119" s="155">
        <f>IFERROR(unique_components_158[[#This Row],[Controlled lb/hr]]*4.38,"")</f>
        <v>0</v>
      </c>
    </row>
    <row r="120" spans="1:8" x14ac:dyDescent="0.2">
      <c r="A120" s="103"/>
      <c r="B120" s="104"/>
      <c r="C120" s="153"/>
      <c r="D120" s="154"/>
      <c r="E120" s="154"/>
      <c r="F120" s="146">
        <f>unique_components_158[[#This Row],[Count]]*unique_components_158[[#This Row],[Proposed Emission Factor]]*(1-unique_components_158[[#This Row],[Proposed Control Efficiency]])</f>
        <v>0</v>
      </c>
      <c r="G120" s="155">
        <f>IFERROR(unique_components_158[[#This Row],[Controlled lb/hr]]*4.38,"")</f>
        <v>0</v>
      </c>
    </row>
    <row r="121" spans="1:8" x14ac:dyDescent="0.2">
      <c r="A121" s="103"/>
      <c r="B121" s="104"/>
      <c r="C121" s="153"/>
      <c r="D121" s="154"/>
      <c r="E121" s="154"/>
      <c r="F121" s="146">
        <f>unique_components_158[[#This Row],[Count]]*unique_components_158[[#This Row],[Proposed Emission Factor]]*(1-unique_components_158[[#This Row],[Proposed Control Efficiency]])</f>
        <v>0</v>
      </c>
      <c r="G121" s="155">
        <f>IFERROR(unique_components_158[[#This Row],[Controlled lb/hr]]*4.38,"")</f>
        <v>0</v>
      </c>
    </row>
    <row r="122" spans="1:8" x14ac:dyDescent="0.2">
      <c r="A122" s="103"/>
      <c r="B122" s="104"/>
      <c r="C122" s="153"/>
      <c r="D122" s="154"/>
      <c r="E122" s="154"/>
      <c r="F122" s="146">
        <f>unique_components_158[[#This Row],[Count]]*unique_components_158[[#This Row],[Proposed Emission Factor]]*(1-unique_components_158[[#This Row],[Proposed Control Efficiency]])</f>
        <v>0</v>
      </c>
      <c r="G122" s="155">
        <f>IFERROR(unique_components_158[[#This Row],[Controlled lb/hr]]*4.38,"")</f>
        <v>0</v>
      </c>
    </row>
    <row r="123" spans="1:8" x14ac:dyDescent="0.2">
      <c r="A123" s="103"/>
      <c r="B123" s="104"/>
      <c r="C123" s="153"/>
      <c r="D123" s="154"/>
      <c r="E123" s="154"/>
      <c r="F123" s="146">
        <f>unique_components_158[[#This Row],[Count]]*unique_components_158[[#This Row],[Proposed Emission Factor]]*(1-unique_components_158[[#This Row],[Proposed Control Efficiency]])</f>
        <v>0</v>
      </c>
      <c r="G123" s="155">
        <f>IFERROR(unique_components_158[[#This Row],[Controlled lb/hr]]*4.38,"")</f>
        <v>0</v>
      </c>
    </row>
    <row r="124" spans="1:8" x14ac:dyDescent="0.2">
      <c r="A124" s="103"/>
      <c r="B124" s="104"/>
      <c r="C124" s="153"/>
      <c r="D124" s="154"/>
      <c r="E124" s="154"/>
      <c r="F124" s="146">
        <f>unique_components_158[[#This Row],[Count]]*unique_components_158[[#This Row],[Proposed Emission Factor]]*(1-unique_components_158[[#This Row],[Proposed Control Efficiency]])</f>
        <v>0</v>
      </c>
      <c r="G124" s="155">
        <f>IFERROR(unique_components_158[[#This Row],[Controlled lb/hr]]*4.38,"")</f>
        <v>0</v>
      </c>
    </row>
    <row r="125" spans="1:8" x14ac:dyDescent="0.2">
      <c r="A125" s="103"/>
      <c r="B125" s="104"/>
      <c r="C125" s="153"/>
      <c r="D125" s="154"/>
      <c r="E125" s="154"/>
      <c r="F125" s="146">
        <f>unique_components_158[[#This Row],[Count]]*unique_components_158[[#This Row],[Proposed Emission Factor]]*(1-unique_components_158[[#This Row],[Proposed Control Efficiency]])</f>
        <v>0</v>
      </c>
      <c r="G125" s="155">
        <f>IFERROR(unique_components_158[[#This Row],[Controlled lb/hr]]*4.38,"")</f>
        <v>0</v>
      </c>
    </row>
    <row r="126" spans="1:8" x14ac:dyDescent="0.2">
      <c r="A126" s="105"/>
      <c r="B126" s="106"/>
      <c r="C126" s="156"/>
      <c r="D126" s="154"/>
      <c r="E126" s="157"/>
      <c r="F126" s="158">
        <f>unique_components_158[[#This Row],[Count]]*unique_components_158[[#This Row],[Proposed Emission Factor]]*(1-unique_components_158[[#This Row],[Proposed Control Efficiency]])</f>
        <v>0</v>
      </c>
      <c r="G126" s="159">
        <f>IFERROR(unique_components_158[[#This Row],[Controlled lb/hr]]*4.38,"")</f>
        <v>0</v>
      </c>
    </row>
    <row r="127" spans="1:8" ht="30" x14ac:dyDescent="0.2">
      <c r="A127" s="57" t="s">
        <v>13297</v>
      </c>
      <c r="B127" s="54"/>
      <c r="C127" s="160">
        <f>SUBTOTAL(109,unique_components_158[Count])</f>
        <v>0</v>
      </c>
      <c r="D127" s="161"/>
      <c r="E127" s="161"/>
      <c r="F127" s="162">
        <f>SUBTOTAL(109,unique_components_158[Controlled lb/hr])</f>
        <v>0</v>
      </c>
      <c r="G127" s="162">
        <f>SUBTOTAL(109,unique_components_158[Controlled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IFERROR(VLOOKUP(speciated_chemicals_159[[#This Row],[CAS '#]],species[],MATCH("Substance", species[#Headers], 0),FALSE),"No CAS Number Entered")</f>
        <v>No CAS Number Entered</v>
      </c>
      <c r="C131" s="102"/>
      <c r="D131" s="102" t="s">
        <v>12666</v>
      </c>
      <c r="E131" s="102" t="s">
        <v>12666</v>
      </c>
      <c r="F131" s="102" t="s">
        <v>12666</v>
      </c>
      <c r="G131" s="102" t="s">
        <v>12666</v>
      </c>
      <c r="H131" s="164"/>
      <c r="I131" s="51">
        <f>IF(speciated_chemicals_159[[#This Row],[Inert / Not a Contaminant?]]="Yes", 0, speciated_chemicals_159[[#This Row],[Weight Percent]]*(unique_components_158[[#Totals],[Controlled lb/hr]]+standard_components_157[[#Totals],[Controlled
lb/hr]]))</f>
        <v>0</v>
      </c>
      <c r="J131" s="51">
        <f>IF(speciated_chemicals_159[[#This Row],[Inert / Not a Contaminant?]]="Yes", 0, speciated_chemicals_159[[#This Row],[Weight Percent]]*(unique_components_158[[#Totals],[Controlled
tpy]]+standard_components_157[[#Totals],[Controlled
tpy]]))</f>
        <v>0</v>
      </c>
    </row>
    <row r="132" spans="1:10" x14ac:dyDescent="0.2">
      <c r="A132" s="103"/>
      <c r="B132" s="51" t="str">
        <f>IFERROR(VLOOKUP(speciated_chemicals_159[[#This Row],[CAS '#]],species[],MATCH("Substance", species[#Headers], 0),FALSE),"No CAS Number Entered")</f>
        <v>No CAS Number Entered</v>
      </c>
      <c r="C132" s="102"/>
      <c r="D132" s="102" t="s">
        <v>12666</v>
      </c>
      <c r="E132" s="102" t="s">
        <v>12666</v>
      </c>
      <c r="F132" s="102" t="s">
        <v>12666</v>
      </c>
      <c r="G132" s="102" t="s">
        <v>12666</v>
      </c>
      <c r="H132" s="164"/>
      <c r="I132" s="51">
        <f>IF(speciated_chemicals_159[[#This Row],[Inert / Not a Contaminant?]]="Yes", 0, speciated_chemicals_159[[#This Row],[Weight Percent]]*(unique_components_158[[#Totals],[Controlled lb/hr]]+standard_components_157[[#Totals],[Controlled
lb/hr]]))</f>
        <v>0</v>
      </c>
      <c r="J132" s="51">
        <f>IF(speciated_chemicals_159[[#This Row],[Inert / Not a Contaminant?]]="Yes", 0, speciated_chemicals_159[[#This Row],[Weight Percent]]*(unique_components_158[[#Totals],[Controlled
tpy]]+standard_components_157[[#Totals],[Controlled
tpy]]))</f>
        <v>0</v>
      </c>
    </row>
    <row r="133" spans="1:10" x14ac:dyDescent="0.2">
      <c r="A133" s="103"/>
      <c r="B133" s="51" t="str">
        <f>IFERROR(VLOOKUP(speciated_chemicals_159[[#This Row],[CAS '#]],species[],MATCH("Substance", species[#Headers], 0),FALSE),"No CAS Number Entered")</f>
        <v>No CAS Number Entered</v>
      </c>
      <c r="C133" s="102"/>
      <c r="D133" s="102" t="s">
        <v>12666</v>
      </c>
      <c r="E133" s="102" t="s">
        <v>12666</v>
      </c>
      <c r="F133" s="102" t="s">
        <v>12666</v>
      </c>
      <c r="G133" s="102" t="s">
        <v>12666</v>
      </c>
      <c r="H133" s="164"/>
      <c r="I133" s="51">
        <f>IF(speciated_chemicals_159[[#This Row],[Inert / Not a Contaminant?]]="Yes", 0, speciated_chemicals_159[[#This Row],[Weight Percent]]*(unique_components_158[[#Totals],[Controlled lb/hr]]+standard_components_157[[#Totals],[Controlled
lb/hr]]))</f>
        <v>0</v>
      </c>
      <c r="J133" s="51">
        <f>IF(speciated_chemicals_159[[#This Row],[Inert / Not a Contaminant?]]="Yes", 0, speciated_chemicals_159[[#This Row],[Weight Percent]]*(unique_components_158[[#Totals],[Controlled
tpy]]+standard_components_157[[#Totals],[Controlled
tpy]]))</f>
        <v>0</v>
      </c>
    </row>
    <row r="134" spans="1:10" x14ac:dyDescent="0.2">
      <c r="A134" s="103"/>
      <c r="B134" s="51" t="str">
        <f>IFERROR(VLOOKUP(speciated_chemicals_159[[#This Row],[CAS '#]],species[],MATCH("Substance", species[#Headers], 0),FALSE),"No CAS Number Entered")</f>
        <v>No CAS Number Entered</v>
      </c>
      <c r="C134" s="102"/>
      <c r="D134" s="102" t="s">
        <v>12666</v>
      </c>
      <c r="E134" s="102" t="s">
        <v>12666</v>
      </c>
      <c r="F134" s="102" t="s">
        <v>12666</v>
      </c>
      <c r="G134" s="102" t="s">
        <v>12666</v>
      </c>
      <c r="H134" s="164"/>
      <c r="I134" s="51">
        <f>IF(speciated_chemicals_159[[#This Row],[Inert / Not a Contaminant?]]="Yes", 0, speciated_chemicals_159[[#This Row],[Weight Percent]]*(unique_components_158[[#Totals],[Controlled lb/hr]]+standard_components_157[[#Totals],[Controlled
lb/hr]]))</f>
        <v>0</v>
      </c>
      <c r="J134" s="51">
        <f>IF(speciated_chemicals_159[[#This Row],[Inert / Not a Contaminant?]]="Yes", 0, speciated_chemicals_159[[#This Row],[Weight Percent]]*(unique_components_158[[#Totals],[Controlled
tpy]]+standard_components_157[[#Totals],[Controlled
tpy]]))</f>
        <v>0</v>
      </c>
    </row>
    <row r="135" spans="1:10" x14ac:dyDescent="0.2">
      <c r="A135" s="103"/>
      <c r="B135" s="51" t="str">
        <f>IFERROR(VLOOKUP(speciated_chemicals_159[[#This Row],[CAS '#]],species[],MATCH("Substance", species[#Headers], 0),FALSE),"No CAS Number Entered")</f>
        <v>No CAS Number Entered</v>
      </c>
      <c r="C135" s="102"/>
      <c r="D135" s="102" t="s">
        <v>12666</v>
      </c>
      <c r="E135" s="102" t="s">
        <v>12666</v>
      </c>
      <c r="F135" s="102" t="s">
        <v>12666</v>
      </c>
      <c r="G135" s="102" t="s">
        <v>12666</v>
      </c>
      <c r="H135" s="164"/>
      <c r="I135" s="51">
        <f>IF(speciated_chemicals_159[[#This Row],[Inert / Not a Contaminant?]]="Yes", 0, speciated_chemicals_159[[#This Row],[Weight Percent]]*(unique_components_158[[#Totals],[Controlled lb/hr]]+standard_components_157[[#Totals],[Controlled
lb/hr]]))</f>
        <v>0</v>
      </c>
      <c r="J135" s="51">
        <f>IF(speciated_chemicals_159[[#This Row],[Inert / Not a Contaminant?]]="Yes", 0, speciated_chemicals_159[[#This Row],[Weight Percent]]*(unique_components_158[[#Totals],[Controlled
tpy]]+standard_components_157[[#Totals],[Controlled
tpy]]))</f>
        <v>0</v>
      </c>
    </row>
    <row r="136" spans="1:10" x14ac:dyDescent="0.2">
      <c r="A136" s="103"/>
      <c r="B136" s="51" t="str">
        <f>IFERROR(VLOOKUP(speciated_chemicals_159[[#This Row],[CAS '#]],species[],MATCH("Substance", species[#Headers], 0),FALSE),"No CAS Number Entered")</f>
        <v>No CAS Number Entered</v>
      </c>
      <c r="C136" s="102"/>
      <c r="D136" s="102" t="s">
        <v>12666</v>
      </c>
      <c r="E136" s="102" t="s">
        <v>12666</v>
      </c>
      <c r="F136" s="102" t="s">
        <v>12666</v>
      </c>
      <c r="G136" s="102" t="s">
        <v>12666</v>
      </c>
      <c r="H136" s="164"/>
      <c r="I136" s="51">
        <f>IF(speciated_chemicals_159[[#This Row],[Inert / Not a Contaminant?]]="Yes", 0, speciated_chemicals_159[[#This Row],[Weight Percent]]*(unique_components_158[[#Totals],[Controlled lb/hr]]+standard_components_157[[#Totals],[Controlled
lb/hr]]))</f>
        <v>0</v>
      </c>
      <c r="J136" s="51">
        <f>IF(speciated_chemicals_159[[#This Row],[Inert / Not a Contaminant?]]="Yes", 0, speciated_chemicals_159[[#This Row],[Weight Percent]]*(unique_components_158[[#Totals],[Controlled
tpy]]+standard_components_157[[#Totals],[Controlled
tpy]]))</f>
        <v>0</v>
      </c>
    </row>
    <row r="137" spans="1:10" x14ac:dyDescent="0.2">
      <c r="A137" s="103"/>
      <c r="B137" s="51" t="str">
        <f>IFERROR(VLOOKUP(speciated_chemicals_159[[#This Row],[CAS '#]],species[],MATCH("Substance", species[#Headers], 0),FALSE),"No CAS Number Entered")</f>
        <v>No CAS Number Entered</v>
      </c>
      <c r="C137" s="102"/>
      <c r="D137" s="102" t="s">
        <v>12666</v>
      </c>
      <c r="E137" s="102" t="s">
        <v>12666</v>
      </c>
      <c r="F137" s="102" t="s">
        <v>12666</v>
      </c>
      <c r="G137" s="102" t="s">
        <v>12666</v>
      </c>
      <c r="H137" s="164"/>
      <c r="I137" s="51">
        <f>IF(speciated_chemicals_159[[#This Row],[Inert / Not a Contaminant?]]="Yes", 0, speciated_chemicals_159[[#This Row],[Weight Percent]]*(unique_components_158[[#Totals],[Controlled lb/hr]]+standard_components_157[[#Totals],[Controlled
lb/hr]]))</f>
        <v>0</v>
      </c>
      <c r="J137" s="51">
        <f>IF(speciated_chemicals_159[[#This Row],[Inert / Not a Contaminant?]]="Yes", 0, speciated_chemicals_159[[#This Row],[Weight Percent]]*(unique_components_158[[#Totals],[Controlled
tpy]]+standard_components_157[[#Totals],[Controlled
tpy]]))</f>
        <v>0</v>
      </c>
    </row>
    <row r="138" spans="1:10" x14ac:dyDescent="0.2">
      <c r="A138" s="103"/>
      <c r="B138" s="51" t="str">
        <f>IFERROR(VLOOKUP(speciated_chemicals_159[[#This Row],[CAS '#]],species[],MATCH("Substance", species[#Headers], 0),FALSE),"No CAS Number Entered")</f>
        <v>No CAS Number Entered</v>
      </c>
      <c r="C138" s="102"/>
      <c r="D138" s="102" t="s">
        <v>12666</v>
      </c>
      <c r="E138" s="102" t="s">
        <v>12666</v>
      </c>
      <c r="F138" s="102" t="s">
        <v>12666</v>
      </c>
      <c r="G138" s="102" t="s">
        <v>12666</v>
      </c>
      <c r="H138" s="164"/>
      <c r="I138" s="51">
        <f>IF(speciated_chemicals_159[[#This Row],[Inert / Not a Contaminant?]]="Yes", 0, speciated_chemicals_159[[#This Row],[Weight Percent]]*(unique_components_158[[#Totals],[Controlled lb/hr]]+standard_components_157[[#Totals],[Controlled
lb/hr]]))</f>
        <v>0</v>
      </c>
      <c r="J138" s="51">
        <f>IF(speciated_chemicals_159[[#This Row],[Inert / Not a Contaminant?]]="Yes", 0, speciated_chemicals_159[[#This Row],[Weight Percent]]*(unique_components_158[[#Totals],[Controlled
tpy]]+standard_components_157[[#Totals],[Controlled
tpy]]))</f>
        <v>0</v>
      </c>
    </row>
    <row r="139" spans="1:10" x14ac:dyDescent="0.2">
      <c r="A139" s="103"/>
      <c r="B139" s="51" t="str">
        <f>IFERROR(VLOOKUP(speciated_chemicals_159[[#This Row],[CAS '#]],species[],MATCH("Substance", species[#Headers], 0),FALSE),"No CAS Number Entered")</f>
        <v>No CAS Number Entered</v>
      </c>
      <c r="C139" s="102"/>
      <c r="D139" s="102" t="s">
        <v>12666</v>
      </c>
      <c r="E139" s="102" t="s">
        <v>12666</v>
      </c>
      <c r="F139" s="102" t="s">
        <v>12666</v>
      </c>
      <c r="G139" s="102" t="s">
        <v>12666</v>
      </c>
      <c r="H139" s="164"/>
      <c r="I139" s="51">
        <f>IF(speciated_chemicals_159[[#This Row],[Inert / Not a Contaminant?]]="Yes", 0, speciated_chemicals_159[[#This Row],[Weight Percent]]*(unique_components_158[[#Totals],[Controlled lb/hr]]+standard_components_157[[#Totals],[Controlled
lb/hr]]))</f>
        <v>0</v>
      </c>
      <c r="J139" s="51">
        <f>IF(speciated_chemicals_159[[#This Row],[Inert / Not a Contaminant?]]="Yes", 0, speciated_chemicals_159[[#This Row],[Weight Percent]]*(unique_components_158[[#Totals],[Controlled
tpy]]+standard_components_157[[#Totals],[Controlled
tpy]]))</f>
        <v>0</v>
      </c>
    </row>
    <row r="140" spans="1:10" x14ac:dyDescent="0.2">
      <c r="A140" s="103"/>
      <c r="B140" s="51" t="str">
        <f>IFERROR(VLOOKUP(speciated_chemicals_159[[#This Row],[CAS '#]],species[],MATCH("Substance", species[#Headers], 0),FALSE),"No CAS Number Entered")</f>
        <v>No CAS Number Entered</v>
      </c>
      <c r="C140" s="102"/>
      <c r="D140" s="102" t="s">
        <v>12666</v>
      </c>
      <c r="E140" s="102" t="s">
        <v>12666</v>
      </c>
      <c r="F140" s="102" t="s">
        <v>12666</v>
      </c>
      <c r="G140" s="102" t="s">
        <v>12666</v>
      </c>
      <c r="H140" s="164"/>
      <c r="I140" s="51">
        <f>IF(speciated_chemicals_159[[#This Row],[Inert / Not a Contaminant?]]="Yes", 0, speciated_chemicals_159[[#This Row],[Weight Percent]]*(unique_components_158[[#Totals],[Controlled lb/hr]]+standard_components_157[[#Totals],[Controlled
lb/hr]]))</f>
        <v>0</v>
      </c>
      <c r="J140" s="51">
        <f>IF(speciated_chemicals_159[[#This Row],[Inert / Not a Contaminant?]]="Yes", 0, speciated_chemicals_159[[#This Row],[Weight Percent]]*(unique_components_158[[#Totals],[Controlled
tpy]]+standard_components_157[[#Totals],[Controlled
tpy]]))</f>
        <v>0</v>
      </c>
    </row>
    <row r="141" spans="1:10" x14ac:dyDescent="0.2">
      <c r="A141" s="103"/>
      <c r="B141" s="51" t="str">
        <f>IFERROR(VLOOKUP(speciated_chemicals_159[[#This Row],[CAS '#]],species[],MATCH("Substance", species[#Headers], 0),FALSE),"No CAS Number Entered")</f>
        <v>No CAS Number Entered</v>
      </c>
      <c r="C141" s="102"/>
      <c r="D141" s="102" t="s">
        <v>12666</v>
      </c>
      <c r="E141" s="102" t="s">
        <v>12666</v>
      </c>
      <c r="F141" s="102" t="s">
        <v>12666</v>
      </c>
      <c r="G141" s="102" t="s">
        <v>12666</v>
      </c>
      <c r="H141" s="164"/>
      <c r="I141" s="51">
        <f>IF(speciated_chemicals_159[[#This Row],[Inert / Not a Contaminant?]]="Yes", 0, speciated_chemicals_159[[#This Row],[Weight Percent]]*(unique_components_158[[#Totals],[Controlled lb/hr]]+standard_components_157[[#Totals],[Controlled
lb/hr]]))</f>
        <v>0</v>
      </c>
      <c r="J141" s="51">
        <f>IF(speciated_chemicals_159[[#This Row],[Inert / Not a Contaminant?]]="Yes", 0, speciated_chemicals_159[[#This Row],[Weight Percent]]*(unique_components_158[[#Totals],[Controlled
tpy]]+standard_components_157[[#Totals],[Controlled
tpy]]))</f>
        <v>0</v>
      </c>
    </row>
    <row r="142" spans="1:10" x14ac:dyDescent="0.2">
      <c r="A142" s="103"/>
      <c r="B142" s="51" t="str">
        <f>IFERROR(VLOOKUP(speciated_chemicals_159[[#This Row],[CAS '#]],species[],MATCH("Substance", species[#Headers], 0),FALSE),"No CAS Number Entered")</f>
        <v>No CAS Number Entered</v>
      </c>
      <c r="C142" s="102"/>
      <c r="D142" s="102" t="s">
        <v>12666</v>
      </c>
      <c r="E142" s="102" t="s">
        <v>12666</v>
      </c>
      <c r="F142" s="102" t="s">
        <v>12666</v>
      </c>
      <c r="G142" s="102" t="s">
        <v>12666</v>
      </c>
      <c r="H142" s="164"/>
      <c r="I142" s="51">
        <f>IF(speciated_chemicals_159[[#This Row],[Inert / Not a Contaminant?]]="Yes", 0, speciated_chemicals_159[[#This Row],[Weight Percent]]*(unique_components_158[[#Totals],[Controlled lb/hr]]+standard_components_157[[#Totals],[Controlled
lb/hr]]))</f>
        <v>0</v>
      </c>
      <c r="J142" s="51">
        <f>IF(speciated_chemicals_159[[#This Row],[Inert / Not a Contaminant?]]="Yes", 0, speciated_chemicals_159[[#This Row],[Weight Percent]]*(unique_components_158[[#Totals],[Controlled
tpy]]+standard_components_157[[#Totals],[Controlled
tpy]]))</f>
        <v>0</v>
      </c>
    </row>
    <row r="143" spans="1:10" x14ac:dyDescent="0.2">
      <c r="A143" s="103"/>
      <c r="B143" s="51" t="str">
        <f>IFERROR(VLOOKUP(speciated_chemicals_159[[#This Row],[CAS '#]],species[],MATCH("Substance", species[#Headers], 0),FALSE),"No CAS Number Entered")</f>
        <v>No CAS Number Entered</v>
      </c>
      <c r="C143" s="102"/>
      <c r="D143" s="102" t="s">
        <v>12666</v>
      </c>
      <c r="E143" s="102" t="s">
        <v>12666</v>
      </c>
      <c r="F143" s="102" t="s">
        <v>12666</v>
      </c>
      <c r="G143" s="102" t="s">
        <v>12666</v>
      </c>
      <c r="H143" s="164"/>
      <c r="I143" s="51">
        <f>IF(speciated_chemicals_159[[#This Row],[Inert / Not a Contaminant?]]="Yes", 0, speciated_chemicals_159[[#This Row],[Weight Percent]]*(unique_components_158[[#Totals],[Controlled lb/hr]]+standard_components_157[[#Totals],[Controlled
lb/hr]]))</f>
        <v>0</v>
      </c>
      <c r="J143" s="51">
        <f>IF(speciated_chemicals_159[[#This Row],[Inert / Not a Contaminant?]]="Yes", 0, speciated_chemicals_159[[#This Row],[Weight Percent]]*(unique_components_158[[#Totals],[Controlled
tpy]]+standard_components_157[[#Totals],[Controlled
tpy]]))</f>
        <v>0</v>
      </c>
    </row>
    <row r="144" spans="1:10" x14ac:dyDescent="0.2">
      <c r="A144" s="103"/>
      <c r="B144" s="51" t="str">
        <f>IFERROR(VLOOKUP(speciated_chemicals_159[[#This Row],[CAS '#]],species[],MATCH("Substance", species[#Headers], 0),FALSE),"No CAS Number Entered")</f>
        <v>No CAS Number Entered</v>
      </c>
      <c r="C144" s="102"/>
      <c r="D144" s="102" t="s">
        <v>12666</v>
      </c>
      <c r="E144" s="102" t="s">
        <v>12666</v>
      </c>
      <c r="F144" s="102" t="s">
        <v>12666</v>
      </c>
      <c r="G144" s="102" t="s">
        <v>12666</v>
      </c>
      <c r="H144" s="164"/>
      <c r="I144" s="51">
        <f>IF(speciated_chemicals_159[[#This Row],[Inert / Not a Contaminant?]]="Yes", 0, speciated_chemicals_159[[#This Row],[Weight Percent]]*(unique_components_158[[#Totals],[Controlled lb/hr]]+standard_components_157[[#Totals],[Controlled
lb/hr]]))</f>
        <v>0</v>
      </c>
      <c r="J144" s="51">
        <f>IF(speciated_chemicals_159[[#This Row],[Inert / Not a Contaminant?]]="Yes", 0, speciated_chemicals_159[[#This Row],[Weight Percent]]*(unique_components_158[[#Totals],[Controlled
tpy]]+standard_components_157[[#Totals],[Controlled
tpy]]))</f>
        <v>0</v>
      </c>
    </row>
    <row r="145" spans="1:10" x14ac:dyDescent="0.2">
      <c r="A145" s="103"/>
      <c r="B145" s="51" t="str">
        <f>IFERROR(VLOOKUP(speciated_chemicals_159[[#This Row],[CAS '#]],species[],MATCH("Substance", species[#Headers], 0),FALSE),"No CAS Number Entered")</f>
        <v>No CAS Number Entered</v>
      </c>
      <c r="C145" s="102"/>
      <c r="D145" s="102" t="s">
        <v>12666</v>
      </c>
      <c r="E145" s="102" t="s">
        <v>12666</v>
      </c>
      <c r="F145" s="102" t="s">
        <v>12666</v>
      </c>
      <c r="G145" s="102" t="s">
        <v>12666</v>
      </c>
      <c r="H145" s="164"/>
      <c r="I145" s="51">
        <f>IF(speciated_chemicals_159[[#This Row],[Inert / Not a Contaminant?]]="Yes", 0, speciated_chemicals_159[[#This Row],[Weight Percent]]*(unique_components_158[[#Totals],[Controlled lb/hr]]+standard_components_157[[#Totals],[Controlled
lb/hr]]))</f>
        <v>0</v>
      </c>
      <c r="J145" s="51">
        <f>IF(speciated_chemicals_159[[#This Row],[Inert / Not a Contaminant?]]="Yes", 0, speciated_chemicals_159[[#This Row],[Weight Percent]]*(unique_components_158[[#Totals],[Controlled
tpy]]+standard_components_157[[#Totals],[Controlled
tpy]]))</f>
        <v>0</v>
      </c>
    </row>
    <row r="146" spans="1:10" x14ac:dyDescent="0.2">
      <c r="A146" s="103"/>
      <c r="B146" s="51" t="str">
        <f>IFERROR(VLOOKUP(speciated_chemicals_159[[#This Row],[CAS '#]],species[],MATCH("Substance", species[#Headers], 0),FALSE),"No CAS Number Entered")</f>
        <v>No CAS Number Entered</v>
      </c>
      <c r="C146" s="102"/>
      <c r="D146" s="102" t="s">
        <v>12666</v>
      </c>
      <c r="E146" s="102" t="s">
        <v>12666</v>
      </c>
      <c r="F146" s="102" t="s">
        <v>12666</v>
      </c>
      <c r="G146" s="102" t="s">
        <v>12666</v>
      </c>
      <c r="H146" s="164"/>
      <c r="I146" s="51">
        <f>IF(speciated_chemicals_159[[#This Row],[Inert / Not a Contaminant?]]="Yes", 0, speciated_chemicals_159[[#This Row],[Weight Percent]]*(unique_components_158[[#Totals],[Controlled lb/hr]]+standard_components_157[[#Totals],[Controlled
lb/hr]]))</f>
        <v>0</v>
      </c>
      <c r="J146" s="51">
        <f>IF(speciated_chemicals_159[[#This Row],[Inert / Not a Contaminant?]]="Yes", 0, speciated_chemicals_159[[#This Row],[Weight Percent]]*(unique_components_158[[#Totals],[Controlled
tpy]]+standard_components_157[[#Totals],[Controlled
tpy]]))</f>
        <v>0</v>
      </c>
    </row>
    <row r="147" spans="1:10" x14ac:dyDescent="0.2">
      <c r="A147" s="103"/>
      <c r="B147" s="51" t="str">
        <f>IFERROR(VLOOKUP(speciated_chemicals_159[[#This Row],[CAS '#]],species[],MATCH("Substance", species[#Headers], 0),FALSE),"No CAS Number Entered")</f>
        <v>No CAS Number Entered</v>
      </c>
      <c r="C147" s="102"/>
      <c r="D147" s="102" t="s">
        <v>12666</v>
      </c>
      <c r="E147" s="102" t="s">
        <v>12666</v>
      </c>
      <c r="F147" s="102" t="s">
        <v>12666</v>
      </c>
      <c r="G147" s="102" t="s">
        <v>12666</v>
      </c>
      <c r="H147" s="164"/>
      <c r="I147" s="51">
        <f>IF(speciated_chemicals_159[[#This Row],[Inert / Not a Contaminant?]]="Yes", 0, speciated_chemicals_159[[#This Row],[Weight Percent]]*(unique_components_158[[#Totals],[Controlled lb/hr]]+standard_components_157[[#Totals],[Controlled
lb/hr]]))</f>
        <v>0</v>
      </c>
      <c r="J147" s="51">
        <f>IF(speciated_chemicals_159[[#This Row],[Inert / Not a Contaminant?]]="Yes", 0, speciated_chemicals_159[[#This Row],[Weight Percent]]*(unique_components_158[[#Totals],[Controlled
tpy]]+standard_components_157[[#Totals],[Controlled
tpy]]))</f>
        <v>0</v>
      </c>
    </row>
    <row r="148" spans="1:10" x14ac:dyDescent="0.2">
      <c r="A148" s="103"/>
      <c r="B148" s="51" t="str">
        <f>IFERROR(VLOOKUP(speciated_chemicals_159[[#This Row],[CAS '#]],species[],MATCH("Substance", species[#Headers], 0),FALSE),"No CAS Number Entered")</f>
        <v>No CAS Number Entered</v>
      </c>
      <c r="C148" s="102"/>
      <c r="D148" s="102" t="s">
        <v>12666</v>
      </c>
      <c r="E148" s="102" t="s">
        <v>12666</v>
      </c>
      <c r="F148" s="102" t="s">
        <v>12666</v>
      </c>
      <c r="G148" s="102" t="s">
        <v>12666</v>
      </c>
      <c r="H148" s="164"/>
      <c r="I148" s="51">
        <f>IF(speciated_chemicals_159[[#This Row],[Inert / Not a Contaminant?]]="Yes", 0, speciated_chemicals_159[[#This Row],[Weight Percent]]*(unique_components_158[[#Totals],[Controlled lb/hr]]+standard_components_157[[#Totals],[Controlled
lb/hr]]))</f>
        <v>0</v>
      </c>
      <c r="J148" s="51">
        <f>IF(speciated_chemicals_159[[#This Row],[Inert / Not a Contaminant?]]="Yes", 0, speciated_chemicals_159[[#This Row],[Weight Percent]]*(unique_components_158[[#Totals],[Controlled
tpy]]+standard_components_157[[#Totals],[Controlled
tpy]]))</f>
        <v>0</v>
      </c>
    </row>
    <row r="149" spans="1:10" x14ac:dyDescent="0.2">
      <c r="A149" s="103"/>
      <c r="B149" s="51" t="str">
        <f>IFERROR(VLOOKUP(speciated_chemicals_159[[#This Row],[CAS '#]],species[],MATCH("Substance", species[#Headers], 0),FALSE),"No CAS Number Entered")</f>
        <v>No CAS Number Entered</v>
      </c>
      <c r="C149" s="102"/>
      <c r="D149" s="102" t="s">
        <v>12666</v>
      </c>
      <c r="E149" s="102" t="s">
        <v>12666</v>
      </c>
      <c r="F149" s="102" t="s">
        <v>12666</v>
      </c>
      <c r="G149" s="102" t="s">
        <v>12666</v>
      </c>
      <c r="H149" s="164"/>
      <c r="I149" s="51">
        <f>IF(speciated_chemicals_159[[#This Row],[Inert / Not a Contaminant?]]="Yes", 0, speciated_chemicals_159[[#This Row],[Weight Percent]]*(unique_components_158[[#Totals],[Controlled lb/hr]]+standard_components_157[[#Totals],[Controlled
lb/hr]]))</f>
        <v>0</v>
      </c>
      <c r="J149" s="51">
        <f>IF(speciated_chemicals_159[[#This Row],[Inert / Not a Contaminant?]]="Yes", 0, speciated_chemicals_159[[#This Row],[Weight Percent]]*(unique_components_158[[#Totals],[Controlled
tpy]]+standard_components_157[[#Totals],[Controlled
tpy]]))</f>
        <v>0</v>
      </c>
    </row>
    <row r="150" spans="1:10" x14ac:dyDescent="0.2">
      <c r="A150" s="103"/>
      <c r="B150" s="51" t="str">
        <f>IFERROR(VLOOKUP(speciated_chemicals_159[[#This Row],[CAS '#]],species[],MATCH("Substance", species[#Headers], 0),FALSE),"No CAS Number Entered")</f>
        <v>No CAS Number Entered</v>
      </c>
      <c r="C150" s="102"/>
      <c r="D150" s="102" t="s">
        <v>12666</v>
      </c>
      <c r="E150" s="102" t="s">
        <v>12666</v>
      </c>
      <c r="F150" s="102" t="s">
        <v>12666</v>
      </c>
      <c r="G150" s="102" t="s">
        <v>12666</v>
      </c>
      <c r="H150" s="164"/>
      <c r="I150" s="51">
        <f>IF(speciated_chemicals_159[[#This Row],[Inert / Not a Contaminant?]]="Yes", 0, speciated_chemicals_159[[#This Row],[Weight Percent]]*(unique_components_158[[#Totals],[Controlled lb/hr]]+standard_components_157[[#Totals],[Controlled
lb/hr]]))</f>
        <v>0</v>
      </c>
      <c r="J150" s="51">
        <f>IF(speciated_chemicals_159[[#This Row],[Inert / Not a Contaminant?]]="Yes", 0, speciated_chemicals_159[[#This Row],[Weight Percent]]*(unique_components_158[[#Totals],[Controlled
tpy]]+standard_components_157[[#Totals],[Controlled
tpy]]))</f>
        <v>0</v>
      </c>
    </row>
    <row r="151" spans="1:10" x14ac:dyDescent="0.2">
      <c r="A151" s="103"/>
      <c r="B151" s="51" t="str">
        <f>IFERROR(VLOOKUP(speciated_chemicals_159[[#This Row],[CAS '#]],species[],MATCH("Substance", species[#Headers], 0),FALSE),"No CAS Number Entered")</f>
        <v>No CAS Number Entered</v>
      </c>
      <c r="C151" s="102"/>
      <c r="D151" s="102" t="s">
        <v>12666</v>
      </c>
      <c r="E151" s="102" t="s">
        <v>12666</v>
      </c>
      <c r="F151" s="102" t="s">
        <v>12666</v>
      </c>
      <c r="G151" s="102" t="s">
        <v>12666</v>
      </c>
      <c r="H151" s="164"/>
      <c r="I151" s="51">
        <f>IF(speciated_chemicals_159[[#This Row],[Inert / Not a Contaminant?]]="Yes", 0, speciated_chemicals_159[[#This Row],[Weight Percent]]*(unique_components_158[[#Totals],[Controlled lb/hr]]+standard_components_157[[#Totals],[Controlled
lb/hr]]))</f>
        <v>0</v>
      </c>
      <c r="J151" s="51">
        <f>IF(speciated_chemicals_159[[#This Row],[Inert / Not a Contaminant?]]="Yes", 0, speciated_chemicals_159[[#This Row],[Weight Percent]]*(unique_components_158[[#Totals],[Controlled
tpy]]+standard_components_157[[#Totals],[Controlled
tpy]]))</f>
        <v>0</v>
      </c>
    </row>
    <row r="152" spans="1:10" x14ac:dyDescent="0.2">
      <c r="A152" s="103"/>
      <c r="B152" s="51" t="str">
        <f>IFERROR(VLOOKUP(speciated_chemicals_159[[#This Row],[CAS '#]],species[],MATCH("Substance", species[#Headers], 0),FALSE),"No CAS Number Entered")</f>
        <v>No CAS Number Entered</v>
      </c>
      <c r="C152" s="102"/>
      <c r="D152" s="102" t="s">
        <v>12666</v>
      </c>
      <c r="E152" s="102" t="s">
        <v>12666</v>
      </c>
      <c r="F152" s="102" t="s">
        <v>12666</v>
      </c>
      <c r="G152" s="102" t="s">
        <v>12666</v>
      </c>
      <c r="H152" s="164"/>
      <c r="I152" s="51">
        <f>IF(speciated_chemicals_159[[#This Row],[Inert / Not a Contaminant?]]="Yes", 0, speciated_chemicals_159[[#This Row],[Weight Percent]]*(unique_components_158[[#Totals],[Controlled lb/hr]]+standard_components_157[[#Totals],[Controlled
lb/hr]]))</f>
        <v>0</v>
      </c>
      <c r="J152" s="51">
        <f>IF(speciated_chemicals_159[[#This Row],[Inert / Not a Contaminant?]]="Yes", 0, speciated_chemicals_159[[#This Row],[Weight Percent]]*(unique_components_158[[#Totals],[Controlled
tpy]]+standard_components_157[[#Totals],[Controlled
tpy]]))</f>
        <v>0</v>
      </c>
    </row>
    <row r="153" spans="1:10" x14ac:dyDescent="0.2">
      <c r="A153" s="103"/>
      <c r="B153" s="51" t="str">
        <f>IFERROR(VLOOKUP(speciated_chemicals_159[[#This Row],[CAS '#]],species[],MATCH("Substance", species[#Headers], 0),FALSE),"No CAS Number Entered")</f>
        <v>No CAS Number Entered</v>
      </c>
      <c r="C153" s="102"/>
      <c r="D153" s="102" t="s">
        <v>12666</v>
      </c>
      <c r="E153" s="102" t="s">
        <v>12666</v>
      </c>
      <c r="F153" s="102" t="s">
        <v>12666</v>
      </c>
      <c r="G153" s="102" t="s">
        <v>12666</v>
      </c>
      <c r="H153" s="164"/>
      <c r="I153" s="51">
        <f>IF(speciated_chemicals_159[[#This Row],[Inert / Not a Contaminant?]]="Yes", 0, speciated_chemicals_159[[#This Row],[Weight Percent]]*(unique_components_158[[#Totals],[Controlled lb/hr]]+standard_components_157[[#Totals],[Controlled
lb/hr]]))</f>
        <v>0</v>
      </c>
      <c r="J153" s="51">
        <f>IF(speciated_chemicals_159[[#This Row],[Inert / Not a Contaminant?]]="Yes", 0, speciated_chemicals_159[[#This Row],[Weight Percent]]*(unique_components_158[[#Totals],[Controlled
tpy]]+standard_components_157[[#Totals],[Controlled
tpy]]))</f>
        <v>0</v>
      </c>
    </row>
    <row r="154" spans="1:10" x14ac:dyDescent="0.2">
      <c r="A154" s="103"/>
      <c r="B154" s="51" t="str">
        <f>IFERROR(VLOOKUP(speciated_chemicals_159[[#This Row],[CAS '#]],species[],MATCH("Substance", species[#Headers], 0),FALSE),"No CAS Number Entered")</f>
        <v>No CAS Number Entered</v>
      </c>
      <c r="C154" s="102"/>
      <c r="D154" s="102" t="s">
        <v>12666</v>
      </c>
      <c r="E154" s="102" t="s">
        <v>12666</v>
      </c>
      <c r="F154" s="102" t="s">
        <v>12666</v>
      </c>
      <c r="G154" s="102" t="s">
        <v>12666</v>
      </c>
      <c r="H154" s="164"/>
      <c r="I154" s="51">
        <f>IF(speciated_chemicals_159[[#This Row],[Inert / Not a Contaminant?]]="Yes", 0, speciated_chemicals_159[[#This Row],[Weight Percent]]*(unique_components_158[[#Totals],[Controlled lb/hr]]+standard_components_157[[#Totals],[Controlled
lb/hr]]))</f>
        <v>0</v>
      </c>
      <c r="J154" s="51">
        <f>IF(speciated_chemicals_159[[#This Row],[Inert / Not a Contaminant?]]="Yes", 0, speciated_chemicals_159[[#This Row],[Weight Percent]]*(unique_components_158[[#Totals],[Controlled
tpy]]+standard_components_157[[#Totals],[Controlled
tpy]]))</f>
        <v>0</v>
      </c>
    </row>
    <row r="155" spans="1:10" x14ac:dyDescent="0.2">
      <c r="A155" s="103"/>
      <c r="B155" s="51" t="str">
        <f>IFERROR(VLOOKUP(speciated_chemicals_159[[#This Row],[CAS '#]],species[],MATCH("Substance", species[#Headers], 0),FALSE),"No CAS Number Entered")</f>
        <v>No CAS Number Entered</v>
      </c>
      <c r="C155" s="102"/>
      <c r="D155" s="102" t="s">
        <v>12666</v>
      </c>
      <c r="E155" s="102" t="s">
        <v>12666</v>
      </c>
      <c r="F155" s="102" t="s">
        <v>12666</v>
      </c>
      <c r="G155" s="102" t="s">
        <v>12666</v>
      </c>
      <c r="H155" s="164"/>
      <c r="I155" s="51">
        <f>IF(speciated_chemicals_159[[#This Row],[Inert / Not a Contaminant?]]="Yes", 0, speciated_chemicals_159[[#This Row],[Weight Percent]]*(unique_components_158[[#Totals],[Controlled lb/hr]]+standard_components_157[[#Totals],[Controlled
lb/hr]]))</f>
        <v>0</v>
      </c>
      <c r="J155" s="51">
        <f>IF(speciated_chemicals_159[[#This Row],[Inert / Not a Contaminant?]]="Yes", 0, speciated_chemicals_159[[#This Row],[Weight Percent]]*(unique_components_158[[#Totals],[Controlled
tpy]]+standard_components_157[[#Totals],[Controlled
tpy]]))</f>
        <v>0</v>
      </c>
    </row>
    <row r="156" spans="1:10" x14ac:dyDescent="0.2">
      <c r="A156" s="103"/>
      <c r="B156" s="51" t="str">
        <f>IFERROR(VLOOKUP(speciated_chemicals_159[[#This Row],[CAS '#]],species[],MATCH("Substance", species[#Headers], 0),FALSE),"No CAS Number Entered")</f>
        <v>No CAS Number Entered</v>
      </c>
      <c r="C156" s="102"/>
      <c r="D156" s="102" t="s">
        <v>12666</v>
      </c>
      <c r="E156" s="102" t="s">
        <v>12666</v>
      </c>
      <c r="F156" s="102" t="s">
        <v>12666</v>
      </c>
      <c r="G156" s="102" t="s">
        <v>12666</v>
      </c>
      <c r="H156" s="164"/>
      <c r="I156" s="51">
        <f>IF(speciated_chemicals_159[[#This Row],[Inert / Not a Contaminant?]]="Yes", 0, speciated_chemicals_159[[#This Row],[Weight Percent]]*(unique_components_158[[#Totals],[Controlled lb/hr]]+standard_components_157[[#Totals],[Controlled
lb/hr]]))</f>
        <v>0</v>
      </c>
      <c r="J156" s="51">
        <f>IF(speciated_chemicals_159[[#This Row],[Inert / Not a Contaminant?]]="Yes", 0, speciated_chemicals_159[[#This Row],[Weight Percent]]*(unique_components_158[[#Totals],[Controlled
tpy]]+standard_components_157[[#Totals],[Controlled
tpy]]))</f>
        <v>0</v>
      </c>
    </row>
    <row r="157" spans="1:10" x14ac:dyDescent="0.2">
      <c r="A157" s="103"/>
      <c r="B157" s="51" t="str">
        <f>IFERROR(VLOOKUP(speciated_chemicals_159[[#This Row],[CAS '#]],species[],MATCH("Substance", species[#Headers], 0),FALSE),"No CAS Number Entered")</f>
        <v>No CAS Number Entered</v>
      </c>
      <c r="C157" s="102"/>
      <c r="D157" s="102" t="s">
        <v>12666</v>
      </c>
      <c r="E157" s="102" t="s">
        <v>12666</v>
      </c>
      <c r="F157" s="102" t="s">
        <v>12666</v>
      </c>
      <c r="G157" s="102" t="s">
        <v>12666</v>
      </c>
      <c r="H157" s="164"/>
      <c r="I157" s="51">
        <f>IF(speciated_chemicals_159[[#This Row],[Inert / Not a Contaminant?]]="Yes", 0, speciated_chemicals_159[[#This Row],[Weight Percent]]*(unique_components_158[[#Totals],[Controlled lb/hr]]+standard_components_157[[#Totals],[Controlled
lb/hr]]))</f>
        <v>0</v>
      </c>
      <c r="J157" s="51">
        <f>IF(speciated_chemicals_159[[#This Row],[Inert / Not a Contaminant?]]="Yes", 0, speciated_chemicals_159[[#This Row],[Weight Percent]]*(unique_components_158[[#Totals],[Controlled
tpy]]+standard_components_157[[#Totals],[Controlled
tpy]]))</f>
        <v>0</v>
      </c>
    </row>
    <row r="158" spans="1:10" x14ac:dyDescent="0.2">
      <c r="A158" s="103"/>
      <c r="B158" s="51" t="str">
        <f>IFERROR(VLOOKUP(speciated_chemicals_159[[#This Row],[CAS '#]],species[],MATCH("Substance", species[#Headers], 0),FALSE),"No CAS Number Entered")</f>
        <v>No CAS Number Entered</v>
      </c>
      <c r="C158" s="102"/>
      <c r="D158" s="102" t="s">
        <v>12666</v>
      </c>
      <c r="E158" s="102" t="s">
        <v>12666</v>
      </c>
      <c r="F158" s="102" t="s">
        <v>12666</v>
      </c>
      <c r="G158" s="102" t="s">
        <v>12666</v>
      </c>
      <c r="H158" s="164"/>
      <c r="I158" s="51">
        <f>IF(speciated_chemicals_159[[#This Row],[Inert / Not a Contaminant?]]="Yes", 0, speciated_chemicals_159[[#This Row],[Weight Percent]]*(unique_components_158[[#Totals],[Controlled lb/hr]]+standard_components_157[[#Totals],[Controlled
lb/hr]]))</f>
        <v>0</v>
      </c>
      <c r="J158" s="51">
        <f>IF(speciated_chemicals_159[[#This Row],[Inert / Not a Contaminant?]]="Yes", 0, speciated_chemicals_159[[#This Row],[Weight Percent]]*(unique_components_158[[#Totals],[Controlled
tpy]]+standard_components_157[[#Totals],[Controlled
tpy]]))</f>
        <v>0</v>
      </c>
    </row>
    <row r="159" spans="1:10" x14ac:dyDescent="0.2">
      <c r="A159" s="103"/>
      <c r="B159" s="51" t="str">
        <f>IFERROR(VLOOKUP(speciated_chemicals_159[[#This Row],[CAS '#]],species[],MATCH("Substance", species[#Headers], 0),FALSE),"No CAS Number Entered")</f>
        <v>No CAS Number Entered</v>
      </c>
      <c r="C159" s="102"/>
      <c r="D159" s="102" t="s">
        <v>12666</v>
      </c>
      <c r="E159" s="102" t="s">
        <v>12666</v>
      </c>
      <c r="F159" s="102" t="s">
        <v>12666</v>
      </c>
      <c r="G159" s="102" t="s">
        <v>12666</v>
      </c>
      <c r="H159" s="164"/>
      <c r="I159" s="51">
        <f>IF(speciated_chemicals_159[[#This Row],[Inert / Not a Contaminant?]]="Yes", 0, speciated_chemicals_159[[#This Row],[Weight Percent]]*(unique_components_158[[#Totals],[Controlled lb/hr]]+standard_components_157[[#Totals],[Controlled
lb/hr]]))</f>
        <v>0</v>
      </c>
      <c r="J159" s="51">
        <f>IF(speciated_chemicals_159[[#This Row],[Inert / Not a Contaminant?]]="Yes", 0, speciated_chemicals_159[[#This Row],[Weight Percent]]*(unique_components_158[[#Totals],[Controlled
tpy]]+standard_components_157[[#Totals],[Controlled
tpy]]))</f>
        <v>0</v>
      </c>
    </row>
    <row r="160" spans="1:10" x14ac:dyDescent="0.2">
      <c r="A160" s="103"/>
      <c r="B160" s="51" t="str">
        <f>IFERROR(VLOOKUP(speciated_chemicals_159[[#This Row],[CAS '#]],species[],MATCH("Substance", species[#Headers], 0),FALSE),"No CAS Number Entered")</f>
        <v>No CAS Number Entered</v>
      </c>
      <c r="C160" s="102"/>
      <c r="D160" s="102" t="s">
        <v>12666</v>
      </c>
      <c r="E160" s="102" t="s">
        <v>12666</v>
      </c>
      <c r="F160" s="102" t="s">
        <v>12666</v>
      </c>
      <c r="G160" s="102" t="s">
        <v>12666</v>
      </c>
      <c r="H160" s="164"/>
      <c r="I160" s="51">
        <f>IF(speciated_chemicals_159[[#This Row],[Inert / Not a Contaminant?]]="Yes", 0, speciated_chemicals_159[[#This Row],[Weight Percent]]*(unique_components_158[[#Totals],[Controlled lb/hr]]+standard_components_157[[#Totals],[Controlled
lb/hr]]))</f>
        <v>0</v>
      </c>
      <c r="J160" s="51">
        <f>IF(speciated_chemicals_159[[#This Row],[Inert / Not a Contaminant?]]="Yes", 0, speciated_chemicals_159[[#This Row],[Weight Percent]]*(unique_components_158[[#Totals],[Controlled
tpy]]+standard_components_157[[#Totals],[Controlled
tpy]]))</f>
        <v>0</v>
      </c>
    </row>
    <row r="161" spans="1:10" x14ac:dyDescent="0.2">
      <c r="A161" s="103"/>
      <c r="B161" s="51" t="str">
        <f>IFERROR(VLOOKUP(speciated_chemicals_159[[#This Row],[CAS '#]],species[],MATCH("Substance", species[#Headers], 0),FALSE),"No CAS Number Entered")</f>
        <v>No CAS Number Entered</v>
      </c>
      <c r="C161" s="102"/>
      <c r="D161" s="102" t="s">
        <v>12666</v>
      </c>
      <c r="E161" s="102" t="s">
        <v>12666</v>
      </c>
      <c r="F161" s="102" t="s">
        <v>12666</v>
      </c>
      <c r="G161" s="102" t="s">
        <v>12666</v>
      </c>
      <c r="H161" s="164"/>
      <c r="I161" s="51">
        <f>IF(speciated_chemicals_159[[#This Row],[Inert / Not a Contaminant?]]="Yes", 0, speciated_chemicals_159[[#This Row],[Weight Percent]]*(unique_components_158[[#Totals],[Controlled lb/hr]]+standard_components_157[[#Totals],[Controlled
lb/hr]]))</f>
        <v>0</v>
      </c>
      <c r="J161" s="51">
        <f>IF(speciated_chemicals_159[[#This Row],[Inert / Not a Contaminant?]]="Yes", 0, speciated_chemicals_159[[#This Row],[Weight Percent]]*(unique_components_158[[#Totals],[Controlled
tpy]]+standard_components_157[[#Totals],[Controlled
tpy]]))</f>
        <v>0</v>
      </c>
    </row>
    <row r="162" spans="1:10" x14ac:dyDescent="0.2">
      <c r="A162" s="103"/>
      <c r="B162" s="51" t="str">
        <f>IFERROR(VLOOKUP(speciated_chemicals_159[[#This Row],[CAS '#]],species[],MATCH("Substance", species[#Headers], 0),FALSE),"No CAS Number Entered")</f>
        <v>No CAS Number Entered</v>
      </c>
      <c r="C162" s="102"/>
      <c r="D162" s="102" t="s">
        <v>12666</v>
      </c>
      <c r="E162" s="102" t="s">
        <v>12666</v>
      </c>
      <c r="F162" s="102" t="s">
        <v>12666</v>
      </c>
      <c r="G162" s="102" t="s">
        <v>12666</v>
      </c>
      <c r="H162" s="164"/>
      <c r="I162" s="51">
        <f>IF(speciated_chemicals_159[[#This Row],[Inert / Not a Contaminant?]]="Yes", 0, speciated_chemicals_159[[#This Row],[Weight Percent]]*(unique_components_158[[#Totals],[Controlled lb/hr]]+standard_components_157[[#Totals],[Controlled
lb/hr]]))</f>
        <v>0</v>
      </c>
      <c r="J162" s="51">
        <f>IF(speciated_chemicals_159[[#This Row],[Inert / Not a Contaminant?]]="Yes", 0, speciated_chemicals_159[[#This Row],[Weight Percent]]*(unique_components_158[[#Totals],[Controlled
tpy]]+standard_components_157[[#Totals],[Controlled
tpy]]))</f>
        <v>0</v>
      </c>
    </row>
    <row r="163" spans="1:10" x14ac:dyDescent="0.2">
      <c r="A163" s="103"/>
      <c r="B163" s="51" t="str">
        <f>IFERROR(VLOOKUP(speciated_chemicals_159[[#This Row],[CAS '#]],species[],MATCH("Substance", species[#Headers], 0),FALSE),"No CAS Number Entered")</f>
        <v>No CAS Number Entered</v>
      </c>
      <c r="C163" s="102"/>
      <c r="D163" s="102" t="s">
        <v>12666</v>
      </c>
      <c r="E163" s="102" t="s">
        <v>12666</v>
      </c>
      <c r="F163" s="102" t="s">
        <v>12666</v>
      </c>
      <c r="G163" s="102" t="s">
        <v>12666</v>
      </c>
      <c r="H163" s="164"/>
      <c r="I163" s="51">
        <f>IF(speciated_chemicals_159[[#This Row],[Inert / Not a Contaminant?]]="Yes", 0, speciated_chemicals_159[[#This Row],[Weight Percent]]*(unique_components_158[[#Totals],[Controlled lb/hr]]+standard_components_157[[#Totals],[Controlled
lb/hr]]))</f>
        <v>0</v>
      </c>
      <c r="J163" s="51">
        <f>IF(speciated_chemicals_159[[#This Row],[Inert / Not a Contaminant?]]="Yes", 0, speciated_chemicals_159[[#This Row],[Weight Percent]]*(unique_components_158[[#Totals],[Controlled
tpy]]+standard_components_157[[#Totals],[Controlled
tpy]]))</f>
        <v>0</v>
      </c>
    </row>
    <row r="164" spans="1:10" x14ac:dyDescent="0.2">
      <c r="A164" s="103"/>
      <c r="B164" s="51" t="str">
        <f>IFERROR(VLOOKUP(speciated_chemicals_159[[#This Row],[CAS '#]],species[],MATCH("Substance", species[#Headers], 0),FALSE),"No CAS Number Entered")</f>
        <v>No CAS Number Entered</v>
      </c>
      <c r="C164" s="102"/>
      <c r="D164" s="102" t="s">
        <v>12666</v>
      </c>
      <c r="E164" s="102" t="s">
        <v>12666</v>
      </c>
      <c r="F164" s="102" t="s">
        <v>12666</v>
      </c>
      <c r="G164" s="102" t="s">
        <v>12666</v>
      </c>
      <c r="H164" s="164"/>
      <c r="I164" s="51">
        <f>IF(speciated_chemicals_159[[#This Row],[Inert / Not a Contaminant?]]="Yes", 0, speciated_chemicals_159[[#This Row],[Weight Percent]]*(unique_components_158[[#Totals],[Controlled lb/hr]]+standard_components_157[[#Totals],[Controlled
lb/hr]]))</f>
        <v>0</v>
      </c>
      <c r="J164" s="51">
        <f>IF(speciated_chemicals_159[[#This Row],[Inert / Not a Contaminant?]]="Yes", 0, speciated_chemicals_159[[#This Row],[Weight Percent]]*(unique_components_158[[#Totals],[Controlled
tpy]]+standard_components_157[[#Totals],[Controlled
tpy]]))</f>
        <v>0</v>
      </c>
    </row>
    <row r="165" spans="1:10" x14ac:dyDescent="0.2">
      <c r="A165" s="103"/>
      <c r="B165" s="51" t="str">
        <f>IFERROR(VLOOKUP(speciated_chemicals_159[[#This Row],[CAS '#]],species[],MATCH("Substance", species[#Headers], 0),FALSE),"No CAS Number Entered")</f>
        <v>No CAS Number Entered</v>
      </c>
      <c r="C165" s="102"/>
      <c r="D165" s="102" t="s">
        <v>12666</v>
      </c>
      <c r="E165" s="102" t="s">
        <v>12666</v>
      </c>
      <c r="F165" s="102" t="s">
        <v>12666</v>
      </c>
      <c r="G165" s="102" t="s">
        <v>12666</v>
      </c>
      <c r="H165" s="164"/>
      <c r="I165" s="51">
        <f>IF(speciated_chemicals_159[[#This Row],[Inert / Not a Contaminant?]]="Yes", 0, speciated_chemicals_159[[#This Row],[Weight Percent]]*(unique_components_158[[#Totals],[Controlled lb/hr]]+standard_components_157[[#Totals],[Controlled
lb/hr]]))</f>
        <v>0</v>
      </c>
      <c r="J165" s="51">
        <f>IF(speciated_chemicals_159[[#This Row],[Inert / Not a Contaminant?]]="Yes", 0, speciated_chemicals_159[[#This Row],[Weight Percent]]*(unique_components_158[[#Totals],[Controlled
tpy]]+standard_components_157[[#Totals],[Controlled
tpy]]))</f>
        <v>0</v>
      </c>
    </row>
    <row r="166" spans="1:10" x14ac:dyDescent="0.2">
      <c r="A166" s="103"/>
      <c r="B166" s="51" t="str">
        <f>IFERROR(VLOOKUP(speciated_chemicals_159[[#This Row],[CAS '#]],species[],MATCH("Substance", species[#Headers], 0),FALSE),"No CAS Number Entered")</f>
        <v>No CAS Number Entered</v>
      </c>
      <c r="C166" s="102"/>
      <c r="D166" s="102" t="s">
        <v>12666</v>
      </c>
      <c r="E166" s="102" t="s">
        <v>12666</v>
      </c>
      <c r="F166" s="102" t="s">
        <v>12666</v>
      </c>
      <c r="G166" s="102" t="s">
        <v>12666</v>
      </c>
      <c r="H166" s="164"/>
      <c r="I166" s="51">
        <f>IF(speciated_chemicals_159[[#This Row],[Inert / Not a Contaminant?]]="Yes", 0, speciated_chemicals_159[[#This Row],[Weight Percent]]*(unique_components_158[[#Totals],[Controlled lb/hr]]+standard_components_157[[#Totals],[Controlled
lb/hr]]))</f>
        <v>0</v>
      </c>
      <c r="J166" s="51">
        <f>IF(speciated_chemicals_159[[#This Row],[Inert / Not a Contaminant?]]="Yes", 0, speciated_chemicals_159[[#This Row],[Weight Percent]]*(unique_components_158[[#Totals],[Controlled
tpy]]+standard_components_157[[#Totals],[Controlled
tpy]]))</f>
        <v>0</v>
      </c>
    </row>
    <row r="167" spans="1:10" x14ac:dyDescent="0.2">
      <c r="A167" s="103"/>
      <c r="B167" s="51" t="str">
        <f>IFERROR(VLOOKUP(speciated_chemicals_159[[#This Row],[CAS '#]],species[],MATCH("Substance", species[#Headers], 0),FALSE),"No CAS Number Entered")</f>
        <v>No CAS Number Entered</v>
      </c>
      <c r="C167" s="102"/>
      <c r="D167" s="102" t="s">
        <v>12666</v>
      </c>
      <c r="E167" s="102" t="s">
        <v>12666</v>
      </c>
      <c r="F167" s="102" t="s">
        <v>12666</v>
      </c>
      <c r="G167" s="102" t="s">
        <v>12666</v>
      </c>
      <c r="H167" s="164"/>
      <c r="I167" s="51">
        <f>IF(speciated_chemicals_159[[#This Row],[Inert / Not a Contaminant?]]="Yes", 0, speciated_chemicals_159[[#This Row],[Weight Percent]]*(unique_components_158[[#Totals],[Controlled lb/hr]]+standard_components_157[[#Totals],[Controlled
lb/hr]]))</f>
        <v>0</v>
      </c>
      <c r="J167" s="51">
        <f>IF(speciated_chemicals_159[[#This Row],[Inert / Not a Contaminant?]]="Yes", 0, speciated_chemicals_159[[#This Row],[Weight Percent]]*(unique_components_158[[#Totals],[Controlled
tpy]]+standard_components_157[[#Totals],[Controlled
tpy]]))</f>
        <v>0</v>
      </c>
    </row>
    <row r="168" spans="1:10" x14ac:dyDescent="0.2">
      <c r="A168" s="103"/>
      <c r="B168" s="51" t="str">
        <f>IFERROR(VLOOKUP(speciated_chemicals_159[[#This Row],[CAS '#]],species[],MATCH("Substance", species[#Headers], 0),FALSE),"No CAS Number Entered")</f>
        <v>No CAS Number Entered</v>
      </c>
      <c r="C168" s="102"/>
      <c r="D168" s="102" t="s">
        <v>12666</v>
      </c>
      <c r="E168" s="102" t="s">
        <v>12666</v>
      </c>
      <c r="F168" s="102" t="s">
        <v>12666</v>
      </c>
      <c r="G168" s="102" t="s">
        <v>12666</v>
      </c>
      <c r="H168" s="164"/>
      <c r="I168" s="51">
        <f>IF(speciated_chemicals_159[[#This Row],[Inert / Not a Contaminant?]]="Yes", 0, speciated_chemicals_159[[#This Row],[Weight Percent]]*(unique_components_158[[#Totals],[Controlled lb/hr]]+standard_components_157[[#Totals],[Controlled
lb/hr]]))</f>
        <v>0</v>
      </c>
      <c r="J168" s="51">
        <f>IF(speciated_chemicals_159[[#This Row],[Inert / Not a Contaminant?]]="Yes", 0, speciated_chemicals_159[[#This Row],[Weight Percent]]*(unique_components_158[[#Totals],[Controlled
tpy]]+standard_components_157[[#Totals],[Controlled
tpy]]))</f>
        <v>0</v>
      </c>
    </row>
    <row r="169" spans="1:10" x14ac:dyDescent="0.2">
      <c r="A169" s="103"/>
      <c r="B169" s="51" t="str">
        <f>IFERROR(VLOOKUP(speciated_chemicals_159[[#This Row],[CAS '#]],species[],MATCH("Substance", species[#Headers], 0),FALSE),"No CAS Number Entered")</f>
        <v>No CAS Number Entered</v>
      </c>
      <c r="C169" s="102"/>
      <c r="D169" s="102" t="s">
        <v>12666</v>
      </c>
      <c r="E169" s="102" t="s">
        <v>12666</v>
      </c>
      <c r="F169" s="102" t="s">
        <v>12666</v>
      </c>
      <c r="G169" s="102" t="s">
        <v>12666</v>
      </c>
      <c r="H169" s="164"/>
      <c r="I169" s="51">
        <f>IF(speciated_chemicals_159[[#This Row],[Inert / Not a Contaminant?]]="Yes", 0, speciated_chemicals_159[[#This Row],[Weight Percent]]*(unique_components_158[[#Totals],[Controlled lb/hr]]+standard_components_157[[#Totals],[Controlled
lb/hr]]))</f>
        <v>0</v>
      </c>
      <c r="J169" s="51">
        <f>IF(speciated_chemicals_159[[#This Row],[Inert / Not a Contaminant?]]="Yes", 0, speciated_chemicals_159[[#This Row],[Weight Percent]]*(unique_components_158[[#Totals],[Controlled
tpy]]+standard_components_157[[#Totals],[Controlled
tpy]]))</f>
        <v>0</v>
      </c>
    </row>
    <row r="170" spans="1:10" x14ac:dyDescent="0.2">
      <c r="A170" s="103"/>
      <c r="B170" s="51" t="str">
        <f>IFERROR(VLOOKUP(speciated_chemicals_159[[#This Row],[CAS '#]],species[],MATCH("Substance", species[#Headers], 0),FALSE),"No CAS Number Entered")</f>
        <v>No CAS Number Entered</v>
      </c>
      <c r="C170" s="102"/>
      <c r="D170" s="102" t="s">
        <v>12666</v>
      </c>
      <c r="E170" s="102" t="s">
        <v>12666</v>
      </c>
      <c r="F170" s="102" t="s">
        <v>12666</v>
      </c>
      <c r="G170" s="102" t="s">
        <v>12666</v>
      </c>
      <c r="H170" s="164"/>
      <c r="I170" s="51">
        <f>IF(speciated_chemicals_159[[#This Row],[Inert / Not a Contaminant?]]="Yes", 0, speciated_chemicals_159[[#This Row],[Weight Percent]]*(unique_components_158[[#Totals],[Controlled lb/hr]]+standard_components_157[[#Totals],[Controlled
lb/hr]]))</f>
        <v>0</v>
      </c>
      <c r="J170" s="51">
        <f>IF(speciated_chemicals_159[[#This Row],[Inert / Not a Contaminant?]]="Yes", 0, speciated_chemicals_159[[#This Row],[Weight Percent]]*(unique_components_158[[#Totals],[Controlled
tpy]]+standard_components_157[[#Totals],[Controlled
tpy]]))</f>
        <v>0</v>
      </c>
    </row>
    <row r="171" spans="1:10" x14ac:dyDescent="0.2">
      <c r="A171" s="103"/>
      <c r="B171" s="51" t="str">
        <f>IFERROR(VLOOKUP(speciated_chemicals_159[[#This Row],[CAS '#]],species[],MATCH("Substance", species[#Headers], 0),FALSE),"No CAS Number Entered")</f>
        <v>No CAS Number Entered</v>
      </c>
      <c r="C171" s="102"/>
      <c r="D171" s="102" t="s">
        <v>12666</v>
      </c>
      <c r="E171" s="102" t="s">
        <v>12666</v>
      </c>
      <c r="F171" s="102" t="s">
        <v>12666</v>
      </c>
      <c r="G171" s="102" t="s">
        <v>12666</v>
      </c>
      <c r="H171" s="164"/>
      <c r="I171" s="51">
        <f>IF(speciated_chemicals_159[[#This Row],[Inert / Not a Contaminant?]]="Yes", 0, speciated_chemicals_159[[#This Row],[Weight Percent]]*(unique_components_158[[#Totals],[Controlled lb/hr]]+standard_components_157[[#Totals],[Controlled
lb/hr]]))</f>
        <v>0</v>
      </c>
      <c r="J171" s="51">
        <f>IF(speciated_chemicals_159[[#This Row],[Inert / Not a Contaminant?]]="Yes", 0, speciated_chemicals_159[[#This Row],[Weight Percent]]*(unique_components_158[[#Totals],[Controlled
tpy]]+standard_components_157[[#Totals],[Controlled
tpy]]))</f>
        <v>0</v>
      </c>
    </row>
    <row r="172" spans="1:10" x14ac:dyDescent="0.2">
      <c r="A172" s="103"/>
      <c r="B172" s="51" t="str">
        <f>IFERROR(VLOOKUP(speciated_chemicals_159[[#This Row],[CAS '#]],species[],MATCH("Substance", species[#Headers], 0),FALSE),"No CAS Number Entered")</f>
        <v>No CAS Number Entered</v>
      </c>
      <c r="C172" s="102"/>
      <c r="D172" s="102" t="s">
        <v>12666</v>
      </c>
      <c r="E172" s="102" t="s">
        <v>12666</v>
      </c>
      <c r="F172" s="102" t="s">
        <v>12666</v>
      </c>
      <c r="G172" s="102" t="s">
        <v>12666</v>
      </c>
      <c r="H172" s="164"/>
      <c r="I172" s="51">
        <f>IF(speciated_chemicals_159[[#This Row],[Inert / Not a Contaminant?]]="Yes", 0, speciated_chemicals_159[[#This Row],[Weight Percent]]*(unique_components_158[[#Totals],[Controlled lb/hr]]+standard_components_157[[#Totals],[Controlled
lb/hr]]))</f>
        <v>0</v>
      </c>
      <c r="J172" s="51">
        <f>IF(speciated_chemicals_159[[#This Row],[Inert / Not a Contaminant?]]="Yes", 0, speciated_chemicals_159[[#This Row],[Weight Percent]]*(unique_components_158[[#Totals],[Controlled
tpy]]+standard_components_157[[#Totals],[Controlled
tpy]]))</f>
        <v>0</v>
      </c>
    </row>
    <row r="173" spans="1:10" x14ac:dyDescent="0.2">
      <c r="A173" s="103"/>
      <c r="B173" s="51" t="str">
        <f>IFERROR(VLOOKUP(speciated_chemicals_159[[#This Row],[CAS '#]],species[],MATCH("Substance", species[#Headers], 0),FALSE),"No CAS Number Entered")</f>
        <v>No CAS Number Entered</v>
      </c>
      <c r="C173" s="102"/>
      <c r="D173" s="102" t="s">
        <v>12666</v>
      </c>
      <c r="E173" s="102" t="s">
        <v>12666</v>
      </c>
      <c r="F173" s="102" t="s">
        <v>12666</v>
      </c>
      <c r="G173" s="102" t="s">
        <v>12666</v>
      </c>
      <c r="H173" s="164"/>
      <c r="I173" s="51">
        <f>IF(speciated_chemicals_159[[#This Row],[Inert / Not a Contaminant?]]="Yes", 0, speciated_chemicals_159[[#This Row],[Weight Percent]]*(unique_components_158[[#Totals],[Controlled lb/hr]]+standard_components_157[[#Totals],[Controlled
lb/hr]]))</f>
        <v>0</v>
      </c>
      <c r="J173" s="51">
        <f>IF(speciated_chemicals_159[[#This Row],[Inert / Not a Contaminant?]]="Yes", 0, speciated_chemicals_159[[#This Row],[Weight Percent]]*(unique_components_158[[#Totals],[Controlled
tpy]]+standard_components_157[[#Totals],[Controlled
tpy]]))</f>
        <v>0</v>
      </c>
    </row>
    <row r="174" spans="1:10" x14ac:dyDescent="0.2">
      <c r="A174" s="103"/>
      <c r="B174" s="51" t="str">
        <f>IFERROR(VLOOKUP(speciated_chemicals_159[[#This Row],[CAS '#]],species[],MATCH("Substance", species[#Headers], 0),FALSE),"No CAS Number Entered")</f>
        <v>No CAS Number Entered</v>
      </c>
      <c r="C174" s="102"/>
      <c r="D174" s="102" t="s">
        <v>12666</v>
      </c>
      <c r="E174" s="102" t="s">
        <v>12666</v>
      </c>
      <c r="F174" s="102" t="s">
        <v>12666</v>
      </c>
      <c r="G174" s="102" t="s">
        <v>12666</v>
      </c>
      <c r="H174" s="164"/>
      <c r="I174" s="51">
        <f>IF(speciated_chemicals_159[[#This Row],[Inert / Not a Contaminant?]]="Yes", 0, speciated_chemicals_159[[#This Row],[Weight Percent]]*(unique_components_158[[#Totals],[Controlled lb/hr]]+standard_components_157[[#Totals],[Controlled
lb/hr]]))</f>
        <v>0</v>
      </c>
      <c r="J174" s="51">
        <f>IF(speciated_chemicals_159[[#This Row],[Inert / Not a Contaminant?]]="Yes", 0, speciated_chemicals_159[[#This Row],[Weight Percent]]*(unique_components_158[[#Totals],[Controlled
tpy]]+standard_components_157[[#Totals],[Controlled
tpy]]))</f>
        <v>0</v>
      </c>
    </row>
    <row r="175" spans="1:10" x14ac:dyDescent="0.2">
      <c r="A175" s="103"/>
      <c r="B175" s="51" t="str">
        <f>IFERROR(VLOOKUP(speciated_chemicals_159[[#This Row],[CAS '#]],species[],MATCH("Substance", species[#Headers], 0),FALSE),"No CAS Number Entered")</f>
        <v>No CAS Number Entered</v>
      </c>
      <c r="C175" s="102"/>
      <c r="D175" s="102" t="s">
        <v>12666</v>
      </c>
      <c r="E175" s="102" t="s">
        <v>12666</v>
      </c>
      <c r="F175" s="102" t="s">
        <v>12666</v>
      </c>
      <c r="G175" s="102" t="s">
        <v>12666</v>
      </c>
      <c r="H175" s="164"/>
      <c r="I175" s="51">
        <f>IF(speciated_chemicals_159[[#This Row],[Inert / Not a Contaminant?]]="Yes", 0, speciated_chemicals_159[[#This Row],[Weight Percent]]*(unique_components_158[[#Totals],[Controlled lb/hr]]+standard_components_157[[#Totals],[Controlled
lb/hr]]))</f>
        <v>0</v>
      </c>
      <c r="J175" s="51">
        <f>IF(speciated_chemicals_159[[#This Row],[Inert / Not a Contaminant?]]="Yes", 0, speciated_chemicals_159[[#This Row],[Weight Percent]]*(unique_components_158[[#Totals],[Controlled
tpy]]+standard_components_157[[#Totals],[Controlled
tpy]]))</f>
        <v>0</v>
      </c>
    </row>
    <row r="176" spans="1:10" x14ac:dyDescent="0.2">
      <c r="A176" s="165"/>
      <c r="B176" s="51" t="str">
        <f>IFERROR(VLOOKUP(speciated_chemicals_159[[#This Row],[CAS '#]],species[],MATCH("Substance", species[#Headers], 0),FALSE),"No CAS Number Entered")</f>
        <v>No CAS Number Entered</v>
      </c>
      <c r="C176" s="102"/>
      <c r="D176" s="102" t="s">
        <v>12666</v>
      </c>
      <c r="E176" s="102" t="s">
        <v>12666</v>
      </c>
      <c r="F176" s="102" t="s">
        <v>12666</v>
      </c>
      <c r="G176" s="102" t="s">
        <v>12666</v>
      </c>
      <c r="H176" s="164"/>
      <c r="I176" s="51">
        <f>IF(speciated_chemicals_159[[#This Row],[Inert / Not a Contaminant?]]="Yes", 0, speciated_chemicals_159[[#This Row],[Weight Percent]]*(unique_components_158[[#Totals],[Controlled lb/hr]]+standard_components_157[[#Totals],[Controlled
lb/hr]]))</f>
        <v>0</v>
      </c>
      <c r="J176" s="51">
        <f>IF(speciated_chemicals_159[[#This Row],[Inert / Not a Contaminant?]]="Yes", 0, speciated_chemicals_159[[#This Row],[Weight Percent]]*(unique_components_158[[#Totals],[Controlled
tpy]]+standard_components_157[[#Totals],[Controlled
tpy]]))</f>
        <v>0</v>
      </c>
    </row>
    <row r="177" spans="1:10" x14ac:dyDescent="0.2">
      <c r="A177" s="103"/>
      <c r="B177" s="51" t="str">
        <f>IFERROR(VLOOKUP(speciated_chemicals_159[[#This Row],[CAS '#]],species[],MATCH("Substance", species[#Headers], 0),FALSE),"No CAS Number Entered")</f>
        <v>No CAS Number Entered</v>
      </c>
      <c r="C177" s="102"/>
      <c r="D177" s="102" t="s">
        <v>12666</v>
      </c>
      <c r="E177" s="102" t="s">
        <v>12666</v>
      </c>
      <c r="F177" s="102" t="s">
        <v>12666</v>
      </c>
      <c r="G177" s="102" t="s">
        <v>12666</v>
      </c>
      <c r="H177" s="164"/>
      <c r="I177" s="51">
        <f>IF(speciated_chemicals_159[[#This Row],[Inert / Not a Contaminant?]]="Yes", 0, speciated_chemicals_159[[#This Row],[Weight Percent]]*(unique_components_158[[#Totals],[Controlled lb/hr]]+standard_components_157[[#Totals],[Controlled
lb/hr]]))</f>
        <v>0</v>
      </c>
      <c r="J177" s="51">
        <f>IF(speciated_chemicals_159[[#This Row],[Inert / Not a Contaminant?]]="Yes", 0, speciated_chemicals_159[[#This Row],[Weight Percent]]*(unique_components_158[[#Totals],[Controlled
tpy]]+standard_components_157[[#Totals],[Controlled
tpy]]))</f>
        <v>0</v>
      </c>
    </row>
    <row r="178" spans="1:10" x14ac:dyDescent="0.2">
      <c r="A178" s="103"/>
      <c r="B178" s="51" t="str">
        <f>IFERROR(VLOOKUP(speciated_chemicals_159[[#This Row],[CAS '#]],species[],MATCH("Substance", species[#Headers], 0),FALSE),"No CAS Number Entered")</f>
        <v>No CAS Number Entered</v>
      </c>
      <c r="C178" s="102"/>
      <c r="D178" s="102" t="s">
        <v>12666</v>
      </c>
      <c r="E178" s="102" t="s">
        <v>12666</v>
      </c>
      <c r="F178" s="102" t="s">
        <v>12666</v>
      </c>
      <c r="G178" s="102" t="s">
        <v>12666</v>
      </c>
      <c r="H178" s="164"/>
      <c r="I178" s="51">
        <f>IF(speciated_chemicals_159[[#This Row],[Inert / Not a Contaminant?]]="Yes", 0, speciated_chemicals_159[[#This Row],[Weight Percent]]*(unique_components_158[[#Totals],[Controlled lb/hr]]+standard_components_157[[#Totals],[Controlled
lb/hr]]))</f>
        <v>0</v>
      </c>
      <c r="J178" s="51">
        <f>IF(speciated_chemicals_159[[#This Row],[Inert / Not a Contaminant?]]="Yes", 0, speciated_chemicals_159[[#This Row],[Weight Percent]]*(unique_components_158[[#Totals],[Controlled
tpy]]+standard_components_157[[#Totals],[Controlled
tpy]]))</f>
        <v>0</v>
      </c>
    </row>
    <row r="179" spans="1:10" x14ac:dyDescent="0.2">
      <c r="A179" s="103"/>
      <c r="B179" s="51" t="str">
        <f>IFERROR(VLOOKUP(speciated_chemicals_159[[#This Row],[CAS '#]],species[],MATCH("Substance", species[#Headers], 0),FALSE),"No CAS Number Entered")</f>
        <v>No CAS Number Entered</v>
      </c>
      <c r="C179" s="102"/>
      <c r="D179" s="102" t="s">
        <v>12666</v>
      </c>
      <c r="E179" s="102" t="s">
        <v>12666</v>
      </c>
      <c r="F179" s="102" t="s">
        <v>12666</v>
      </c>
      <c r="G179" s="102" t="s">
        <v>12666</v>
      </c>
      <c r="H179" s="164"/>
      <c r="I179" s="51">
        <f>IF(speciated_chemicals_159[[#This Row],[Inert / Not a Contaminant?]]="Yes", 0, speciated_chemicals_159[[#This Row],[Weight Percent]]*(unique_components_158[[#Totals],[Controlled lb/hr]]+standard_components_157[[#Totals],[Controlled
lb/hr]]))</f>
        <v>0</v>
      </c>
      <c r="J179" s="51">
        <f>IF(speciated_chemicals_159[[#This Row],[Inert / Not a Contaminant?]]="Yes", 0, speciated_chemicals_159[[#This Row],[Weight Percent]]*(unique_components_158[[#Totals],[Controlled
tpy]]+standard_components_157[[#Totals],[Controlled
tpy]]))</f>
        <v>0</v>
      </c>
    </row>
    <row r="180" spans="1:10" x14ac:dyDescent="0.2">
      <c r="A180" s="103"/>
      <c r="B180" s="51" t="str">
        <f>IFERROR(VLOOKUP(speciated_chemicals_159[[#This Row],[CAS '#]],species[],MATCH("Substance", species[#Headers], 0),FALSE),"No CAS Number Entered")</f>
        <v>No CAS Number Entered</v>
      </c>
      <c r="C180" s="102"/>
      <c r="D180" s="102" t="s">
        <v>12666</v>
      </c>
      <c r="E180" s="102" t="s">
        <v>12666</v>
      </c>
      <c r="F180" s="102" t="s">
        <v>12666</v>
      </c>
      <c r="G180" s="102" t="s">
        <v>12666</v>
      </c>
      <c r="H180" s="164"/>
      <c r="I180" s="51">
        <f>IF(speciated_chemicals_159[[#This Row],[Inert / Not a Contaminant?]]="Yes", 0, speciated_chemicals_159[[#This Row],[Weight Percent]]*(unique_components_158[[#Totals],[Controlled lb/hr]]+standard_components_157[[#Totals],[Controlled
lb/hr]]))</f>
        <v>0</v>
      </c>
      <c r="J180" s="51">
        <f>IF(speciated_chemicals_159[[#This Row],[Inert / Not a Contaminant?]]="Yes", 0, speciated_chemicals_159[[#This Row],[Weight Percent]]*(unique_components_158[[#Totals],[Controlled
tpy]]+standard_components_157[[#Totals],[Controlled
tpy]]))</f>
        <v>0</v>
      </c>
    </row>
    <row r="181" spans="1:10" ht="30" x14ac:dyDescent="0.2">
      <c r="A181" s="184" t="s">
        <v>12705</v>
      </c>
      <c r="B181" s="52"/>
      <c r="C181" s="53"/>
      <c r="D181" s="52"/>
      <c r="E181" s="52"/>
      <c r="F181" s="52"/>
      <c r="G181" s="52"/>
      <c r="H181" s="166">
        <f>SUBTOTAL(109,speciated_chemicals_159[Weight Percent])</f>
        <v>0</v>
      </c>
      <c r="I181" s="167">
        <f>SUBTOTAL(109,speciated_chemicals_159[lb/hr])</f>
        <v>0</v>
      </c>
      <c r="J181" s="167">
        <f>SUBTOTAL(109,speciated_chemicals_159[tpy])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MATCH(speciated_ghg_160[[#This Row],[CAS '#]], gwp_table[CAS No.], 0), MATCH("Name", gwp_table[#Headers], 0)),"No CAS Number Entered")</f>
        <v>No CAS Number Entered</v>
      </c>
      <c r="C185" s="79" t="str">
        <f>IFERROR(INDEX(gwp_table[], MATCH(speciated_ghg_160[[#This Row],[CAS '#]], gwp_table[CAS No.], 0), MATCH("Global warming potential", gwp_table[#Headers], 0)),"No CAS Number Entered")</f>
        <v>No CAS Number Entered</v>
      </c>
      <c r="D185" s="219"/>
      <c r="E185" s="79">
        <f>IFERROR(speciated_ghg_160[[#This Row],[Weight Percent]]*(unique_components_158[[#Totals],[Controlled
tpy]]+standard_components_157[[#Totals],[Controlled
tpy]]), "-")</f>
        <v>0</v>
      </c>
      <c r="F185" s="81" t="str">
        <f>IFERROR(speciated_ghg_160[[#This Row],[Mass Emissions (U.S. tons per year)]]*speciated_ghg_160[[#This Row],[Global Warming Potential (GWP)]], "-")</f>
        <v>-</v>
      </c>
      <c r="G185" s="30"/>
      <c r="H185" s="168"/>
      <c r="I185" s="168"/>
    </row>
    <row r="186" spans="1:10" x14ac:dyDescent="0.2">
      <c r="A186" s="210"/>
      <c r="B186" s="79" t="str">
        <f>IFERROR(INDEX(gwp_table[], MATCH(speciated_ghg_160[[#This Row],[CAS '#]], gwp_table[CAS No.], 0), MATCH("Name", gwp_table[#Headers], 0)),"No CAS Number Entered")</f>
        <v>No CAS Number Entered</v>
      </c>
      <c r="C186" s="79" t="str">
        <f>IFERROR(INDEX(gwp_table[], MATCH(speciated_ghg_160[[#This Row],[CAS '#]], gwp_table[CAS No.], 0), MATCH("Global warming potential", gwp_table[#Headers], 0)),"No CAS Number Entered")</f>
        <v>No CAS Number Entered</v>
      </c>
      <c r="D186" s="219"/>
      <c r="E186" s="79">
        <f>IFERROR(speciated_ghg_160[[#This Row],[Weight Percent]]*(unique_components_158[[#Totals],[Controlled
tpy]]+standard_components_157[[#Totals],[Controlled
tpy]]), "-")</f>
        <v>0</v>
      </c>
      <c r="F186" s="81" t="str">
        <f>IFERROR(speciated_ghg_160[[#This Row],[Mass Emissions (U.S. tons per year)]]*speciated_ghg_160[[#This Row],[Global Warming Potential (GWP)]], "-")</f>
        <v>-</v>
      </c>
      <c r="G186" s="30"/>
      <c r="H186" s="168"/>
      <c r="I186" s="168"/>
    </row>
    <row r="187" spans="1:10" x14ac:dyDescent="0.2">
      <c r="A187" s="210"/>
      <c r="B187" s="79" t="str">
        <f>IFERROR(INDEX(gwp_table[], MATCH(speciated_ghg_160[[#This Row],[CAS '#]], gwp_table[CAS No.], 0), MATCH("Name", gwp_table[#Headers], 0)),"No CAS Number Entered")</f>
        <v>No CAS Number Entered</v>
      </c>
      <c r="C187" s="79" t="str">
        <f>IFERROR(INDEX(gwp_table[], MATCH(speciated_ghg_160[[#This Row],[CAS '#]], gwp_table[CAS No.], 0), MATCH("Global warming potential", gwp_table[#Headers], 0)),"No CAS Number Entered")</f>
        <v>No CAS Number Entered</v>
      </c>
      <c r="D187" s="219"/>
      <c r="E187" s="79">
        <f>IFERROR(speciated_ghg_160[[#This Row],[Weight Percent]]*(unique_components_158[[#Totals],[Controlled
tpy]]+standard_components_157[[#Totals],[Controlled
tpy]]), "-")</f>
        <v>0</v>
      </c>
      <c r="F187" s="81" t="str">
        <f>IFERROR(speciated_ghg_160[[#This Row],[Mass Emissions (U.S. tons per year)]]*speciated_ghg_160[[#This Row],[Global Warming Potential (GWP)]], "-")</f>
        <v>-</v>
      </c>
      <c r="G187" s="30"/>
      <c r="H187" s="168"/>
      <c r="I187" s="168"/>
    </row>
    <row r="188" spans="1:10" x14ac:dyDescent="0.2">
      <c r="A188" s="210"/>
      <c r="B188" s="79" t="str">
        <f>IFERROR(INDEX(gwp_table[], MATCH(speciated_ghg_160[[#This Row],[CAS '#]], gwp_table[CAS No.], 0), MATCH("Name", gwp_table[#Headers], 0)),"No CAS Number Entered")</f>
        <v>No CAS Number Entered</v>
      </c>
      <c r="C188" s="79" t="str">
        <f>IFERROR(INDEX(gwp_table[], MATCH(speciated_ghg_160[[#This Row],[CAS '#]], gwp_table[CAS No.], 0), MATCH("Global warming potential", gwp_table[#Headers], 0)),"No CAS Number Entered")</f>
        <v>No CAS Number Entered</v>
      </c>
      <c r="D188" s="219"/>
      <c r="E188" s="79">
        <f>IFERROR(speciated_ghg_160[[#This Row],[Weight Percent]]*(unique_components_158[[#Totals],[Controlled
tpy]]+standard_components_157[[#Totals],[Controlled
tpy]]), "-")</f>
        <v>0</v>
      </c>
      <c r="F188" s="81" t="str">
        <f>IFERROR(speciated_ghg_160[[#This Row],[Mass Emissions (U.S. tons per year)]]*speciated_ghg_160[[#This Row],[Global Warming Potential (GWP)]], "-")</f>
        <v>-</v>
      </c>
      <c r="G188" s="30"/>
      <c r="H188" s="168"/>
      <c r="I188" s="168"/>
    </row>
    <row r="189" spans="1:10" x14ac:dyDescent="0.2">
      <c r="A189" s="210"/>
      <c r="B189" s="79" t="str">
        <f>IFERROR(INDEX(gwp_table[], MATCH(speciated_ghg_160[[#This Row],[CAS '#]], gwp_table[CAS No.], 0), MATCH("Name", gwp_table[#Headers], 0)),"No CAS Number Entered")</f>
        <v>No CAS Number Entered</v>
      </c>
      <c r="C189" s="79" t="str">
        <f>IFERROR(INDEX(gwp_table[], MATCH(speciated_ghg_160[[#This Row],[CAS '#]], gwp_table[CAS No.], 0), MATCH("Global warming potential", gwp_table[#Headers], 0)),"No CAS Number Entered")</f>
        <v>No CAS Number Entered</v>
      </c>
      <c r="D189" s="219"/>
      <c r="E189" s="79">
        <f>IFERROR(speciated_ghg_160[[#This Row],[Weight Percent]]*(unique_components_158[[#Totals],[Controlled
tpy]]+standard_components_157[[#Totals],[Controlled
tpy]]), "-")</f>
        <v>0</v>
      </c>
      <c r="F189" s="81" t="str">
        <f>IFERROR(speciated_ghg_160[[#This Row],[Mass Emissions (U.S. tons per year)]]*speciated_ghg_160[[#This Row],[Global Warming Potential (GWP)]], "-")</f>
        <v>-</v>
      </c>
      <c r="G189" s="30"/>
      <c r="H189" s="168"/>
      <c r="I189" s="168"/>
    </row>
    <row r="190" spans="1:10" x14ac:dyDescent="0.2">
      <c r="A190" s="210"/>
      <c r="B190" s="79" t="str">
        <f>IFERROR(INDEX(gwp_table[], MATCH(speciated_ghg_160[[#This Row],[CAS '#]], gwp_table[CAS No.], 0), MATCH("Name", gwp_table[#Headers], 0)),"No CAS Number Entered")</f>
        <v>No CAS Number Entered</v>
      </c>
      <c r="C190" s="79" t="str">
        <f>IFERROR(INDEX(gwp_table[], MATCH(speciated_ghg_160[[#This Row],[CAS '#]], gwp_table[CAS No.], 0), MATCH("Global warming potential", gwp_table[#Headers], 0)),"No CAS Number Entered")</f>
        <v>No CAS Number Entered</v>
      </c>
      <c r="D190" s="219"/>
      <c r="E190" s="79">
        <f>IFERROR(speciated_ghg_160[[#This Row],[Weight Percent]]*(unique_components_158[[#Totals],[Controlled
tpy]]+standard_components_157[[#Totals],[Controlled
tpy]]), "-")</f>
        <v>0</v>
      </c>
      <c r="F190" s="81" t="str">
        <f>IFERROR(speciated_ghg_160[[#This Row],[Mass Emissions (U.S. tons per year)]]*speciated_ghg_160[[#This Row],[Global Warming Potential (GWP)]], "-")</f>
        <v>-</v>
      </c>
      <c r="G190" s="30"/>
      <c r="H190" s="168"/>
      <c r="I190" s="168"/>
    </row>
    <row r="191" spans="1:10" x14ac:dyDescent="0.2">
      <c r="A191" s="210"/>
      <c r="B191" s="79" t="str">
        <f>IFERROR(INDEX(gwp_table[], MATCH(speciated_ghg_160[[#This Row],[CAS '#]], gwp_table[CAS No.], 0), MATCH("Name", gwp_table[#Headers], 0)),"No CAS Number Entered")</f>
        <v>No CAS Number Entered</v>
      </c>
      <c r="C191" s="79" t="str">
        <f>IFERROR(INDEX(gwp_table[], MATCH(speciated_ghg_160[[#This Row],[CAS '#]], gwp_table[CAS No.], 0), MATCH("Global warming potential", gwp_table[#Headers], 0)),"No CAS Number Entered")</f>
        <v>No CAS Number Entered</v>
      </c>
      <c r="D191" s="219"/>
      <c r="E191" s="79">
        <f>IFERROR(speciated_ghg_160[[#This Row],[Weight Percent]]*(unique_components_158[[#Totals],[Controlled
tpy]]+standard_components_157[[#Totals],[Controlled
tpy]]), "-")</f>
        <v>0</v>
      </c>
      <c r="F191" s="81" t="str">
        <f>IFERROR(speciated_ghg_160[[#This Row],[Mass Emissions (U.S. tons per year)]]*speciated_ghg_160[[#This Row],[Global Warming Potential (GWP)]], "-")</f>
        <v>-</v>
      </c>
      <c r="G191" s="17"/>
    </row>
    <row r="192" spans="1:10" ht="15" x14ac:dyDescent="0.25">
      <c r="A192" s="210"/>
      <c r="B192" s="79" t="str">
        <f>IFERROR(INDEX(gwp_table[], MATCH(speciated_ghg_160[[#This Row],[CAS '#]], gwp_table[CAS No.], 0), MATCH("Name", gwp_table[#Headers], 0)),"No CAS Number Entered")</f>
        <v>No CAS Number Entered</v>
      </c>
      <c r="C192" s="79" t="str">
        <f>IFERROR(INDEX(gwp_table[], MATCH(speciated_ghg_160[[#This Row],[CAS '#]], gwp_table[CAS No.], 0), MATCH("Global warming potential", gwp_table[#Headers], 0)),"No CAS Number Entered")</f>
        <v>No CAS Number Entered</v>
      </c>
      <c r="D192" s="219"/>
      <c r="E192" s="79">
        <f>IFERROR(speciated_ghg_160[[#This Row],[Weight Percent]]*(unique_components_158[[#Totals],[Controlled
tpy]]+standard_components_157[[#Totals],[Controlled
tpy]]), "-")</f>
        <v>0</v>
      </c>
      <c r="F192" s="81" t="str">
        <f>IFERROR(speciated_ghg_160[[#This Row],[Mass Emissions (U.S. tons per year)]]*speciated_ghg_160[[#This Row],[Global Warming Potential (GWP)]], "-")</f>
        <v>-</v>
      </c>
      <c r="G192" s="134"/>
      <c r="H192" s="169"/>
    </row>
    <row r="193" spans="1:9" ht="15" x14ac:dyDescent="0.25">
      <c r="A193" s="210"/>
      <c r="B193" s="79" t="str">
        <f>IFERROR(INDEX(gwp_table[], MATCH(speciated_ghg_160[[#This Row],[CAS '#]], gwp_table[CAS No.], 0), MATCH("Name", gwp_table[#Headers], 0)),"No CAS Number Entered")</f>
        <v>No CAS Number Entered</v>
      </c>
      <c r="C193" s="79" t="str">
        <f>IFERROR(INDEX(gwp_table[], MATCH(speciated_ghg_160[[#This Row],[CAS '#]], gwp_table[CAS No.], 0), MATCH("Global warming potential", gwp_table[#Headers], 0)),"No CAS Number Entered")</f>
        <v>No CAS Number Entered</v>
      </c>
      <c r="D193" s="219"/>
      <c r="E193" s="79">
        <f>IFERROR(speciated_ghg_160[[#This Row],[Weight Percent]]*(unique_components_158[[#Totals],[Controlled
tpy]]+standard_components_157[[#Totals],[Controlled
tpy]]), "-")</f>
        <v>0</v>
      </c>
      <c r="F193" s="81" t="str">
        <f>IFERROR(speciated_ghg_160[[#This Row],[Mass Emissions (U.S. tons per year)]]*speciated_ghg_160[[#This Row],[Global Warming Potential (GWP)]], "-")</f>
        <v>-</v>
      </c>
      <c r="G193" s="134"/>
      <c r="H193" s="169"/>
    </row>
    <row r="194" spans="1:9" ht="15" x14ac:dyDescent="0.25">
      <c r="A194" s="210"/>
      <c r="B194" s="79" t="str">
        <f>IFERROR(INDEX(gwp_table[], MATCH(speciated_ghg_160[[#This Row],[CAS '#]], gwp_table[CAS No.], 0), MATCH("Name", gwp_table[#Headers], 0)),"No CAS Number Entered")</f>
        <v>No CAS Number Entered</v>
      </c>
      <c r="C194" s="79" t="str">
        <f>IFERROR(INDEX(gwp_table[], MATCH(speciated_ghg_160[[#This Row],[CAS '#]], gwp_table[CAS No.], 0), MATCH("Global warming potential", gwp_table[#Headers], 0)),"No CAS Number Entered")</f>
        <v>No CAS Number Entered</v>
      </c>
      <c r="D194" s="219"/>
      <c r="E194" s="79">
        <f>IFERROR(speciated_ghg_160[[#This Row],[Weight Percent]]*(unique_components_158[[#Totals],[Controlled
tpy]]+standard_components_157[[#Totals],[Controlled
tpy]]), "-")</f>
        <v>0</v>
      </c>
      <c r="F194" s="81" t="str">
        <f>IFERROR(speciated_ghg_160[[#This Row],[Mass Emissions (U.S. tons per year)]]*speciated_ghg_160[[#This Row],[Global Warming Potential (GWP)]], "-")</f>
        <v>-</v>
      </c>
      <c r="G194" s="134"/>
      <c r="H194" s="169"/>
    </row>
    <row r="195" spans="1:9" x14ac:dyDescent="0.2">
      <c r="A195" s="210"/>
      <c r="B195" s="79" t="str">
        <f>IFERROR(INDEX(gwp_table[], MATCH(speciated_ghg_160[[#This Row],[CAS '#]], gwp_table[CAS No.], 0), MATCH("Name", gwp_table[#Headers], 0)),"No CAS Number Entered")</f>
        <v>No CAS Number Entered</v>
      </c>
      <c r="C195" s="79" t="str">
        <f>IFERROR(INDEX(gwp_table[], MATCH(speciated_ghg_160[[#This Row],[CAS '#]], gwp_table[CAS No.], 0), MATCH("Global warming potential", gwp_table[#Headers], 0)),"No CAS Number Entered")</f>
        <v>No CAS Number Entered</v>
      </c>
      <c r="D195" s="219"/>
      <c r="E195" s="79">
        <f>IFERROR(speciated_ghg_160[[#This Row],[Weight Percent]]*(unique_components_158[[#Totals],[Controlled
tpy]]+standard_components_157[[#Totals],[Controlled
tpy]]), "-")</f>
        <v>0</v>
      </c>
      <c r="F195" s="81" t="str">
        <f>IFERROR(speciated_ghg_160[[#This Row],[Mass Emissions (U.S. tons per year)]]*speciated_ghg_160[[#This Row],[Global Warming Potential (GWP)]], "-")</f>
        <v>-</v>
      </c>
      <c r="G195" s="69"/>
      <c r="H195" s="169"/>
    </row>
    <row r="196" spans="1:9" x14ac:dyDescent="0.2">
      <c r="A196" s="210"/>
      <c r="B196" s="79" t="str">
        <f>IFERROR(INDEX(gwp_table[], MATCH(speciated_ghg_160[[#This Row],[CAS '#]], gwp_table[CAS No.], 0), MATCH("Name", gwp_table[#Headers], 0)),"No CAS Number Entered")</f>
        <v>No CAS Number Entered</v>
      </c>
      <c r="C196" s="79" t="str">
        <f>IFERROR(INDEX(gwp_table[], MATCH(speciated_ghg_160[[#This Row],[CAS '#]], gwp_table[CAS No.], 0), MATCH("Global warming potential", gwp_table[#Headers], 0)),"No CAS Number Entered")</f>
        <v>No CAS Number Entered</v>
      </c>
      <c r="D196" s="219"/>
      <c r="E196" s="79">
        <f>IFERROR(speciated_ghg_160[[#This Row],[Weight Percent]]*(unique_components_158[[#Totals],[Controlled
tpy]]+standard_components_157[[#Totals],[Controlled
tpy]]), "-")</f>
        <v>0</v>
      </c>
      <c r="F196" s="81" t="str">
        <f>IFERROR(speciated_ghg_160[[#This Row],[Mass Emissions (U.S. tons per year)]]*speciated_ghg_160[[#This Row],[Global Warming Potential (GWP)]], "-")</f>
        <v>-</v>
      </c>
      <c r="G196" s="29"/>
      <c r="H196" s="169"/>
    </row>
    <row r="197" spans="1:9" x14ac:dyDescent="0.2">
      <c r="A197" s="210"/>
      <c r="B197" s="79" t="str">
        <f>IFERROR(INDEX(gwp_table[], MATCH(speciated_ghg_160[[#This Row],[CAS '#]], gwp_table[CAS No.], 0), MATCH("Name", gwp_table[#Headers], 0)),"No CAS Number Entered")</f>
        <v>No CAS Number Entered</v>
      </c>
      <c r="C197" s="79" t="str">
        <f>IFERROR(INDEX(gwp_table[], MATCH(speciated_ghg_160[[#This Row],[CAS '#]], gwp_table[CAS No.], 0), MATCH("Global warming potential", gwp_table[#Headers], 0)),"No CAS Number Entered")</f>
        <v>No CAS Number Entered</v>
      </c>
      <c r="D197" s="219"/>
      <c r="E197" s="79">
        <f>IFERROR(speciated_ghg_160[[#This Row],[Weight Percent]]*(unique_components_158[[#Totals],[Controlled
tpy]]+standard_components_157[[#Totals],[Controlled
tpy]]), "-")</f>
        <v>0</v>
      </c>
      <c r="F197" s="81" t="str">
        <f>IFERROR(speciated_ghg_160[[#This Row],[Mass Emissions (U.S. tons per year)]]*speciated_ghg_160[[#This Row],[Global Warming Potential (GWP)]], "-")</f>
        <v>-</v>
      </c>
      <c r="G197" s="29"/>
      <c r="H197" s="29"/>
      <c r="I197" s="169"/>
    </row>
    <row r="198" spans="1:9" x14ac:dyDescent="0.2">
      <c r="A198" s="210"/>
      <c r="B198" s="79" t="str">
        <f>IFERROR(INDEX(gwp_table[], MATCH(speciated_ghg_160[[#This Row],[CAS '#]], gwp_table[CAS No.], 0), MATCH("Name", gwp_table[#Headers], 0)),"No CAS Number Entered")</f>
        <v>No CAS Number Entered</v>
      </c>
      <c r="C198" s="79" t="str">
        <f>IFERROR(INDEX(gwp_table[], MATCH(speciated_ghg_160[[#This Row],[CAS '#]], gwp_table[CAS No.], 0), MATCH("Global warming potential", gwp_table[#Headers], 0)),"No CAS Number Entered")</f>
        <v>No CAS Number Entered</v>
      </c>
      <c r="D198" s="219"/>
      <c r="E198" s="79">
        <f>IFERROR(speciated_ghg_160[[#This Row],[Weight Percent]]*(unique_components_158[[#Totals],[Controlled
tpy]]+standard_components_157[[#Totals],[Controlled
tpy]]), "-")</f>
        <v>0</v>
      </c>
      <c r="F198" s="81" t="str">
        <f>IFERROR(speciated_ghg_160[[#This Row],[Mass Emissions (U.S. tons per year)]]*speciated_ghg_160[[#This Row],[Global Warming Potential (GWP)]], "-")</f>
        <v>-</v>
      </c>
      <c r="G198" s="29"/>
      <c r="H198" s="29"/>
      <c r="I198" s="169"/>
    </row>
    <row r="199" spans="1:9" x14ac:dyDescent="0.2">
      <c r="A199" s="210"/>
      <c r="B199" s="79" t="str">
        <f>IFERROR(INDEX(gwp_table[], MATCH(speciated_ghg_160[[#This Row],[CAS '#]], gwp_table[CAS No.], 0), MATCH("Name", gwp_table[#Headers], 0)),"No CAS Number Entered")</f>
        <v>No CAS Number Entered</v>
      </c>
      <c r="C199" s="79" t="str">
        <f>IFERROR(INDEX(gwp_table[], MATCH(speciated_ghg_160[[#This Row],[CAS '#]], gwp_table[CAS No.], 0), MATCH("Global warming potential", gwp_table[#Headers], 0)),"No CAS Number Entered")</f>
        <v>No CAS Number Entered</v>
      </c>
      <c r="D199" s="219"/>
      <c r="E199" s="79">
        <f>IFERROR(speciated_ghg_160[[#This Row],[Weight Percent]]*(unique_components_158[[#Totals],[Controlled
tpy]]+standard_components_157[[#Totals],[Controlled
tpy]]), "-")</f>
        <v>0</v>
      </c>
      <c r="F199" s="81" t="str">
        <f>IFERROR(speciated_ghg_160[[#This Row],[Mass Emissions (U.S. tons per year)]]*speciated_ghg_160[[#This Row],[Global Warming Potential (GWP)]], "-")</f>
        <v>-</v>
      </c>
      <c r="G199" s="29"/>
      <c r="H199" s="29"/>
      <c r="I199" s="169"/>
    </row>
    <row r="200" spans="1:9" x14ac:dyDescent="0.2">
      <c r="A200" s="210"/>
      <c r="B200" s="79" t="str">
        <f>IFERROR(INDEX(gwp_table[], MATCH(speciated_ghg_160[[#This Row],[CAS '#]], gwp_table[CAS No.], 0), MATCH("Name", gwp_table[#Headers], 0)),"No CAS Number Entered")</f>
        <v>No CAS Number Entered</v>
      </c>
      <c r="C200" s="79" t="str">
        <f>IFERROR(INDEX(gwp_table[], MATCH(speciated_ghg_160[[#This Row],[CAS '#]], gwp_table[CAS No.], 0), MATCH("Global warming potential", gwp_table[#Headers], 0)),"No CAS Number Entered")</f>
        <v>No CAS Number Entered</v>
      </c>
      <c r="D200" s="219"/>
      <c r="E200" s="79">
        <f>IFERROR(speciated_ghg_160[[#This Row],[Weight Percent]]*(unique_components_158[[#Totals],[Controlled
tpy]]+standard_components_157[[#Totals],[Controlled
tpy]]), "-")</f>
        <v>0</v>
      </c>
      <c r="F200" s="81" t="str">
        <f>IFERROR(speciated_ghg_160[[#This Row],[Mass Emissions (U.S. tons per year)]]*speciated_ghg_160[[#This Row],[Global Warming Potential (GWP)]], "-")</f>
        <v>-</v>
      </c>
      <c r="G200" s="29"/>
      <c r="H200" s="29"/>
      <c r="I200" s="169"/>
    </row>
    <row r="201" spans="1:9" x14ac:dyDescent="0.2">
      <c r="A201" s="210"/>
      <c r="B201" s="79" t="str">
        <f>IFERROR(INDEX(gwp_table[], MATCH(speciated_ghg_160[[#This Row],[CAS '#]], gwp_table[CAS No.], 0), MATCH("Name", gwp_table[#Headers], 0)),"No CAS Number Entered")</f>
        <v>No CAS Number Entered</v>
      </c>
      <c r="C201" s="79" t="str">
        <f>IFERROR(INDEX(gwp_table[], MATCH(speciated_ghg_160[[#This Row],[CAS '#]], gwp_table[CAS No.], 0), MATCH("Global warming potential", gwp_table[#Headers], 0)),"No CAS Number Entered")</f>
        <v>No CAS Number Entered</v>
      </c>
      <c r="D201" s="219"/>
      <c r="E201" s="79">
        <f>IFERROR(speciated_ghg_160[[#This Row],[Weight Percent]]*(unique_components_158[[#Totals],[Controlled
tpy]]+standard_components_157[[#Totals],[Controlled
tpy]]), "-")</f>
        <v>0</v>
      </c>
      <c r="F201" s="81" t="str">
        <f>IFERROR(speciated_ghg_160[[#This Row],[Mass Emissions (U.S. tons per year)]]*speciated_ghg_160[[#This Row],[Global Warming Potential (GWP)]], "-")</f>
        <v>-</v>
      </c>
      <c r="G201" s="169"/>
      <c r="H201" s="169"/>
      <c r="I201" s="169"/>
    </row>
    <row r="202" spans="1:9" x14ac:dyDescent="0.2">
      <c r="A202" s="210"/>
      <c r="B202" s="79" t="str">
        <f>IFERROR(INDEX(gwp_table[], MATCH(speciated_ghg_160[[#This Row],[CAS '#]], gwp_table[CAS No.], 0), MATCH("Name", gwp_table[#Headers], 0)),"No CAS Number Entered")</f>
        <v>No CAS Number Entered</v>
      </c>
      <c r="C202" s="79" t="str">
        <f>IFERROR(INDEX(gwp_table[], MATCH(speciated_ghg_160[[#This Row],[CAS '#]], gwp_table[CAS No.], 0), MATCH("Global warming potential", gwp_table[#Headers], 0)),"No CAS Number Entered")</f>
        <v>No CAS Number Entered</v>
      </c>
      <c r="D202" s="219"/>
      <c r="E202" s="79">
        <f>IFERROR(speciated_ghg_160[[#This Row],[Weight Percent]]*(unique_components_158[[#Totals],[Controlled
tpy]]+standard_components_157[[#Totals],[Controlled
tpy]]), "-")</f>
        <v>0</v>
      </c>
      <c r="F202" s="81" t="str">
        <f>IFERROR(speciated_ghg_160[[#This Row],[Mass Emissions (U.S. tons per year)]]*speciated_ghg_160[[#This Row],[Global Warming Potential (GWP)]], "-")</f>
        <v>-</v>
      </c>
      <c r="G202" s="169"/>
      <c r="H202" s="169"/>
      <c r="I202" s="169"/>
    </row>
    <row r="203" spans="1:9" x14ac:dyDescent="0.2">
      <c r="A203" s="210"/>
      <c r="B203" s="79" t="str">
        <f>IFERROR(INDEX(gwp_table[], MATCH(speciated_ghg_160[[#This Row],[CAS '#]], gwp_table[CAS No.], 0), MATCH("Name", gwp_table[#Headers], 0)),"No CAS Number Entered")</f>
        <v>No CAS Number Entered</v>
      </c>
      <c r="C203" s="79" t="str">
        <f>IFERROR(INDEX(gwp_table[], MATCH(speciated_ghg_160[[#This Row],[CAS '#]], gwp_table[CAS No.], 0), MATCH("Global warming potential", gwp_table[#Headers], 0)),"No CAS Number Entered")</f>
        <v>No CAS Number Entered</v>
      </c>
      <c r="D203" s="219"/>
      <c r="E203" s="79">
        <f>IFERROR(speciated_ghg_160[[#This Row],[Weight Percent]]*(unique_components_158[[#Totals],[Controlled
tpy]]+standard_components_157[[#Totals],[Controlled
tpy]]), "-")</f>
        <v>0</v>
      </c>
      <c r="F203" s="81" t="str">
        <f>IFERROR(speciated_ghg_160[[#This Row],[Mass Emissions (U.S. tons per year)]]*speciated_ghg_160[[#This Row],[Global Warming Potential (GWP)]], "-")</f>
        <v>-</v>
      </c>
      <c r="G203" s="169"/>
      <c r="H203" s="169"/>
      <c r="I203" s="169"/>
    </row>
    <row r="204" spans="1:9" ht="30" x14ac:dyDescent="0.25">
      <c r="A204" s="185" t="s">
        <v>13321</v>
      </c>
      <c r="B204" s="77"/>
      <c r="C204" s="77"/>
      <c r="D204" s="77"/>
      <c r="E204" s="80">
        <f>SUBTOTAL(109,speciated_ghg_160[Mass Emissions (U.S. tons per year)])</f>
        <v>0</v>
      </c>
      <c r="F204" s="82">
        <f>SUBTOTAL(109,speciated_ghg_160[CO2e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speciated_chemicals_159[[#Totals],[lb/hr]]</f>
        <v>0</v>
      </c>
      <c r="C207" s="134"/>
      <c r="D207" s="134"/>
      <c r="E207" s="134"/>
      <c r="F207" s="134"/>
      <c r="G207" s="169"/>
      <c r="H207" s="169"/>
    </row>
    <row r="208" spans="1:9" ht="29.25" x14ac:dyDescent="0.25">
      <c r="A208" s="174" t="s">
        <v>13320</v>
      </c>
      <c r="B208" s="175">
        <f>speciated_chemicals_159[[#Totals],[tpy]]</f>
        <v>0</v>
      </c>
      <c r="C208" s="134"/>
      <c r="D208" s="134"/>
      <c r="E208" s="134"/>
      <c r="F208" s="134"/>
      <c r="G208" s="169"/>
      <c r="H208" s="169"/>
    </row>
    <row r="209" spans="1:8" ht="15" x14ac:dyDescent="0.25">
      <c r="A209" s="126" t="s">
        <v>13277</v>
      </c>
      <c r="B209" s="128">
        <f>SUMIF(speciated_chemicals_159[VOC?],"Yes",speciated_chemicals_159[lb/hr])</f>
        <v>0</v>
      </c>
      <c r="C209" s="134"/>
      <c r="D209" s="29"/>
      <c r="E209" s="29"/>
      <c r="F209" s="29"/>
      <c r="G209" s="169"/>
      <c r="H209" s="169"/>
    </row>
    <row r="210" spans="1:8" ht="15" x14ac:dyDescent="0.25">
      <c r="A210" s="126" t="s">
        <v>12669</v>
      </c>
      <c r="B210" s="128">
        <f>SUMIF(speciated_chemicals_159[VOC?],"Yes",speciated_chemicals_159[tpy])</f>
        <v>0</v>
      </c>
      <c r="C210" s="134"/>
      <c r="D210" s="29"/>
      <c r="E210" s="29"/>
      <c r="F210" s="29"/>
      <c r="G210" s="169"/>
      <c r="H210" s="169"/>
    </row>
    <row r="211" spans="1:8" ht="15" x14ac:dyDescent="0.25">
      <c r="A211" s="126" t="s">
        <v>12775</v>
      </c>
      <c r="B211" s="128">
        <f>SUMIF(speciated_chemicals_159[Inorganic?],"Yes",speciated_chemicals_159[lb/hr])</f>
        <v>0</v>
      </c>
      <c r="C211" s="134"/>
      <c r="D211" s="29"/>
      <c r="E211" s="29"/>
      <c r="F211" s="29"/>
      <c r="G211" s="169"/>
      <c r="H211" s="169"/>
    </row>
    <row r="212" spans="1:8" ht="15" x14ac:dyDescent="0.25">
      <c r="A212" s="126" t="s">
        <v>12770</v>
      </c>
      <c r="B212" s="128">
        <f>SUMIF(speciated_chemicals_159[Inorganic?],"Yes",speciated_chemicals_159[tpy])</f>
        <v>0</v>
      </c>
      <c r="C212" s="134"/>
      <c r="D212" s="29"/>
      <c r="E212" s="29"/>
      <c r="F212" s="29"/>
      <c r="G212" s="169"/>
      <c r="H212" s="169"/>
    </row>
    <row r="213" spans="1:8" ht="15" x14ac:dyDescent="0.25">
      <c r="A213" s="126" t="s">
        <v>13276</v>
      </c>
      <c r="B213" s="128">
        <f>SUMIF(speciated_chemicals_159[VOC-Exempt Solvent?],"Yes",speciated_chemicals_159[lb/hr])</f>
        <v>0</v>
      </c>
      <c r="C213" s="134"/>
      <c r="D213" s="29"/>
      <c r="E213" s="29"/>
      <c r="F213" s="29"/>
      <c r="G213" s="169"/>
      <c r="H213" s="169"/>
    </row>
    <row r="214" spans="1:8" ht="15" x14ac:dyDescent="0.25">
      <c r="A214" s="126" t="s">
        <v>13278</v>
      </c>
      <c r="B214" s="128">
        <f>SUMIF(speciated_chemicals_159[VOC-Exempt Solvent?],"Yes",speciated_chemicals_159[tpy])</f>
        <v>0</v>
      </c>
      <c r="C214" s="134"/>
      <c r="D214" s="29"/>
      <c r="E214" s="29"/>
      <c r="F214" s="29"/>
      <c r="G214" s="169"/>
      <c r="H214" s="169"/>
    </row>
    <row r="215" spans="1:8" ht="15" x14ac:dyDescent="0.25">
      <c r="A215" s="127" t="s">
        <v>13280</v>
      </c>
      <c r="B215" s="176">
        <f>speciated_ghg_160[[#Totals],[Mass Emissions (U.S. tons per year)]]</f>
        <v>0</v>
      </c>
      <c r="C215" s="134"/>
      <c r="D215" s="29"/>
      <c r="E215" s="29"/>
      <c r="F215" s="29"/>
      <c r="G215" s="169"/>
      <c r="H215" s="169"/>
    </row>
    <row r="216" spans="1:8" ht="18.75" x14ac:dyDescent="0.35">
      <c r="A216" s="127" t="s">
        <v>13281</v>
      </c>
      <c r="B216" s="176">
        <f>speciated_ghg_160[[#Totals],[CO2e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m4a+Ot/h/ZhWYMZAigeadMPZbA+l8FqK/eWTnItuyCyyMypxSKY1ZACQ2vufAvvKzMY+kWjHsVMs/7pBMPYqfQ==" saltValue="ZSi0suK4100Ntc1+hsoF9Q==" spinCount="100000" sheet="1" objects="1" scenarios="1" formatColumns="0" formatRows="0" autoFilter="0"/>
  <conditionalFormatting sqref="A21:H21">
    <cfRule type="expression" dxfId="1420" priority="5">
      <formula>$F$19="No"</formula>
    </cfRule>
  </conditionalFormatting>
  <conditionalFormatting sqref="A105:E106 F106:G126">
    <cfRule type="expression" dxfId="1419" priority="4">
      <formula>$E$104="no"</formula>
    </cfRule>
  </conditionalFormatting>
  <conditionalFormatting sqref="C131:C180">
    <cfRule type="expression" dxfId="1418" priority="3">
      <formula>NOT(B131="Other (Please specify):")</formula>
    </cfRule>
  </conditionalFormatting>
  <conditionalFormatting sqref="A107:E126">
    <cfRule type="expression" dxfId="1417" priority="2">
      <formula>$A$58="No"</formula>
    </cfRule>
  </conditionalFormatting>
  <conditionalFormatting sqref="A107:E126 A206:B214 A215:A216">
    <cfRule type="expression" dxfId="1416"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6EAD14E0-D0D9-45EA-80D0-D3F1407A8365}"/>
    <dataValidation type="list" allowBlank="1" showInputMessage="1" showErrorMessage="1" sqref="E104:H104 B10" xr:uid="{3C8BAA28-870A-43B5-B4DD-85FA48F93D17}">
      <formula1>"Yes,No"</formula1>
    </dataValidation>
    <dataValidation type="list" allowBlank="1" showInputMessage="1" showErrorMessage="1" sqref="F19:H20" xr:uid="{00CEF149-E8DA-4EE3-962E-B3D694223932}">
      <formula1>"No,Yes - 75%,Yes - 95%"</formula1>
    </dataValidation>
    <dataValidation type="list" allowBlank="1" showInputMessage="1" showErrorMessage="1" sqref="F18" xr:uid="{3CBE5C3D-D351-4215-B767-5493EA2B7030}">
      <formula1>IF(#REF!="SOCMI Non-leaker",ListNone,ListInspection)</formula1>
    </dataValidation>
    <dataValidation type="list" allowBlank="1" showInputMessage="1" showErrorMessage="1" sqref="F16:F17" xr:uid="{8CE81978-03FC-4B8E-A1CC-89E9724C8D58}">
      <formula1>IF(#REF!="SOCMI Non-Leaker",ListNone,ListInstrument)</formula1>
    </dataValidation>
    <dataValidation type="list" allowBlank="1" showInputMessage="1" prompt="Please specify whether the substance is a volatile organic compound (VOC); methane and ethane are not classifed as VOCs" sqref="D132:D180" xr:uid="{79DCF88A-FB40-4BFB-8488-2F790B13AF39}">
      <formula1>"Yes,No"</formula1>
    </dataValidation>
    <dataValidation allowBlank="1" showInputMessage="1" showErrorMessage="1" prompt="Enter the weight percent of the substance" sqref="H178:H180 H132:H176" xr:uid="{38FFCD7B-0A51-489A-BDFC-F2E1E56E2C06}"/>
    <dataValidation type="list" allowBlank="1" showInputMessage="1" showErrorMessage="1" prompt="Enter or select Chemical Abstracts Service number; select &quot;N/A&quot; if a CAS # is not applicable" sqref="A131:A175 A177:A180" xr:uid="{D3716584-62D9-42BB-8C80-818977F69FA7}">
      <formula1>SpeciesList</formula1>
    </dataValidation>
    <dataValidation type="list" allowBlank="1" showInputMessage="1" prompt="Select other species from dropdown" sqref="C131:C180" xr:uid="{523376F3-52D8-4B32-88EA-C850238E9351}">
      <formula1>NoCASList</formula1>
    </dataValidation>
    <dataValidation allowBlank="1" showInputMessage="1" showErrorMessage="1" prompt="Proposed control efficiency (0-1)" sqref="E107:E126" xr:uid="{817A2E65-9762-4C48-B139-61747EAB751D}"/>
    <dataValidation allowBlank="1" showInputMessage="1" showErrorMessage="1" prompt="Count of unique component" sqref="C107:C126" xr:uid="{2AC5A575-001A-4BC4-9B6C-60C34D000BA2}"/>
    <dataValidation allowBlank="1" showInputMessage="1" showErrorMessage="1" prompt="Type of service (e.g. gas, vapor, or liquid)" sqref="B107:B126" xr:uid="{A90EFF45-428E-42FC-8B22-9F89104AF111}"/>
    <dataValidation allowBlank="1" showInputMessage="1" showErrorMessage="1" prompt="Name of unique component" sqref="A107:A126" xr:uid="{C488FD9D-5939-4FA9-A96A-A1004D3AE266}"/>
    <dataValidation type="list" allowBlank="1" showInputMessage="1" showErrorMessage="1" sqref="B13" xr:uid="{B4748A8C-35CD-4AE6-8556-90FAF61F4AF0}">
      <formula1>industry_names</formula1>
    </dataValidation>
    <dataValidation type="list" allowBlank="1" showInputMessage="1" showErrorMessage="1" sqref="B19" xr:uid="{15385B9F-C304-4C9F-9FE7-72408FDDED17}">
      <formula1>yes_no_list</formula1>
    </dataValidation>
    <dataValidation type="list" allowBlank="1" showInputMessage="1" showErrorMessage="1" sqref="B20" xr:uid="{BC5EF74C-3510-4C88-903C-1120EACA6733}">
      <formula1>process_drains_effs</formula1>
    </dataValidation>
    <dataValidation allowBlank="1" showInputMessage="1" showErrorMessage="1" prompt="Proposed emission factor" sqref="D107:D126" xr:uid="{35A95E3E-1433-4346-94C7-BF444DE9D289}"/>
    <dataValidation type="list" allowBlank="1" showInputMessage="1" prompt="Please specify if the substance is an inert substance or is not considered a contaminant (e.g. steam)" sqref="G131:G180" xr:uid="{C6A9E715-9EBF-416B-9BE1-28CE12105883}">
      <formula1>"Yes,No"</formula1>
    </dataValidation>
    <dataValidation type="list" allowBlank="1" showInputMessage="1" showErrorMessage="1" prompt="Please select from the dropdown" sqref="B104" xr:uid="{CB30AF9C-4BA9-43ED-93CD-92F6236AE66B}">
      <formula1>yes_no_list</formula1>
    </dataValidation>
    <dataValidation allowBlank="1" showInputMessage="1" showErrorMessage="1" prompt="Provide justification" sqref="B105" xr:uid="{D1B78C44-D516-4A94-B5E1-EE16EE877AFA}"/>
    <dataValidation type="list" showInputMessage="1" prompt="Please specify whether the substance is a volatile organic compound (VOC); methane and ethane are not classifed as VOCs" sqref="D131" xr:uid="{6AD524D7-59B3-467E-B698-E0397A3BF660}">
      <formula1>"Yes,No"</formula1>
    </dataValidation>
    <dataValidation type="list" showInputMessage="1" prompt="Please specify whether the substance is an inorganic contaminant (e.g. ammonia or chlorine gas)" sqref="E131:E180" xr:uid="{83323A91-C31E-4369-AA9A-A85130FCF53B}">
      <formula1>"Yes,No"</formula1>
    </dataValidation>
    <dataValidation type="list" allowBlank="1" showInputMessage="1" prompt="Please specify whether the substance is an VOC-exempt solvent." sqref="F131:F180" xr:uid="{2836B119-21C2-4760-968E-2F48A110C706}">
      <formula1>"Yes,No"</formula1>
    </dataValidation>
    <dataValidation type="list" allowBlank="1" showInputMessage="1" showErrorMessage="1" prompt="Enter or select Chemical Abstracts Service number; select &quot;N/A&quot; if a CAS # is not applicable" sqref="A185:A203 A176" xr:uid="{3160E701-890B-47C3-92A3-CA010E464FF2}">
      <formula1>gwp_table_cas</formula1>
    </dataValidation>
    <dataValidation type="decimal" allowBlank="1" showInputMessage="1" showErrorMessage="1" prompt="Enter the weight percent of the substance" sqref="H177" xr:uid="{90FA7A77-0A0C-40FC-83A5-1DF98DED9358}">
      <formula1>0</formula1>
      <formula2>1</formula2>
    </dataValidation>
    <dataValidation type="decimal" operator="greaterThan" allowBlank="1" showInputMessage="1" showErrorMessage="1" prompt="Enter the weight percent of the substance" sqref="H131 D185:D203" xr:uid="{4561F7FA-70A0-4CE1-B55F-78FBB76B2FFC}">
      <formula1>0</formula1>
    </dataValidation>
    <dataValidation type="list" allowBlank="1" showInputMessage="1" showErrorMessage="1" sqref="B18" xr:uid="{CA996B3A-9147-4EF1-BD48-498B0C721B3D}">
      <formula1>inspection_ldar_list</formula1>
    </dataValidation>
    <dataValidation type="list" allowBlank="1" showInputMessage="1" showErrorMessage="1" sqref="B17" xr:uid="{136222E3-61D4-4F79-8AD0-66E579A295B2}">
      <formula1>connector_ldar_list</formula1>
    </dataValidation>
    <dataValidation type="list" allowBlank="1" showInputMessage="1" showErrorMessage="1" sqref="B16" xr:uid="{C1366F79-17AA-40D1-9A7D-12C55452FD2C}">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4199-74D2-4E5D-A05C-5E85AB390606}">
  <sheetPr codeName="Sheet18">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INDEX((standard_components_161[[#This Row],[Component]]=factor_eff_table[Component])*(standard_components_161[[#This Row],[Service]]=factor_eff_table[Service]), 0, 1), 0)),
 "-")</f>
        <v>-</v>
      </c>
      <c r="E25" s="145" t="str" cm="1">
        <f t="array" ref="E2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25" s="145" t="str" cm="1">
        <f t="array" ref="F2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25" s="145" t="str" cm="1">
        <f t="array" ref="G2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2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2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INDEX((standard_components_161[[#This Row],[Component]]=factor_eff_table[Component])*(standard_components_161[[#This Row],[Service]]=factor_eff_table[Service]), 0, 1), 0)),
 "-")</f>
        <v>-</v>
      </c>
      <c r="E26" s="145" t="str" cm="1">
        <f t="array" ref="E2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26" s="145" t="str" cm="1">
        <f t="array" ref="F2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26" s="145" t="str" cm="1">
        <f t="array" ref="G2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2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2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INDEX((standard_components_161[[#This Row],[Component]]=factor_eff_table[Component])*(standard_components_161[[#This Row],[Service]]=factor_eff_table[Service]), 0, 1), 0)),
 "-")</f>
        <v>-</v>
      </c>
      <c r="E27" s="145" t="str" cm="1">
        <f t="array" ref="E2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27" s="145" t="str" cm="1">
        <f t="array" ref="F2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27" s="145" t="str" cm="1">
        <f t="array" ref="G2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2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2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INDEX((standard_components_161[[#This Row],[Component]]=factor_eff_table[Component])*(standard_components_161[[#This Row],[Service]]=factor_eff_table[Service]), 0, 1), 0)),
 "-")</f>
        <v>-</v>
      </c>
      <c r="E28" s="145" t="str" cm="1">
        <f t="array" ref="E2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28" s="145" t="str" cm="1">
        <f t="array" ref="F2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28" s="145" t="str" cm="1">
        <f t="array" ref="G2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2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2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INDEX((standard_components_161[[#This Row],[Component]]=factor_eff_table[Component])*(standard_components_161[[#This Row],[Service]]=factor_eff_table[Service]), 0, 1), 0)),
 "-")</f>
        <v>-</v>
      </c>
      <c r="E29" s="145" t="str" cm="1">
        <f t="array" ref="E2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29" s="145" t="str" cm="1">
        <f t="array" ref="F2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29" s="145" t="str" cm="1">
        <f t="array" ref="G2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2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2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INDEX((standard_components_161[[#This Row],[Component]]=factor_eff_table[Component])*(standard_components_161[[#This Row],[Service]]=factor_eff_table[Service]), 0, 1), 0)),
 "-")</f>
        <v>-</v>
      </c>
      <c r="E30" s="145" t="str" cm="1">
        <f t="array" ref="E3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0" s="145" t="str" cm="1">
        <f t="array" ref="F3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0" s="145" t="str" cm="1">
        <f t="array" ref="G3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INDEX((standard_components_161[[#This Row],[Component]]=factor_eff_table[Component])*(standard_components_161[[#This Row],[Service]]=factor_eff_table[Service]), 0, 1), 0)),
 "-")</f>
        <v>-</v>
      </c>
      <c r="E31" s="145" t="str" cm="1">
        <f t="array" ref="E3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1" s="145" t="str" cm="1">
        <f t="array" ref="F3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1" s="145" t="str" cm="1">
        <f t="array" ref="G3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INDEX((standard_components_161[[#This Row],[Component]]=factor_eff_table[Component])*(standard_components_161[[#This Row],[Service]]=factor_eff_table[Service]), 0, 1), 0)),
 "-")</f>
        <v>-</v>
      </c>
      <c r="E32" s="145" t="str" cm="1">
        <f t="array" ref="E3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2" s="145" t="str" cm="1">
        <f t="array" ref="F3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2" s="145" t="str" cm="1">
        <f t="array" ref="G3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INDEX((standard_components_161[[#This Row],[Component]]=factor_eff_table[Component])*(standard_components_161[[#This Row],[Service]]=factor_eff_table[Service]), 0, 1), 0)),
 "-")</f>
        <v>-</v>
      </c>
      <c r="E33" s="145" t="str" cm="1">
        <f t="array" ref="E3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3" s="145" t="str" cm="1">
        <f t="array" ref="F3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3" s="145" t="str" cm="1">
        <f t="array" ref="G3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INDEX((standard_components_161[[#This Row],[Component]]=factor_eff_table[Component])*(standard_components_161[[#This Row],[Service]]=factor_eff_table[Service]), 0, 1), 0)),
 "-")</f>
        <v>-</v>
      </c>
      <c r="E34" s="145" t="str" cm="1">
        <f t="array" ref="E3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4" s="145" t="str" cm="1">
        <f t="array" ref="F3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4" s="145" t="str" cm="1">
        <f t="array" ref="G3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INDEX((standard_components_161[[#This Row],[Component]]=factor_eff_table[Component])*(standard_components_161[[#This Row],[Service]]=factor_eff_table[Service]), 0, 1), 0)),
 "-")</f>
        <v>-</v>
      </c>
      <c r="E35" s="145" t="str" cm="1">
        <f t="array" ref="E3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5" s="145" t="str" cm="1">
        <f t="array" ref="F3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5" s="145" t="str" cm="1">
        <f t="array" ref="G3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INDEX((standard_components_161[[#This Row],[Component]]=factor_eff_table[Component])*(standard_components_161[[#This Row],[Service]]=factor_eff_table[Service]), 0, 1), 0)),
 "-")</f>
        <v>-</v>
      </c>
      <c r="E36" s="145" t="str" cm="1">
        <f t="array" ref="E3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6" s="145" t="str" cm="1">
        <f t="array" ref="F3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6" s="145" t="str" cm="1">
        <f t="array" ref="G3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INDEX((standard_components_161[[#This Row],[Component]]=factor_eff_table[Component])*(standard_components_161[[#This Row],[Service]]=factor_eff_table[Service]), 0, 1), 0)),
 "-")</f>
        <v>-</v>
      </c>
      <c r="E37" s="145" t="str" cm="1">
        <f t="array" ref="E3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7" s="145" t="str" cm="1">
        <f t="array" ref="F3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7" s="145" t="str" cm="1">
        <f t="array" ref="G3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INDEX((standard_components_161[[#This Row],[Component]]=factor_eff_table[Component])*(standard_components_161[[#This Row],[Service]]=factor_eff_table[Service]), 0, 1), 0)),
 "-")</f>
        <v>-</v>
      </c>
      <c r="E38" s="145" t="str" cm="1">
        <f t="array" ref="E3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8" s="145" t="str" cm="1">
        <f t="array" ref="F3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8" s="145" t="str" cm="1">
        <f t="array" ref="G3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INDEX((standard_components_161[[#This Row],[Component]]=factor_eff_table[Component])*(standard_components_161[[#This Row],[Service]]=factor_eff_table[Service]), 0, 1), 0)),
 "-")</f>
        <v>-</v>
      </c>
      <c r="E39" s="145" t="str" cm="1">
        <f t="array" ref="E3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39" s="145" t="str" cm="1">
        <f t="array" ref="F3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39" s="145" t="str" cm="1">
        <f t="array" ref="G3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3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3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INDEX((standard_components_161[[#This Row],[Component]]=factor_eff_table[Component])*(standard_components_161[[#This Row],[Service]]=factor_eff_table[Service]), 0, 1), 0)),
 "-")</f>
        <v>-</v>
      </c>
      <c r="E40" s="145" t="str" cm="1">
        <f t="array" ref="E4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0" s="145" t="str" cm="1">
        <f t="array" ref="F4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0" s="145" t="str" cm="1">
        <f t="array" ref="G4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INDEX((standard_components_161[[#This Row],[Component]]=factor_eff_table[Component])*(standard_components_161[[#This Row],[Service]]=factor_eff_table[Service]), 0, 1), 0)),
 "-")</f>
        <v>-</v>
      </c>
      <c r="E41" s="145" t="str" cm="1">
        <f t="array" ref="E4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1" s="145" t="str" cm="1">
        <f t="array" ref="F4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1" s="145" t="str" cm="1">
        <f t="array" ref="G4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INDEX((standard_components_161[[#This Row],[Component]]=factor_eff_table[Component])*(standard_components_161[[#This Row],[Service]]=factor_eff_table[Service]), 0, 1), 0)),
 "-")</f>
        <v>-</v>
      </c>
      <c r="E42" s="145" t="str" cm="1">
        <f t="array" ref="E4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2" s="145" t="str" cm="1">
        <f t="array" ref="F4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2" s="145" t="str" cm="1">
        <f t="array" ref="G4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INDEX((standard_components_161[[#This Row],[Component]]=factor_eff_table[Component])*(standard_components_161[[#This Row],[Service]]=factor_eff_table[Service]), 0, 1), 0)),
 "-")</f>
        <v>-</v>
      </c>
      <c r="E43" s="145" t="str" cm="1">
        <f t="array" ref="E4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3" s="145" t="str" cm="1">
        <f t="array" ref="F4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3" s="145" t="str" cm="1">
        <f t="array" ref="G4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INDEX((standard_components_161[[#This Row],[Component]]=factor_eff_table[Component])*(standard_components_161[[#This Row],[Service]]=factor_eff_table[Service]), 0, 1), 0)),
 "-")</f>
        <v>-</v>
      </c>
      <c r="E44" s="145" t="str" cm="1">
        <f t="array" ref="E4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4" s="145" t="str" cm="1">
        <f t="array" ref="F4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4" s="145" t="str" cm="1">
        <f t="array" ref="G4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INDEX((standard_components_161[[#This Row],[Component]]=factor_eff_table[Component])*(standard_components_161[[#This Row],[Service]]=factor_eff_table[Service]), 0, 1), 0)),
 "-")</f>
        <v>-</v>
      </c>
      <c r="E45" s="145" t="str" cm="1">
        <f t="array" ref="E4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5" s="145" t="str" cm="1">
        <f t="array" ref="F4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5" s="145" t="str" cm="1">
        <f t="array" ref="G4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INDEX((standard_components_161[[#This Row],[Component]]=factor_eff_table[Component])*(standard_components_161[[#This Row],[Service]]=factor_eff_table[Service]), 0, 1), 0)),
 "-")</f>
        <v>-</v>
      </c>
      <c r="E46" s="145" t="str" cm="1">
        <f t="array" ref="E4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6" s="145" t="str" cm="1">
        <f t="array" ref="F4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6" s="145" t="str" cm="1">
        <f t="array" ref="G4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INDEX((standard_components_161[[#This Row],[Component]]=factor_eff_table[Component])*(standard_components_161[[#This Row],[Service]]=factor_eff_table[Service]), 0, 1), 0)),
 "-")</f>
        <v>-</v>
      </c>
      <c r="E47" s="145" t="str" cm="1">
        <f t="array" ref="E4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7" s="145" t="str" cm="1">
        <f t="array" ref="F4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7" s="145" t="str" cm="1">
        <f t="array" ref="G4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INDEX((standard_components_161[[#This Row],[Component]]=factor_eff_table[Component])*(standard_components_161[[#This Row],[Service]]=factor_eff_table[Service]), 0, 1), 0)),
 "-")</f>
        <v>-</v>
      </c>
      <c r="E48" s="145" t="str" cm="1">
        <f t="array" ref="E4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8" s="145" t="str" cm="1">
        <f t="array" ref="F4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8" s="145" t="str" cm="1">
        <f t="array" ref="G4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INDEX((standard_components_161[[#This Row],[Component]]=factor_eff_table[Component])*(standard_components_161[[#This Row],[Service]]=factor_eff_table[Service]), 0, 1), 0)),
 "-")</f>
        <v>-</v>
      </c>
      <c r="E49" s="145" t="str" cm="1">
        <f t="array" ref="E4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49" s="145" t="str" cm="1">
        <f t="array" ref="F4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49" s="145" t="str" cm="1">
        <f t="array" ref="G4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4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4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INDEX((standard_components_161[[#This Row],[Component]]=factor_eff_table[Component])*(standard_components_161[[#This Row],[Service]]=factor_eff_table[Service]), 0, 1), 0)),
 "-")</f>
        <v>-</v>
      </c>
      <c r="E50" s="145" t="str" cm="1">
        <f t="array" ref="E5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0" s="145" t="str" cm="1">
        <f t="array" ref="F5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0" s="145" t="str" cm="1">
        <f t="array" ref="G5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INDEX((standard_components_161[[#This Row],[Component]]=factor_eff_table[Component])*(standard_components_161[[#This Row],[Service]]=factor_eff_table[Service]), 0, 1), 0)),
 "-")</f>
        <v>-</v>
      </c>
      <c r="E51" s="145" t="str" cm="1">
        <f t="array" ref="E5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1" s="145" t="str" cm="1">
        <f t="array" ref="F5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1" s="145" t="str" cm="1">
        <f t="array" ref="G5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INDEX((standard_components_161[[#This Row],[Component]]=factor_eff_table[Component])*(standard_components_161[[#This Row],[Service]]=factor_eff_table[Service]), 0, 1), 0)),
 "-")</f>
        <v>-</v>
      </c>
      <c r="E52" s="145" t="str" cm="1">
        <f t="array" ref="E5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2" s="145" t="str" cm="1">
        <f t="array" ref="F5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2" s="145" t="str" cm="1">
        <f t="array" ref="G5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INDEX((standard_components_161[[#This Row],[Component]]=factor_eff_table[Component])*(standard_components_161[[#This Row],[Service]]=factor_eff_table[Service]), 0, 1), 0)),
 "-")</f>
        <v>-</v>
      </c>
      <c r="E53" s="145" t="str" cm="1">
        <f t="array" ref="E5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3" s="145" t="str" cm="1">
        <f t="array" ref="F5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3" s="145" t="str" cm="1">
        <f t="array" ref="G5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INDEX((standard_components_161[[#This Row],[Component]]=factor_eff_table[Component])*(standard_components_161[[#This Row],[Service]]=factor_eff_table[Service]), 0, 1), 0)),
 "-")</f>
        <v>-</v>
      </c>
      <c r="E54" s="145" t="str" cm="1">
        <f t="array" ref="E5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4" s="145" t="str" cm="1">
        <f t="array" ref="F5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4" s="145" t="str" cm="1">
        <f t="array" ref="G5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INDEX((standard_components_161[[#This Row],[Component]]=factor_eff_table[Component])*(standard_components_161[[#This Row],[Service]]=factor_eff_table[Service]), 0, 1), 0)),
 "-")</f>
        <v>-</v>
      </c>
      <c r="E55" s="145" t="str" cm="1">
        <f t="array" ref="E5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5" s="145" t="str" cm="1">
        <f t="array" ref="F5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5" s="145" t="str" cm="1">
        <f t="array" ref="G5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INDEX((standard_components_161[[#This Row],[Component]]=factor_eff_table[Component])*(standard_components_161[[#This Row],[Service]]=factor_eff_table[Service]), 0, 1), 0)),
 "-")</f>
        <v>-</v>
      </c>
      <c r="E56" s="145" t="str" cm="1">
        <f t="array" ref="E5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6" s="145" t="str" cm="1">
        <f t="array" ref="F5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6" s="145" t="str" cm="1">
        <f t="array" ref="G5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INDEX((standard_components_161[[#This Row],[Component]]=factor_eff_table[Component])*(standard_components_161[[#This Row],[Service]]=factor_eff_table[Service]), 0, 1), 0)),
 "-")</f>
        <v>-</v>
      </c>
      <c r="E57" s="145" t="str" cm="1">
        <f t="array" ref="E5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7" s="145" t="str" cm="1">
        <f t="array" ref="F5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7" s="145" t="str" cm="1">
        <f t="array" ref="G5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INDEX((standard_components_161[[#This Row],[Component]]=factor_eff_table[Component])*(standard_components_161[[#This Row],[Service]]=factor_eff_table[Service]), 0, 1), 0)),
 "-")</f>
        <v>-</v>
      </c>
      <c r="E58" s="145" t="str" cm="1">
        <f t="array" ref="E5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8" s="145" t="str" cm="1">
        <f t="array" ref="F5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8" s="145" t="str" cm="1">
        <f t="array" ref="G5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INDEX((standard_components_161[[#This Row],[Component]]=factor_eff_table[Component])*(standard_components_161[[#This Row],[Service]]=factor_eff_table[Service]), 0, 1), 0)),
 "-")</f>
        <v>-</v>
      </c>
      <c r="E59" s="145" t="str" cm="1">
        <f t="array" ref="E5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59" s="145" t="str" cm="1">
        <f t="array" ref="F5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59" s="145" t="str" cm="1">
        <f t="array" ref="G5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5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5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INDEX((standard_components_161[[#This Row],[Component]]=factor_eff_table[Component])*(standard_components_161[[#This Row],[Service]]=factor_eff_table[Service]), 0, 1), 0)),
 "-")</f>
        <v>-</v>
      </c>
      <c r="E60" s="145" t="str" cm="1">
        <f t="array" ref="E6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0" s="145" t="str" cm="1">
        <f t="array" ref="F6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0" s="145" t="str" cm="1">
        <f t="array" ref="G6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INDEX((standard_components_161[[#This Row],[Component]]=factor_eff_table[Component])*(standard_components_161[[#This Row],[Service]]=factor_eff_table[Service]), 0, 1), 0)),
 "-")</f>
        <v>-</v>
      </c>
      <c r="E61" s="145" t="str" cm="1">
        <f t="array" ref="E6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1" s="145" t="str" cm="1">
        <f t="array" ref="F6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1" s="145" t="str" cm="1">
        <f t="array" ref="G6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INDEX((standard_components_161[[#This Row],[Component]]=factor_eff_table[Component])*(standard_components_161[[#This Row],[Service]]=factor_eff_table[Service]), 0, 1), 0)),
 "-")</f>
        <v>-</v>
      </c>
      <c r="E62" s="145" t="str" cm="1">
        <f t="array" ref="E6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2" s="145" t="str" cm="1">
        <f t="array" ref="F6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2" s="145" t="str" cm="1">
        <f t="array" ref="G6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INDEX((standard_components_161[[#This Row],[Component]]=factor_eff_table[Component])*(standard_components_161[[#This Row],[Service]]=factor_eff_table[Service]), 0, 1), 0)),
 "-")</f>
        <v>-</v>
      </c>
      <c r="E63" s="145" t="str" cm="1">
        <f t="array" ref="E6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3" s="145" t="str" cm="1">
        <f t="array" ref="F6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3" s="145" t="str" cm="1">
        <f t="array" ref="G6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INDEX((standard_components_161[[#This Row],[Component]]=factor_eff_table[Component])*(standard_components_161[[#This Row],[Service]]=factor_eff_table[Service]), 0, 1), 0)),
 "-")</f>
        <v>-</v>
      </c>
      <c r="E64" s="145" t="str" cm="1">
        <f t="array" ref="E6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4" s="145" t="str" cm="1">
        <f t="array" ref="F6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4" s="145" t="str" cm="1">
        <f t="array" ref="G6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INDEX((standard_components_161[[#This Row],[Component]]=factor_eff_table[Component])*(standard_components_161[[#This Row],[Service]]=factor_eff_table[Service]), 0, 1), 0)),
 "-")</f>
        <v>-</v>
      </c>
      <c r="E65" s="145" t="str" cm="1">
        <f t="array" ref="E6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5" s="145" t="str" cm="1">
        <f t="array" ref="F6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5" s="145" t="str" cm="1">
        <f t="array" ref="G6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INDEX((standard_components_161[[#This Row],[Component]]=factor_eff_table[Component])*(standard_components_161[[#This Row],[Service]]=factor_eff_table[Service]), 0, 1), 0)),
 "-")</f>
        <v>-</v>
      </c>
      <c r="E66" s="145" t="str" cm="1">
        <f t="array" ref="E6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6" s="145" t="str" cm="1">
        <f t="array" ref="F6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6" s="145" t="str" cm="1">
        <f t="array" ref="G6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INDEX((standard_components_161[[#This Row],[Component]]=factor_eff_table[Component])*(standard_components_161[[#This Row],[Service]]=factor_eff_table[Service]), 0, 1), 0)),
 "-")</f>
        <v>-</v>
      </c>
      <c r="E67" s="145" t="str" cm="1">
        <f t="array" ref="E6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7" s="145" t="str" cm="1">
        <f t="array" ref="F6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7" s="145" t="str" cm="1">
        <f t="array" ref="G6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INDEX((standard_components_161[[#This Row],[Component]]=factor_eff_table[Component])*(standard_components_161[[#This Row],[Service]]=factor_eff_table[Service]), 0, 1), 0)),
 "-")</f>
        <v>-</v>
      </c>
      <c r="E68" s="145" t="str" cm="1">
        <f t="array" ref="E6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8" s="145" t="str" cm="1">
        <f t="array" ref="F6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8" s="145" t="str" cm="1">
        <f t="array" ref="G6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INDEX((standard_components_161[[#This Row],[Component]]=factor_eff_table[Component])*(standard_components_161[[#This Row],[Service]]=factor_eff_table[Service]), 0, 1), 0)),
 "-")</f>
        <v>-</v>
      </c>
      <c r="E69" s="145" t="str" cm="1">
        <f t="array" ref="E6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69" s="145" t="str" cm="1">
        <f t="array" ref="F6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69" s="145" t="str" cm="1">
        <f t="array" ref="G6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6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6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INDEX((standard_components_161[[#This Row],[Component]]=factor_eff_table[Component])*(standard_components_161[[#This Row],[Service]]=factor_eff_table[Service]), 0, 1), 0)),
 "-")</f>
        <v>-</v>
      </c>
      <c r="E70" s="145" t="str" cm="1">
        <f t="array" ref="E7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0" s="145" t="str" cm="1">
        <f t="array" ref="F7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0" s="145" t="str" cm="1">
        <f t="array" ref="G7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INDEX((standard_components_161[[#This Row],[Component]]=factor_eff_table[Component])*(standard_components_161[[#This Row],[Service]]=factor_eff_table[Service]), 0, 1), 0)),
 "-")</f>
        <v>-</v>
      </c>
      <c r="E71" s="145" t="str" cm="1">
        <f t="array" ref="E7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1" s="145" t="str" cm="1">
        <f t="array" ref="F7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1" s="145" t="str" cm="1">
        <f t="array" ref="G7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INDEX((standard_components_161[[#This Row],[Component]]=factor_eff_table[Component])*(standard_components_161[[#This Row],[Service]]=factor_eff_table[Service]), 0, 1), 0)),
 "-")</f>
        <v>-</v>
      </c>
      <c r="E72" s="145" t="str" cm="1">
        <f t="array" ref="E7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2" s="145" t="str" cm="1">
        <f t="array" ref="F7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2" s="145" t="str" cm="1">
        <f t="array" ref="G7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INDEX((standard_components_161[[#This Row],[Component]]=factor_eff_table[Component])*(standard_components_161[[#This Row],[Service]]=factor_eff_table[Service]), 0, 1), 0)),
 "-")</f>
        <v>-</v>
      </c>
      <c r="E73" s="145" t="str" cm="1">
        <f t="array" ref="E7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3" s="145" t="str" cm="1">
        <f t="array" ref="F7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3" s="145" t="str" cm="1">
        <f t="array" ref="G7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INDEX((standard_components_161[[#This Row],[Component]]=factor_eff_table[Component])*(standard_components_161[[#This Row],[Service]]=factor_eff_table[Service]), 0, 1), 0)),
 "-")</f>
        <v>-</v>
      </c>
      <c r="E74" s="145" t="str" cm="1">
        <f t="array" ref="E7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4" s="145" t="str" cm="1">
        <f t="array" ref="F7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4" s="145" t="str" cm="1">
        <f t="array" ref="G7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INDEX((standard_components_161[[#This Row],[Component]]=factor_eff_table[Component])*(standard_components_161[[#This Row],[Service]]=factor_eff_table[Service]), 0, 1), 0)),
 "-")</f>
        <v>-</v>
      </c>
      <c r="E75" s="145" t="str" cm="1">
        <f t="array" ref="E7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5" s="145" t="str" cm="1">
        <f t="array" ref="F7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5" s="145" t="str" cm="1">
        <f t="array" ref="G7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INDEX((standard_components_161[[#This Row],[Component]]=factor_eff_table[Component])*(standard_components_161[[#This Row],[Service]]=factor_eff_table[Service]), 0, 1), 0)),
 "-")</f>
        <v>-</v>
      </c>
      <c r="E76" s="145" t="str" cm="1">
        <f t="array" ref="E7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6" s="145" t="str" cm="1">
        <f t="array" ref="F7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6" s="145" t="str" cm="1">
        <f t="array" ref="G7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INDEX((standard_components_161[[#This Row],[Component]]=factor_eff_table[Component])*(standard_components_161[[#This Row],[Service]]=factor_eff_table[Service]), 0, 1), 0)),
 "-")</f>
        <v>-</v>
      </c>
      <c r="E77" s="145" t="str" cm="1">
        <f t="array" ref="E7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7" s="145" t="str" cm="1">
        <f t="array" ref="F7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7" s="145" t="str" cm="1">
        <f t="array" ref="G7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INDEX((standard_components_161[[#This Row],[Component]]=factor_eff_table[Component])*(standard_components_161[[#This Row],[Service]]=factor_eff_table[Service]), 0, 1), 0)),
 "-")</f>
        <v>-</v>
      </c>
      <c r="E78" s="145" t="str" cm="1">
        <f t="array" ref="E7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8" s="145" t="str" cm="1">
        <f t="array" ref="F7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8" s="145" t="str" cm="1">
        <f t="array" ref="G7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INDEX((standard_components_161[[#This Row],[Component]]=factor_eff_table[Component])*(standard_components_161[[#This Row],[Service]]=factor_eff_table[Service]), 0, 1), 0)),
 "-")</f>
        <v>-</v>
      </c>
      <c r="E79" s="145" t="str" cm="1">
        <f t="array" ref="E7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79" s="145" t="str" cm="1">
        <f t="array" ref="F7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79" s="145" t="str" cm="1">
        <f t="array" ref="G7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7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7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INDEX((standard_components_161[[#This Row],[Component]]=factor_eff_table[Component])*(standard_components_161[[#This Row],[Service]]=factor_eff_table[Service]), 0, 1), 0)),
 "-")</f>
        <v>-</v>
      </c>
      <c r="E80" s="145" t="str" cm="1">
        <f t="array" ref="E8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0" s="145" t="str" cm="1">
        <f t="array" ref="F8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0" s="145" t="str" cm="1">
        <f t="array" ref="G8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INDEX((standard_components_161[[#This Row],[Component]]=factor_eff_table[Component])*(standard_components_161[[#This Row],[Service]]=factor_eff_table[Service]), 0, 1), 0)),
 "-")</f>
        <v>-</v>
      </c>
      <c r="E81" s="145" t="str" cm="1">
        <f t="array" ref="E8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1" s="145" t="str" cm="1">
        <f t="array" ref="F8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1" s="145" t="str" cm="1">
        <f t="array" ref="G8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INDEX((standard_components_161[[#This Row],[Component]]=factor_eff_table[Component])*(standard_components_161[[#This Row],[Service]]=factor_eff_table[Service]), 0, 1), 0)),
 "-")</f>
        <v>-</v>
      </c>
      <c r="E82" s="145" t="str" cm="1">
        <f t="array" ref="E8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2" s="145" t="str" cm="1">
        <f t="array" ref="F8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2" s="145" t="str" cm="1">
        <f t="array" ref="G8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INDEX((standard_components_161[[#This Row],[Component]]=factor_eff_table[Component])*(standard_components_161[[#This Row],[Service]]=factor_eff_table[Service]), 0, 1), 0)),
 "-")</f>
        <v>-</v>
      </c>
      <c r="E83" s="145" t="str" cm="1">
        <f t="array" ref="E8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3" s="145" t="str" cm="1">
        <f t="array" ref="F8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3" s="145" t="str" cm="1">
        <f t="array" ref="G8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INDEX((standard_components_161[[#This Row],[Component]]=factor_eff_table[Component])*(standard_components_161[[#This Row],[Service]]=factor_eff_table[Service]), 0, 1), 0)),
 "-")</f>
        <v>-</v>
      </c>
      <c r="E84" s="145" t="str" cm="1">
        <f t="array" ref="E8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4" s="145" t="str" cm="1">
        <f t="array" ref="F8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4" s="145" t="str" cm="1">
        <f t="array" ref="G8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INDEX((standard_components_161[[#This Row],[Component]]=factor_eff_table[Component])*(standard_components_161[[#This Row],[Service]]=factor_eff_table[Service]), 0, 1), 0)),
 "-")</f>
        <v>-</v>
      </c>
      <c r="E85" s="145" t="str" cm="1">
        <f t="array" ref="E8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5" s="145" t="str" cm="1">
        <f t="array" ref="F8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5" s="145" t="str" cm="1">
        <f t="array" ref="G8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INDEX((standard_components_161[[#This Row],[Component]]=factor_eff_table[Component])*(standard_components_161[[#This Row],[Service]]=factor_eff_table[Service]), 0, 1), 0)),
 "-")</f>
        <v>-</v>
      </c>
      <c r="E86" s="145" t="str" cm="1">
        <f t="array" ref="E8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6" s="145" t="str" cm="1">
        <f t="array" ref="F8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6" s="145" t="str" cm="1">
        <f t="array" ref="G8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INDEX((standard_components_161[[#This Row],[Component]]=factor_eff_table[Component])*(standard_components_161[[#This Row],[Service]]=factor_eff_table[Service]), 0, 1), 0)),
 "-")</f>
        <v>-</v>
      </c>
      <c r="E87" s="145" t="str" cm="1">
        <f t="array" ref="E8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7" s="145" t="str" cm="1">
        <f t="array" ref="F8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7" s="145" t="str" cm="1">
        <f t="array" ref="G8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INDEX((standard_components_161[[#This Row],[Component]]=factor_eff_table[Component])*(standard_components_161[[#This Row],[Service]]=factor_eff_table[Service]), 0, 1), 0)),
 "-")</f>
        <v>-</v>
      </c>
      <c r="E88" s="145" t="str" cm="1">
        <f t="array" ref="E8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8" s="145" t="str" cm="1">
        <f t="array" ref="F8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8" s="145" t="str" cm="1">
        <f t="array" ref="G8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INDEX((standard_components_161[[#This Row],[Component]]=factor_eff_table[Component])*(standard_components_161[[#This Row],[Service]]=factor_eff_table[Service]), 0, 1), 0)),
 "-")</f>
        <v>-</v>
      </c>
      <c r="E89" s="145" t="str" cm="1">
        <f t="array" ref="E8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89" s="145" t="str" cm="1">
        <f t="array" ref="F8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89" s="145" t="str" cm="1">
        <f t="array" ref="G8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8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8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INDEX((standard_components_161[[#This Row],[Component]]=factor_eff_table[Component])*(standard_components_161[[#This Row],[Service]]=factor_eff_table[Service]), 0, 1), 0)),
 "-")</f>
        <v>-</v>
      </c>
      <c r="E90" s="145" t="str" cm="1">
        <f t="array" ref="E9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0" s="145" t="str" cm="1">
        <f t="array" ref="F9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0" s="145" t="str" cm="1">
        <f t="array" ref="G9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INDEX((standard_components_161[[#This Row],[Component]]=factor_eff_table[Component])*(standard_components_161[[#This Row],[Service]]=factor_eff_table[Service]), 0, 1), 0)),
 "-")</f>
        <v>-</v>
      </c>
      <c r="E91" s="145" t="str" cm="1">
        <f t="array" ref="E91">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1" s="145" t="str" cm="1">
        <f t="array" ref="F91">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1" s="145" t="str" cm="1">
        <f t="array" ref="G91">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1"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1"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INDEX((standard_components_161[[#This Row],[Component]]=factor_eff_table[Component])*(standard_components_161[[#This Row],[Service]]=factor_eff_table[Service]), 0, 1), 0)),
 "-")</f>
        <v>-</v>
      </c>
      <c r="E92" s="145" t="str" cm="1">
        <f t="array" ref="E92">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2" s="145" t="str" cm="1">
        <f t="array" ref="F92">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2" s="145" t="str" cm="1">
        <f t="array" ref="G92">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2"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2"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INDEX((standard_components_161[[#This Row],[Component]]=factor_eff_table[Component])*(standard_components_161[[#This Row],[Service]]=factor_eff_table[Service]), 0, 1), 0)),
 "-")</f>
        <v>-</v>
      </c>
      <c r="E93" s="145" t="str" cm="1">
        <f t="array" ref="E93">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3" s="145" t="str" cm="1">
        <f t="array" ref="F93">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3" s="145" t="str" cm="1">
        <f t="array" ref="G93">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3"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3"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INDEX((standard_components_161[[#This Row],[Component]]=factor_eff_table[Component])*(standard_components_161[[#This Row],[Service]]=factor_eff_table[Service]), 0, 1), 0)),
 "-")</f>
        <v>-</v>
      </c>
      <c r="E94" s="145" t="str" cm="1">
        <f t="array" ref="E94">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4" s="145" t="str" cm="1">
        <f t="array" ref="F94">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4" s="145" t="str" cm="1">
        <f t="array" ref="G94">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4"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4"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INDEX((standard_components_161[[#This Row],[Component]]=factor_eff_table[Component])*(standard_components_161[[#This Row],[Service]]=factor_eff_table[Service]), 0, 1), 0)),
 "-")</f>
        <v>-</v>
      </c>
      <c r="E95" s="145" t="str" cm="1">
        <f t="array" ref="E95">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5" s="145" t="str" cm="1">
        <f t="array" ref="F95">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5" s="145" t="str" cm="1">
        <f t="array" ref="G95">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5"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5"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INDEX((standard_components_161[[#This Row],[Component]]=factor_eff_table[Component])*(standard_components_161[[#This Row],[Service]]=factor_eff_table[Service]), 0, 1), 0)),
 "-")</f>
        <v>-</v>
      </c>
      <c r="E96" s="145" t="str" cm="1">
        <f t="array" ref="E96">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6" s="145" t="str" cm="1">
        <f t="array" ref="F96">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6" s="145" t="str" cm="1">
        <f t="array" ref="G96">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6"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6"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INDEX((standard_components_161[[#This Row],[Component]]=factor_eff_table[Component])*(standard_components_161[[#This Row],[Service]]=factor_eff_table[Service]), 0, 1), 0)),
 "-")</f>
        <v>-</v>
      </c>
      <c r="E97" s="145" t="str" cm="1">
        <f t="array" ref="E97">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7" s="145" t="str" cm="1">
        <f t="array" ref="F97">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7" s="145" t="str" cm="1">
        <f t="array" ref="G97">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7"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7"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INDEX((standard_components_161[[#This Row],[Component]]=factor_eff_table[Component])*(standard_components_161[[#This Row],[Service]]=factor_eff_table[Service]), 0, 1), 0)),
 "-")</f>
        <v>-</v>
      </c>
      <c r="E98" s="145" t="str" cm="1">
        <f t="array" ref="E98">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8" s="145" t="str" cm="1">
        <f t="array" ref="F98">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8" s="145" t="str" cm="1">
        <f t="array" ref="G98">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8"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8"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INDEX((standard_components_161[[#This Row],[Component]]=factor_eff_table[Component])*(standard_components_161[[#This Row],[Service]]=factor_eff_table[Service]), 0, 1), 0)),
 "-")</f>
        <v>-</v>
      </c>
      <c r="E99" s="145" t="str" cm="1">
        <f t="array" ref="E99">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99" s="145" t="str" cm="1">
        <f t="array" ref="F99">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99" s="145" t="str" cm="1">
        <f t="array" ref="G99">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99"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99"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INDEX((standard_components_161[[#This Row],[Component]]=factor_eff_table[Component])*(standard_components_161[[#This Row],[Service]]=factor_eff_table[Service]), 0, 1), 0)),
 "-")</f>
        <v>-</v>
      </c>
      <c r="E100" s="145" t="str" cm="1">
        <f t="array" ref="E100">IF(AND(process_drain_bool="Yes",LEFT(standard_components_161[[#This Row],[Component]], LEN("Process drains"))="Process Drains", ISBLANK(instrument_ldar)=FALSE), process_drain_eff,
IFERROR(
INDEX(
INDEX(factor_eff_table[], , MATCH(instrument_ldar, factor_eff_table[#Headers], 0)),
MATCH(1, INDEX((standard_components_161[[#This Row],[Component]]=factor_eff_table[Component])*(standard_components_161[[#This Row],[Service]]=factor_eff_table[Service]), 0, 1), 0)),
 "-"))</f>
        <v>-</v>
      </c>
      <c r="F100" s="145" t="str" cm="1">
        <f t="array" ref="F100">IF(AND(process_drain_bool="Yes",LEFT(standard_components_161[[#This Row],[Component]], LEN("Process drains"))="Process Drains", ISBLANK(connector_ldar)=FALSE), process_drain_eff,
IFERROR(
INDEX(
INDEX(factor_eff_table[], , MATCH(connector_ldar, factor_eff_table[#Headers], 0)),
MATCH(1, INDEX((standard_components_161[[#This Row],[Component]]=factor_eff_table[Component])*(standard_components_161[[#This Row],[Service]]=factor_eff_table[Service]), 0, 1), 0)),
 "-"))</f>
        <v>-</v>
      </c>
      <c r="G100" s="145" t="str" cm="1">
        <f t="array" ref="G100">IF(AND(process_drain_bool="Yes",LEFT(standard_components_161[[#This Row],[Component]], LEN("Process Drains"))="Process Drains", ISBLANK(inspection_ldar)=FALSE), process_drain_eff,
IFERROR(
INDEX(
INDEX(factor_eff_table[], , MATCH(inspection_ldar, factor_eff_table[#Headers], 0)),
MATCH(1, INDEX((standard_components_161[[#This Row],[Component]]=factor_eff_table[Component])*(standard_components_161[[#This Row],[Service]]=factor_eff_table[Service]), 0, 1), 0)),
 "-"))</f>
        <v>-</v>
      </c>
      <c r="H100" s="146" t="str">
        <f>IF(standard_components_161[[#This Row],[Component]]="Sampling Connections (annual) [2]", "N/A",
 IF(standard_components_161[[#This Row],[Component]]="Sampling Connections (hourly) [1]", standard_components_161[[#This Row],[Count]]*standard_components_161[[#This Row],[Industry Emission Factor]],
IFERROR(standard_components_161[[#This Row],[Count]]*standard_components_161[[#This Row],[Industry Emission Factor]]*MIN(1-standard_components_161[[#This Row],[Instrument Monitoring LDAR Control Efficiency]], 1-standard_components_161[[#This Row],[Physical Inspection LDAR Control Efficiency]], 1-standard_components_161[[#This Row],[Connector Monitoring LDAR Control Efficiency]]), "-")))</f>
        <v>-</v>
      </c>
      <c r="I100" s="146" t="str">
        <f>IF(standard_components_161[[#This Row],[Component]]="Sampling Connections (hourly) [1]", "N/A",
 IF(standard_components_161[[#This Row],[Component]]="Sampling Connections (annual) [2]", standard_components_161[[#This Row],[Count]]*standard_components_161[[#This Row],[Industry Emission Factor]]/stons_to_lbs,
 IFERROR(years_to_hrs/stons_to_lbs*standard_components_161[[#This Row],[Controlled
lb/hr]], "-")))</f>
        <v>-</v>
      </c>
    </row>
    <row r="101" spans="1:9" ht="15" x14ac:dyDescent="0.25">
      <c r="A101" s="147" t="s">
        <v>12776</v>
      </c>
      <c r="B101" s="148"/>
      <c r="C101" s="149">
        <f>SUBTOTAL(109,standard_components_161[Count])</f>
        <v>0</v>
      </c>
      <c r="D101" s="150"/>
      <c r="E101" s="150"/>
      <c r="F101" s="150"/>
      <c r="G101" s="150"/>
      <c r="H101" s="151">
        <f>SUBTOTAL(109,standard_components_161[Controlled
lb/hr])</f>
        <v>0</v>
      </c>
      <c r="I101" s="151">
        <f>SUBTOTAL(109,standard_components_161[Controlled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unique_components_162[[#This Row],[Count]]*unique_components_162[[#This Row],[Proposed Emission Factor]]*(1-unique_components_162[[#This Row],[Proposed Control Efficiency]])</f>
        <v>0</v>
      </c>
      <c r="G107" s="155">
        <f>IFERROR(unique_components_162[[#This Row],[Controlled lb/hr]]*4.38,"")</f>
        <v>0</v>
      </c>
    </row>
    <row r="108" spans="1:9" x14ac:dyDescent="0.2">
      <c r="A108" s="103"/>
      <c r="B108" s="104"/>
      <c r="C108" s="153"/>
      <c r="D108" s="154"/>
      <c r="E108" s="154"/>
      <c r="F108" s="146">
        <f>unique_components_162[[#This Row],[Count]]*unique_components_162[[#This Row],[Proposed Emission Factor]]*(1-unique_components_162[[#This Row],[Proposed Control Efficiency]])</f>
        <v>0</v>
      </c>
      <c r="G108" s="155">
        <f>IFERROR(unique_components_162[[#This Row],[Controlled lb/hr]]*4.38,"")</f>
        <v>0</v>
      </c>
    </row>
    <row r="109" spans="1:9" x14ac:dyDescent="0.2">
      <c r="A109" s="103"/>
      <c r="B109" s="104"/>
      <c r="C109" s="153"/>
      <c r="D109" s="154"/>
      <c r="E109" s="154"/>
      <c r="F109" s="146">
        <f>unique_components_162[[#This Row],[Count]]*unique_components_162[[#This Row],[Proposed Emission Factor]]*(1-unique_components_162[[#This Row],[Proposed Control Efficiency]])</f>
        <v>0</v>
      </c>
      <c r="G109" s="155">
        <f>IFERROR(unique_components_162[[#This Row],[Controlled lb/hr]]*4.38,"")</f>
        <v>0</v>
      </c>
    </row>
    <row r="110" spans="1:9" x14ac:dyDescent="0.2">
      <c r="A110" s="103"/>
      <c r="B110" s="104"/>
      <c r="C110" s="153"/>
      <c r="D110" s="154"/>
      <c r="E110" s="154"/>
      <c r="F110" s="146">
        <f>unique_components_162[[#This Row],[Count]]*unique_components_162[[#This Row],[Proposed Emission Factor]]*(1-unique_components_162[[#This Row],[Proposed Control Efficiency]])</f>
        <v>0</v>
      </c>
      <c r="G110" s="155">
        <f>IFERROR(unique_components_162[[#This Row],[Controlled lb/hr]]*4.38,"")</f>
        <v>0</v>
      </c>
    </row>
    <row r="111" spans="1:9" x14ac:dyDescent="0.2">
      <c r="A111" s="103"/>
      <c r="B111" s="104"/>
      <c r="C111" s="153"/>
      <c r="D111" s="154"/>
      <c r="E111" s="154"/>
      <c r="F111" s="146">
        <f>unique_components_162[[#This Row],[Count]]*unique_components_162[[#This Row],[Proposed Emission Factor]]*(1-unique_components_162[[#This Row],[Proposed Control Efficiency]])</f>
        <v>0</v>
      </c>
      <c r="G111" s="155">
        <f>IFERROR(unique_components_162[[#This Row],[Controlled lb/hr]]*4.38,"")</f>
        <v>0</v>
      </c>
    </row>
    <row r="112" spans="1:9" x14ac:dyDescent="0.2">
      <c r="A112" s="103"/>
      <c r="B112" s="104"/>
      <c r="C112" s="153"/>
      <c r="D112" s="154"/>
      <c r="E112" s="154"/>
      <c r="F112" s="146">
        <f>unique_components_162[[#This Row],[Count]]*unique_components_162[[#This Row],[Proposed Emission Factor]]*(1-unique_components_162[[#This Row],[Proposed Control Efficiency]])</f>
        <v>0</v>
      </c>
      <c r="G112" s="155">
        <f>IFERROR(unique_components_162[[#This Row],[Controlled lb/hr]]*4.38,"")</f>
        <v>0</v>
      </c>
    </row>
    <row r="113" spans="1:8" x14ac:dyDescent="0.2">
      <c r="A113" s="103"/>
      <c r="B113" s="104"/>
      <c r="C113" s="153"/>
      <c r="D113" s="154"/>
      <c r="E113" s="154"/>
      <c r="F113" s="146">
        <f>unique_components_162[[#This Row],[Count]]*unique_components_162[[#This Row],[Proposed Emission Factor]]*(1-unique_components_162[[#This Row],[Proposed Control Efficiency]])</f>
        <v>0</v>
      </c>
      <c r="G113" s="155">
        <f>IFERROR(unique_components_162[[#This Row],[Controlled lb/hr]]*4.38,"")</f>
        <v>0</v>
      </c>
    </row>
    <row r="114" spans="1:8" x14ac:dyDescent="0.2">
      <c r="A114" s="103"/>
      <c r="B114" s="104"/>
      <c r="C114" s="153"/>
      <c r="D114" s="154"/>
      <c r="E114" s="154"/>
      <c r="F114" s="146">
        <f>unique_components_162[[#This Row],[Count]]*unique_components_162[[#This Row],[Proposed Emission Factor]]*(1-unique_components_162[[#This Row],[Proposed Control Efficiency]])</f>
        <v>0</v>
      </c>
      <c r="G114" s="155">
        <f>IFERROR(unique_components_162[[#This Row],[Controlled lb/hr]]*4.38,"")</f>
        <v>0</v>
      </c>
    </row>
    <row r="115" spans="1:8" x14ac:dyDescent="0.2">
      <c r="A115" s="103"/>
      <c r="B115" s="104"/>
      <c r="C115" s="153"/>
      <c r="D115" s="154"/>
      <c r="E115" s="154"/>
      <c r="F115" s="146">
        <f>unique_components_162[[#This Row],[Count]]*unique_components_162[[#This Row],[Proposed Emission Factor]]*(1-unique_components_162[[#This Row],[Proposed Control Efficiency]])</f>
        <v>0</v>
      </c>
      <c r="G115" s="155">
        <f>IFERROR(unique_components_162[[#This Row],[Controlled lb/hr]]*4.38,"")</f>
        <v>0</v>
      </c>
    </row>
    <row r="116" spans="1:8" x14ac:dyDescent="0.2">
      <c r="A116" s="103"/>
      <c r="B116" s="104"/>
      <c r="C116" s="153"/>
      <c r="D116" s="154"/>
      <c r="E116" s="154"/>
      <c r="F116" s="146">
        <f>unique_components_162[[#This Row],[Count]]*unique_components_162[[#This Row],[Proposed Emission Factor]]*(1-unique_components_162[[#This Row],[Proposed Control Efficiency]])</f>
        <v>0</v>
      </c>
      <c r="G116" s="155">
        <f>IFERROR(unique_components_162[[#This Row],[Controlled lb/hr]]*4.38,"")</f>
        <v>0</v>
      </c>
    </row>
    <row r="117" spans="1:8" x14ac:dyDescent="0.2">
      <c r="A117" s="103"/>
      <c r="B117" s="104"/>
      <c r="C117" s="153"/>
      <c r="D117" s="154"/>
      <c r="E117" s="154"/>
      <c r="F117" s="146">
        <f>unique_components_162[[#This Row],[Count]]*unique_components_162[[#This Row],[Proposed Emission Factor]]*(1-unique_components_162[[#This Row],[Proposed Control Efficiency]])</f>
        <v>0</v>
      </c>
      <c r="G117" s="155">
        <f>IFERROR(unique_components_162[[#This Row],[Controlled lb/hr]]*4.38,"")</f>
        <v>0</v>
      </c>
    </row>
    <row r="118" spans="1:8" x14ac:dyDescent="0.2">
      <c r="A118" s="103"/>
      <c r="B118" s="104"/>
      <c r="C118" s="153"/>
      <c r="D118" s="154"/>
      <c r="E118" s="154"/>
      <c r="F118" s="146">
        <f>unique_components_162[[#This Row],[Count]]*unique_components_162[[#This Row],[Proposed Emission Factor]]*(1-unique_components_162[[#This Row],[Proposed Control Efficiency]])</f>
        <v>0</v>
      </c>
      <c r="G118" s="155">
        <f>IFERROR(unique_components_162[[#This Row],[Controlled lb/hr]]*4.38,"")</f>
        <v>0</v>
      </c>
    </row>
    <row r="119" spans="1:8" x14ac:dyDescent="0.2">
      <c r="A119" s="103"/>
      <c r="B119" s="104"/>
      <c r="C119" s="153"/>
      <c r="D119" s="154"/>
      <c r="E119" s="154"/>
      <c r="F119" s="146">
        <f>unique_components_162[[#This Row],[Count]]*unique_components_162[[#This Row],[Proposed Emission Factor]]*(1-unique_components_162[[#This Row],[Proposed Control Efficiency]])</f>
        <v>0</v>
      </c>
      <c r="G119" s="155">
        <f>IFERROR(unique_components_162[[#This Row],[Controlled lb/hr]]*4.38,"")</f>
        <v>0</v>
      </c>
    </row>
    <row r="120" spans="1:8" x14ac:dyDescent="0.2">
      <c r="A120" s="103"/>
      <c r="B120" s="104"/>
      <c r="C120" s="153"/>
      <c r="D120" s="154"/>
      <c r="E120" s="154"/>
      <c r="F120" s="146">
        <f>unique_components_162[[#This Row],[Count]]*unique_components_162[[#This Row],[Proposed Emission Factor]]*(1-unique_components_162[[#This Row],[Proposed Control Efficiency]])</f>
        <v>0</v>
      </c>
      <c r="G120" s="155">
        <f>IFERROR(unique_components_162[[#This Row],[Controlled lb/hr]]*4.38,"")</f>
        <v>0</v>
      </c>
    </row>
    <row r="121" spans="1:8" x14ac:dyDescent="0.2">
      <c r="A121" s="103"/>
      <c r="B121" s="104"/>
      <c r="C121" s="153"/>
      <c r="D121" s="154"/>
      <c r="E121" s="154"/>
      <c r="F121" s="146">
        <f>unique_components_162[[#This Row],[Count]]*unique_components_162[[#This Row],[Proposed Emission Factor]]*(1-unique_components_162[[#This Row],[Proposed Control Efficiency]])</f>
        <v>0</v>
      </c>
      <c r="G121" s="155">
        <f>IFERROR(unique_components_162[[#This Row],[Controlled lb/hr]]*4.38,"")</f>
        <v>0</v>
      </c>
    </row>
    <row r="122" spans="1:8" x14ac:dyDescent="0.2">
      <c r="A122" s="103"/>
      <c r="B122" s="104"/>
      <c r="C122" s="153"/>
      <c r="D122" s="154"/>
      <c r="E122" s="154"/>
      <c r="F122" s="146">
        <f>unique_components_162[[#This Row],[Count]]*unique_components_162[[#This Row],[Proposed Emission Factor]]*(1-unique_components_162[[#This Row],[Proposed Control Efficiency]])</f>
        <v>0</v>
      </c>
      <c r="G122" s="155">
        <f>IFERROR(unique_components_162[[#This Row],[Controlled lb/hr]]*4.38,"")</f>
        <v>0</v>
      </c>
    </row>
    <row r="123" spans="1:8" x14ac:dyDescent="0.2">
      <c r="A123" s="103"/>
      <c r="B123" s="104"/>
      <c r="C123" s="153"/>
      <c r="D123" s="154"/>
      <c r="E123" s="154"/>
      <c r="F123" s="146">
        <f>unique_components_162[[#This Row],[Count]]*unique_components_162[[#This Row],[Proposed Emission Factor]]*(1-unique_components_162[[#This Row],[Proposed Control Efficiency]])</f>
        <v>0</v>
      </c>
      <c r="G123" s="155">
        <f>IFERROR(unique_components_162[[#This Row],[Controlled lb/hr]]*4.38,"")</f>
        <v>0</v>
      </c>
    </row>
    <row r="124" spans="1:8" x14ac:dyDescent="0.2">
      <c r="A124" s="103"/>
      <c r="B124" s="104"/>
      <c r="C124" s="153"/>
      <c r="D124" s="154"/>
      <c r="E124" s="154"/>
      <c r="F124" s="146">
        <f>unique_components_162[[#This Row],[Count]]*unique_components_162[[#This Row],[Proposed Emission Factor]]*(1-unique_components_162[[#This Row],[Proposed Control Efficiency]])</f>
        <v>0</v>
      </c>
      <c r="G124" s="155">
        <f>IFERROR(unique_components_162[[#This Row],[Controlled lb/hr]]*4.38,"")</f>
        <v>0</v>
      </c>
    </row>
    <row r="125" spans="1:8" x14ac:dyDescent="0.2">
      <c r="A125" s="103"/>
      <c r="B125" s="104"/>
      <c r="C125" s="153"/>
      <c r="D125" s="154"/>
      <c r="E125" s="154"/>
      <c r="F125" s="146">
        <f>unique_components_162[[#This Row],[Count]]*unique_components_162[[#This Row],[Proposed Emission Factor]]*(1-unique_components_162[[#This Row],[Proposed Control Efficiency]])</f>
        <v>0</v>
      </c>
      <c r="G125" s="155">
        <f>IFERROR(unique_components_162[[#This Row],[Controlled lb/hr]]*4.38,"")</f>
        <v>0</v>
      </c>
    </row>
    <row r="126" spans="1:8" x14ac:dyDescent="0.2">
      <c r="A126" s="105"/>
      <c r="B126" s="106"/>
      <c r="C126" s="156"/>
      <c r="D126" s="154"/>
      <c r="E126" s="157"/>
      <c r="F126" s="158">
        <f>unique_components_162[[#This Row],[Count]]*unique_components_162[[#This Row],[Proposed Emission Factor]]*(1-unique_components_162[[#This Row],[Proposed Control Efficiency]])</f>
        <v>0</v>
      </c>
      <c r="G126" s="159">
        <f>IFERROR(unique_components_162[[#This Row],[Controlled lb/hr]]*4.38,"")</f>
        <v>0</v>
      </c>
    </row>
    <row r="127" spans="1:8" ht="30" x14ac:dyDescent="0.2">
      <c r="A127" s="57" t="s">
        <v>13297</v>
      </c>
      <c r="B127" s="54"/>
      <c r="C127" s="160">
        <f>SUBTOTAL(109,unique_components_162[Count])</f>
        <v>0</v>
      </c>
      <c r="D127" s="161"/>
      <c r="E127" s="161"/>
      <c r="F127" s="162">
        <f>SUBTOTAL(109,unique_components_162[Controlled lb/hr])</f>
        <v>0</v>
      </c>
      <c r="G127" s="162">
        <f>SUBTOTAL(109,unique_components_162[Controlled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IFERROR(VLOOKUP(speciated_chemicals_163[[#This Row],[CAS '#]],species[],MATCH("Substance", species[#Headers], 0),FALSE),"No CAS Number Entered")</f>
        <v>No CAS Number Entered</v>
      </c>
      <c r="C131" s="102"/>
      <c r="D131" s="102" t="s">
        <v>12666</v>
      </c>
      <c r="E131" s="102" t="s">
        <v>12666</v>
      </c>
      <c r="F131" s="102" t="s">
        <v>12666</v>
      </c>
      <c r="G131" s="102" t="s">
        <v>12666</v>
      </c>
      <c r="H131" s="164"/>
      <c r="I131" s="51">
        <f>IF(speciated_chemicals_163[[#This Row],[Inert / Not a Contaminant?]]="Yes", 0, speciated_chemicals_163[[#This Row],[Weight Percent]]*(unique_components_162[[#Totals],[Controlled lb/hr]]+standard_components_161[[#Totals],[Controlled
lb/hr]]))</f>
        <v>0</v>
      </c>
      <c r="J131" s="51">
        <f>IF(speciated_chemicals_163[[#This Row],[Inert / Not a Contaminant?]]="Yes", 0, speciated_chemicals_163[[#This Row],[Weight Percent]]*(unique_components_162[[#Totals],[Controlled
tpy]]+standard_components_161[[#Totals],[Controlled
tpy]]))</f>
        <v>0</v>
      </c>
    </row>
    <row r="132" spans="1:10" x14ac:dyDescent="0.2">
      <c r="A132" s="103"/>
      <c r="B132" s="51" t="str">
        <f>IFERROR(VLOOKUP(speciated_chemicals_163[[#This Row],[CAS '#]],species[],MATCH("Substance", species[#Headers], 0),FALSE),"No CAS Number Entered")</f>
        <v>No CAS Number Entered</v>
      </c>
      <c r="C132" s="102"/>
      <c r="D132" s="102" t="s">
        <v>12666</v>
      </c>
      <c r="E132" s="102" t="s">
        <v>12666</v>
      </c>
      <c r="F132" s="102" t="s">
        <v>12666</v>
      </c>
      <c r="G132" s="102" t="s">
        <v>12666</v>
      </c>
      <c r="H132" s="164"/>
      <c r="I132" s="51">
        <f>IF(speciated_chemicals_163[[#This Row],[Inert / Not a Contaminant?]]="Yes", 0, speciated_chemicals_163[[#This Row],[Weight Percent]]*(unique_components_162[[#Totals],[Controlled lb/hr]]+standard_components_161[[#Totals],[Controlled
lb/hr]]))</f>
        <v>0</v>
      </c>
      <c r="J132" s="51">
        <f>IF(speciated_chemicals_163[[#This Row],[Inert / Not a Contaminant?]]="Yes", 0, speciated_chemicals_163[[#This Row],[Weight Percent]]*(unique_components_162[[#Totals],[Controlled
tpy]]+standard_components_161[[#Totals],[Controlled
tpy]]))</f>
        <v>0</v>
      </c>
    </row>
    <row r="133" spans="1:10" x14ac:dyDescent="0.2">
      <c r="A133" s="103"/>
      <c r="B133" s="51" t="str">
        <f>IFERROR(VLOOKUP(speciated_chemicals_163[[#This Row],[CAS '#]],species[],MATCH("Substance", species[#Headers], 0),FALSE),"No CAS Number Entered")</f>
        <v>No CAS Number Entered</v>
      </c>
      <c r="C133" s="102"/>
      <c r="D133" s="102" t="s">
        <v>12666</v>
      </c>
      <c r="E133" s="102" t="s">
        <v>12666</v>
      </c>
      <c r="F133" s="102" t="s">
        <v>12666</v>
      </c>
      <c r="G133" s="102" t="s">
        <v>12666</v>
      </c>
      <c r="H133" s="164"/>
      <c r="I133" s="51">
        <f>IF(speciated_chemicals_163[[#This Row],[Inert / Not a Contaminant?]]="Yes", 0, speciated_chemicals_163[[#This Row],[Weight Percent]]*(unique_components_162[[#Totals],[Controlled lb/hr]]+standard_components_161[[#Totals],[Controlled
lb/hr]]))</f>
        <v>0</v>
      </c>
      <c r="J133" s="51">
        <f>IF(speciated_chemicals_163[[#This Row],[Inert / Not a Contaminant?]]="Yes", 0, speciated_chemicals_163[[#This Row],[Weight Percent]]*(unique_components_162[[#Totals],[Controlled
tpy]]+standard_components_161[[#Totals],[Controlled
tpy]]))</f>
        <v>0</v>
      </c>
    </row>
    <row r="134" spans="1:10" x14ac:dyDescent="0.2">
      <c r="A134" s="103"/>
      <c r="B134" s="51" t="str">
        <f>IFERROR(VLOOKUP(speciated_chemicals_163[[#This Row],[CAS '#]],species[],MATCH("Substance", species[#Headers], 0),FALSE),"No CAS Number Entered")</f>
        <v>No CAS Number Entered</v>
      </c>
      <c r="C134" s="102"/>
      <c r="D134" s="102" t="s">
        <v>12666</v>
      </c>
      <c r="E134" s="102" t="s">
        <v>12666</v>
      </c>
      <c r="F134" s="102" t="s">
        <v>12666</v>
      </c>
      <c r="G134" s="102" t="s">
        <v>12666</v>
      </c>
      <c r="H134" s="164"/>
      <c r="I134" s="51">
        <f>IF(speciated_chemicals_163[[#This Row],[Inert / Not a Contaminant?]]="Yes", 0, speciated_chemicals_163[[#This Row],[Weight Percent]]*(unique_components_162[[#Totals],[Controlled lb/hr]]+standard_components_161[[#Totals],[Controlled
lb/hr]]))</f>
        <v>0</v>
      </c>
      <c r="J134" s="51">
        <f>IF(speciated_chemicals_163[[#This Row],[Inert / Not a Contaminant?]]="Yes", 0, speciated_chemicals_163[[#This Row],[Weight Percent]]*(unique_components_162[[#Totals],[Controlled
tpy]]+standard_components_161[[#Totals],[Controlled
tpy]]))</f>
        <v>0</v>
      </c>
    </row>
    <row r="135" spans="1:10" x14ac:dyDescent="0.2">
      <c r="A135" s="103"/>
      <c r="B135" s="51" t="str">
        <f>IFERROR(VLOOKUP(speciated_chemicals_163[[#This Row],[CAS '#]],species[],MATCH("Substance", species[#Headers], 0),FALSE),"No CAS Number Entered")</f>
        <v>No CAS Number Entered</v>
      </c>
      <c r="C135" s="102"/>
      <c r="D135" s="102" t="s">
        <v>12666</v>
      </c>
      <c r="E135" s="102" t="s">
        <v>12666</v>
      </c>
      <c r="F135" s="102" t="s">
        <v>12666</v>
      </c>
      <c r="G135" s="102" t="s">
        <v>12666</v>
      </c>
      <c r="H135" s="164"/>
      <c r="I135" s="51">
        <f>IF(speciated_chemicals_163[[#This Row],[Inert / Not a Contaminant?]]="Yes", 0, speciated_chemicals_163[[#This Row],[Weight Percent]]*(unique_components_162[[#Totals],[Controlled lb/hr]]+standard_components_161[[#Totals],[Controlled
lb/hr]]))</f>
        <v>0</v>
      </c>
      <c r="J135" s="51">
        <f>IF(speciated_chemicals_163[[#This Row],[Inert / Not a Contaminant?]]="Yes", 0, speciated_chemicals_163[[#This Row],[Weight Percent]]*(unique_components_162[[#Totals],[Controlled
tpy]]+standard_components_161[[#Totals],[Controlled
tpy]]))</f>
        <v>0</v>
      </c>
    </row>
    <row r="136" spans="1:10" x14ac:dyDescent="0.2">
      <c r="A136" s="103"/>
      <c r="B136" s="51" t="str">
        <f>IFERROR(VLOOKUP(speciated_chemicals_163[[#This Row],[CAS '#]],species[],MATCH("Substance", species[#Headers], 0),FALSE),"No CAS Number Entered")</f>
        <v>No CAS Number Entered</v>
      </c>
      <c r="C136" s="102"/>
      <c r="D136" s="102" t="s">
        <v>12666</v>
      </c>
      <c r="E136" s="102" t="s">
        <v>12666</v>
      </c>
      <c r="F136" s="102" t="s">
        <v>12666</v>
      </c>
      <c r="G136" s="102" t="s">
        <v>12666</v>
      </c>
      <c r="H136" s="164"/>
      <c r="I136" s="51">
        <f>IF(speciated_chemicals_163[[#This Row],[Inert / Not a Contaminant?]]="Yes", 0, speciated_chemicals_163[[#This Row],[Weight Percent]]*(unique_components_162[[#Totals],[Controlled lb/hr]]+standard_components_161[[#Totals],[Controlled
lb/hr]]))</f>
        <v>0</v>
      </c>
      <c r="J136" s="51">
        <f>IF(speciated_chemicals_163[[#This Row],[Inert / Not a Contaminant?]]="Yes", 0, speciated_chemicals_163[[#This Row],[Weight Percent]]*(unique_components_162[[#Totals],[Controlled
tpy]]+standard_components_161[[#Totals],[Controlled
tpy]]))</f>
        <v>0</v>
      </c>
    </row>
    <row r="137" spans="1:10" x14ac:dyDescent="0.2">
      <c r="A137" s="103"/>
      <c r="B137" s="51" t="str">
        <f>IFERROR(VLOOKUP(speciated_chemicals_163[[#This Row],[CAS '#]],species[],MATCH("Substance", species[#Headers], 0),FALSE),"No CAS Number Entered")</f>
        <v>No CAS Number Entered</v>
      </c>
      <c r="C137" s="102"/>
      <c r="D137" s="102" t="s">
        <v>12666</v>
      </c>
      <c r="E137" s="102" t="s">
        <v>12666</v>
      </c>
      <c r="F137" s="102" t="s">
        <v>12666</v>
      </c>
      <c r="G137" s="102" t="s">
        <v>12666</v>
      </c>
      <c r="H137" s="164"/>
      <c r="I137" s="51">
        <f>IF(speciated_chemicals_163[[#This Row],[Inert / Not a Contaminant?]]="Yes", 0, speciated_chemicals_163[[#This Row],[Weight Percent]]*(unique_components_162[[#Totals],[Controlled lb/hr]]+standard_components_161[[#Totals],[Controlled
lb/hr]]))</f>
        <v>0</v>
      </c>
      <c r="J137" s="51">
        <f>IF(speciated_chemicals_163[[#This Row],[Inert / Not a Contaminant?]]="Yes", 0, speciated_chemicals_163[[#This Row],[Weight Percent]]*(unique_components_162[[#Totals],[Controlled
tpy]]+standard_components_161[[#Totals],[Controlled
tpy]]))</f>
        <v>0</v>
      </c>
    </row>
    <row r="138" spans="1:10" x14ac:dyDescent="0.2">
      <c r="A138" s="103"/>
      <c r="B138" s="51" t="str">
        <f>IFERROR(VLOOKUP(speciated_chemicals_163[[#This Row],[CAS '#]],species[],MATCH("Substance", species[#Headers], 0),FALSE),"No CAS Number Entered")</f>
        <v>No CAS Number Entered</v>
      </c>
      <c r="C138" s="102"/>
      <c r="D138" s="102" t="s">
        <v>12666</v>
      </c>
      <c r="E138" s="102" t="s">
        <v>12666</v>
      </c>
      <c r="F138" s="102" t="s">
        <v>12666</v>
      </c>
      <c r="G138" s="102" t="s">
        <v>12666</v>
      </c>
      <c r="H138" s="164"/>
      <c r="I138" s="51">
        <f>IF(speciated_chemicals_163[[#This Row],[Inert / Not a Contaminant?]]="Yes", 0, speciated_chemicals_163[[#This Row],[Weight Percent]]*(unique_components_162[[#Totals],[Controlled lb/hr]]+standard_components_161[[#Totals],[Controlled
lb/hr]]))</f>
        <v>0</v>
      </c>
      <c r="J138" s="51">
        <f>IF(speciated_chemicals_163[[#This Row],[Inert / Not a Contaminant?]]="Yes", 0, speciated_chemicals_163[[#This Row],[Weight Percent]]*(unique_components_162[[#Totals],[Controlled
tpy]]+standard_components_161[[#Totals],[Controlled
tpy]]))</f>
        <v>0</v>
      </c>
    </row>
    <row r="139" spans="1:10" x14ac:dyDescent="0.2">
      <c r="A139" s="103"/>
      <c r="B139" s="51" t="str">
        <f>IFERROR(VLOOKUP(speciated_chemicals_163[[#This Row],[CAS '#]],species[],MATCH("Substance", species[#Headers], 0),FALSE),"No CAS Number Entered")</f>
        <v>No CAS Number Entered</v>
      </c>
      <c r="C139" s="102"/>
      <c r="D139" s="102" t="s">
        <v>12666</v>
      </c>
      <c r="E139" s="102" t="s">
        <v>12666</v>
      </c>
      <c r="F139" s="102" t="s">
        <v>12666</v>
      </c>
      <c r="G139" s="102" t="s">
        <v>12666</v>
      </c>
      <c r="H139" s="164"/>
      <c r="I139" s="51">
        <f>IF(speciated_chemicals_163[[#This Row],[Inert / Not a Contaminant?]]="Yes", 0, speciated_chemicals_163[[#This Row],[Weight Percent]]*(unique_components_162[[#Totals],[Controlled lb/hr]]+standard_components_161[[#Totals],[Controlled
lb/hr]]))</f>
        <v>0</v>
      </c>
      <c r="J139" s="51">
        <f>IF(speciated_chemicals_163[[#This Row],[Inert / Not a Contaminant?]]="Yes", 0, speciated_chemicals_163[[#This Row],[Weight Percent]]*(unique_components_162[[#Totals],[Controlled
tpy]]+standard_components_161[[#Totals],[Controlled
tpy]]))</f>
        <v>0</v>
      </c>
    </row>
    <row r="140" spans="1:10" x14ac:dyDescent="0.2">
      <c r="A140" s="103"/>
      <c r="B140" s="51" t="str">
        <f>IFERROR(VLOOKUP(speciated_chemicals_163[[#This Row],[CAS '#]],species[],MATCH("Substance", species[#Headers], 0),FALSE),"No CAS Number Entered")</f>
        <v>No CAS Number Entered</v>
      </c>
      <c r="C140" s="102"/>
      <c r="D140" s="102" t="s">
        <v>12666</v>
      </c>
      <c r="E140" s="102" t="s">
        <v>12666</v>
      </c>
      <c r="F140" s="102" t="s">
        <v>12666</v>
      </c>
      <c r="G140" s="102" t="s">
        <v>12666</v>
      </c>
      <c r="H140" s="164"/>
      <c r="I140" s="51">
        <f>IF(speciated_chemicals_163[[#This Row],[Inert / Not a Contaminant?]]="Yes", 0, speciated_chemicals_163[[#This Row],[Weight Percent]]*(unique_components_162[[#Totals],[Controlled lb/hr]]+standard_components_161[[#Totals],[Controlled
lb/hr]]))</f>
        <v>0</v>
      </c>
      <c r="J140" s="51">
        <f>IF(speciated_chemicals_163[[#This Row],[Inert / Not a Contaminant?]]="Yes", 0, speciated_chemicals_163[[#This Row],[Weight Percent]]*(unique_components_162[[#Totals],[Controlled
tpy]]+standard_components_161[[#Totals],[Controlled
tpy]]))</f>
        <v>0</v>
      </c>
    </row>
    <row r="141" spans="1:10" x14ac:dyDescent="0.2">
      <c r="A141" s="103"/>
      <c r="B141" s="51" t="str">
        <f>IFERROR(VLOOKUP(speciated_chemicals_163[[#This Row],[CAS '#]],species[],MATCH("Substance", species[#Headers], 0),FALSE),"No CAS Number Entered")</f>
        <v>No CAS Number Entered</v>
      </c>
      <c r="C141" s="102"/>
      <c r="D141" s="102" t="s">
        <v>12666</v>
      </c>
      <c r="E141" s="102" t="s">
        <v>12666</v>
      </c>
      <c r="F141" s="102" t="s">
        <v>12666</v>
      </c>
      <c r="G141" s="102" t="s">
        <v>12666</v>
      </c>
      <c r="H141" s="164"/>
      <c r="I141" s="51">
        <f>IF(speciated_chemicals_163[[#This Row],[Inert / Not a Contaminant?]]="Yes", 0, speciated_chemicals_163[[#This Row],[Weight Percent]]*(unique_components_162[[#Totals],[Controlled lb/hr]]+standard_components_161[[#Totals],[Controlled
lb/hr]]))</f>
        <v>0</v>
      </c>
      <c r="J141" s="51">
        <f>IF(speciated_chemicals_163[[#This Row],[Inert / Not a Contaminant?]]="Yes", 0, speciated_chemicals_163[[#This Row],[Weight Percent]]*(unique_components_162[[#Totals],[Controlled
tpy]]+standard_components_161[[#Totals],[Controlled
tpy]]))</f>
        <v>0</v>
      </c>
    </row>
    <row r="142" spans="1:10" x14ac:dyDescent="0.2">
      <c r="A142" s="103"/>
      <c r="B142" s="51" t="str">
        <f>IFERROR(VLOOKUP(speciated_chemicals_163[[#This Row],[CAS '#]],species[],MATCH("Substance", species[#Headers], 0),FALSE),"No CAS Number Entered")</f>
        <v>No CAS Number Entered</v>
      </c>
      <c r="C142" s="102"/>
      <c r="D142" s="102" t="s">
        <v>12666</v>
      </c>
      <c r="E142" s="102" t="s">
        <v>12666</v>
      </c>
      <c r="F142" s="102" t="s">
        <v>12666</v>
      </c>
      <c r="G142" s="102" t="s">
        <v>12666</v>
      </c>
      <c r="H142" s="164"/>
      <c r="I142" s="51">
        <f>IF(speciated_chemicals_163[[#This Row],[Inert / Not a Contaminant?]]="Yes", 0, speciated_chemicals_163[[#This Row],[Weight Percent]]*(unique_components_162[[#Totals],[Controlled lb/hr]]+standard_components_161[[#Totals],[Controlled
lb/hr]]))</f>
        <v>0</v>
      </c>
      <c r="J142" s="51">
        <f>IF(speciated_chemicals_163[[#This Row],[Inert / Not a Contaminant?]]="Yes", 0, speciated_chemicals_163[[#This Row],[Weight Percent]]*(unique_components_162[[#Totals],[Controlled
tpy]]+standard_components_161[[#Totals],[Controlled
tpy]]))</f>
        <v>0</v>
      </c>
    </row>
    <row r="143" spans="1:10" x14ac:dyDescent="0.2">
      <c r="A143" s="103"/>
      <c r="B143" s="51" t="str">
        <f>IFERROR(VLOOKUP(speciated_chemicals_163[[#This Row],[CAS '#]],species[],MATCH("Substance", species[#Headers], 0),FALSE),"No CAS Number Entered")</f>
        <v>No CAS Number Entered</v>
      </c>
      <c r="C143" s="102"/>
      <c r="D143" s="102" t="s">
        <v>12666</v>
      </c>
      <c r="E143" s="102" t="s">
        <v>12666</v>
      </c>
      <c r="F143" s="102" t="s">
        <v>12666</v>
      </c>
      <c r="G143" s="102" t="s">
        <v>12666</v>
      </c>
      <c r="H143" s="164"/>
      <c r="I143" s="51">
        <f>IF(speciated_chemicals_163[[#This Row],[Inert / Not a Contaminant?]]="Yes", 0, speciated_chemicals_163[[#This Row],[Weight Percent]]*(unique_components_162[[#Totals],[Controlled lb/hr]]+standard_components_161[[#Totals],[Controlled
lb/hr]]))</f>
        <v>0</v>
      </c>
      <c r="J143" s="51">
        <f>IF(speciated_chemicals_163[[#This Row],[Inert / Not a Contaminant?]]="Yes", 0, speciated_chemicals_163[[#This Row],[Weight Percent]]*(unique_components_162[[#Totals],[Controlled
tpy]]+standard_components_161[[#Totals],[Controlled
tpy]]))</f>
        <v>0</v>
      </c>
    </row>
    <row r="144" spans="1:10" x14ac:dyDescent="0.2">
      <c r="A144" s="103"/>
      <c r="B144" s="51" t="str">
        <f>IFERROR(VLOOKUP(speciated_chemicals_163[[#This Row],[CAS '#]],species[],MATCH("Substance", species[#Headers], 0),FALSE),"No CAS Number Entered")</f>
        <v>No CAS Number Entered</v>
      </c>
      <c r="C144" s="102"/>
      <c r="D144" s="102" t="s">
        <v>12666</v>
      </c>
      <c r="E144" s="102" t="s">
        <v>12666</v>
      </c>
      <c r="F144" s="102" t="s">
        <v>12666</v>
      </c>
      <c r="G144" s="102" t="s">
        <v>12666</v>
      </c>
      <c r="H144" s="164"/>
      <c r="I144" s="51">
        <f>IF(speciated_chemicals_163[[#This Row],[Inert / Not a Contaminant?]]="Yes", 0, speciated_chemicals_163[[#This Row],[Weight Percent]]*(unique_components_162[[#Totals],[Controlled lb/hr]]+standard_components_161[[#Totals],[Controlled
lb/hr]]))</f>
        <v>0</v>
      </c>
      <c r="J144" s="51">
        <f>IF(speciated_chemicals_163[[#This Row],[Inert / Not a Contaminant?]]="Yes", 0, speciated_chemicals_163[[#This Row],[Weight Percent]]*(unique_components_162[[#Totals],[Controlled
tpy]]+standard_components_161[[#Totals],[Controlled
tpy]]))</f>
        <v>0</v>
      </c>
    </row>
    <row r="145" spans="1:10" x14ac:dyDescent="0.2">
      <c r="A145" s="103"/>
      <c r="B145" s="51" t="str">
        <f>IFERROR(VLOOKUP(speciated_chemicals_163[[#This Row],[CAS '#]],species[],MATCH("Substance", species[#Headers], 0),FALSE),"No CAS Number Entered")</f>
        <v>No CAS Number Entered</v>
      </c>
      <c r="C145" s="102"/>
      <c r="D145" s="102" t="s">
        <v>12666</v>
      </c>
      <c r="E145" s="102" t="s">
        <v>12666</v>
      </c>
      <c r="F145" s="102" t="s">
        <v>12666</v>
      </c>
      <c r="G145" s="102" t="s">
        <v>12666</v>
      </c>
      <c r="H145" s="164"/>
      <c r="I145" s="51">
        <f>IF(speciated_chemicals_163[[#This Row],[Inert / Not a Contaminant?]]="Yes", 0, speciated_chemicals_163[[#This Row],[Weight Percent]]*(unique_components_162[[#Totals],[Controlled lb/hr]]+standard_components_161[[#Totals],[Controlled
lb/hr]]))</f>
        <v>0</v>
      </c>
      <c r="J145" s="51">
        <f>IF(speciated_chemicals_163[[#This Row],[Inert / Not a Contaminant?]]="Yes", 0, speciated_chemicals_163[[#This Row],[Weight Percent]]*(unique_components_162[[#Totals],[Controlled
tpy]]+standard_components_161[[#Totals],[Controlled
tpy]]))</f>
        <v>0</v>
      </c>
    </row>
    <row r="146" spans="1:10" x14ac:dyDescent="0.2">
      <c r="A146" s="103"/>
      <c r="B146" s="51" t="str">
        <f>IFERROR(VLOOKUP(speciated_chemicals_163[[#This Row],[CAS '#]],species[],MATCH("Substance", species[#Headers], 0),FALSE),"No CAS Number Entered")</f>
        <v>No CAS Number Entered</v>
      </c>
      <c r="C146" s="102"/>
      <c r="D146" s="102" t="s">
        <v>12666</v>
      </c>
      <c r="E146" s="102" t="s">
        <v>12666</v>
      </c>
      <c r="F146" s="102" t="s">
        <v>12666</v>
      </c>
      <c r="G146" s="102" t="s">
        <v>12666</v>
      </c>
      <c r="H146" s="164"/>
      <c r="I146" s="51">
        <f>IF(speciated_chemicals_163[[#This Row],[Inert / Not a Contaminant?]]="Yes", 0, speciated_chemicals_163[[#This Row],[Weight Percent]]*(unique_components_162[[#Totals],[Controlled lb/hr]]+standard_components_161[[#Totals],[Controlled
lb/hr]]))</f>
        <v>0</v>
      </c>
      <c r="J146" s="51">
        <f>IF(speciated_chemicals_163[[#This Row],[Inert / Not a Contaminant?]]="Yes", 0, speciated_chemicals_163[[#This Row],[Weight Percent]]*(unique_components_162[[#Totals],[Controlled
tpy]]+standard_components_161[[#Totals],[Controlled
tpy]]))</f>
        <v>0</v>
      </c>
    </row>
    <row r="147" spans="1:10" x14ac:dyDescent="0.2">
      <c r="A147" s="103"/>
      <c r="B147" s="51" t="str">
        <f>IFERROR(VLOOKUP(speciated_chemicals_163[[#This Row],[CAS '#]],species[],MATCH("Substance", species[#Headers], 0),FALSE),"No CAS Number Entered")</f>
        <v>No CAS Number Entered</v>
      </c>
      <c r="C147" s="102"/>
      <c r="D147" s="102" t="s">
        <v>12666</v>
      </c>
      <c r="E147" s="102" t="s">
        <v>12666</v>
      </c>
      <c r="F147" s="102" t="s">
        <v>12666</v>
      </c>
      <c r="G147" s="102" t="s">
        <v>12666</v>
      </c>
      <c r="H147" s="164"/>
      <c r="I147" s="51">
        <f>IF(speciated_chemicals_163[[#This Row],[Inert / Not a Contaminant?]]="Yes", 0, speciated_chemicals_163[[#This Row],[Weight Percent]]*(unique_components_162[[#Totals],[Controlled lb/hr]]+standard_components_161[[#Totals],[Controlled
lb/hr]]))</f>
        <v>0</v>
      </c>
      <c r="J147" s="51">
        <f>IF(speciated_chemicals_163[[#This Row],[Inert / Not a Contaminant?]]="Yes", 0, speciated_chemicals_163[[#This Row],[Weight Percent]]*(unique_components_162[[#Totals],[Controlled
tpy]]+standard_components_161[[#Totals],[Controlled
tpy]]))</f>
        <v>0</v>
      </c>
    </row>
    <row r="148" spans="1:10" x14ac:dyDescent="0.2">
      <c r="A148" s="103"/>
      <c r="B148" s="51" t="str">
        <f>IFERROR(VLOOKUP(speciated_chemicals_163[[#This Row],[CAS '#]],species[],MATCH("Substance", species[#Headers], 0),FALSE),"No CAS Number Entered")</f>
        <v>No CAS Number Entered</v>
      </c>
      <c r="C148" s="102"/>
      <c r="D148" s="102" t="s">
        <v>12666</v>
      </c>
      <c r="E148" s="102" t="s">
        <v>12666</v>
      </c>
      <c r="F148" s="102" t="s">
        <v>12666</v>
      </c>
      <c r="G148" s="102" t="s">
        <v>12666</v>
      </c>
      <c r="H148" s="164"/>
      <c r="I148" s="51">
        <f>IF(speciated_chemicals_163[[#This Row],[Inert / Not a Contaminant?]]="Yes", 0, speciated_chemicals_163[[#This Row],[Weight Percent]]*(unique_components_162[[#Totals],[Controlled lb/hr]]+standard_components_161[[#Totals],[Controlled
lb/hr]]))</f>
        <v>0</v>
      </c>
      <c r="J148" s="51">
        <f>IF(speciated_chemicals_163[[#This Row],[Inert / Not a Contaminant?]]="Yes", 0, speciated_chemicals_163[[#This Row],[Weight Percent]]*(unique_components_162[[#Totals],[Controlled
tpy]]+standard_components_161[[#Totals],[Controlled
tpy]]))</f>
        <v>0</v>
      </c>
    </row>
    <row r="149" spans="1:10" x14ac:dyDescent="0.2">
      <c r="A149" s="103"/>
      <c r="B149" s="51" t="str">
        <f>IFERROR(VLOOKUP(speciated_chemicals_163[[#This Row],[CAS '#]],species[],MATCH("Substance", species[#Headers], 0),FALSE),"No CAS Number Entered")</f>
        <v>No CAS Number Entered</v>
      </c>
      <c r="C149" s="102"/>
      <c r="D149" s="102" t="s">
        <v>12666</v>
      </c>
      <c r="E149" s="102" t="s">
        <v>12666</v>
      </c>
      <c r="F149" s="102" t="s">
        <v>12666</v>
      </c>
      <c r="G149" s="102" t="s">
        <v>12666</v>
      </c>
      <c r="H149" s="164"/>
      <c r="I149" s="51">
        <f>IF(speciated_chemicals_163[[#This Row],[Inert / Not a Contaminant?]]="Yes", 0, speciated_chemicals_163[[#This Row],[Weight Percent]]*(unique_components_162[[#Totals],[Controlled lb/hr]]+standard_components_161[[#Totals],[Controlled
lb/hr]]))</f>
        <v>0</v>
      </c>
      <c r="J149" s="51">
        <f>IF(speciated_chemicals_163[[#This Row],[Inert / Not a Contaminant?]]="Yes", 0, speciated_chemicals_163[[#This Row],[Weight Percent]]*(unique_components_162[[#Totals],[Controlled
tpy]]+standard_components_161[[#Totals],[Controlled
tpy]]))</f>
        <v>0</v>
      </c>
    </row>
    <row r="150" spans="1:10" x14ac:dyDescent="0.2">
      <c r="A150" s="103"/>
      <c r="B150" s="51" t="str">
        <f>IFERROR(VLOOKUP(speciated_chemicals_163[[#This Row],[CAS '#]],species[],MATCH("Substance", species[#Headers], 0),FALSE),"No CAS Number Entered")</f>
        <v>No CAS Number Entered</v>
      </c>
      <c r="C150" s="102"/>
      <c r="D150" s="102" t="s">
        <v>12666</v>
      </c>
      <c r="E150" s="102" t="s">
        <v>12666</v>
      </c>
      <c r="F150" s="102" t="s">
        <v>12666</v>
      </c>
      <c r="G150" s="102" t="s">
        <v>12666</v>
      </c>
      <c r="H150" s="164"/>
      <c r="I150" s="51">
        <f>IF(speciated_chemicals_163[[#This Row],[Inert / Not a Contaminant?]]="Yes", 0, speciated_chemicals_163[[#This Row],[Weight Percent]]*(unique_components_162[[#Totals],[Controlled lb/hr]]+standard_components_161[[#Totals],[Controlled
lb/hr]]))</f>
        <v>0</v>
      </c>
      <c r="J150" s="51">
        <f>IF(speciated_chemicals_163[[#This Row],[Inert / Not a Contaminant?]]="Yes", 0, speciated_chemicals_163[[#This Row],[Weight Percent]]*(unique_components_162[[#Totals],[Controlled
tpy]]+standard_components_161[[#Totals],[Controlled
tpy]]))</f>
        <v>0</v>
      </c>
    </row>
    <row r="151" spans="1:10" x14ac:dyDescent="0.2">
      <c r="A151" s="103"/>
      <c r="B151" s="51" t="str">
        <f>IFERROR(VLOOKUP(speciated_chemicals_163[[#This Row],[CAS '#]],species[],MATCH("Substance", species[#Headers], 0),FALSE),"No CAS Number Entered")</f>
        <v>No CAS Number Entered</v>
      </c>
      <c r="C151" s="102"/>
      <c r="D151" s="102" t="s">
        <v>12666</v>
      </c>
      <c r="E151" s="102" t="s">
        <v>12666</v>
      </c>
      <c r="F151" s="102" t="s">
        <v>12666</v>
      </c>
      <c r="G151" s="102" t="s">
        <v>12666</v>
      </c>
      <c r="H151" s="164"/>
      <c r="I151" s="51">
        <f>IF(speciated_chemicals_163[[#This Row],[Inert / Not a Contaminant?]]="Yes", 0, speciated_chemicals_163[[#This Row],[Weight Percent]]*(unique_components_162[[#Totals],[Controlled lb/hr]]+standard_components_161[[#Totals],[Controlled
lb/hr]]))</f>
        <v>0</v>
      </c>
      <c r="J151" s="51">
        <f>IF(speciated_chemicals_163[[#This Row],[Inert / Not a Contaminant?]]="Yes", 0, speciated_chemicals_163[[#This Row],[Weight Percent]]*(unique_components_162[[#Totals],[Controlled
tpy]]+standard_components_161[[#Totals],[Controlled
tpy]]))</f>
        <v>0</v>
      </c>
    </row>
    <row r="152" spans="1:10" x14ac:dyDescent="0.2">
      <c r="A152" s="103"/>
      <c r="B152" s="51" t="str">
        <f>IFERROR(VLOOKUP(speciated_chemicals_163[[#This Row],[CAS '#]],species[],MATCH("Substance", species[#Headers], 0),FALSE),"No CAS Number Entered")</f>
        <v>No CAS Number Entered</v>
      </c>
      <c r="C152" s="102"/>
      <c r="D152" s="102" t="s">
        <v>12666</v>
      </c>
      <c r="E152" s="102" t="s">
        <v>12666</v>
      </c>
      <c r="F152" s="102" t="s">
        <v>12666</v>
      </c>
      <c r="G152" s="102" t="s">
        <v>12666</v>
      </c>
      <c r="H152" s="164"/>
      <c r="I152" s="51">
        <f>IF(speciated_chemicals_163[[#This Row],[Inert / Not a Contaminant?]]="Yes", 0, speciated_chemicals_163[[#This Row],[Weight Percent]]*(unique_components_162[[#Totals],[Controlled lb/hr]]+standard_components_161[[#Totals],[Controlled
lb/hr]]))</f>
        <v>0</v>
      </c>
      <c r="J152" s="51">
        <f>IF(speciated_chemicals_163[[#This Row],[Inert / Not a Contaminant?]]="Yes", 0, speciated_chemicals_163[[#This Row],[Weight Percent]]*(unique_components_162[[#Totals],[Controlled
tpy]]+standard_components_161[[#Totals],[Controlled
tpy]]))</f>
        <v>0</v>
      </c>
    </row>
    <row r="153" spans="1:10" x14ac:dyDescent="0.2">
      <c r="A153" s="103"/>
      <c r="B153" s="51" t="str">
        <f>IFERROR(VLOOKUP(speciated_chemicals_163[[#This Row],[CAS '#]],species[],MATCH("Substance", species[#Headers], 0),FALSE),"No CAS Number Entered")</f>
        <v>No CAS Number Entered</v>
      </c>
      <c r="C153" s="102"/>
      <c r="D153" s="102" t="s">
        <v>12666</v>
      </c>
      <c r="E153" s="102" t="s">
        <v>12666</v>
      </c>
      <c r="F153" s="102" t="s">
        <v>12666</v>
      </c>
      <c r="G153" s="102" t="s">
        <v>12666</v>
      </c>
      <c r="H153" s="164"/>
      <c r="I153" s="51">
        <f>IF(speciated_chemicals_163[[#This Row],[Inert / Not a Contaminant?]]="Yes", 0, speciated_chemicals_163[[#This Row],[Weight Percent]]*(unique_components_162[[#Totals],[Controlled lb/hr]]+standard_components_161[[#Totals],[Controlled
lb/hr]]))</f>
        <v>0</v>
      </c>
      <c r="J153" s="51">
        <f>IF(speciated_chemicals_163[[#This Row],[Inert / Not a Contaminant?]]="Yes", 0, speciated_chemicals_163[[#This Row],[Weight Percent]]*(unique_components_162[[#Totals],[Controlled
tpy]]+standard_components_161[[#Totals],[Controlled
tpy]]))</f>
        <v>0</v>
      </c>
    </row>
    <row r="154" spans="1:10" x14ac:dyDescent="0.2">
      <c r="A154" s="103"/>
      <c r="B154" s="51" t="str">
        <f>IFERROR(VLOOKUP(speciated_chemicals_163[[#This Row],[CAS '#]],species[],MATCH("Substance", species[#Headers], 0),FALSE),"No CAS Number Entered")</f>
        <v>No CAS Number Entered</v>
      </c>
      <c r="C154" s="102"/>
      <c r="D154" s="102" t="s">
        <v>12666</v>
      </c>
      <c r="E154" s="102" t="s">
        <v>12666</v>
      </c>
      <c r="F154" s="102" t="s">
        <v>12666</v>
      </c>
      <c r="G154" s="102" t="s">
        <v>12666</v>
      </c>
      <c r="H154" s="164"/>
      <c r="I154" s="51">
        <f>IF(speciated_chemicals_163[[#This Row],[Inert / Not a Contaminant?]]="Yes", 0, speciated_chemicals_163[[#This Row],[Weight Percent]]*(unique_components_162[[#Totals],[Controlled lb/hr]]+standard_components_161[[#Totals],[Controlled
lb/hr]]))</f>
        <v>0</v>
      </c>
      <c r="J154" s="51">
        <f>IF(speciated_chemicals_163[[#This Row],[Inert / Not a Contaminant?]]="Yes", 0, speciated_chemicals_163[[#This Row],[Weight Percent]]*(unique_components_162[[#Totals],[Controlled
tpy]]+standard_components_161[[#Totals],[Controlled
tpy]]))</f>
        <v>0</v>
      </c>
    </row>
    <row r="155" spans="1:10" x14ac:dyDescent="0.2">
      <c r="A155" s="103"/>
      <c r="B155" s="51" t="str">
        <f>IFERROR(VLOOKUP(speciated_chemicals_163[[#This Row],[CAS '#]],species[],MATCH("Substance", species[#Headers], 0),FALSE),"No CAS Number Entered")</f>
        <v>No CAS Number Entered</v>
      </c>
      <c r="C155" s="102"/>
      <c r="D155" s="102" t="s">
        <v>12666</v>
      </c>
      <c r="E155" s="102" t="s">
        <v>12666</v>
      </c>
      <c r="F155" s="102" t="s">
        <v>12666</v>
      </c>
      <c r="G155" s="102" t="s">
        <v>12666</v>
      </c>
      <c r="H155" s="164"/>
      <c r="I155" s="51">
        <f>IF(speciated_chemicals_163[[#This Row],[Inert / Not a Contaminant?]]="Yes", 0, speciated_chemicals_163[[#This Row],[Weight Percent]]*(unique_components_162[[#Totals],[Controlled lb/hr]]+standard_components_161[[#Totals],[Controlled
lb/hr]]))</f>
        <v>0</v>
      </c>
      <c r="J155" s="51">
        <f>IF(speciated_chemicals_163[[#This Row],[Inert / Not a Contaminant?]]="Yes", 0, speciated_chemicals_163[[#This Row],[Weight Percent]]*(unique_components_162[[#Totals],[Controlled
tpy]]+standard_components_161[[#Totals],[Controlled
tpy]]))</f>
        <v>0</v>
      </c>
    </row>
    <row r="156" spans="1:10" x14ac:dyDescent="0.2">
      <c r="A156" s="103"/>
      <c r="B156" s="51" t="str">
        <f>IFERROR(VLOOKUP(speciated_chemicals_163[[#This Row],[CAS '#]],species[],MATCH("Substance", species[#Headers], 0),FALSE),"No CAS Number Entered")</f>
        <v>No CAS Number Entered</v>
      </c>
      <c r="C156" s="102"/>
      <c r="D156" s="102" t="s">
        <v>12666</v>
      </c>
      <c r="E156" s="102" t="s">
        <v>12666</v>
      </c>
      <c r="F156" s="102" t="s">
        <v>12666</v>
      </c>
      <c r="G156" s="102" t="s">
        <v>12666</v>
      </c>
      <c r="H156" s="164"/>
      <c r="I156" s="51">
        <f>IF(speciated_chemicals_163[[#This Row],[Inert / Not a Contaminant?]]="Yes", 0, speciated_chemicals_163[[#This Row],[Weight Percent]]*(unique_components_162[[#Totals],[Controlled lb/hr]]+standard_components_161[[#Totals],[Controlled
lb/hr]]))</f>
        <v>0</v>
      </c>
      <c r="J156" s="51">
        <f>IF(speciated_chemicals_163[[#This Row],[Inert / Not a Contaminant?]]="Yes", 0, speciated_chemicals_163[[#This Row],[Weight Percent]]*(unique_components_162[[#Totals],[Controlled
tpy]]+standard_components_161[[#Totals],[Controlled
tpy]]))</f>
        <v>0</v>
      </c>
    </row>
    <row r="157" spans="1:10" x14ac:dyDescent="0.2">
      <c r="A157" s="103"/>
      <c r="B157" s="51" t="str">
        <f>IFERROR(VLOOKUP(speciated_chemicals_163[[#This Row],[CAS '#]],species[],MATCH("Substance", species[#Headers], 0),FALSE),"No CAS Number Entered")</f>
        <v>No CAS Number Entered</v>
      </c>
      <c r="C157" s="102"/>
      <c r="D157" s="102" t="s">
        <v>12666</v>
      </c>
      <c r="E157" s="102" t="s">
        <v>12666</v>
      </c>
      <c r="F157" s="102" t="s">
        <v>12666</v>
      </c>
      <c r="G157" s="102" t="s">
        <v>12666</v>
      </c>
      <c r="H157" s="164"/>
      <c r="I157" s="51">
        <f>IF(speciated_chemicals_163[[#This Row],[Inert / Not a Contaminant?]]="Yes", 0, speciated_chemicals_163[[#This Row],[Weight Percent]]*(unique_components_162[[#Totals],[Controlled lb/hr]]+standard_components_161[[#Totals],[Controlled
lb/hr]]))</f>
        <v>0</v>
      </c>
      <c r="J157" s="51">
        <f>IF(speciated_chemicals_163[[#This Row],[Inert / Not a Contaminant?]]="Yes", 0, speciated_chemicals_163[[#This Row],[Weight Percent]]*(unique_components_162[[#Totals],[Controlled
tpy]]+standard_components_161[[#Totals],[Controlled
tpy]]))</f>
        <v>0</v>
      </c>
    </row>
    <row r="158" spans="1:10" x14ac:dyDescent="0.2">
      <c r="A158" s="103"/>
      <c r="B158" s="51" t="str">
        <f>IFERROR(VLOOKUP(speciated_chemicals_163[[#This Row],[CAS '#]],species[],MATCH("Substance", species[#Headers], 0),FALSE),"No CAS Number Entered")</f>
        <v>No CAS Number Entered</v>
      </c>
      <c r="C158" s="102"/>
      <c r="D158" s="102" t="s">
        <v>12666</v>
      </c>
      <c r="E158" s="102" t="s">
        <v>12666</v>
      </c>
      <c r="F158" s="102" t="s">
        <v>12666</v>
      </c>
      <c r="G158" s="102" t="s">
        <v>12666</v>
      </c>
      <c r="H158" s="164"/>
      <c r="I158" s="51">
        <f>IF(speciated_chemicals_163[[#This Row],[Inert / Not a Contaminant?]]="Yes", 0, speciated_chemicals_163[[#This Row],[Weight Percent]]*(unique_components_162[[#Totals],[Controlled lb/hr]]+standard_components_161[[#Totals],[Controlled
lb/hr]]))</f>
        <v>0</v>
      </c>
      <c r="J158" s="51">
        <f>IF(speciated_chemicals_163[[#This Row],[Inert / Not a Contaminant?]]="Yes", 0, speciated_chemicals_163[[#This Row],[Weight Percent]]*(unique_components_162[[#Totals],[Controlled
tpy]]+standard_components_161[[#Totals],[Controlled
tpy]]))</f>
        <v>0</v>
      </c>
    </row>
    <row r="159" spans="1:10" x14ac:dyDescent="0.2">
      <c r="A159" s="103"/>
      <c r="B159" s="51" t="str">
        <f>IFERROR(VLOOKUP(speciated_chemicals_163[[#This Row],[CAS '#]],species[],MATCH("Substance", species[#Headers], 0),FALSE),"No CAS Number Entered")</f>
        <v>No CAS Number Entered</v>
      </c>
      <c r="C159" s="102"/>
      <c r="D159" s="102" t="s">
        <v>12666</v>
      </c>
      <c r="E159" s="102" t="s">
        <v>12666</v>
      </c>
      <c r="F159" s="102" t="s">
        <v>12666</v>
      </c>
      <c r="G159" s="102" t="s">
        <v>12666</v>
      </c>
      <c r="H159" s="164"/>
      <c r="I159" s="51">
        <f>IF(speciated_chemicals_163[[#This Row],[Inert / Not a Contaminant?]]="Yes", 0, speciated_chemicals_163[[#This Row],[Weight Percent]]*(unique_components_162[[#Totals],[Controlled lb/hr]]+standard_components_161[[#Totals],[Controlled
lb/hr]]))</f>
        <v>0</v>
      </c>
      <c r="J159" s="51">
        <f>IF(speciated_chemicals_163[[#This Row],[Inert / Not a Contaminant?]]="Yes", 0, speciated_chemicals_163[[#This Row],[Weight Percent]]*(unique_components_162[[#Totals],[Controlled
tpy]]+standard_components_161[[#Totals],[Controlled
tpy]]))</f>
        <v>0</v>
      </c>
    </row>
    <row r="160" spans="1:10" x14ac:dyDescent="0.2">
      <c r="A160" s="103"/>
      <c r="B160" s="51" t="str">
        <f>IFERROR(VLOOKUP(speciated_chemicals_163[[#This Row],[CAS '#]],species[],MATCH("Substance", species[#Headers], 0),FALSE),"No CAS Number Entered")</f>
        <v>No CAS Number Entered</v>
      </c>
      <c r="C160" s="102"/>
      <c r="D160" s="102" t="s">
        <v>12666</v>
      </c>
      <c r="E160" s="102" t="s">
        <v>12666</v>
      </c>
      <c r="F160" s="102" t="s">
        <v>12666</v>
      </c>
      <c r="G160" s="102" t="s">
        <v>12666</v>
      </c>
      <c r="H160" s="164"/>
      <c r="I160" s="51">
        <f>IF(speciated_chemicals_163[[#This Row],[Inert / Not a Contaminant?]]="Yes", 0, speciated_chemicals_163[[#This Row],[Weight Percent]]*(unique_components_162[[#Totals],[Controlled lb/hr]]+standard_components_161[[#Totals],[Controlled
lb/hr]]))</f>
        <v>0</v>
      </c>
      <c r="J160" s="51">
        <f>IF(speciated_chemicals_163[[#This Row],[Inert / Not a Contaminant?]]="Yes", 0, speciated_chemicals_163[[#This Row],[Weight Percent]]*(unique_components_162[[#Totals],[Controlled
tpy]]+standard_components_161[[#Totals],[Controlled
tpy]]))</f>
        <v>0</v>
      </c>
    </row>
    <row r="161" spans="1:10" x14ac:dyDescent="0.2">
      <c r="A161" s="103"/>
      <c r="B161" s="51" t="str">
        <f>IFERROR(VLOOKUP(speciated_chemicals_163[[#This Row],[CAS '#]],species[],MATCH("Substance", species[#Headers], 0),FALSE),"No CAS Number Entered")</f>
        <v>No CAS Number Entered</v>
      </c>
      <c r="C161" s="102"/>
      <c r="D161" s="102" t="s">
        <v>12666</v>
      </c>
      <c r="E161" s="102" t="s">
        <v>12666</v>
      </c>
      <c r="F161" s="102" t="s">
        <v>12666</v>
      </c>
      <c r="G161" s="102" t="s">
        <v>12666</v>
      </c>
      <c r="H161" s="164"/>
      <c r="I161" s="51">
        <f>IF(speciated_chemicals_163[[#This Row],[Inert / Not a Contaminant?]]="Yes", 0, speciated_chemicals_163[[#This Row],[Weight Percent]]*(unique_components_162[[#Totals],[Controlled lb/hr]]+standard_components_161[[#Totals],[Controlled
lb/hr]]))</f>
        <v>0</v>
      </c>
      <c r="J161" s="51">
        <f>IF(speciated_chemicals_163[[#This Row],[Inert / Not a Contaminant?]]="Yes", 0, speciated_chemicals_163[[#This Row],[Weight Percent]]*(unique_components_162[[#Totals],[Controlled
tpy]]+standard_components_161[[#Totals],[Controlled
tpy]]))</f>
        <v>0</v>
      </c>
    </row>
    <row r="162" spans="1:10" x14ac:dyDescent="0.2">
      <c r="A162" s="103"/>
      <c r="B162" s="51" t="str">
        <f>IFERROR(VLOOKUP(speciated_chemicals_163[[#This Row],[CAS '#]],species[],MATCH("Substance", species[#Headers], 0),FALSE),"No CAS Number Entered")</f>
        <v>No CAS Number Entered</v>
      </c>
      <c r="C162" s="102"/>
      <c r="D162" s="102" t="s">
        <v>12666</v>
      </c>
      <c r="E162" s="102" t="s">
        <v>12666</v>
      </c>
      <c r="F162" s="102" t="s">
        <v>12666</v>
      </c>
      <c r="G162" s="102" t="s">
        <v>12666</v>
      </c>
      <c r="H162" s="164"/>
      <c r="I162" s="51">
        <f>IF(speciated_chemicals_163[[#This Row],[Inert / Not a Contaminant?]]="Yes", 0, speciated_chemicals_163[[#This Row],[Weight Percent]]*(unique_components_162[[#Totals],[Controlled lb/hr]]+standard_components_161[[#Totals],[Controlled
lb/hr]]))</f>
        <v>0</v>
      </c>
      <c r="J162" s="51">
        <f>IF(speciated_chemicals_163[[#This Row],[Inert / Not a Contaminant?]]="Yes", 0, speciated_chemicals_163[[#This Row],[Weight Percent]]*(unique_components_162[[#Totals],[Controlled
tpy]]+standard_components_161[[#Totals],[Controlled
tpy]]))</f>
        <v>0</v>
      </c>
    </row>
    <row r="163" spans="1:10" x14ac:dyDescent="0.2">
      <c r="A163" s="103"/>
      <c r="B163" s="51" t="str">
        <f>IFERROR(VLOOKUP(speciated_chemicals_163[[#This Row],[CAS '#]],species[],MATCH("Substance", species[#Headers], 0),FALSE),"No CAS Number Entered")</f>
        <v>No CAS Number Entered</v>
      </c>
      <c r="C163" s="102"/>
      <c r="D163" s="102" t="s">
        <v>12666</v>
      </c>
      <c r="E163" s="102" t="s">
        <v>12666</v>
      </c>
      <c r="F163" s="102" t="s">
        <v>12666</v>
      </c>
      <c r="G163" s="102" t="s">
        <v>12666</v>
      </c>
      <c r="H163" s="164"/>
      <c r="I163" s="51">
        <f>IF(speciated_chemicals_163[[#This Row],[Inert / Not a Contaminant?]]="Yes", 0, speciated_chemicals_163[[#This Row],[Weight Percent]]*(unique_components_162[[#Totals],[Controlled lb/hr]]+standard_components_161[[#Totals],[Controlled
lb/hr]]))</f>
        <v>0</v>
      </c>
      <c r="J163" s="51">
        <f>IF(speciated_chemicals_163[[#This Row],[Inert / Not a Contaminant?]]="Yes", 0, speciated_chemicals_163[[#This Row],[Weight Percent]]*(unique_components_162[[#Totals],[Controlled
tpy]]+standard_components_161[[#Totals],[Controlled
tpy]]))</f>
        <v>0</v>
      </c>
    </row>
    <row r="164" spans="1:10" x14ac:dyDescent="0.2">
      <c r="A164" s="103"/>
      <c r="B164" s="51" t="str">
        <f>IFERROR(VLOOKUP(speciated_chemicals_163[[#This Row],[CAS '#]],species[],MATCH("Substance", species[#Headers], 0),FALSE),"No CAS Number Entered")</f>
        <v>No CAS Number Entered</v>
      </c>
      <c r="C164" s="102"/>
      <c r="D164" s="102" t="s">
        <v>12666</v>
      </c>
      <c r="E164" s="102" t="s">
        <v>12666</v>
      </c>
      <c r="F164" s="102" t="s">
        <v>12666</v>
      </c>
      <c r="G164" s="102" t="s">
        <v>12666</v>
      </c>
      <c r="H164" s="164"/>
      <c r="I164" s="51">
        <f>IF(speciated_chemicals_163[[#This Row],[Inert / Not a Contaminant?]]="Yes", 0, speciated_chemicals_163[[#This Row],[Weight Percent]]*(unique_components_162[[#Totals],[Controlled lb/hr]]+standard_components_161[[#Totals],[Controlled
lb/hr]]))</f>
        <v>0</v>
      </c>
      <c r="J164" s="51">
        <f>IF(speciated_chemicals_163[[#This Row],[Inert / Not a Contaminant?]]="Yes", 0, speciated_chemicals_163[[#This Row],[Weight Percent]]*(unique_components_162[[#Totals],[Controlled
tpy]]+standard_components_161[[#Totals],[Controlled
tpy]]))</f>
        <v>0</v>
      </c>
    </row>
    <row r="165" spans="1:10" x14ac:dyDescent="0.2">
      <c r="A165" s="103"/>
      <c r="B165" s="51" t="str">
        <f>IFERROR(VLOOKUP(speciated_chemicals_163[[#This Row],[CAS '#]],species[],MATCH("Substance", species[#Headers], 0),FALSE),"No CAS Number Entered")</f>
        <v>No CAS Number Entered</v>
      </c>
      <c r="C165" s="102"/>
      <c r="D165" s="102" t="s">
        <v>12666</v>
      </c>
      <c r="E165" s="102" t="s">
        <v>12666</v>
      </c>
      <c r="F165" s="102" t="s">
        <v>12666</v>
      </c>
      <c r="G165" s="102" t="s">
        <v>12666</v>
      </c>
      <c r="H165" s="164"/>
      <c r="I165" s="51">
        <f>IF(speciated_chemicals_163[[#This Row],[Inert / Not a Contaminant?]]="Yes", 0, speciated_chemicals_163[[#This Row],[Weight Percent]]*(unique_components_162[[#Totals],[Controlled lb/hr]]+standard_components_161[[#Totals],[Controlled
lb/hr]]))</f>
        <v>0</v>
      </c>
      <c r="J165" s="51">
        <f>IF(speciated_chemicals_163[[#This Row],[Inert / Not a Contaminant?]]="Yes", 0, speciated_chemicals_163[[#This Row],[Weight Percent]]*(unique_components_162[[#Totals],[Controlled
tpy]]+standard_components_161[[#Totals],[Controlled
tpy]]))</f>
        <v>0</v>
      </c>
    </row>
    <row r="166" spans="1:10" x14ac:dyDescent="0.2">
      <c r="A166" s="103"/>
      <c r="B166" s="51" t="str">
        <f>IFERROR(VLOOKUP(speciated_chemicals_163[[#This Row],[CAS '#]],species[],MATCH("Substance", species[#Headers], 0),FALSE),"No CAS Number Entered")</f>
        <v>No CAS Number Entered</v>
      </c>
      <c r="C166" s="102"/>
      <c r="D166" s="102" t="s">
        <v>12666</v>
      </c>
      <c r="E166" s="102" t="s">
        <v>12666</v>
      </c>
      <c r="F166" s="102" t="s">
        <v>12666</v>
      </c>
      <c r="G166" s="102" t="s">
        <v>12666</v>
      </c>
      <c r="H166" s="164"/>
      <c r="I166" s="51">
        <f>IF(speciated_chemicals_163[[#This Row],[Inert / Not a Contaminant?]]="Yes", 0, speciated_chemicals_163[[#This Row],[Weight Percent]]*(unique_components_162[[#Totals],[Controlled lb/hr]]+standard_components_161[[#Totals],[Controlled
lb/hr]]))</f>
        <v>0</v>
      </c>
      <c r="J166" s="51">
        <f>IF(speciated_chemicals_163[[#This Row],[Inert / Not a Contaminant?]]="Yes", 0, speciated_chemicals_163[[#This Row],[Weight Percent]]*(unique_components_162[[#Totals],[Controlled
tpy]]+standard_components_161[[#Totals],[Controlled
tpy]]))</f>
        <v>0</v>
      </c>
    </row>
    <row r="167" spans="1:10" x14ac:dyDescent="0.2">
      <c r="A167" s="103"/>
      <c r="B167" s="51" t="str">
        <f>IFERROR(VLOOKUP(speciated_chemicals_163[[#This Row],[CAS '#]],species[],MATCH("Substance", species[#Headers], 0),FALSE),"No CAS Number Entered")</f>
        <v>No CAS Number Entered</v>
      </c>
      <c r="C167" s="102"/>
      <c r="D167" s="102" t="s">
        <v>12666</v>
      </c>
      <c r="E167" s="102" t="s">
        <v>12666</v>
      </c>
      <c r="F167" s="102" t="s">
        <v>12666</v>
      </c>
      <c r="G167" s="102" t="s">
        <v>12666</v>
      </c>
      <c r="H167" s="164"/>
      <c r="I167" s="51">
        <f>IF(speciated_chemicals_163[[#This Row],[Inert / Not a Contaminant?]]="Yes", 0, speciated_chemicals_163[[#This Row],[Weight Percent]]*(unique_components_162[[#Totals],[Controlled lb/hr]]+standard_components_161[[#Totals],[Controlled
lb/hr]]))</f>
        <v>0</v>
      </c>
      <c r="J167" s="51">
        <f>IF(speciated_chemicals_163[[#This Row],[Inert / Not a Contaminant?]]="Yes", 0, speciated_chemicals_163[[#This Row],[Weight Percent]]*(unique_components_162[[#Totals],[Controlled
tpy]]+standard_components_161[[#Totals],[Controlled
tpy]]))</f>
        <v>0</v>
      </c>
    </row>
    <row r="168" spans="1:10" x14ac:dyDescent="0.2">
      <c r="A168" s="103"/>
      <c r="B168" s="51" t="str">
        <f>IFERROR(VLOOKUP(speciated_chemicals_163[[#This Row],[CAS '#]],species[],MATCH("Substance", species[#Headers], 0),FALSE),"No CAS Number Entered")</f>
        <v>No CAS Number Entered</v>
      </c>
      <c r="C168" s="102"/>
      <c r="D168" s="102" t="s">
        <v>12666</v>
      </c>
      <c r="E168" s="102" t="s">
        <v>12666</v>
      </c>
      <c r="F168" s="102" t="s">
        <v>12666</v>
      </c>
      <c r="G168" s="102" t="s">
        <v>12666</v>
      </c>
      <c r="H168" s="164"/>
      <c r="I168" s="51">
        <f>IF(speciated_chemicals_163[[#This Row],[Inert / Not a Contaminant?]]="Yes", 0, speciated_chemicals_163[[#This Row],[Weight Percent]]*(unique_components_162[[#Totals],[Controlled lb/hr]]+standard_components_161[[#Totals],[Controlled
lb/hr]]))</f>
        <v>0</v>
      </c>
      <c r="J168" s="51">
        <f>IF(speciated_chemicals_163[[#This Row],[Inert / Not a Contaminant?]]="Yes", 0, speciated_chemicals_163[[#This Row],[Weight Percent]]*(unique_components_162[[#Totals],[Controlled
tpy]]+standard_components_161[[#Totals],[Controlled
tpy]]))</f>
        <v>0</v>
      </c>
    </row>
    <row r="169" spans="1:10" x14ac:dyDescent="0.2">
      <c r="A169" s="103"/>
      <c r="B169" s="51" t="str">
        <f>IFERROR(VLOOKUP(speciated_chemicals_163[[#This Row],[CAS '#]],species[],MATCH("Substance", species[#Headers], 0),FALSE),"No CAS Number Entered")</f>
        <v>No CAS Number Entered</v>
      </c>
      <c r="C169" s="102"/>
      <c r="D169" s="102" t="s">
        <v>12666</v>
      </c>
      <c r="E169" s="102" t="s">
        <v>12666</v>
      </c>
      <c r="F169" s="102" t="s">
        <v>12666</v>
      </c>
      <c r="G169" s="102" t="s">
        <v>12666</v>
      </c>
      <c r="H169" s="164"/>
      <c r="I169" s="51">
        <f>IF(speciated_chemicals_163[[#This Row],[Inert / Not a Contaminant?]]="Yes", 0, speciated_chemicals_163[[#This Row],[Weight Percent]]*(unique_components_162[[#Totals],[Controlled lb/hr]]+standard_components_161[[#Totals],[Controlled
lb/hr]]))</f>
        <v>0</v>
      </c>
      <c r="J169" s="51">
        <f>IF(speciated_chemicals_163[[#This Row],[Inert / Not a Contaminant?]]="Yes", 0, speciated_chemicals_163[[#This Row],[Weight Percent]]*(unique_components_162[[#Totals],[Controlled
tpy]]+standard_components_161[[#Totals],[Controlled
tpy]]))</f>
        <v>0</v>
      </c>
    </row>
    <row r="170" spans="1:10" x14ac:dyDescent="0.2">
      <c r="A170" s="103"/>
      <c r="B170" s="51" t="str">
        <f>IFERROR(VLOOKUP(speciated_chemicals_163[[#This Row],[CAS '#]],species[],MATCH("Substance", species[#Headers], 0),FALSE),"No CAS Number Entered")</f>
        <v>No CAS Number Entered</v>
      </c>
      <c r="C170" s="102"/>
      <c r="D170" s="102" t="s">
        <v>12666</v>
      </c>
      <c r="E170" s="102" t="s">
        <v>12666</v>
      </c>
      <c r="F170" s="102" t="s">
        <v>12666</v>
      </c>
      <c r="G170" s="102" t="s">
        <v>12666</v>
      </c>
      <c r="H170" s="164"/>
      <c r="I170" s="51">
        <f>IF(speciated_chemicals_163[[#This Row],[Inert / Not a Contaminant?]]="Yes", 0, speciated_chemicals_163[[#This Row],[Weight Percent]]*(unique_components_162[[#Totals],[Controlled lb/hr]]+standard_components_161[[#Totals],[Controlled
lb/hr]]))</f>
        <v>0</v>
      </c>
      <c r="J170" s="51">
        <f>IF(speciated_chemicals_163[[#This Row],[Inert / Not a Contaminant?]]="Yes", 0, speciated_chemicals_163[[#This Row],[Weight Percent]]*(unique_components_162[[#Totals],[Controlled
tpy]]+standard_components_161[[#Totals],[Controlled
tpy]]))</f>
        <v>0</v>
      </c>
    </row>
    <row r="171" spans="1:10" x14ac:dyDescent="0.2">
      <c r="A171" s="103"/>
      <c r="B171" s="51" t="str">
        <f>IFERROR(VLOOKUP(speciated_chemicals_163[[#This Row],[CAS '#]],species[],MATCH("Substance", species[#Headers], 0),FALSE),"No CAS Number Entered")</f>
        <v>No CAS Number Entered</v>
      </c>
      <c r="C171" s="102"/>
      <c r="D171" s="102" t="s">
        <v>12666</v>
      </c>
      <c r="E171" s="102" t="s">
        <v>12666</v>
      </c>
      <c r="F171" s="102" t="s">
        <v>12666</v>
      </c>
      <c r="G171" s="102" t="s">
        <v>12666</v>
      </c>
      <c r="H171" s="164"/>
      <c r="I171" s="51">
        <f>IF(speciated_chemicals_163[[#This Row],[Inert / Not a Contaminant?]]="Yes", 0, speciated_chemicals_163[[#This Row],[Weight Percent]]*(unique_components_162[[#Totals],[Controlled lb/hr]]+standard_components_161[[#Totals],[Controlled
lb/hr]]))</f>
        <v>0</v>
      </c>
      <c r="J171" s="51">
        <f>IF(speciated_chemicals_163[[#This Row],[Inert / Not a Contaminant?]]="Yes", 0, speciated_chemicals_163[[#This Row],[Weight Percent]]*(unique_components_162[[#Totals],[Controlled
tpy]]+standard_components_161[[#Totals],[Controlled
tpy]]))</f>
        <v>0</v>
      </c>
    </row>
    <row r="172" spans="1:10" x14ac:dyDescent="0.2">
      <c r="A172" s="103"/>
      <c r="B172" s="51" t="str">
        <f>IFERROR(VLOOKUP(speciated_chemicals_163[[#This Row],[CAS '#]],species[],MATCH("Substance", species[#Headers], 0),FALSE),"No CAS Number Entered")</f>
        <v>No CAS Number Entered</v>
      </c>
      <c r="C172" s="102"/>
      <c r="D172" s="102" t="s">
        <v>12666</v>
      </c>
      <c r="E172" s="102" t="s">
        <v>12666</v>
      </c>
      <c r="F172" s="102" t="s">
        <v>12666</v>
      </c>
      <c r="G172" s="102" t="s">
        <v>12666</v>
      </c>
      <c r="H172" s="164"/>
      <c r="I172" s="51">
        <f>IF(speciated_chemicals_163[[#This Row],[Inert / Not a Contaminant?]]="Yes", 0, speciated_chemicals_163[[#This Row],[Weight Percent]]*(unique_components_162[[#Totals],[Controlled lb/hr]]+standard_components_161[[#Totals],[Controlled
lb/hr]]))</f>
        <v>0</v>
      </c>
      <c r="J172" s="51">
        <f>IF(speciated_chemicals_163[[#This Row],[Inert / Not a Contaminant?]]="Yes", 0, speciated_chemicals_163[[#This Row],[Weight Percent]]*(unique_components_162[[#Totals],[Controlled
tpy]]+standard_components_161[[#Totals],[Controlled
tpy]]))</f>
        <v>0</v>
      </c>
    </row>
    <row r="173" spans="1:10" x14ac:dyDescent="0.2">
      <c r="A173" s="103"/>
      <c r="B173" s="51" t="str">
        <f>IFERROR(VLOOKUP(speciated_chemicals_163[[#This Row],[CAS '#]],species[],MATCH("Substance", species[#Headers], 0),FALSE),"No CAS Number Entered")</f>
        <v>No CAS Number Entered</v>
      </c>
      <c r="C173" s="102"/>
      <c r="D173" s="102" t="s">
        <v>12666</v>
      </c>
      <c r="E173" s="102" t="s">
        <v>12666</v>
      </c>
      <c r="F173" s="102" t="s">
        <v>12666</v>
      </c>
      <c r="G173" s="102" t="s">
        <v>12666</v>
      </c>
      <c r="H173" s="164"/>
      <c r="I173" s="51">
        <f>IF(speciated_chemicals_163[[#This Row],[Inert / Not a Contaminant?]]="Yes", 0, speciated_chemicals_163[[#This Row],[Weight Percent]]*(unique_components_162[[#Totals],[Controlled lb/hr]]+standard_components_161[[#Totals],[Controlled
lb/hr]]))</f>
        <v>0</v>
      </c>
      <c r="J173" s="51">
        <f>IF(speciated_chemicals_163[[#This Row],[Inert / Not a Contaminant?]]="Yes", 0, speciated_chemicals_163[[#This Row],[Weight Percent]]*(unique_components_162[[#Totals],[Controlled
tpy]]+standard_components_161[[#Totals],[Controlled
tpy]]))</f>
        <v>0</v>
      </c>
    </row>
    <row r="174" spans="1:10" x14ac:dyDescent="0.2">
      <c r="A174" s="103"/>
      <c r="B174" s="51" t="str">
        <f>IFERROR(VLOOKUP(speciated_chemicals_163[[#This Row],[CAS '#]],species[],MATCH("Substance", species[#Headers], 0),FALSE),"No CAS Number Entered")</f>
        <v>No CAS Number Entered</v>
      </c>
      <c r="C174" s="102"/>
      <c r="D174" s="102" t="s">
        <v>12666</v>
      </c>
      <c r="E174" s="102" t="s">
        <v>12666</v>
      </c>
      <c r="F174" s="102" t="s">
        <v>12666</v>
      </c>
      <c r="G174" s="102" t="s">
        <v>12666</v>
      </c>
      <c r="H174" s="164"/>
      <c r="I174" s="51">
        <f>IF(speciated_chemicals_163[[#This Row],[Inert / Not a Contaminant?]]="Yes", 0, speciated_chemicals_163[[#This Row],[Weight Percent]]*(unique_components_162[[#Totals],[Controlled lb/hr]]+standard_components_161[[#Totals],[Controlled
lb/hr]]))</f>
        <v>0</v>
      </c>
      <c r="J174" s="51">
        <f>IF(speciated_chemicals_163[[#This Row],[Inert / Not a Contaminant?]]="Yes", 0, speciated_chemicals_163[[#This Row],[Weight Percent]]*(unique_components_162[[#Totals],[Controlled
tpy]]+standard_components_161[[#Totals],[Controlled
tpy]]))</f>
        <v>0</v>
      </c>
    </row>
    <row r="175" spans="1:10" x14ac:dyDescent="0.2">
      <c r="A175" s="103"/>
      <c r="B175" s="51" t="str">
        <f>IFERROR(VLOOKUP(speciated_chemicals_163[[#This Row],[CAS '#]],species[],MATCH("Substance", species[#Headers], 0),FALSE),"No CAS Number Entered")</f>
        <v>No CAS Number Entered</v>
      </c>
      <c r="C175" s="102"/>
      <c r="D175" s="102" t="s">
        <v>12666</v>
      </c>
      <c r="E175" s="102" t="s">
        <v>12666</v>
      </c>
      <c r="F175" s="102" t="s">
        <v>12666</v>
      </c>
      <c r="G175" s="102" t="s">
        <v>12666</v>
      </c>
      <c r="H175" s="164"/>
      <c r="I175" s="51">
        <f>IF(speciated_chemicals_163[[#This Row],[Inert / Not a Contaminant?]]="Yes", 0, speciated_chemicals_163[[#This Row],[Weight Percent]]*(unique_components_162[[#Totals],[Controlled lb/hr]]+standard_components_161[[#Totals],[Controlled
lb/hr]]))</f>
        <v>0</v>
      </c>
      <c r="J175" s="51">
        <f>IF(speciated_chemicals_163[[#This Row],[Inert / Not a Contaminant?]]="Yes", 0, speciated_chemicals_163[[#This Row],[Weight Percent]]*(unique_components_162[[#Totals],[Controlled
tpy]]+standard_components_161[[#Totals],[Controlled
tpy]]))</f>
        <v>0</v>
      </c>
    </row>
    <row r="176" spans="1:10" x14ac:dyDescent="0.2">
      <c r="A176" s="165"/>
      <c r="B176" s="51" t="str">
        <f>IFERROR(VLOOKUP(speciated_chemicals_163[[#This Row],[CAS '#]],species[],MATCH("Substance", species[#Headers], 0),FALSE),"No CAS Number Entered")</f>
        <v>No CAS Number Entered</v>
      </c>
      <c r="C176" s="102"/>
      <c r="D176" s="102" t="s">
        <v>12666</v>
      </c>
      <c r="E176" s="102" t="s">
        <v>12666</v>
      </c>
      <c r="F176" s="102" t="s">
        <v>12666</v>
      </c>
      <c r="G176" s="102" t="s">
        <v>12666</v>
      </c>
      <c r="H176" s="164"/>
      <c r="I176" s="51">
        <f>IF(speciated_chemicals_163[[#This Row],[Inert / Not a Contaminant?]]="Yes", 0, speciated_chemicals_163[[#This Row],[Weight Percent]]*(unique_components_162[[#Totals],[Controlled lb/hr]]+standard_components_161[[#Totals],[Controlled
lb/hr]]))</f>
        <v>0</v>
      </c>
      <c r="J176" s="51">
        <f>IF(speciated_chemicals_163[[#This Row],[Inert / Not a Contaminant?]]="Yes", 0, speciated_chemicals_163[[#This Row],[Weight Percent]]*(unique_components_162[[#Totals],[Controlled
tpy]]+standard_components_161[[#Totals],[Controlled
tpy]]))</f>
        <v>0</v>
      </c>
    </row>
    <row r="177" spans="1:10" x14ac:dyDescent="0.2">
      <c r="A177" s="103"/>
      <c r="B177" s="51" t="str">
        <f>IFERROR(VLOOKUP(speciated_chemicals_163[[#This Row],[CAS '#]],species[],MATCH("Substance", species[#Headers], 0),FALSE),"No CAS Number Entered")</f>
        <v>No CAS Number Entered</v>
      </c>
      <c r="C177" s="102"/>
      <c r="D177" s="102" t="s">
        <v>12666</v>
      </c>
      <c r="E177" s="102" t="s">
        <v>12666</v>
      </c>
      <c r="F177" s="102" t="s">
        <v>12666</v>
      </c>
      <c r="G177" s="102" t="s">
        <v>12666</v>
      </c>
      <c r="H177" s="164"/>
      <c r="I177" s="51">
        <f>IF(speciated_chemicals_163[[#This Row],[Inert / Not a Contaminant?]]="Yes", 0, speciated_chemicals_163[[#This Row],[Weight Percent]]*(unique_components_162[[#Totals],[Controlled lb/hr]]+standard_components_161[[#Totals],[Controlled
lb/hr]]))</f>
        <v>0</v>
      </c>
      <c r="J177" s="51">
        <f>IF(speciated_chemicals_163[[#This Row],[Inert / Not a Contaminant?]]="Yes", 0, speciated_chemicals_163[[#This Row],[Weight Percent]]*(unique_components_162[[#Totals],[Controlled
tpy]]+standard_components_161[[#Totals],[Controlled
tpy]]))</f>
        <v>0</v>
      </c>
    </row>
    <row r="178" spans="1:10" x14ac:dyDescent="0.2">
      <c r="A178" s="103"/>
      <c r="B178" s="51" t="str">
        <f>IFERROR(VLOOKUP(speciated_chemicals_163[[#This Row],[CAS '#]],species[],MATCH("Substance", species[#Headers], 0),FALSE),"No CAS Number Entered")</f>
        <v>No CAS Number Entered</v>
      </c>
      <c r="C178" s="102"/>
      <c r="D178" s="102" t="s">
        <v>12666</v>
      </c>
      <c r="E178" s="102" t="s">
        <v>12666</v>
      </c>
      <c r="F178" s="102" t="s">
        <v>12666</v>
      </c>
      <c r="G178" s="102" t="s">
        <v>12666</v>
      </c>
      <c r="H178" s="164"/>
      <c r="I178" s="51">
        <f>IF(speciated_chemicals_163[[#This Row],[Inert / Not a Contaminant?]]="Yes", 0, speciated_chemicals_163[[#This Row],[Weight Percent]]*(unique_components_162[[#Totals],[Controlled lb/hr]]+standard_components_161[[#Totals],[Controlled
lb/hr]]))</f>
        <v>0</v>
      </c>
      <c r="J178" s="51">
        <f>IF(speciated_chemicals_163[[#This Row],[Inert / Not a Contaminant?]]="Yes", 0, speciated_chemicals_163[[#This Row],[Weight Percent]]*(unique_components_162[[#Totals],[Controlled
tpy]]+standard_components_161[[#Totals],[Controlled
tpy]]))</f>
        <v>0</v>
      </c>
    </row>
    <row r="179" spans="1:10" x14ac:dyDescent="0.2">
      <c r="A179" s="103"/>
      <c r="B179" s="51" t="str">
        <f>IFERROR(VLOOKUP(speciated_chemicals_163[[#This Row],[CAS '#]],species[],MATCH("Substance", species[#Headers], 0),FALSE),"No CAS Number Entered")</f>
        <v>No CAS Number Entered</v>
      </c>
      <c r="C179" s="102"/>
      <c r="D179" s="102" t="s">
        <v>12666</v>
      </c>
      <c r="E179" s="102" t="s">
        <v>12666</v>
      </c>
      <c r="F179" s="102" t="s">
        <v>12666</v>
      </c>
      <c r="G179" s="102" t="s">
        <v>12666</v>
      </c>
      <c r="H179" s="164"/>
      <c r="I179" s="51">
        <f>IF(speciated_chemicals_163[[#This Row],[Inert / Not a Contaminant?]]="Yes", 0, speciated_chemicals_163[[#This Row],[Weight Percent]]*(unique_components_162[[#Totals],[Controlled lb/hr]]+standard_components_161[[#Totals],[Controlled
lb/hr]]))</f>
        <v>0</v>
      </c>
      <c r="J179" s="51">
        <f>IF(speciated_chemicals_163[[#This Row],[Inert / Not a Contaminant?]]="Yes", 0, speciated_chemicals_163[[#This Row],[Weight Percent]]*(unique_components_162[[#Totals],[Controlled
tpy]]+standard_components_161[[#Totals],[Controlled
tpy]]))</f>
        <v>0</v>
      </c>
    </row>
    <row r="180" spans="1:10" x14ac:dyDescent="0.2">
      <c r="A180" s="103"/>
      <c r="B180" s="51" t="str">
        <f>IFERROR(VLOOKUP(speciated_chemicals_163[[#This Row],[CAS '#]],species[],MATCH("Substance", species[#Headers], 0),FALSE),"No CAS Number Entered")</f>
        <v>No CAS Number Entered</v>
      </c>
      <c r="C180" s="102"/>
      <c r="D180" s="102" t="s">
        <v>12666</v>
      </c>
      <c r="E180" s="102" t="s">
        <v>12666</v>
      </c>
      <c r="F180" s="102" t="s">
        <v>12666</v>
      </c>
      <c r="G180" s="102" t="s">
        <v>12666</v>
      </c>
      <c r="H180" s="164"/>
      <c r="I180" s="51">
        <f>IF(speciated_chemicals_163[[#This Row],[Inert / Not a Contaminant?]]="Yes", 0, speciated_chemicals_163[[#This Row],[Weight Percent]]*(unique_components_162[[#Totals],[Controlled lb/hr]]+standard_components_161[[#Totals],[Controlled
lb/hr]]))</f>
        <v>0</v>
      </c>
      <c r="J180" s="51">
        <f>IF(speciated_chemicals_163[[#This Row],[Inert / Not a Contaminant?]]="Yes", 0, speciated_chemicals_163[[#This Row],[Weight Percent]]*(unique_components_162[[#Totals],[Controlled
tpy]]+standard_components_161[[#Totals],[Controlled
tpy]]))</f>
        <v>0</v>
      </c>
    </row>
    <row r="181" spans="1:10" ht="30" x14ac:dyDescent="0.2">
      <c r="A181" s="184" t="s">
        <v>12705</v>
      </c>
      <c r="B181" s="52"/>
      <c r="C181" s="53"/>
      <c r="D181" s="52"/>
      <c r="E181" s="52"/>
      <c r="F181" s="52"/>
      <c r="G181" s="52"/>
      <c r="H181" s="166">
        <f>SUBTOTAL(109,speciated_chemicals_163[Weight Percent])</f>
        <v>0</v>
      </c>
      <c r="I181" s="167">
        <f>SUBTOTAL(109,speciated_chemicals_163[lb/hr])</f>
        <v>0</v>
      </c>
      <c r="J181" s="167">
        <f>SUBTOTAL(109,speciated_chemicals_163[tpy])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MATCH(speciated_ghg_164[[#This Row],[CAS '#]], gwp_table[CAS No.], 0), MATCH("Name", gwp_table[#Headers], 0)),"No CAS Number Entered")</f>
        <v>No CAS Number Entered</v>
      </c>
      <c r="C185" s="79" t="str">
        <f>IFERROR(INDEX(gwp_table[], MATCH(speciated_ghg_164[[#This Row],[CAS '#]], gwp_table[CAS No.], 0), MATCH("Global warming potential", gwp_table[#Headers], 0)),"No CAS Number Entered")</f>
        <v>No CAS Number Entered</v>
      </c>
      <c r="D185" s="219"/>
      <c r="E185" s="79">
        <f>IFERROR(speciated_ghg_164[[#This Row],[Weight Percent]]*(unique_components_162[[#Totals],[Controlled
tpy]]+standard_components_161[[#Totals],[Controlled
tpy]]), "-")</f>
        <v>0</v>
      </c>
      <c r="F185" s="81" t="str">
        <f>IFERROR(speciated_ghg_164[[#This Row],[Mass Emissions (U.S. tons per year)]]*speciated_ghg_164[[#This Row],[Global Warming Potential (GWP)]], "-")</f>
        <v>-</v>
      </c>
      <c r="G185" s="30"/>
      <c r="H185" s="168"/>
      <c r="I185" s="168"/>
    </row>
    <row r="186" spans="1:10" x14ac:dyDescent="0.2">
      <c r="A186" s="210"/>
      <c r="B186" s="79" t="str">
        <f>IFERROR(INDEX(gwp_table[], MATCH(speciated_ghg_164[[#This Row],[CAS '#]], gwp_table[CAS No.], 0), MATCH("Name", gwp_table[#Headers], 0)),"No CAS Number Entered")</f>
        <v>No CAS Number Entered</v>
      </c>
      <c r="C186" s="79" t="str">
        <f>IFERROR(INDEX(gwp_table[], MATCH(speciated_ghg_164[[#This Row],[CAS '#]], gwp_table[CAS No.], 0), MATCH("Global warming potential", gwp_table[#Headers], 0)),"No CAS Number Entered")</f>
        <v>No CAS Number Entered</v>
      </c>
      <c r="D186" s="219"/>
      <c r="E186" s="79">
        <f>IFERROR(speciated_ghg_164[[#This Row],[Weight Percent]]*(unique_components_162[[#Totals],[Controlled
tpy]]+standard_components_161[[#Totals],[Controlled
tpy]]), "-")</f>
        <v>0</v>
      </c>
      <c r="F186" s="81" t="str">
        <f>IFERROR(speciated_ghg_164[[#This Row],[Mass Emissions (U.S. tons per year)]]*speciated_ghg_164[[#This Row],[Global Warming Potential (GWP)]], "-")</f>
        <v>-</v>
      </c>
      <c r="G186" s="30"/>
      <c r="H186" s="168"/>
      <c r="I186" s="168"/>
    </row>
    <row r="187" spans="1:10" x14ac:dyDescent="0.2">
      <c r="A187" s="210"/>
      <c r="B187" s="79" t="str">
        <f>IFERROR(INDEX(gwp_table[], MATCH(speciated_ghg_164[[#This Row],[CAS '#]], gwp_table[CAS No.], 0), MATCH("Name", gwp_table[#Headers], 0)),"No CAS Number Entered")</f>
        <v>No CAS Number Entered</v>
      </c>
      <c r="C187" s="79" t="str">
        <f>IFERROR(INDEX(gwp_table[], MATCH(speciated_ghg_164[[#This Row],[CAS '#]], gwp_table[CAS No.], 0), MATCH("Global warming potential", gwp_table[#Headers], 0)),"No CAS Number Entered")</f>
        <v>No CAS Number Entered</v>
      </c>
      <c r="D187" s="219"/>
      <c r="E187" s="79">
        <f>IFERROR(speciated_ghg_164[[#This Row],[Weight Percent]]*(unique_components_162[[#Totals],[Controlled
tpy]]+standard_components_161[[#Totals],[Controlled
tpy]]), "-")</f>
        <v>0</v>
      </c>
      <c r="F187" s="81" t="str">
        <f>IFERROR(speciated_ghg_164[[#This Row],[Mass Emissions (U.S. tons per year)]]*speciated_ghg_164[[#This Row],[Global Warming Potential (GWP)]], "-")</f>
        <v>-</v>
      </c>
      <c r="G187" s="30"/>
      <c r="H187" s="168"/>
      <c r="I187" s="168"/>
    </row>
    <row r="188" spans="1:10" x14ac:dyDescent="0.2">
      <c r="A188" s="210"/>
      <c r="B188" s="79" t="str">
        <f>IFERROR(INDEX(gwp_table[], MATCH(speciated_ghg_164[[#This Row],[CAS '#]], gwp_table[CAS No.], 0), MATCH("Name", gwp_table[#Headers], 0)),"No CAS Number Entered")</f>
        <v>No CAS Number Entered</v>
      </c>
      <c r="C188" s="79" t="str">
        <f>IFERROR(INDEX(gwp_table[], MATCH(speciated_ghg_164[[#This Row],[CAS '#]], gwp_table[CAS No.], 0), MATCH("Global warming potential", gwp_table[#Headers], 0)),"No CAS Number Entered")</f>
        <v>No CAS Number Entered</v>
      </c>
      <c r="D188" s="219"/>
      <c r="E188" s="79">
        <f>IFERROR(speciated_ghg_164[[#This Row],[Weight Percent]]*(unique_components_162[[#Totals],[Controlled
tpy]]+standard_components_161[[#Totals],[Controlled
tpy]]), "-")</f>
        <v>0</v>
      </c>
      <c r="F188" s="81" t="str">
        <f>IFERROR(speciated_ghg_164[[#This Row],[Mass Emissions (U.S. tons per year)]]*speciated_ghg_164[[#This Row],[Global Warming Potential (GWP)]], "-")</f>
        <v>-</v>
      </c>
      <c r="G188" s="30"/>
      <c r="H188" s="168"/>
      <c r="I188" s="168"/>
    </row>
    <row r="189" spans="1:10" x14ac:dyDescent="0.2">
      <c r="A189" s="210"/>
      <c r="B189" s="79" t="str">
        <f>IFERROR(INDEX(gwp_table[], MATCH(speciated_ghg_164[[#This Row],[CAS '#]], gwp_table[CAS No.], 0), MATCH("Name", gwp_table[#Headers], 0)),"No CAS Number Entered")</f>
        <v>No CAS Number Entered</v>
      </c>
      <c r="C189" s="79" t="str">
        <f>IFERROR(INDEX(gwp_table[], MATCH(speciated_ghg_164[[#This Row],[CAS '#]], gwp_table[CAS No.], 0), MATCH("Global warming potential", gwp_table[#Headers], 0)),"No CAS Number Entered")</f>
        <v>No CAS Number Entered</v>
      </c>
      <c r="D189" s="219"/>
      <c r="E189" s="79">
        <f>IFERROR(speciated_ghg_164[[#This Row],[Weight Percent]]*(unique_components_162[[#Totals],[Controlled
tpy]]+standard_components_161[[#Totals],[Controlled
tpy]]), "-")</f>
        <v>0</v>
      </c>
      <c r="F189" s="81" t="str">
        <f>IFERROR(speciated_ghg_164[[#This Row],[Mass Emissions (U.S. tons per year)]]*speciated_ghg_164[[#This Row],[Global Warming Potential (GWP)]], "-")</f>
        <v>-</v>
      </c>
      <c r="G189" s="30"/>
      <c r="H189" s="168"/>
      <c r="I189" s="168"/>
    </row>
    <row r="190" spans="1:10" x14ac:dyDescent="0.2">
      <c r="A190" s="210"/>
      <c r="B190" s="79" t="str">
        <f>IFERROR(INDEX(gwp_table[], MATCH(speciated_ghg_164[[#This Row],[CAS '#]], gwp_table[CAS No.], 0), MATCH("Name", gwp_table[#Headers], 0)),"No CAS Number Entered")</f>
        <v>No CAS Number Entered</v>
      </c>
      <c r="C190" s="79" t="str">
        <f>IFERROR(INDEX(gwp_table[], MATCH(speciated_ghg_164[[#This Row],[CAS '#]], gwp_table[CAS No.], 0), MATCH("Global warming potential", gwp_table[#Headers], 0)),"No CAS Number Entered")</f>
        <v>No CAS Number Entered</v>
      </c>
      <c r="D190" s="219"/>
      <c r="E190" s="79">
        <f>IFERROR(speciated_ghg_164[[#This Row],[Weight Percent]]*(unique_components_162[[#Totals],[Controlled
tpy]]+standard_components_161[[#Totals],[Controlled
tpy]]), "-")</f>
        <v>0</v>
      </c>
      <c r="F190" s="81" t="str">
        <f>IFERROR(speciated_ghg_164[[#This Row],[Mass Emissions (U.S. tons per year)]]*speciated_ghg_164[[#This Row],[Global Warming Potential (GWP)]], "-")</f>
        <v>-</v>
      </c>
      <c r="G190" s="30"/>
      <c r="H190" s="168"/>
      <c r="I190" s="168"/>
    </row>
    <row r="191" spans="1:10" x14ac:dyDescent="0.2">
      <c r="A191" s="210"/>
      <c r="B191" s="79" t="str">
        <f>IFERROR(INDEX(gwp_table[], MATCH(speciated_ghg_164[[#This Row],[CAS '#]], gwp_table[CAS No.], 0), MATCH("Name", gwp_table[#Headers], 0)),"No CAS Number Entered")</f>
        <v>No CAS Number Entered</v>
      </c>
      <c r="C191" s="79" t="str">
        <f>IFERROR(INDEX(gwp_table[], MATCH(speciated_ghg_164[[#This Row],[CAS '#]], gwp_table[CAS No.], 0), MATCH("Global warming potential", gwp_table[#Headers], 0)),"No CAS Number Entered")</f>
        <v>No CAS Number Entered</v>
      </c>
      <c r="D191" s="219"/>
      <c r="E191" s="79">
        <f>IFERROR(speciated_ghg_164[[#This Row],[Weight Percent]]*(unique_components_162[[#Totals],[Controlled
tpy]]+standard_components_161[[#Totals],[Controlled
tpy]]), "-")</f>
        <v>0</v>
      </c>
      <c r="F191" s="81" t="str">
        <f>IFERROR(speciated_ghg_164[[#This Row],[Mass Emissions (U.S. tons per year)]]*speciated_ghg_164[[#This Row],[Global Warming Potential (GWP)]], "-")</f>
        <v>-</v>
      </c>
      <c r="G191" s="17"/>
    </row>
    <row r="192" spans="1:10" ht="15" x14ac:dyDescent="0.25">
      <c r="A192" s="210"/>
      <c r="B192" s="79" t="str">
        <f>IFERROR(INDEX(gwp_table[], MATCH(speciated_ghg_164[[#This Row],[CAS '#]], gwp_table[CAS No.], 0), MATCH("Name", gwp_table[#Headers], 0)),"No CAS Number Entered")</f>
        <v>No CAS Number Entered</v>
      </c>
      <c r="C192" s="79" t="str">
        <f>IFERROR(INDEX(gwp_table[], MATCH(speciated_ghg_164[[#This Row],[CAS '#]], gwp_table[CAS No.], 0), MATCH("Global warming potential", gwp_table[#Headers], 0)),"No CAS Number Entered")</f>
        <v>No CAS Number Entered</v>
      </c>
      <c r="D192" s="219"/>
      <c r="E192" s="79">
        <f>IFERROR(speciated_ghg_164[[#This Row],[Weight Percent]]*(unique_components_162[[#Totals],[Controlled
tpy]]+standard_components_161[[#Totals],[Controlled
tpy]]), "-")</f>
        <v>0</v>
      </c>
      <c r="F192" s="81" t="str">
        <f>IFERROR(speciated_ghg_164[[#This Row],[Mass Emissions (U.S. tons per year)]]*speciated_ghg_164[[#This Row],[Global Warming Potential (GWP)]], "-")</f>
        <v>-</v>
      </c>
      <c r="G192" s="134"/>
      <c r="H192" s="169"/>
    </row>
    <row r="193" spans="1:9" ht="15" x14ac:dyDescent="0.25">
      <c r="A193" s="210"/>
      <c r="B193" s="79" t="str">
        <f>IFERROR(INDEX(gwp_table[], MATCH(speciated_ghg_164[[#This Row],[CAS '#]], gwp_table[CAS No.], 0), MATCH("Name", gwp_table[#Headers], 0)),"No CAS Number Entered")</f>
        <v>No CAS Number Entered</v>
      </c>
      <c r="C193" s="79" t="str">
        <f>IFERROR(INDEX(gwp_table[], MATCH(speciated_ghg_164[[#This Row],[CAS '#]], gwp_table[CAS No.], 0), MATCH("Global warming potential", gwp_table[#Headers], 0)),"No CAS Number Entered")</f>
        <v>No CAS Number Entered</v>
      </c>
      <c r="D193" s="219"/>
      <c r="E193" s="79">
        <f>IFERROR(speciated_ghg_164[[#This Row],[Weight Percent]]*(unique_components_162[[#Totals],[Controlled
tpy]]+standard_components_161[[#Totals],[Controlled
tpy]]), "-")</f>
        <v>0</v>
      </c>
      <c r="F193" s="81" t="str">
        <f>IFERROR(speciated_ghg_164[[#This Row],[Mass Emissions (U.S. tons per year)]]*speciated_ghg_164[[#This Row],[Global Warming Potential (GWP)]], "-")</f>
        <v>-</v>
      </c>
      <c r="G193" s="134"/>
      <c r="H193" s="169"/>
    </row>
    <row r="194" spans="1:9" ht="15" x14ac:dyDescent="0.25">
      <c r="A194" s="210"/>
      <c r="B194" s="79" t="str">
        <f>IFERROR(INDEX(gwp_table[], MATCH(speciated_ghg_164[[#This Row],[CAS '#]], gwp_table[CAS No.], 0), MATCH("Name", gwp_table[#Headers], 0)),"No CAS Number Entered")</f>
        <v>No CAS Number Entered</v>
      </c>
      <c r="C194" s="79" t="str">
        <f>IFERROR(INDEX(gwp_table[], MATCH(speciated_ghg_164[[#This Row],[CAS '#]], gwp_table[CAS No.], 0), MATCH("Global warming potential", gwp_table[#Headers], 0)),"No CAS Number Entered")</f>
        <v>No CAS Number Entered</v>
      </c>
      <c r="D194" s="219"/>
      <c r="E194" s="79">
        <f>IFERROR(speciated_ghg_164[[#This Row],[Weight Percent]]*(unique_components_162[[#Totals],[Controlled
tpy]]+standard_components_161[[#Totals],[Controlled
tpy]]), "-")</f>
        <v>0</v>
      </c>
      <c r="F194" s="81" t="str">
        <f>IFERROR(speciated_ghg_164[[#This Row],[Mass Emissions (U.S. tons per year)]]*speciated_ghg_164[[#This Row],[Global Warming Potential (GWP)]], "-")</f>
        <v>-</v>
      </c>
      <c r="G194" s="134"/>
      <c r="H194" s="169"/>
    </row>
    <row r="195" spans="1:9" x14ac:dyDescent="0.2">
      <c r="A195" s="210"/>
      <c r="B195" s="79" t="str">
        <f>IFERROR(INDEX(gwp_table[], MATCH(speciated_ghg_164[[#This Row],[CAS '#]], gwp_table[CAS No.], 0), MATCH("Name", gwp_table[#Headers], 0)),"No CAS Number Entered")</f>
        <v>No CAS Number Entered</v>
      </c>
      <c r="C195" s="79" t="str">
        <f>IFERROR(INDEX(gwp_table[], MATCH(speciated_ghg_164[[#This Row],[CAS '#]], gwp_table[CAS No.], 0), MATCH("Global warming potential", gwp_table[#Headers], 0)),"No CAS Number Entered")</f>
        <v>No CAS Number Entered</v>
      </c>
      <c r="D195" s="219"/>
      <c r="E195" s="79">
        <f>IFERROR(speciated_ghg_164[[#This Row],[Weight Percent]]*(unique_components_162[[#Totals],[Controlled
tpy]]+standard_components_161[[#Totals],[Controlled
tpy]]), "-")</f>
        <v>0</v>
      </c>
      <c r="F195" s="81" t="str">
        <f>IFERROR(speciated_ghg_164[[#This Row],[Mass Emissions (U.S. tons per year)]]*speciated_ghg_164[[#This Row],[Global Warming Potential (GWP)]], "-")</f>
        <v>-</v>
      </c>
      <c r="G195" s="69"/>
      <c r="H195" s="169"/>
    </row>
    <row r="196" spans="1:9" x14ac:dyDescent="0.2">
      <c r="A196" s="210"/>
      <c r="B196" s="79" t="str">
        <f>IFERROR(INDEX(gwp_table[], MATCH(speciated_ghg_164[[#This Row],[CAS '#]], gwp_table[CAS No.], 0), MATCH("Name", gwp_table[#Headers], 0)),"No CAS Number Entered")</f>
        <v>No CAS Number Entered</v>
      </c>
      <c r="C196" s="79" t="str">
        <f>IFERROR(INDEX(gwp_table[], MATCH(speciated_ghg_164[[#This Row],[CAS '#]], gwp_table[CAS No.], 0), MATCH("Global warming potential", gwp_table[#Headers], 0)),"No CAS Number Entered")</f>
        <v>No CAS Number Entered</v>
      </c>
      <c r="D196" s="219"/>
      <c r="E196" s="79">
        <f>IFERROR(speciated_ghg_164[[#This Row],[Weight Percent]]*(unique_components_162[[#Totals],[Controlled
tpy]]+standard_components_161[[#Totals],[Controlled
tpy]]), "-")</f>
        <v>0</v>
      </c>
      <c r="F196" s="81" t="str">
        <f>IFERROR(speciated_ghg_164[[#This Row],[Mass Emissions (U.S. tons per year)]]*speciated_ghg_164[[#This Row],[Global Warming Potential (GWP)]], "-")</f>
        <v>-</v>
      </c>
      <c r="G196" s="29"/>
      <c r="H196" s="169"/>
    </row>
    <row r="197" spans="1:9" x14ac:dyDescent="0.2">
      <c r="A197" s="210"/>
      <c r="B197" s="79" t="str">
        <f>IFERROR(INDEX(gwp_table[], MATCH(speciated_ghg_164[[#This Row],[CAS '#]], gwp_table[CAS No.], 0), MATCH("Name", gwp_table[#Headers], 0)),"No CAS Number Entered")</f>
        <v>No CAS Number Entered</v>
      </c>
      <c r="C197" s="79" t="str">
        <f>IFERROR(INDEX(gwp_table[], MATCH(speciated_ghg_164[[#This Row],[CAS '#]], gwp_table[CAS No.], 0), MATCH("Global warming potential", gwp_table[#Headers], 0)),"No CAS Number Entered")</f>
        <v>No CAS Number Entered</v>
      </c>
      <c r="D197" s="219"/>
      <c r="E197" s="79">
        <f>IFERROR(speciated_ghg_164[[#This Row],[Weight Percent]]*(unique_components_162[[#Totals],[Controlled
tpy]]+standard_components_161[[#Totals],[Controlled
tpy]]), "-")</f>
        <v>0</v>
      </c>
      <c r="F197" s="81" t="str">
        <f>IFERROR(speciated_ghg_164[[#This Row],[Mass Emissions (U.S. tons per year)]]*speciated_ghg_164[[#This Row],[Global Warming Potential (GWP)]], "-")</f>
        <v>-</v>
      </c>
      <c r="G197" s="29"/>
      <c r="H197" s="29"/>
      <c r="I197" s="169"/>
    </row>
    <row r="198" spans="1:9" x14ac:dyDescent="0.2">
      <c r="A198" s="210"/>
      <c r="B198" s="79" t="str">
        <f>IFERROR(INDEX(gwp_table[], MATCH(speciated_ghg_164[[#This Row],[CAS '#]], gwp_table[CAS No.], 0), MATCH("Name", gwp_table[#Headers], 0)),"No CAS Number Entered")</f>
        <v>No CAS Number Entered</v>
      </c>
      <c r="C198" s="79" t="str">
        <f>IFERROR(INDEX(gwp_table[], MATCH(speciated_ghg_164[[#This Row],[CAS '#]], gwp_table[CAS No.], 0), MATCH("Global warming potential", gwp_table[#Headers], 0)),"No CAS Number Entered")</f>
        <v>No CAS Number Entered</v>
      </c>
      <c r="D198" s="219"/>
      <c r="E198" s="79">
        <f>IFERROR(speciated_ghg_164[[#This Row],[Weight Percent]]*(unique_components_162[[#Totals],[Controlled
tpy]]+standard_components_161[[#Totals],[Controlled
tpy]]), "-")</f>
        <v>0</v>
      </c>
      <c r="F198" s="81" t="str">
        <f>IFERROR(speciated_ghg_164[[#This Row],[Mass Emissions (U.S. tons per year)]]*speciated_ghg_164[[#This Row],[Global Warming Potential (GWP)]], "-")</f>
        <v>-</v>
      </c>
      <c r="G198" s="29"/>
      <c r="H198" s="29"/>
      <c r="I198" s="169"/>
    </row>
    <row r="199" spans="1:9" x14ac:dyDescent="0.2">
      <c r="A199" s="210"/>
      <c r="B199" s="79" t="str">
        <f>IFERROR(INDEX(gwp_table[], MATCH(speciated_ghg_164[[#This Row],[CAS '#]], gwp_table[CAS No.], 0), MATCH("Name", gwp_table[#Headers], 0)),"No CAS Number Entered")</f>
        <v>No CAS Number Entered</v>
      </c>
      <c r="C199" s="79" t="str">
        <f>IFERROR(INDEX(gwp_table[], MATCH(speciated_ghg_164[[#This Row],[CAS '#]], gwp_table[CAS No.], 0), MATCH("Global warming potential", gwp_table[#Headers], 0)),"No CAS Number Entered")</f>
        <v>No CAS Number Entered</v>
      </c>
      <c r="D199" s="219"/>
      <c r="E199" s="79">
        <f>IFERROR(speciated_ghg_164[[#This Row],[Weight Percent]]*(unique_components_162[[#Totals],[Controlled
tpy]]+standard_components_161[[#Totals],[Controlled
tpy]]), "-")</f>
        <v>0</v>
      </c>
      <c r="F199" s="81" t="str">
        <f>IFERROR(speciated_ghg_164[[#This Row],[Mass Emissions (U.S. tons per year)]]*speciated_ghg_164[[#This Row],[Global Warming Potential (GWP)]], "-")</f>
        <v>-</v>
      </c>
      <c r="G199" s="29"/>
      <c r="H199" s="29"/>
      <c r="I199" s="169"/>
    </row>
    <row r="200" spans="1:9" x14ac:dyDescent="0.2">
      <c r="A200" s="210"/>
      <c r="B200" s="79" t="str">
        <f>IFERROR(INDEX(gwp_table[], MATCH(speciated_ghg_164[[#This Row],[CAS '#]], gwp_table[CAS No.], 0), MATCH("Name", gwp_table[#Headers], 0)),"No CAS Number Entered")</f>
        <v>No CAS Number Entered</v>
      </c>
      <c r="C200" s="79" t="str">
        <f>IFERROR(INDEX(gwp_table[], MATCH(speciated_ghg_164[[#This Row],[CAS '#]], gwp_table[CAS No.], 0), MATCH("Global warming potential", gwp_table[#Headers], 0)),"No CAS Number Entered")</f>
        <v>No CAS Number Entered</v>
      </c>
      <c r="D200" s="219"/>
      <c r="E200" s="79">
        <f>IFERROR(speciated_ghg_164[[#This Row],[Weight Percent]]*(unique_components_162[[#Totals],[Controlled
tpy]]+standard_components_161[[#Totals],[Controlled
tpy]]), "-")</f>
        <v>0</v>
      </c>
      <c r="F200" s="81" t="str">
        <f>IFERROR(speciated_ghg_164[[#This Row],[Mass Emissions (U.S. tons per year)]]*speciated_ghg_164[[#This Row],[Global Warming Potential (GWP)]], "-")</f>
        <v>-</v>
      </c>
      <c r="G200" s="29"/>
      <c r="H200" s="29"/>
      <c r="I200" s="169"/>
    </row>
    <row r="201" spans="1:9" x14ac:dyDescent="0.2">
      <c r="A201" s="210"/>
      <c r="B201" s="79" t="str">
        <f>IFERROR(INDEX(gwp_table[], MATCH(speciated_ghg_164[[#This Row],[CAS '#]], gwp_table[CAS No.], 0), MATCH("Name", gwp_table[#Headers], 0)),"No CAS Number Entered")</f>
        <v>No CAS Number Entered</v>
      </c>
      <c r="C201" s="79" t="str">
        <f>IFERROR(INDEX(gwp_table[], MATCH(speciated_ghg_164[[#This Row],[CAS '#]], gwp_table[CAS No.], 0), MATCH("Global warming potential", gwp_table[#Headers], 0)),"No CAS Number Entered")</f>
        <v>No CAS Number Entered</v>
      </c>
      <c r="D201" s="219"/>
      <c r="E201" s="79">
        <f>IFERROR(speciated_ghg_164[[#This Row],[Weight Percent]]*(unique_components_162[[#Totals],[Controlled
tpy]]+standard_components_161[[#Totals],[Controlled
tpy]]), "-")</f>
        <v>0</v>
      </c>
      <c r="F201" s="81" t="str">
        <f>IFERROR(speciated_ghg_164[[#This Row],[Mass Emissions (U.S. tons per year)]]*speciated_ghg_164[[#This Row],[Global Warming Potential (GWP)]], "-")</f>
        <v>-</v>
      </c>
      <c r="G201" s="169"/>
      <c r="H201" s="169"/>
      <c r="I201" s="169"/>
    </row>
    <row r="202" spans="1:9" x14ac:dyDescent="0.2">
      <c r="A202" s="210"/>
      <c r="B202" s="79" t="str">
        <f>IFERROR(INDEX(gwp_table[], MATCH(speciated_ghg_164[[#This Row],[CAS '#]], gwp_table[CAS No.], 0), MATCH("Name", gwp_table[#Headers], 0)),"No CAS Number Entered")</f>
        <v>No CAS Number Entered</v>
      </c>
      <c r="C202" s="79" t="str">
        <f>IFERROR(INDEX(gwp_table[], MATCH(speciated_ghg_164[[#This Row],[CAS '#]], gwp_table[CAS No.], 0), MATCH("Global warming potential", gwp_table[#Headers], 0)),"No CAS Number Entered")</f>
        <v>No CAS Number Entered</v>
      </c>
      <c r="D202" s="219"/>
      <c r="E202" s="79">
        <f>IFERROR(speciated_ghg_164[[#This Row],[Weight Percent]]*(unique_components_162[[#Totals],[Controlled
tpy]]+standard_components_161[[#Totals],[Controlled
tpy]]), "-")</f>
        <v>0</v>
      </c>
      <c r="F202" s="81" t="str">
        <f>IFERROR(speciated_ghg_164[[#This Row],[Mass Emissions (U.S. tons per year)]]*speciated_ghg_164[[#This Row],[Global Warming Potential (GWP)]], "-")</f>
        <v>-</v>
      </c>
      <c r="G202" s="169"/>
      <c r="H202" s="169"/>
      <c r="I202" s="169"/>
    </row>
    <row r="203" spans="1:9" x14ac:dyDescent="0.2">
      <c r="A203" s="210"/>
      <c r="B203" s="79" t="str">
        <f>IFERROR(INDEX(gwp_table[], MATCH(speciated_ghg_164[[#This Row],[CAS '#]], gwp_table[CAS No.], 0), MATCH("Name", gwp_table[#Headers], 0)),"No CAS Number Entered")</f>
        <v>No CAS Number Entered</v>
      </c>
      <c r="C203" s="79" t="str">
        <f>IFERROR(INDEX(gwp_table[], MATCH(speciated_ghg_164[[#This Row],[CAS '#]], gwp_table[CAS No.], 0), MATCH("Global warming potential", gwp_table[#Headers], 0)),"No CAS Number Entered")</f>
        <v>No CAS Number Entered</v>
      </c>
      <c r="D203" s="219"/>
      <c r="E203" s="79">
        <f>IFERROR(speciated_ghg_164[[#This Row],[Weight Percent]]*(unique_components_162[[#Totals],[Controlled
tpy]]+standard_components_161[[#Totals],[Controlled
tpy]]), "-")</f>
        <v>0</v>
      </c>
      <c r="F203" s="81" t="str">
        <f>IFERROR(speciated_ghg_164[[#This Row],[Mass Emissions (U.S. tons per year)]]*speciated_ghg_164[[#This Row],[Global Warming Potential (GWP)]], "-")</f>
        <v>-</v>
      </c>
      <c r="G203" s="169"/>
      <c r="H203" s="169"/>
      <c r="I203" s="169"/>
    </row>
    <row r="204" spans="1:9" ht="30" x14ac:dyDescent="0.25">
      <c r="A204" s="185" t="s">
        <v>13321</v>
      </c>
      <c r="B204" s="77"/>
      <c r="C204" s="77"/>
      <c r="D204" s="77"/>
      <c r="E204" s="80">
        <f>SUBTOTAL(109,speciated_ghg_164[Mass Emissions (U.S. tons per year)])</f>
        <v>0</v>
      </c>
      <c r="F204" s="82">
        <f>SUBTOTAL(109,speciated_ghg_164[CO2e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speciated_chemicals_163[[#Totals],[lb/hr]]</f>
        <v>0</v>
      </c>
      <c r="C207" s="134"/>
      <c r="D207" s="134"/>
      <c r="E207" s="134"/>
      <c r="F207" s="134"/>
      <c r="G207" s="169"/>
      <c r="H207" s="169"/>
    </row>
    <row r="208" spans="1:9" ht="29.25" x14ac:dyDescent="0.25">
      <c r="A208" s="174" t="s">
        <v>13320</v>
      </c>
      <c r="B208" s="175">
        <f>speciated_chemicals_163[[#Totals],[tpy]]</f>
        <v>0</v>
      </c>
      <c r="C208" s="134"/>
      <c r="D208" s="134"/>
      <c r="E208" s="134"/>
      <c r="F208" s="134"/>
      <c r="G208" s="169"/>
      <c r="H208" s="169"/>
    </row>
    <row r="209" spans="1:8" ht="15" x14ac:dyDescent="0.25">
      <c r="A209" s="126" t="s">
        <v>13277</v>
      </c>
      <c r="B209" s="128">
        <f>SUMIF(speciated_chemicals_163[VOC?],"Yes",speciated_chemicals_163[lb/hr])</f>
        <v>0</v>
      </c>
      <c r="C209" s="134"/>
      <c r="D209" s="29"/>
      <c r="E209" s="29"/>
      <c r="F209" s="29"/>
      <c r="G209" s="169"/>
      <c r="H209" s="169"/>
    </row>
    <row r="210" spans="1:8" ht="15" x14ac:dyDescent="0.25">
      <c r="A210" s="126" t="s">
        <v>12669</v>
      </c>
      <c r="B210" s="128">
        <f>SUMIF(speciated_chemicals_163[VOC?],"Yes",speciated_chemicals_163[tpy])</f>
        <v>0</v>
      </c>
      <c r="C210" s="134"/>
      <c r="D210" s="29"/>
      <c r="E210" s="29"/>
      <c r="F210" s="29"/>
      <c r="G210" s="169"/>
      <c r="H210" s="169"/>
    </row>
    <row r="211" spans="1:8" ht="15" x14ac:dyDescent="0.25">
      <c r="A211" s="126" t="s">
        <v>12775</v>
      </c>
      <c r="B211" s="128">
        <f>SUMIF(speciated_chemicals_163[Inorganic?],"Yes",speciated_chemicals_163[lb/hr])</f>
        <v>0</v>
      </c>
      <c r="C211" s="134"/>
      <c r="D211" s="29"/>
      <c r="E211" s="29"/>
      <c r="F211" s="29"/>
      <c r="G211" s="169"/>
      <c r="H211" s="169"/>
    </row>
    <row r="212" spans="1:8" ht="15" x14ac:dyDescent="0.25">
      <c r="A212" s="126" t="s">
        <v>12770</v>
      </c>
      <c r="B212" s="128">
        <f>SUMIF(speciated_chemicals_163[Inorganic?],"Yes",speciated_chemicals_163[tpy])</f>
        <v>0</v>
      </c>
      <c r="C212" s="134"/>
      <c r="D212" s="29"/>
      <c r="E212" s="29"/>
      <c r="F212" s="29"/>
      <c r="G212" s="169"/>
      <c r="H212" s="169"/>
    </row>
    <row r="213" spans="1:8" ht="15" x14ac:dyDescent="0.25">
      <c r="A213" s="126" t="s">
        <v>13276</v>
      </c>
      <c r="B213" s="128">
        <f>SUMIF(speciated_chemicals_163[VOC-Exempt Solvent?],"Yes",speciated_chemicals_163[lb/hr])</f>
        <v>0</v>
      </c>
      <c r="C213" s="134"/>
      <c r="D213" s="29"/>
      <c r="E213" s="29"/>
      <c r="F213" s="29"/>
      <c r="G213" s="169"/>
      <c r="H213" s="169"/>
    </row>
    <row r="214" spans="1:8" ht="15" x14ac:dyDescent="0.25">
      <c r="A214" s="126" t="s">
        <v>13278</v>
      </c>
      <c r="B214" s="128">
        <f>SUMIF(speciated_chemicals_163[VOC-Exempt Solvent?],"Yes",speciated_chemicals_163[tpy])</f>
        <v>0</v>
      </c>
      <c r="C214" s="134"/>
      <c r="D214" s="29"/>
      <c r="E214" s="29"/>
      <c r="F214" s="29"/>
      <c r="G214" s="169"/>
      <c r="H214" s="169"/>
    </row>
    <row r="215" spans="1:8" ht="15" x14ac:dyDescent="0.25">
      <c r="A215" s="127" t="s">
        <v>13280</v>
      </c>
      <c r="B215" s="176">
        <f>speciated_ghg_164[[#Totals],[Mass Emissions (U.S. tons per year)]]</f>
        <v>0</v>
      </c>
      <c r="C215" s="134"/>
      <c r="D215" s="29"/>
      <c r="E215" s="29"/>
      <c r="F215" s="29"/>
      <c r="G215" s="169"/>
      <c r="H215" s="169"/>
    </row>
    <row r="216" spans="1:8" ht="18.75" x14ac:dyDescent="0.35">
      <c r="A216" s="127" t="s">
        <v>13281</v>
      </c>
      <c r="B216" s="176">
        <f>speciated_ghg_164[[#Totals],[CO2e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XJH2IFHdtlUrr3NrgJgELSAYZtxAUNlkOVG5p8mJB6an+tgdLm1LamMgXpUic75nmuk3r79ztVx/LjuNYWEVag==" saltValue="2IcUOKXCRJa1uMA9Ujkqaw==" spinCount="100000" sheet="1" objects="1" scenarios="1" formatColumns="0" formatRows="0" autoFilter="0"/>
  <conditionalFormatting sqref="A21:H21">
    <cfRule type="expression" dxfId="1327" priority="5">
      <formula>$F$19="No"</formula>
    </cfRule>
  </conditionalFormatting>
  <conditionalFormatting sqref="A105:E106 F106:G126">
    <cfRule type="expression" dxfId="1326" priority="4">
      <formula>$E$104="no"</formula>
    </cfRule>
  </conditionalFormatting>
  <conditionalFormatting sqref="C131:C180">
    <cfRule type="expression" dxfId="1325" priority="3">
      <formula>NOT(B131="Other (Please specify):")</formula>
    </cfRule>
  </conditionalFormatting>
  <conditionalFormatting sqref="A107:E126">
    <cfRule type="expression" dxfId="1324" priority="2">
      <formula>$A$58="No"</formula>
    </cfRule>
  </conditionalFormatting>
  <conditionalFormatting sqref="A107:E126 A206:B214 A215:A216">
    <cfRule type="expression" dxfId="1323"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1424B2FF-93FA-4946-9089-26F0011329E7}"/>
    <dataValidation type="list" allowBlank="1" showInputMessage="1" showErrorMessage="1" sqref="E104:H104 B10" xr:uid="{89D220AD-E6CF-41E1-B229-0C4B582B6D45}">
      <formula1>"Yes,No"</formula1>
    </dataValidation>
    <dataValidation type="list" allowBlank="1" showInputMessage="1" showErrorMessage="1" sqref="F19:H20" xr:uid="{429661E1-11B0-4C30-9597-AB24538CDFCC}">
      <formula1>"No,Yes - 75%,Yes - 95%"</formula1>
    </dataValidation>
    <dataValidation type="list" allowBlank="1" showInputMessage="1" showErrorMessage="1" sqref="F18" xr:uid="{890EB375-3FF6-4A17-A161-78D223B1F41D}">
      <formula1>IF(#REF!="SOCMI Non-leaker",ListNone,ListInspection)</formula1>
    </dataValidation>
    <dataValidation type="list" allowBlank="1" showInputMessage="1" showErrorMessage="1" sqref="F16:F17" xr:uid="{FDEC8DC0-8341-4A71-9256-3EA3D29D57C9}">
      <formula1>IF(#REF!="SOCMI Non-Leaker",ListNone,ListInstrument)</formula1>
    </dataValidation>
    <dataValidation type="list" allowBlank="1" showInputMessage="1" prompt="Please specify whether the substance is a volatile organic compound (VOC); methane and ethane are not classifed as VOCs" sqref="D132:D180" xr:uid="{16291DAA-2E61-4057-9E38-87A1599C78C3}">
      <formula1>"Yes,No"</formula1>
    </dataValidation>
    <dataValidation allowBlank="1" showInputMessage="1" showErrorMessage="1" prompt="Enter the weight percent of the substance" sqref="H178:H180 H132:H176" xr:uid="{1B8DEFB7-41AF-41C2-A4D4-96A2EF55864D}"/>
    <dataValidation type="list" allowBlank="1" showInputMessage="1" showErrorMessage="1" prompt="Enter or select Chemical Abstracts Service number; select &quot;N/A&quot; if a CAS # is not applicable" sqref="A131:A175 A177:A180" xr:uid="{3583D51C-6B2C-4F8F-B7AE-985A499C2F16}">
      <formula1>SpeciesList</formula1>
    </dataValidation>
    <dataValidation type="list" allowBlank="1" showInputMessage="1" prompt="Select other species from dropdown" sqref="C131:C180" xr:uid="{BF6C7DC1-AEC9-4049-863C-62AF90A8D556}">
      <formula1>NoCASList</formula1>
    </dataValidation>
    <dataValidation allowBlank="1" showInputMessage="1" showErrorMessage="1" prompt="Proposed control efficiency (0-1)" sqref="E107:E126" xr:uid="{A4C2FDE0-97F9-42FA-8DAF-F377A4C07723}"/>
    <dataValidation allowBlank="1" showInputMessage="1" showErrorMessage="1" prompt="Count of unique component" sqref="C107:C126" xr:uid="{53E84A4E-84DD-46C3-9A60-53BA2D10975D}"/>
    <dataValidation allowBlank="1" showInputMessage="1" showErrorMessage="1" prompt="Type of service (e.g. gas, vapor, or liquid)" sqref="B107:B126" xr:uid="{F057AA98-D699-4725-B059-9EA372E8AD25}"/>
    <dataValidation allowBlank="1" showInputMessage="1" showErrorMessage="1" prompt="Name of unique component" sqref="A107:A126" xr:uid="{28E4ADCF-2636-4444-BE22-9A630D42C412}"/>
    <dataValidation type="list" allowBlank="1" showInputMessage="1" showErrorMessage="1" sqref="B13" xr:uid="{81A1E5F0-7E07-4151-BFBE-EA6ABFA33A87}">
      <formula1>industry_names</formula1>
    </dataValidation>
    <dataValidation type="list" allowBlank="1" showInputMessage="1" showErrorMessage="1" sqref="B19" xr:uid="{062867A7-2760-48EC-8D4A-E57C4AE4CCEB}">
      <formula1>yes_no_list</formula1>
    </dataValidation>
    <dataValidation type="list" allowBlank="1" showInputMessage="1" showErrorMessage="1" sqref="B20" xr:uid="{5CEB9458-317B-4039-8B45-3B55558E46E6}">
      <formula1>process_drains_effs</formula1>
    </dataValidation>
    <dataValidation allowBlank="1" showInputMessage="1" showErrorMessage="1" prompt="Proposed emission factor" sqref="D107:D126" xr:uid="{BCCC072F-72D5-4FC3-9B3D-313454B1292D}"/>
    <dataValidation type="list" allowBlank="1" showInputMessage="1" prompt="Please specify if the substance is an inert substance or is not considered a contaminant (e.g. steam)" sqref="G131:G180" xr:uid="{8C7A5423-78FF-4606-94F0-EB9786D449AB}">
      <formula1>"Yes,No"</formula1>
    </dataValidation>
    <dataValidation type="list" allowBlank="1" showInputMessage="1" showErrorMessage="1" prompt="Please select from the dropdown" sqref="B104" xr:uid="{D57A41CD-A3FD-43E0-BDFB-A051B2DE599C}">
      <formula1>yes_no_list</formula1>
    </dataValidation>
    <dataValidation allowBlank="1" showInputMessage="1" showErrorMessage="1" prompt="Provide justification" sqref="B105" xr:uid="{4C381FE3-572E-48F6-A80A-7DC5372C8EAF}"/>
    <dataValidation type="list" showInputMessage="1" prompt="Please specify whether the substance is a volatile organic compound (VOC); methane and ethane are not classifed as VOCs" sqref="D131" xr:uid="{88A62C71-FE42-422D-A986-7CE31D2164E6}">
      <formula1>"Yes,No"</formula1>
    </dataValidation>
    <dataValidation type="list" showInputMessage="1" prompt="Please specify whether the substance is an inorganic contaminant (e.g. ammonia or chlorine gas)" sqref="E131:E180" xr:uid="{64937EED-FAC0-4A1F-B74F-2214D7B6146D}">
      <formula1>"Yes,No"</formula1>
    </dataValidation>
    <dataValidation type="list" allowBlank="1" showInputMessage="1" prompt="Please specify whether the substance is an VOC-exempt solvent." sqref="F131:F180" xr:uid="{FF27BE09-4230-4557-9E0D-242346D1BC06}">
      <formula1>"Yes,No"</formula1>
    </dataValidation>
    <dataValidation type="list" allowBlank="1" showInputMessage="1" showErrorMessage="1" prompt="Enter or select Chemical Abstracts Service number; select &quot;N/A&quot; if a CAS # is not applicable" sqref="A185:A203 A176" xr:uid="{AD187FAB-7E52-41B5-99EE-FA188092601F}">
      <formula1>gwp_table_cas</formula1>
    </dataValidation>
    <dataValidation type="decimal" allowBlank="1" showInputMessage="1" showErrorMessage="1" prompt="Enter the weight percent of the substance" sqref="H177" xr:uid="{90ADF099-F51C-43E7-B717-5C0405EEFB88}">
      <formula1>0</formula1>
      <formula2>1</formula2>
    </dataValidation>
    <dataValidation type="decimal" operator="greaterThan" allowBlank="1" showInputMessage="1" showErrorMessage="1" prompt="Enter the weight percent of the substance" sqref="H131 D185:D203" xr:uid="{C0E63BA4-8785-4961-B15C-B9055AFEA9B5}">
      <formula1>0</formula1>
    </dataValidation>
    <dataValidation type="list" allowBlank="1" showInputMessage="1" showErrorMessage="1" sqref="B18" xr:uid="{CBF4B3BB-C4DC-4E7A-9EA4-E4ED2DADE6D1}">
      <formula1>inspection_ldar_list</formula1>
    </dataValidation>
    <dataValidation type="list" allowBlank="1" showInputMessage="1" showErrorMessage="1" sqref="B17" xr:uid="{A3EF40B3-418E-4691-A807-8EBC3AE08B6E}">
      <formula1>connector_ldar_list</formula1>
    </dataValidation>
    <dataValidation type="list" allowBlank="1" showInputMessage="1" showErrorMessage="1" sqref="B16" xr:uid="{2A2FDC79-594E-4C55-BBA1-8019B087C100}">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823F9-6A07-4798-9143-B8EEF9FB2F41}">
  <sheetPr codeName="Sheet19">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INDEX((standard_components_165[[#This Row],[Component]]=factor_eff_table[Component])*(standard_components_165[[#This Row],[Service]]=factor_eff_table[Service]), 0, 1), 0)),
 "-")</f>
        <v>-</v>
      </c>
      <c r="E25" s="145" t="str" cm="1">
        <f t="array" ref="E2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25" s="145" t="str" cm="1">
        <f t="array" ref="F2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25" s="145" t="str" cm="1">
        <f t="array" ref="G2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2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2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INDEX((standard_components_165[[#This Row],[Component]]=factor_eff_table[Component])*(standard_components_165[[#This Row],[Service]]=factor_eff_table[Service]), 0, 1), 0)),
 "-")</f>
        <v>-</v>
      </c>
      <c r="E26" s="145" t="str" cm="1">
        <f t="array" ref="E2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26" s="145" t="str" cm="1">
        <f t="array" ref="F2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26" s="145" t="str" cm="1">
        <f t="array" ref="G2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2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2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INDEX((standard_components_165[[#This Row],[Component]]=factor_eff_table[Component])*(standard_components_165[[#This Row],[Service]]=factor_eff_table[Service]), 0, 1), 0)),
 "-")</f>
        <v>-</v>
      </c>
      <c r="E27" s="145" t="str" cm="1">
        <f t="array" ref="E2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27" s="145" t="str" cm="1">
        <f t="array" ref="F2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27" s="145" t="str" cm="1">
        <f t="array" ref="G2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2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2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INDEX((standard_components_165[[#This Row],[Component]]=factor_eff_table[Component])*(standard_components_165[[#This Row],[Service]]=factor_eff_table[Service]), 0, 1), 0)),
 "-")</f>
        <v>-</v>
      </c>
      <c r="E28" s="145" t="str" cm="1">
        <f t="array" ref="E2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28" s="145" t="str" cm="1">
        <f t="array" ref="F2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28" s="145" t="str" cm="1">
        <f t="array" ref="G2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2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2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INDEX((standard_components_165[[#This Row],[Component]]=factor_eff_table[Component])*(standard_components_165[[#This Row],[Service]]=factor_eff_table[Service]), 0, 1), 0)),
 "-")</f>
        <v>-</v>
      </c>
      <c r="E29" s="145" t="str" cm="1">
        <f t="array" ref="E2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29" s="145" t="str" cm="1">
        <f t="array" ref="F2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29" s="145" t="str" cm="1">
        <f t="array" ref="G2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2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2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INDEX((standard_components_165[[#This Row],[Component]]=factor_eff_table[Component])*(standard_components_165[[#This Row],[Service]]=factor_eff_table[Service]), 0, 1), 0)),
 "-")</f>
        <v>-</v>
      </c>
      <c r="E30" s="145" t="str" cm="1">
        <f t="array" ref="E3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0" s="145" t="str" cm="1">
        <f t="array" ref="F3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0" s="145" t="str" cm="1">
        <f t="array" ref="G3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INDEX((standard_components_165[[#This Row],[Component]]=factor_eff_table[Component])*(standard_components_165[[#This Row],[Service]]=factor_eff_table[Service]), 0, 1), 0)),
 "-")</f>
        <v>-</v>
      </c>
      <c r="E31" s="145" t="str" cm="1">
        <f t="array" ref="E3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1" s="145" t="str" cm="1">
        <f t="array" ref="F3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1" s="145" t="str" cm="1">
        <f t="array" ref="G3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INDEX((standard_components_165[[#This Row],[Component]]=factor_eff_table[Component])*(standard_components_165[[#This Row],[Service]]=factor_eff_table[Service]), 0, 1), 0)),
 "-")</f>
        <v>-</v>
      </c>
      <c r="E32" s="145" t="str" cm="1">
        <f t="array" ref="E3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2" s="145" t="str" cm="1">
        <f t="array" ref="F3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2" s="145" t="str" cm="1">
        <f t="array" ref="G3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INDEX((standard_components_165[[#This Row],[Component]]=factor_eff_table[Component])*(standard_components_165[[#This Row],[Service]]=factor_eff_table[Service]), 0, 1), 0)),
 "-")</f>
        <v>-</v>
      </c>
      <c r="E33" s="145" t="str" cm="1">
        <f t="array" ref="E3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3" s="145" t="str" cm="1">
        <f t="array" ref="F3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3" s="145" t="str" cm="1">
        <f t="array" ref="G3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INDEX((standard_components_165[[#This Row],[Component]]=factor_eff_table[Component])*(standard_components_165[[#This Row],[Service]]=factor_eff_table[Service]), 0, 1), 0)),
 "-")</f>
        <v>-</v>
      </c>
      <c r="E34" s="145" t="str" cm="1">
        <f t="array" ref="E3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4" s="145" t="str" cm="1">
        <f t="array" ref="F3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4" s="145" t="str" cm="1">
        <f t="array" ref="G3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INDEX((standard_components_165[[#This Row],[Component]]=factor_eff_table[Component])*(standard_components_165[[#This Row],[Service]]=factor_eff_table[Service]), 0, 1), 0)),
 "-")</f>
        <v>-</v>
      </c>
      <c r="E35" s="145" t="str" cm="1">
        <f t="array" ref="E3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5" s="145" t="str" cm="1">
        <f t="array" ref="F3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5" s="145" t="str" cm="1">
        <f t="array" ref="G3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INDEX((standard_components_165[[#This Row],[Component]]=factor_eff_table[Component])*(standard_components_165[[#This Row],[Service]]=factor_eff_table[Service]), 0, 1), 0)),
 "-")</f>
        <v>-</v>
      </c>
      <c r="E36" s="145" t="str" cm="1">
        <f t="array" ref="E3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6" s="145" t="str" cm="1">
        <f t="array" ref="F3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6" s="145" t="str" cm="1">
        <f t="array" ref="G3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INDEX((standard_components_165[[#This Row],[Component]]=factor_eff_table[Component])*(standard_components_165[[#This Row],[Service]]=factor_eff_table[Service]), 0, 1), 0)),
 "-")</f>
        <v>-</v>
      </c>
      <c r="E37" s="145" t="str" cm="1">
        <f t="array" ref="E3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7" s="145" t="str" cm="1">
        <f t="array" ref="F3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7" s="145" t="str" cm="1">
        <f t="array" ref="G3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INDEX((standard_components_165[[#This Row],[Component]]=factor_eff_table[Component])*(standard_components_165[[#This Row],[Service]]=factor_eff_table[Service]), 0, 1), 0)),
 "-")</f>
        <v>-</v>
      </c>
      <c r="E38" s="145" t="str" cm="1">
        <f t="array" ref="E3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8" s="145" t="str" cm="1">
        <f t="array" ref="F3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8" s="145" t="str" cm="1">
        <f t="array" ref="G3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INDEX((standard_components_165[[#This Row],[Component]]=factor_eff_table[Component])*(standard_components_165[[#This Row],[Service]]=factor_eff_table[Service]), 0, 1), 0)),
 "-")</f>
        <v>-</v>
      </c>
      <c r="E39" s="145" t="str" cm="1">
        <f t="array" ref="E3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39" s="145" t="str" cm="1">
        <f t="array" ref="F3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39" s="145" t="str" cm="1">
        <f t="array" ref="G3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3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3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INDEX((standard_components_165[[#This Row],[Component]]=factor_eff_table[Component])*(standard_components_165[[#This Row],[Service]]=factor_eff_table[Service]), 0, 1), 0)),
 "-")</f>
        <v>-</v>
      </c>
      <c r="E40" s="145" t="str" cm="1">
        <f t="array" ref="E4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0" s="145" t="str" cm="1">
        <f t="array" ref="F4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0" s="145" t="str" cm="1">
        <f t="array" ref="G4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INDEX((standard_components_165[[#This Row],[Component]]=factor_eff_table[Component])*(standard_components_165[[#This Row],[Service]]=factor_eff_table[Service]), 0, 1), 0)),
 "-")</f>
        <v>-</v>
      </c>
      <c r="E41" s="145" t="str" cm="1">
        <f t="array" ref="E4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1" s="145" t="str" cm="1">
        <f t="array" ref="F4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1" s="145" t="str" cm="1">
        <f t="array" ref="G4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INDEX((standard_components_165[[#This Row],[Component]]=factor_eff_table[Component])*(standard_components_165[[#This Row],[Service]]=factor_eff_table[Service]), 0, 1), 0)),
 "-")</f>
        <v>-</v>
      </c>
      <c r="E42" s="145" t="str" cm="1">
        <f t="array" ref="E4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2" s="145" t="str" cm="1">
        <f t="array" ref="F4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2" s="145" t="str" cm="1">
        <f t="array" ref="G4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INDEX((standard_components_165[[#This Row],[Component]]=factor_eff_table[Component])*(standard_components_165[[#This Row],[Service]]=factor_eff_table[Service]), 0, 1), 0)),
 "-")</f>
        <v>-</v>
      </c>
      <c r="E43" s="145" t="str" cm="1">
        <f t="array" ref="E4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3" s="145" t="str" cm="1">
        <f t="array" ref="F4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3" s="145" t="str" cm="1">
        <f t="array" ref="G4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INDEX((standard_components_165[[#This Row],[Component]]=factor_eff_table[Component])*(standard_components_165[[#This Row],[Service]]=factor_eff_table[Service]), 0, 1), 0)),
 "-")</f>
        <v>-</v>
      </c>
      <c r="E44" s="145" t="str" cm="1">
        <f t="array" ref="E4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4" s="145" t="str" cm="1">
        <f t="array" ref="F4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4" s="145" t="str" cm="1">
        <f t="array" ref="G4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INDEX((standard_components_165[[#This Row],[Component]]=factor_eff_table[Component])*(standard_components_165[[#This Row],[Service]]=factor_eff_table[Service]), 0, 1), 0)),
 "-")</f>
        <v>-</v>
      </c>
      <c r="E45" s="145" t="str" cm="1">
        <f t="array" ref="E4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5" s="145" t="str" cm="1">
        <f t="array" ref="F4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5" s="145" t="str" cm="1">
        <f t="array" ref="G4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INDEX((standard_components_165[[#This Row],[Component]]=factor_eff_table[Component])*(standard_components_165[[#This Row],[Service]]=factor_eff_table[Service]), 0, 1), 0)),
 "-")</f>
        <v>-</v>
      </c>
      <c r="E46" s="145" t="str" cm="1">
        <f t="array" ref="E4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6" s="145" t="str" cm="1">
        <f t="array" ref="F4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6" s="145" t="str" cm="1">
        <f t="array" ref="G4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INDEX((standard_components_165[[#This Row],[Component]]=factor_eff_table[Component])*(standard_components_165[[#This Row],[Service]]=factor_eff_table[Service]), 0, 1), 0)),
 "-")</f>
        <v>-</v>
      </c>
      <c r="E47" s="145" t="str" cm="1">
        <f t="array" ref="E4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7" s="145" t="str" cm="1">
        <f t="array" ref="F4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7" s="145" t="str" cm="1">
        <f t="array" ref="G4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INDEX((standard_components_165[[#This Row],[Component]]=factor_eff_table[Component])*(standard_components_165[[#This Row],[Service]]=factor_eff_table[Service]), 0, 1), 0)),
 "-")</f>
        <v>-</v>
      </c>
      <c r="E48" s="145" t="str" cm="1">
        <f t="array" ref="E4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8" s="145" t="str" cm="1">
        <f t="array" ref="F4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8" s="145" t="str" cm="1">
        <f t="array" ref="G4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INDEX((standard_components_165[[#This Row],[Component]]=factor_eff_table[Component])*(standard_components_165[[#This Row],[Service]]=factor_eff_table[Service]), 0, 1), 0)),
 "-")</f>
        <v>-</v>
      </c>
      <c r="E49" s="145" t="str" cm="1">
        <f t="array" ref="E4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49" s="145" t="str" cm="1">
        <f t="array" ref="F4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49" s="145" t="str" cm="1">
        <f t="array" ref="G4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4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4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INDEX((standard_components_165[[#This Row],[Component]]=factor_eff_table[Component])*(standard_components_165[[#This Row],[Service]]=factor_eff_table[Service]), 0, 1), 0)),
 "-")</f>
        <v>-</v>
      </c>
      <c r="E50" s="145" t="str" cm="1">
        <f t="array" ref="E5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0" s="145" t="str" cm="1">
        <f t="array" ref="F5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0" s="145" t="str" cm="1">
        <f t="array" ref="G5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INDEX((standard_components_165[[#This Row],[Component]]=factor_eff_table[Component])*(standard_components_165[[#This Row],[Service]]=factor_eff_table[Service]), 0, 1), 0)),
 "-")</f>
        <v>-</v>
      </c>
      <c r="E51" s="145" t="str" cm="1">
        <f t="array" ref="E5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1" s="145" t="str" cm="1">
        <f t="array" ref="F5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1" s="145" t="str" cm="1">
        <f t="array" ref="G5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INDEX((standard_components_165[[#This Row],[Component]]=factor_eff_table[Component])*(standard_components_165[[#This Row],[Service]]=factor_eff_table[Service]), 0, 1), 0)),
 "-")</f>
        <v>-</v>
      </c>
      <c r="E52" s="145" t="str" cm="1">
        <f t="array" ref="E5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2" s="145" t="str" cm="1">
        <f t="array" ref="F5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2" s="145" t="str" cm="1">
        <f t="array" ref="G5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INDEX((standard_components_165[[#This Row],[Component]]=factor_eff_table[Component])*(standard_components_165[[#This Row],[Service]]=factor_eff_table[Service]), 0, 1), 0)),
 "-")</f>
        <v>-</v>
      </c>
      <c r="E53" s="145" t="str" cm="1">
        <f t="array" ref="E5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3" s="145" t="str" cm="1">
        <f t="array" ref="F5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3" s="145" t="str" cm="1">
        <f t="array" ref="G5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INDEX((standard_components_165[[#This Row],[Component]]=factor_eff_table[Component])*(standard_components_165[[#This Row],[Service]]=factor_eff_table[Service]), 0, 1), 0)),
 "-")</f>
        <v>-</v>
      </c>
      <c r="E54" s="145" t="str" cm="1">
        <f t="array" ref="E5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4" s="145" t="str" cm="1">
        <f t="array" ref="F5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4" s="145" t="str" cm="1">
        <f t="array" ref="G5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INDEX((standard_components_165[[#This Row],[Component]]=factor_eff_table[Component])*(standard_components_165[[#This Row],[Service]]=factor_eff_table[Service]), 0, 1), 0)),
 "-")</f>
        <v>-</v>
      </c>
      <c r="E55" s="145" t="str" cm="1">
        <f t="array" ref="E5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5" s="145" t="str" cm="1">
        <f t="array" ref="F5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5" s="145" t="str" cm="1">
        <f t="array" ref="G5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INDEX((standard_components_165[[#This Row],[Component]]=factor_eff_table[Component])*(standard_components_165[[#This Row],[Service]]=factor_eff_table[Service]), 0, 1), 0)),
 "-")</f>
        <v>-</v>
      </c>
      <c r="E56" s="145" t="str" cm="1">
        <f t="array" ref="E5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6" s="145" t="str" cm="1">
        <f t="array" ref="F5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6" s="145" t="str" cm="1">
        <f t="array" ref="G5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INDEX((standard_components_165[[#This Row],[Component]]=factor_eff_table[Component])*(standard_components_165[[#This Row],[Service]]=factor_eff_table[Service]), 0, 1), 0)),
 "-")</f>
        <v>-</v>
      </c>
      <c r="E57" s="145" t="str" cm="1">
        <f t="array" ref="E5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7" s="145" t="str" cm="1">
        <f t="array" ref="F5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7" s="145" t="str" cm="1">
        <f t="array" ref="G5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INDEX((standard_components_165[[#This Row],[Component]]=factor_eff_table[Component])*(standard_components_165[[#This Row],[Service]]=factor_eff_table[Service]), 0, 1), 0)),
 "-")</f>
        <v>-</v>
      </c>
      <c r="E58" s="145" t="str" cm="1">
        <f t="array" ref="E5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8" s="145" t="str" cm="1">
        <f t="array" ref="F5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8" s="145" t="str" cm="1">
        <f t="array" ref="G5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INDEX((standard_components_165[[#This Row],[Component]]=factor_eff_table[Component])*(standard_components_165[[#This Row],[Service]]=factor_eff_table[Service]), 0, 1), 0)),
 "-")</f>
        <v>-</v>
      </c>
      <c r="E59" s="145" t="str" cm="1">
        <f t="array" ref="E5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59" s="145" t="str" cm="1">
        <f t="array" ref="F5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59" s="145" t="str" cm="1">
        <f t="array" ref="G5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5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5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INDEX((standard_components_165[[#This Row],[Component]]=factor_eff_table[Component])*(standard_components_165[[#This Row],[Service]]=factor_eff_table[Service]), 0, 1), 0)),
 "-")</f>
        <v>-</v>
      </c>
      <c r="E60" s="145" t="str" cm="1">
        <f t="array" ref="E6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0" s="145" t="str" cm="1">
        <f t="array" ref="F6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0" s="145" t="str" cm="1">
        <f t="array" ref="G6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INDEX((standard_components_165[[#This Row],[Component]]=factor_eff_table[Component])*(standard_components_165[[#This Row],[Service]]=factor_eff_table[Service]), 0, 1), 0)),
 "-")</f>
        <v>-</v>
      </c>
      <c r="E61" s="145" t="str" cm="1">
        <f t="array" ref="E6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1" s="145" t="str" cm="1">
        <f t="array" ref="F6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1" s="145" t="str" cm="1">
        <f t="array" ref="G6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INDEX((standard_components_165[[#This Row],[Component]]=factor_eff_table[Component])*(standard_components_165[[#This Row],[Service]]=factor_eff_table[Service]), 0, 1), 0)),
 "-")</f>
        <v>-</v>
      </c>
      <c r="E62" s="145" t="str" cm="1">
        <f t="array" ref="E6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2" s="145" t="str" cm="1">
        <f t="array" ref="F6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2" s="145" t="str" cm="1">
        <f t="array" ref="G6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INDEX((standard_components_165[[#This Row],[Component]]=factor_eff_table[Component])*(standard_components_165[[#This Row],[Service]]=factor_eff_table[Service]), 0, 1), 0)),
 "-")</f>
        <v>-</v>
      </c>
      <c r="E63" s="145" t="str" cm="1">
        <f t="array" ref="E6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3" s="145" t="str" cm="1">
        <f t="array" ref="F6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3" s="145" t="str" cm="1">
        <f t="array" ref="G6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INDEX((standard_components_165[[#This Row],[Component]]=factor_eff_table[Component])*(standard_components_165[[#This Row],[Service]]=factor_eff_table[Service]), 0, 1), 0)),
 "-")</f>
        <v>-</v>
      </c>
      <c r="E64" s="145" t="str" cm="1">
        <f t="array" ref="E6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4" s="145" t="str" cm="1">
        <f t="array" ref="F6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4" s="145" t="str" cm="1">
        <f t="array" ref="G6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INDEX((standard_components_165[[#This Row],[Component]]=factor_eff_table[Component])*(standard_components_165[[#This Row],[Service]]=factor_eff_table[Service]), 0, 1), 0)),
 "-")</f>
        <v>-</v>
      </c>
      <c r="E65" s="145" t="str" cm="1">
        <f t="array" ref="E6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5" s="145" t="str" cm="1">
        <f t="array" ref="F6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5" s="145" t="str" cm="1">
        <f t="array" ref="G6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INDEX((standard_components_165[[#This Row],[Component]]=factor_eff_table[Component])*(standard_components_165[[#This Row],[Service]]=factor_eff_table[Service]), 0, 1), 0)),
 "-")</f>
        <v>-</v>
      </c>
      <c r="E66" s="145" t="str" cm="1">
        <f t="array" ref="E6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6" s="145" t="str" cm="1">
        <f t="array" ref="F6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6" s="145" t="str" cm="1">
        <f t="array" ref="G6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INDEX((standard_components_165[[#This Row],[Component]]=factor_eff_table[Component])*(standard_components_165[[#This Row],[Service]]=factor_eff_table[Service]), 0, 1), 0)),
 "-")</f>
        <v>-</v>
      </c>
      <c r="E67" s="145" t="str" cm="1">
        <f t="array" ref="E6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7" s="145" t="str" cm="1">
        <f t="array" ref="F6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7" s="145" t="str" cm="1">
        <f t="array" ref="G6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INDEX((standard_components_165[[#This Row],[Component]]=factor_eff_table[Component])*(standard_components_165[[#This Row],[Service]]=factor_eff_table[Service]), 0, 1), 0)),
 "-")</f>
        <v>-</v>
      </c>
      <c r="E68" s="145" t="str" cm="1">
        <f t="array" ref="E6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8" s="145" t="str" cm="1">
        <f t="array" ref="F6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8" s="145" t="str" cm="1">
        <f t="array" ref="G6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INDEX((standard_components_165[[#This Row],[Component]]=factor_eff_table[Component])*(standard_components_165[[#This Row],[Service]]=factor_eff_table[Service]), 0, 1), 0)),
 "-")</f>
        <v>-</v>
      </c>
      <c r="E69" s="145" t="str" cm="1">
        <f t="array" ref="E6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69" s="145" t="str" cm="1">
        <f t="array" ref="F6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69" s="145" t="str" cm="1">
        <f t="array" ref="G6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6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6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INDEX((standard_components_165[[#This Row],[Component]]=factor_eff_table[Component])*(standard_components_165[[#This Row],[Service]]=factor_eff_table[Service]), 0, 1), 0)),
 "-")</f>
        <v>-</v>
      </c>
      <c r="E70" s="145" t="str" cm="1">
        <f t="array" ref="E7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0" s="145" t="str" cm="1">
        <f t="array" ref="F7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0" s="145" t="str" cm="1">
        <f t="array" ref="G7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INDEX((standard_components_165[[#This Row],[Component]]=factor_eff_table[Component])*(standard_components_165[[#This Row],[Service]]=factor_eff_table[Service]), 0, 1), 0)),
 "-")</f>
        <v>-</v>
      </c>
      <c r="E71" s="145" t="str" cm="1">
        <f t="array" ref="E7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1" s="145" t="str" cm="1">
        <f t="array" ref="F7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1" s="145" t="str" cm="1">
        <f t="array" ref="G7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INDEX((standard_components_165[[#This Row],[Component]]=factor_eff_table[Component])*(standard_components_165[[#This Row],[Service]]=factor_eff_table[Service]), 0, 1), 0)),
 "-")</f>
        <v>-</v>
      </c>
      <c r="E72" s="145" t="str" cm="1">
        <f t="array" ref="E7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2" s="145" t="str" cm="1">
        <f t="array" ref="F7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2" s="145" t="str" cm="1">
        <f t="array" ref="G7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INDEX((standard_components_165[[#This Row],[Component]]=factor_eff_table[Component])*(standard_components_165[[#This Row],[Service]]=factor_eff_table[Service]), 0, 1), 0)),
 "-")</f>
        <v>-</v>
      </c>
      <c r="E73" s="145" t="str" cm="1">
        <f t="array" ref="E7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3" s="145" t="str" cm="1">
        <f t="array" ref="F7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3" s="145" t="str" cm="1">
        <f t="array" ref="G7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INDEX((standard_components_165[[#This Row],[Component]]=factor_eff_table[Component])*(standard_components_165[[#This Row],[Service]]=factor_eff_table[Service]), 0, 1), 0)),
 "-")</f>
        <v>-</v>
      </c>
      <c r="E74" s="145" t="str" cm="1">
        <f t="array" ref="E7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4" s="145" t="str" cm="1">
        <f t="array" ref="F7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4" s="145" t="str" cm="1">
        <f t="array" ref="G7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INDEX((standard_components_165[[#This Row],[Component]]=factor_eff_table[Component])*(standard_components_165[[#This Row],[Service]]=factor_eff_table[Service]), 0, 1), 0)),
 "-")</f>
        <v>-</v>
      </c>
      <c r="E75" s="145" t="str" cm="1">
        <f t="array" ref="E7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5" s="145" t="str" cm="1">
        <f t="array" ref="F7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5" s="145" t="str" cm="1">
        <f t="array" ref="G7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INDEX((standard_components_165[[#This Row],[Component]]=factor_eff_table[Component])*(standard_components_165[[#This Row],[Service]]=factor_eff_table[Service]), 0, 1), 0)),
 "-")</f>
        <v>-</v>
      </c>
      <c r="E76" s="145" t="str" cm="1">
        <f t="array" ref="E7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6" s="145" t="str" cm="1">
        <f t="array" ref="F7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6" s="145" t="str" cm="1">
        <f t="array" ref="G7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INDEX((standard_components_165[[#This Row],[Component]]=factor_eff_table[Component])*(standard_components_165[[#This Row],[Service]]=factor_eff_table[Service]), 0, 1), 0)),
 "-")</f>
        <v>-</v>
      </c>
      <c r="E77" s="145" t="str" cm="1">
        <f t="array" ref="E7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7" s="145" t="str" cm="1">
        <f t="array" ref="F7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7" s="145" t="str" cm="1">
        <f t="array" ref="G7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INDEX((standard_components_165[[#This Row],[Component]]=factor_eff_table[Component])*(standard_components_165[[#This Row],[Service]]=factor_eff_table[Service]), 0, 1), 0)),
 "-")</f>
        <v>-</v>
      </c>
      <c r="E78" s="145" t="str" cm="1">
        <f t="array" ref="E7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8" s="145" t="str" cm="1">
        <f t="array" ref="F7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8" s="145" t="str" cm="1">
        <f t="array" ref="G7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INDEX((standard_components_165[[#This Row],[Component]]=factor_eff_table[Component])*(standard_components_165[[#This Row],[Service]]=factor_eff_table[Service]), 0, 1), 0)),
 "-")</f>
        <v>-</v>
      </c>
      <c r="E79" s="145" t="str" cm="1">
        <f t="array" ref="E7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79" s="145" t="str" cm="1">
        <f t="array" ref="F7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79" s="145" t="str" cm="1">
        <f t="array" ref="G7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7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7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INDEX((standard_components_165[[#This Row],[Component]]=factor_eff_table[Component])*(standard_components_165[[#This Row],[Service]]=factor_eff_table[Service]), 0, 1), 0)),
 "-")</f>
        <v>-</v>
      </c>
      <c r="E80" s="145" t="str" cm="1">
        <f t="array" ref="E8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0" s="145" t="str" cm="1">
        <f t="array" ref="F8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0" s="145" t="str" cm="1">
        <f t="array" ref="G8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INDEX((standard_components_165[[#This Row],[Component]]=factor_eff_table[Component])*(standard_components_165[[#This Row],[Service]]=factor_eff_table[Service]), 0, 1), 0)),
 "-")</f>
        <v>-</v>
      </c>
      <c r="E81" s="145" t="str" cm="1">
        <f t="array" ref="E8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1" s="145" t="str" cm="1">
        <f t="array" ref="F8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1" s="145" t="str" cm="1">
        <f t="array" ref="G8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INDEX((standard_components_165[[#This Row],[Component]]=factor_eff_table[Component])*(standard_components_165[[#This Row],[Service]]=factor_eff_table[Service]), 0, 1), 0)),
 "-")</f>
        <v>-</v>
      </c>
      <c r="E82" s="145" t="str" cm="1">
        <f t="array" ref="E8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2" s="145" t="str" cm="1">
        <f t="array" ref="F8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2" s="145" t="str" cm="1">
        <f t="array" ref="G8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INDEX((standard_components_165[[#This Row],[Component]]=factor_eff_table[Component])*(standard_components_165[[#This Row],[Service]]=factor_eff_table[Service]), 0, 1), 0)),
 "-")</f>
        <v>-</v>
      </c>
      <c r="E83" s="145" t="str" cm="1">
        <f t="array" ref="E8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3" s="145" t="str" cm="1">
        <f t="array" ref="F8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3" s="145" t="str" cm="1">
        <f t="array" ref="G8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INDEX((standard_components_165[[#This Row],[Component]]=factor_eff_table[Component])*(standard_components_165[[#This Row],[Service]]=factor_eff_table[Service]), 0, 1), 0)),
 "-")</f>
        <v>-</v>
      </c>
      <c r="E84" s="145" t="str" cm="1">
        <f t="array" ref="E8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4" s="145" t="str" cm="1">
        <f t="array" ref="F8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4" s="145" t="str" cm="1">
        <f t="array" ref="G8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INDEX((standard_components_165[[#This Row],[Component]]=factor_eff_table[Component])*(standard_components_165[[#This Row],[Service]]=factor_eff_table[Service]), 0, 1), 0)),
 "-")</f>
        <v>-</v>
      </c>
      <c r="E85" s="145" t="str" cm="1">
        <f t="array" ref="E8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5" s="145" t="str" cm="1">
        <f t="array" ref="F8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5" s="145" t="str" cm="1">
        <f t="array" ref="G8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INDEX((standard_components_165[[#This Row],[Component]]=factor_eff_table[Component])*(standard_components_165[[#This Row],[Service]]=factor_eff_table[Service]), 0, 1), 0)),
 "-")</f>
        <v>-</v>
      </c>
      <c r="E86" s="145" t="str" cm="1">
        <f t="array" ref="E8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6" s="145" t="str" cm="1">
        <f t="array" ref="F8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6" s="145" t="str" cm="1">
        <f t="array" ref="G8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INDEX((standard_components_165[[#This Row],[Component]]=factor_eff_table[Component])*(standard_components_165[[#This Row],[Service]]=factor_eff_table[Service]), 0, 1), 0)),
 "-")</f>
        <v>-</v>
      </c>
      <c r="E87" s="145" t="str" cm="1">
        <f t="array" ref="E8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7" s="145" t="str" cm="1">
        <f t="array" ref="F8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7" s="145" t="str" cm="1">
        <f t="array" ref="G8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INDEX((standard_components_165[[#This Row],[Component]]=factor_eff_table[Component])*(standard_components_165[[#This Row],[Service]]=factor_eff_table[Service]), 0, 1), 0)),
 "-")</f>
        <v>-</v>
      </c>
      <c r="E88" s="145" t="str" cm="1">
        <f t="array" ref="E8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8" s="145" t="str" cm="1">
        <f t="array" ref="F8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8" s="145" t="str" cm="1">
        <f t="array" ref="G8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INDEX((standard_components_165[[#This Row],[Component]]=factor_eff_table[Component])*(standard_components_165[[#This Row],[Service]]=factor_eff_table[Service]), 0, 1), 0)),
 "-")</f>
        <v>-</v>
      </c>
      <c r="E89" s="145" t="str" cm="1">
        <f t="array" ref="E8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89" s="145" t="str" cm="1">
        <f t="array" ref="F8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89" s="145" t="str" cm="1">
        <f t="array" ref="G8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8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8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INDEX((standard_components_165[[#This Row],[Component]]=factor_eff_table[Component])*(standard_components_165[[#This Row],[Service]]=factor_eff_table[Service]), 0, 1), 0)),
 "-")</f>
        <v>-</v>
      </c>
      <c r="E90" s="145" t="str" cm="1">
        <f t="array" ref="E9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0" s="145" t="str" cm="1">
        <f t="array" ref="F9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0" s="145" t="str" cm="1">
        <f t="array" ref="G9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INDEX((standard_components_165[[#This Row],[Component]]=factor_eff_table[Component])*(standard_components_165[[#This Row],[Service]]=factor_eff_table[Service]), 0, 1), 0)),
 "-")</f>
        <v>-</v>
      </c>
      <c r="E91" s="145" t="str" cm="1">
        <f t="array" ref="E91">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1" s="145" t="str" cm="1">
        <f t="array" ref="F91">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1" s="145" t="str" cm="1">
        <f t="array" ref="G91">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1"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1"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INDEX((standard_components_165[[#This Row],[Component]]=factor_eff_table[Component])*(standard_components_165[[#This Row],[Service]]=factor_eff_table[Service]), 0, 1), 0)),
 "-")</f>
        <v>-</v>
      </c>
      <c r="E92" s="145" t="str" cm="1">
        <f t="array" ref="E92">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2" s="145" t="str" cm="1">
        <f t="array" ref="F92">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2" s="145" t="str" cm="1">
        <f t="array" ref="G92">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2"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2"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INDEX((standard_components_165[[#This Row],[Component]]=factor_eff_table[Component])*(standard_components_165[[#This Row],[Service]]=factor_eff_table[Service]), 0, 1), 0)),
 "-")</f>
        <v>-</v>
      </c>
      <c r="E93" s="145" t="str" cm="1">
        <f t="array" ref="E93">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3" s="145" t="str" cm="1">
        <f t="array" ref="F93">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3" s="145" t="str" cm="1">
        <f t="array" ref="G93">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3"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3"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INDEX((standard_components_165[[#This Row],[Component]]=factor_eff_table[Component])*(standard_components_165[[#This Row],[Service]]=factor_eff_table[Service]), 0, 1), 0)),
 "-")</f>
        <v>-</v>
      </c>
      <c r="E94" s="145" t="str" cm="1">
        <f t="array" ref="E94">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4" s="145" t="str" cm="1">
        <f t="array" ref="F94">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4" s="145" t="str" cm="1">
        <f t="array" ref="G94">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4"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4"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INDEX((standard_components_165[[#This Row],[Component]]=factor_eff_table[Component])*(standard_components_165[[#This Row],[Service]]=factor_eff_table[Service]), 0, 1), 0)),
 "-")</f>
        <v>-</v>
      </c>
      <c r="E95" s="145" t="str" cm="1">
        <f t="array" ref="E95">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5" s="145" t="str" cm="1">
        <f t="array" ref="F95">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5" s="145" t="str" cm="1">
        <f t="array" ref="G95">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5"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5"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INDEX((standard_components_165[[#This Row],[Component]]=factor_eff_table[Component])*(standard_components_165[[#This Row],[Service]]=factor_eff_table[Service]), 0, 1), 0)),
 "-")</f>
        <v>-</v>
      </c>
      <c r="E96" s="145" t="str" cm="1">
        <f t="array" ref="E96">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6" s="145" t="str" cm="1">
        <f t="array" ref="F96">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6" s="145" t="str" cm="1">
        <f t="array" ref="G96">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6"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6"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INDEX((standard_components_165[[#This Row],[Component]]=factor_eff_table[Component])*(standard_components_165[[#This Row],[Service]]=factor_eff_table[Service]), 0, 1), 0)),
 "-")</f>
        <v>-</v>
      </c>
      <c r="E97" s="145" t="str" cm="1">
        <f t="array" ref="E97">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7" s="145" t="str" cm="1">
        <f t="array" ref="F97">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7" s="145" t="str" cm="1">
        <f t="array" ref="G97">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7"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7"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INDEX((standard_components_165[[#This Row],[Component]]=factor_eff_table[Component])*(standard_components_165[[#This Row],[Service]]=factor_eff_table[Service]), 0, 1), 0)),
 "-")</f>
        <v>-</v>
      </c>
      <c r="E98" s="145" t="str" cm="1">
        <f t="array" ref="E98">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8" s="145" t="str" cm="1">
        <f t="array" ref="F98">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8" s="145" t="str" cm="1">
        <f t="array" ref="G98">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8"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8"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INDEX((standard_components_165[[#This Row],[Component]]=factor_eff_table[Component])*(standard_components_165[[#This Row],[Service]]=factor_eff_table[Service]), 0, 1), 0)),
 "-")</f>
        <v>-</v>
      </c>
      <c r="E99" s="145" t="str" cm="1">
        <f t="array" ref="E99">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99" s="145" t="str" cm="1">
        <f t="array" ref="F99">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99" s="145" t="str" cm="1">
        <f t="array" ref="G99">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99"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99"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INDEX((standard_components_165[[#This Row],[Component]]=factor_eff_table[Component])*(standard_components_165[[#This Row],[Service]]=factor_eff_table[Service]), 0, 1), 0)),
 "-")</f>
        <v>-</v>
      </c>
      <c r="E100" s="145" t="str" cm="1">
        <f t="array" ref="E100">IF(AND(process_drain_bool="Yes",LEFT(standard_components_165[[#This Row],[Component]], LEN("Process drains"))="Process Drains", ISBLANK(instrument_ldar)=FALSE), process_drain_eff,
IFERROR(
INDEX(
INDEX(factor_eff_table[], , MATCH(instrument_ldar, factor_eff_table[#Headers], 0)),
MATCH(1, INDEX((standard_components_165[[#This Row],[Component]]=factor_eff_table[Component])*(standard_components_165[[#This Row],[Service]]=factor_eff_table[Service]), 0, 1), 0)),
 "-"))</f>
        <v>-</v>
      </c>
      <c r="F100" s="145" t="str" cm="1">
        <f t="array" ref="F100">IF(AND(process_drain_bool="Yes",LEFT(standard_components_165[[#This Row],[Component]], LEN("Process drains"))="Process Drains", ISBLANK(connector_ldar)=FALSE), process_drain_eff,
IFERROR(
INDEX(
INDEX(factor_eff_table[], , MATCH(connector_ldar, factor_eff_table[#Headers], 0)),
MATCH(1, INDEX((standard_components_165[[#This Row],[Component]]=factor_eff_table[Component])*(standard_components_165[[#This Row],[Service]]=factor_eff_table[Service]), 0, 1), 0)),
 "-"))</f>
        <v>-</v>
      </c>
      <c r="G100" s="145" t="str" cm="1">
        <f t="array" ref="G100">IF(AND(process_drain_bool="Yes",LEFT(standard_components_165[[#This Row],[Component]], LEN("Process Drains"))="Process Drains", ISBLANK(inspection_ldar)=FALSE), process_drain_eff,
IFERROR(
INDEX(
INDEX(factor_eff_table[], , MATCH(inspection_ldar, factor_eff_table[#Headers], 0)),
MATCH(1, INDEX((standard_components_165[[#This Row],[Component]]=factor_eff_table[Component])*(standard_components_165[[#This Row],[Service]]=factor_eff_table[Service]), 0, 1), 0)),
 "-"))</f>
        <v>-</v>
      </c>
      <c r="H100" s="146" t="str">
        <f>IF(standard_components_165[[#This Row],[Component]]="Sampling Connections (annual) [2]", "N/A",
 IF(standard_components_165[[#This Row],[Component]]="Sampling Connections (hourly) [1]", standard_components_165[[#This Row],[Count]]*standard_components_165[[#This Row],[Industry Emission Factor]],
IFERROR(standard_components_165[[#This Row],[Count]]*standard_components_165[[#This Row],[Industry Emission Factor]]*MIN(1-standard_components_165[[#This Row],[Instrument Monitoring LDAR Control Efficiency]], 1-standard_components_165[[#This Row],[Physical Inspection LDAR Control Efficiency]], 1-standard_components_165[[#This Row],[Connector Monitoring LDAR Control Efficiency]]), "-")))</f>
        <v>-</v>
      </c>
      <c r="I100" s="146" t="str">
        <f>IF(standard_components_165[[#This Row],[Component]]="Sampling Connections (hourly) [1]", "N/A",
 IF(standard_components_165[[#This Row],[Component]]="Sampling Connections (annual) [2]", standard_components_165[[#This Row],[Count]]*standard_components_165[[#This Row],[Industry Emission Factor]]/stons_to_lbs,
 IFERROR(years_to_hrs/stons_to_lbs*standard_components_165[[#This Row],[Controlled
lb/hr]], "-")))</f>
        <v>-</v>
      </c>
    </row>
    <row r="101" spans="1:9" ht="15" x14ac:dyDescent="0.25">
      <c r="A101" s="147" t="s">
        <v>12776</v>
      </c>
      <c r="B101" s="148"/>
      <c r="C101" s="149">
        <f>SUBTOTAL(109,standard_components_165[Count])</f>
        <v>0</v>
      </c>
      <c r="D101" s="150"/>
      <c r="E101" s="150"/>
      <c r="F101" s="150"/>
      <c r="G101" s="150"/>
      <c r="H101" s="151">
        <f>SUBTOTAL(109,standard_components_165[Controlled
lb/hr])</f>
        <v>0</v>
      </c>
      <c r="I101" s="151">
        <f>SUBTOTAL(109,standard_components_165[Controlled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unique_components_166[[#This Row],[Count]]*unique_components_166[[#This Row],[Proposed Emission Factor]]*(1-unique_components_166[[#This Row],[Proposed Control Efficiency]])</f>
        <v>0</v>
      </c>
      <c r="G107" s="155">
        <f>IFERROR(unique_components_166[[#This Row],[Controlled lb/hr]]*4.38,"")</f>
        <v>0</v>
      </c>
    </row>
    <row r="108" spans="1:9" x14ac:dyDescent="0.2">
      <c r="A108" s="103"/>
      <c r="B108" s="104"/>
      <c r="C108" s="153"/>
      <c r="D108" s="154"/>
      <c r="E108" s="154"/>
      <c r="F108" s="146">
        <f>unique_components_166[[#This Row],[Count]]*unique_components_166[[#This Row],[Proposed Emission Factor]]*(1-unique_components_166[[#This Row],[Proposed Control Efficiency]])</f>
        <v>0</v>
      </c>
      <c r="G108" s="155">
        <f>IFERROR(unique_components_166[[#This Row],[Controlled lb/hr]]*4.38,"")</f>
        <v>0</v>
      </c>
    </row>
    <row r="109" spans="1:9" x14ac:dyDescent="0.2">
      <c r="A109" s="103"/>
      <c r="B109" s="104"/>
      <c r="C109" s="153"/>
      <c r="D109" s="154"/>
      <c r="E109" s="154"/>
      <c r="F109" s="146">
        <f>unique_components_166[[#This Row],[Count]]*unique_components_166[[#This Row],[Proposed Emission Factor]]*(1-unique_components_166[[#This Row],[Proposed Control Efficiency]])</f>
        <v>0</v>
      </c>
      <c r="G109" s="155">
        <f>IFERROR(unique_components_166[[#This Row],[Controlled lb/hr]]*4.38,"")</f>
        <v>0</v>
      </c>
    </row>
    <row r="110" spans="1:9" x14ac:dyDescent="0.2">
      <c r="A110" s="103"/>
      <c r="B110" s="104"/>
      <c r="C110" s="153"/>
      <c r="D110" s="154"/>
      <c r="E110" s="154"/>
      <c r="F110" s="146">
        <f>unique_components_166[[#This Row],[Count]]*unique_components_166[[#This Row],[Proposed Emission Factor]]*(1-unique_components_166[[#This Row],[Proposed Control Efficiency]])</f>
        <v>0</v>
      </c>
      <c r="G110" s="155">
        <f>IFERROR(unique_components_166[[#This Row],[Controlled lb/hr]]*4.38,"")</f>
        <v>0</v>
      </c>
    </row>
    <row r="111" spans="1:9" x14ac:dyDescent="0.2">
      <c r="A111" s="103"/>
      <c r="B111" s="104"/>
      <c r="C111" s="153"/>
      <c r="D111" s="154"/>
      <c r="E111" s="154"/>
      <c r="F111" s="146">
        <f>unique_components_166[[#This Row],[Count]]*unique_components_166[[#This Row],[Proposed Emission Factor]]*(1-unique_components_166[[#This Row],[Proposed Control Efficiency]])</f>
        <v>0</v>
      </c>
      <c r="G111" s="155">
        <f>IFERROR(unique_components_166[[#This Row],[Controlled lb/hr]]*4.38,"")</f>
        <v>0</v>
      </c>
    </row>
    <row r="112" spans="1:9" x14ac:dyDescent="0.2">
      <c r="A112" s="103"/>
      <c r="B112" s="104"/>
      <c r="C112" s="153"/>
      <c r="D112" s="154"/>
      <c r="E112" s="154"/>
      <c r="F112" s="146">
        <f>unique_components_166[[#This Row],[Count]]*unique_components_166[[#This Row],[Proposed Emission Factor]]*(1-unique_components_166[[#This Row],[Proposed Control Efficiency]])</f>
        <v>0</v>
      </c>
      <c r="G112" s="155">
        <f>IFERROR(unique_components_166[[#This Row],[Controlled lb/hr]]*4.38,"")</f>
        <v>0</v>
      </c>
    </row>
    <row r="113" spans="1:8" x14ac:dyDescent="0.2">
      <c r="A113" s="103"/>
      <c r="B113" s="104"/>
      <c r="C113" s="153"/>
      <c r="D113" s="154"/>
      <c r="E113" s="154"/>
      <c r="F113" s="146">
        <f>unique_components_166[[#This Row],[Count]]*unique_components_166[[#This Row],[Proposed Emission Factor]]*(1-unique_components_166[[#This Row],[Proposed Control Efficiency]])</f>
        <v>0</v>
      </c>
      <c r="G113" s="155">
        <f>IFERROR(unique_components_166[[#This Row],[Controlled lb/hr]]*4.38,"")</f>
        <v>0</v>
      </c>
    </row>
    <row r="114" spans="1:8" x14ac:dyDescent="0.2">
      <c r="A114" s="103"/>
      <c r="B114" s="104"/>
      <c r="C114" s="153"/>
      <c r="D114" s="154"/>
      <c r="E114" s="154"/>
      <c r="F114" s="146">
        <f>unique_components_166[[#This Row],[Count]]*unique_components_166[[#This Row],[Proposed Emission Factor]]*(1-unique_components_166[[#This Row],[Proposed Control Efficiency]])</f>
        <v>0</v>
      </c>
      <c r="G114" s="155">
        <f>IFERROR(unique_components_166[[#This Row],[Controlled lb/hr]]*4.38,"")</f>
        <v>0</v>
      </c>
    </row>
    <row r="115" spans="1:8" x14ac:dyDescent="0.2">
      <c r="A115" s="103"/>
      <c r="B115" s="104"/>
      <c r="C115" s="153"/>
      <c r="D115" s="154"/>
      <c r="E115" s="154"/>
      <c r="F115" s="146">
        <f>unique_components_166[[#This Row],[Count]]*unique_components_166[[#This Row],[Proposed Emission Factor]]*(1-unique_components_166[[#This Row],[Proposed Control Efficiency]])</f>
        <v>0</v>
      </c>
      <c r="G115" s="155">
        <f>IFERROR(unique_components_166[[#This Row],[Controlled lb/hr]]*4.38,"")</f>
        <v>0</v>
      </c>
    </row>
    <row r="116" spans="1:8" x14ac:dyDescent="0.2">
      <c r="A116" s="103"/>
      <c r="B116" s="104"/>
      <c r="C116" s="153"/>
      <c r="D116" s="154"/>
      <c r="E116" s="154"/>
      <c r="F116" s="146">
        <f>unique_components_166[[#This Row],[Count]]*unique_components_166[[#This Row],[Proposed Emission Factor]]*(1-unique_components_166[[#This Row],[Proposed Control Efficiency]])</f>
        <v>0</v>
      </c>
      <c r="G116" s="155">
        <f>IFERROR(unique_components_166[[#This Row],[Controlled lb/hr]]*4.38,"")</f>
        <v>0</v>
      </c>
    </row>
    <row r="117" spans="1:8" x14ac:dyDescent="0.2">
      <c r="A117" s="103"/>
      <c r="B117" s="104"/>
      <c r="C117" s="153"/>
      <c r="D117" s="154"/>
      <c r="E117" s="154"/>
      <c r="F117" s="146">
        <f>unique_components_166[[#This Row],[Count]]*unique_components_166[[#This Row],[Proposed Emission Factor]]*(1-unique_components_166[[#This Row],[Proposed Control Efficiency]])</f>
        <v>0</v>
      </c>
      <c r="G117" s="155">
        <f>IFERROR(unique_components_166[[#This Row],[Controlled lb/hr]]*4.38,"")</f>
        <v>0</v>
      </c>
    </row>
    <row r="118" spans="1:8" x14ac:dyDescent="0.2">
      <c r="A118" s="103"/>
      <c r="B118" s="104"/>
      <c r="C118" s="153"/>
      <c r="D118" s="154"/>
      <c r="E118" s="154"/>
      <c r="F118" s="146">
        <f>unique_components_166[[#This Row],[Count]]*unique_components_166[[#This Row],[Proposed Emission Factor]]*(1-unique_components_166[[#This Row],[Proposed Control Efficiency]])</f>
        <v>0</v>
      </c>
      <c r="G118" s="155">
        <f>IFERROR(unique_components_166[[#This Row],[Controlled lb/hr]]*4.38,"")</f>
        <v>0</v>
      </c>
    </row>
    <row r="119" spans="1:8" x14ac:dyDescent="0.2">
      <c r="A119" s="103"/>
      <c r="B119" s="104"/>
      <c r="C119" s="153"/>
      <c r="D119" s="154"/>
      <c r="E119" s="154"/>
      <c r="F119" s="146">
        <f>unique_components_166[[#This Row],[Count]]*unique_components_166[[#This Row],[Proposed Emission Factor]]*(1-unique_components_166[[#This Row],[Proposed Control Efficiency]])</f>
        <v>0</v>
      </c>
      <c r="G119" s="155">
        <f>IFERROR(unique_components_166[[#This Row],[Controlled lb/hr]]*4.38,"")</f>
        <v>0</v>
      </c>
    </row>
    <row r="120" spans="1:8" x14ac:dyDescent="0.2">
      <c r="A120" s="103"/>
      <c r="B120" s="104"/>
      <c r="C120" s="153"/>
      <c r="D120" s="154"/>
      <c r="E120" s="154"/>
      <c r="F120" s="146">
        <f>unique_components_166[[#This Row],[Count]]*unique_components_166[[#This Row],[Proposed Emission Factor]]*(1-unique_components_166[[#This Row],[Proposed Control Efficiency]])</f>
        <v>0</v>
      </c>
      <c r="G120" s="155">
        <f>IFERROR(unique_components_166[[#This Row],[Controlled lb/hr]]*4.38,"")</f>
        <v>0</v>
      </c>
    </row>
    <row r="121" spans="1:8" x14ac:dyDescent="0.2">
      <c r="A121" s="103"/>
      <c r="B121" s="104"/>
      <c r="C121" s="153"/>
      <c r="D121" s="154"/>
      <c r="E121" s="154"/>
      <c r="F121" s="146">
        <f>unique_components_166[[#This Row],[Count]]*unique_components_166[[#This Row],[Proposed Emission Factor]]*(1-unique_components_166[[#This Row],[Proposed Control Efficiency]])</f>
        <v>0</v>
      </c>
      <c r="G121" s="155">
        <f>IFERROR(unique_components_166[[#This Row],[Controlled lb/hr]]*4.38,"")</f>
        <v>0</v>
      </c>
    </row>
    <row r="122" spans="1:8" x14ac:dyDescent="0.2">
      <c r="A122" s="103"/>
      <c r="B122" s="104"/>
      <c r="C122" s="153"/>
      <c r="D122" s="154"/>
      <c r="E122" s="154"/>
      <c r="F122" s="146">
        <f>unique_components_166[[#This Row],[Count]]*unique_components_166[[#This Row],[Proposed Emission Factor]]*(1-unique_components_166[[#This Row],[Proposed Control Efficiency]])</f>
        <v>0</v>
      </c>
      <c r="G122" s="155">
        <f>IFERROR(unique_components_166[[#This Row],[Controlled lb/hr]]*4.38,"")</f>
        <v>0</v>
      </c>
    </row>
    <row r="123" spans="1:8" x14ac:dyDescent="0.2">
      <c r="A123" s="103"/>
      <c r="B123" s="104"/>
      <c r="C123" s="153"/>
      <c r="D123" s="154"/>
      <c r="E123" s="154"/>
      <c r="F123" s="146">
        <f>unique_components_166[[#This Row],[Count]]*unique_components_166[[#This Row],[Proposed Emission Factor]]*(1-unique_components_166[[#This Row],[Proposed Control Efficiency]])</f>
        <v>0</v>
      </c>
      <c r="G123" s="155">
        <f>IFERROR(unique_components_166[[#This Row],[Controlled lb/hr]]*4.38,"")</f>
        <v>0</v>
      </c>
    </row>
    <row r="124" spans="1:8" x14ac:dyDescent="0.2">
      <c r="A124" s="103"/>
      <c r="B124" s="104"/>
      <c r="C124" s="153"/>
      <c r="D124" s="154"/>
      <c r="E124" s="154"/>
      <c r="F124" s="146">
        <f>unique_components_166[[#This Row],[Count]]*unique_components_166[[#This Row],[Proposed Emission Factor]]*(1-unique_components_166[[#This Row],[Proposed Control Efficiency]])</f>
        <v>0</v>
      </c>
      <c r="G124" s="155">
        <f>IFERROR(unique_components_166[[#This Row],[Controlled lb/hr]]*4.38,"")</f>
        <v>0</v>
      </c>
    </row>
    <row r="125" spans="1:8" x14ac:dyDescent="0.2">
      <c r="A125" s="103"/>
      <c r="B125" s="104"/>
      <c r="C125" s="153"/>
      <c r="D125" s="154"/>
      <c r="E125" s="154"/>
      <c r="F125" s="146">
        <f>unique_components_166[[#This Row],[Count]]*unique_components_166[[#This Row],[Proposed Emission Factor]]*(1-unique_components_166[[#This Row],[Proposed Control Efficiency]])</f>
        <v>0</v>
      </c>
      <c r="G125" s="155">
        <f>IFERROR(unique_components_166[[#This Row],[Controlled lb/hr]]*4.38,"")</f>
        <v>0</v>
      </c>
    </row>
    <row r="126" spans="1:8" x14ac:dyDescent="0.2">
      <c r="A126" s="105"/>
      <c r="B126" s="106"/>
      <c r="C126" s="156"/>
      <c r="D126" s="154"/>
      <c r="E126" s="157"/>
      <c r="F126" s="158">
        <f>unique_components_166[[#This Row],[Count]]*unique_components_166[[#This Row],[Proposed Emission Factor]]*(1-unique_components_166[[#This Row],[Proposed Control Efficiency]])</f>
        <v>0</v>
      </c>
      <c r="G126" s="159">
        <f>IFERROR(unique_components_166[[#This Row],[Controlled lb/hr]]*4.38,"")</f>
        <v>0</v>
      </c>
    </row>
    <row r="127" spans="1:8" ht="30" x14ac:dyDescent="0.2">
      <c r="A127" s="57" t="s">
        <v>13297</v>
      </c>
      <c r="B127" s="54"/>
      <c r="C127" s="160">
        <f>SUBTOTAL(109,unique_components_166[Count])</f>
        <v>0</v>
      </c>
      <c r="D127" s="161"/>
      <c r="E127" s="161"/>
      <c r="F127" s="162">
        <f>SUBTOTAL(109,unique_components_166[Controlled lb/hr])</f>
        <v>0</v>
      </c>
      <c r="G127" s="162">
        <f>SUBTOTAL(109,unique_components_166[Controlled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IFERROR(VLOOKUP(speciated_chemicals_167[[#This Row],[CAS '#]],species[],MATCH("Substance", species[#Headers], 0),FALSE),"No CAS Number Entered")</f>
        <v>No CAS Number Entered</v>
      </c>
      <c r="C131" s="102"/>
      <c r="D131" s="102" t="s">
        <v>12666</v>
      </c>
      <c r="E131" s="102" t="s">
        <v>12666</v>
      </c>
      <c r="F131" s="102" t="s">
        <v>12666</v>
      </c>
      <c r="G131" s="102" t="s">
        <v>12666</v>
      </c>
      <c r="H131" s="164"/>
      <c r="I131" s="51">
        <f>IF(speciated_chemicals_167[[#This Row],[Inert / Not a Contaminant?]]="Yes", 0, speciated_chemicals_167[[#This Row],[Weight Percent]]*(unique_components_166[[#Totals],[Controlled lb/hr]]+standard_components_165[[#Totals],[Controlled
lb/hr]]))</f>
        <v>0</v>
      </c>
      <c r="J131" s="51">
        <f>IF(speciated_chemicals_167[[#This Row],[Inert / Not a Contaminant?]]="Yes", 0, speciated_chemicals_167[[#This Row],[Weight Percent]]*(unique_components_166[[#Totals],[Controlled
tpy]]+standard_components_165[[#Totals],[Controlled
tpy]]))</f>
        <v>0</v>
      </c>
    </row>
    <row r="132" spans="1:10" x14ac:dyDescent="0.2">
      <c r="A132" s="103"/>
      <c r="B132" s="51" t="str">
        <f>IFERROR(VLOOKUP(speciated_chemicals_167[[#This Row],[CAS '#]],species[],MATCH("Substance", species[#Headers], 0),FALSE),"No CAS Number Entered")</f>
        <v>No CAS Number Entered</v>
      </c>
      <c r="C132" s="102"/>
      <c r="D132" s="102" t="s">
        <v>12666</v>
      </c>
      <c r="E132" s="102" t="s">
        <v>12666</v>
      </c>
      <c r="F132" s="102" t="s">
        <v>12666</v>
      </c>
      <c r="G132" s="102" t="s">
        <v>12666</v>
      </c>
      <c r="H132" s="164"/>
      <c r="I132" s="51">
        <f>IF(speciated_chemicals_167[[#This Row],[Inert / Not a Contaminant?]]="Yes", 0, speciated_chemicals_167[[#This Row],[Weight Percent]]*(unique_components_166[[#Totals],[Controlled lb/hr]]+standard_components_165[[#Totals],[Controlled
lb/hr]]))</f>
        <v>0</v>
      </c>
      <c r="J132" s="51">
        <f>IF(speciated_chemicals_167[[#This Row],[Inert / Not a Contaminant?]]="Yes", 0, speciated_chemicals_167[[#This Row],[Weight Percent]]*(unique_components_166[[#Totals],[Controlled
tpy]]+standard_components_165[[#Totals],[Controlled
tpy]]))</f>
        <v>0</v>
      </c>
    </row>
    <row r="133" spans="1:10" x14ac:dyDescent="0.2">
      <c r="A133" s="103"/>
      <c r="B133" s="51" t="str">
        <f>IFERROR(VLOOKUP(speciated_chemicals_167[[#This Row],[CAS '#]],species[],MATCH("Substance", species[#Headers], 0),FALSE),"No CAS Number Entered")</f>
        <v>No CAS Number Entered</v>
      </c>
      <c r="C133" s="102"/>
      <c r="D133" s="102" t="s">
        <v>12666</v>
      </c>
      <c r="E133" s="102" t="s">
        <v>12666</v>
      </c>
      <c r="F133" s="102" t="s">
        <v>12666</v>
      </c>
      <c r="G133" s="102" t="s">
        <v>12666</v>
      </c>
      <c r="H133" s="164"/>
      <c r="I133" s="51">
        <f>IF(speciated_chemicals_167[[#This Row],[Inert / Not a Contaminant?]]="Yes", 0, speciated_chemicals_167[[#This Row],[Weight Percent]]*(unique_components_166[[#Totals],[Controlled lb/hr]]+standard_components_165[[#Totals],[Controlled
lb/hr]]))</f>
        <v>0</v>
      </c>
      <c r="J133" s="51">
        <f>IF(speciated_chemicals_167[[#This Row],[Inert / Not a Contaminant?]]="Yes", 0, speciated_chemicals_167[[#This Row],[Weight Percent]]*(unique_components_166[[#Totals],[Controlled
tpy]]+standard_components_165[[#Totals],[Controlled
tpy]]))</f>
        <v>0</v>
      </c>
    </row>
    <row r="134" spans="1:10" x14ac:dyDescent="0.2">
      <c r="A134" s="103"/>
      <c r="B134" s="51" t="str">
        <f>IFERROR(VLOOKUP(speciated_chemicals_167[[#This Row],[CAS '#]],species[],MATCH("Substance", species[#Headers], 0),FALSE),"No CAS Number Entered")</f>
        <v>No CAS Number Entered</v>
      </c>
      <c r="C134" s="102"/>
      <c r="D134" s="102" t="s">
        <v>12666</v>
      </c>
      <c r="E134" s="102" t="s">
        <v>12666</v>
      </c>
      <c r="F134" s="102" t="s">
        <v>12666</v>
      </c>
      <c r="G134" s="102" t="s">
        <v>12666</v>
      </c>
      <c r="H134" s="164"/>
      <c r="I134" s="51">
        <f>IF(speciated_chemicals_167[[#This Row],[Inert / Not a Contaminant?]]="Yes", 0, speciated_chemicals_167[[#This Row],[Weight Percent]]*(unique_components_166[[#Totals],[Controlled lb/hr]]+standard_components_165[[#Totals],[Controlled
lb/hr]]))</f>
        <v>0</v>
      </c>
      <c r="J134" s="51">
        <f>IF(speciated_chemicals_167[[#This Row],[Inert / Not a Contaminant?]]="Yes", 0, speciated_chemicals_167[[#This Row],[Weight Percent]]*(unique_components_166[[#Totals],[Controlled
tpy]]+standard_components_165[[#Totals],[Controlled
tpy]]))</f>
        <v>0</v>
      </c>
    </row>
    <row r="135" spans="1:10" x14ac:dyDescent="0.2">
      <c r="A135" s="103"/>
      <c r="B135" s="51" t="str">
        <f>IFERROR(VLOOKUP(speciated_chemicals_167[[#This Row],[CAS '#]],species[],MATCH("Substance", species[#Headers], 0),FALSE),"No CAS Number Entered")</f>
        <v>No CAS Number Entered</v>
      </c>
      <c r="C135" s="102"/>
      <c r="D135" s="102" t="s">
        <v>12666</v>
      </c>
      <c r="E135" s="102" t="s">
        <v>12666</v>
      </c>
      <c r="F135" s="102" t="s">
        <v>12666</v>
      </c>
      <c r="G135" s="102" t="s">
        <v>12666</v>
      </c>
      <c r="H135" s="164"/>
      <c r="I135" s="51">
        <f>IF(speciated_chemicals_167[[#This Row],[Inert / Not a Contaminant?]]="Yes", 0, speciated_chemicals_167[[#This Row],[Weight Percent]]*(unique_components_166[[#Totals],[Controlled lb/hr]]+standard_components_165[[#Totals],[Controlled
lb/hr]]))</f>
        <v>0</v>
      </c>
      <c r="J135" s="51">
        <f>IF(speciated_chemicals_167[[#This Row],[Inert / Not a Contaminant?]]="Yes", 0, speciated_chemicals_167[[#This Row],[Weight Percent]]*(unique_components_166[[#Totals],[Controlled
tpy]]+standard_components_165[[#Totals],[Controlled
tpy]]))</f>
        <v>0</v>
      </c>
    </row>
    <row r="136" spans="1:10" x14ac:dyDescent="0.2">
      <c r="A136" s="103"/>
      <c r="B136" s="51" t="str">
        <f>IFERROR(VLOOKUP(speciated_chemicals_167[[#This Row],[CAS '#]],species[],MATCH("Substance", species[#Headers], 0),FALSE),"No CAS Number Entered")</f>
        <v>No CAS Number Entered</v>
      </c>
      <c r="C136" s="102"/>
      <c r="D136" s="102" t="s">
        <v>12666</v>
      </c>
      <c r="E136" s="102" t="s">
        <v>12666</v>
      </c>
      <c r="F136" s="102" t="s">
        <v>12666</v>
      </c>
      <c r="G136" s="102" t="s">
        <v>12666</v>
      </c>
      <c r="H136" s="164"/>
      <c r="I136" s="51">
        <f>IF(speciated_chemicals_167[[#This Row],[Inert / Not a Contaminant?]]="Yes", 0, speciated_chemicals_167[[#This Row],[Weight Percent]]*(unique_components_166[[#Totals],[Controlled lb/hr]]+standard_components_165[[#Totals],[Controlled
lb/hr]]))</f>
        <v>0</v>
      </c>
      <c r="J136" s="51">
        <f>IF(speciated_chemicals_167[[#This Row],[Inert / Not a Contaminant?]]="Yes", 0, speciated_chemicals_167[[#This Row],[Weight Percent]]*(unique_components_166[[#Totals],[Controlled
tpy]]+standard_components_165[[#Totals],[Controlled
tpy]]))</f>
        <v>0</v>
      </c>
    </row>
    <row r="137" spans="1:10" x14ac:dyDescent="0.2">
      <c r="A137" s="103"/>
      <c r="B137" s="51" t="str">
        <f>IFERROR(VLOOKUP(speciated_chemicals_167[[#This Row],[CAS '#]],species[],MATCH("Substance", species[#Headers], 0),FALSE),"No CAS Number Entered")</f>
        <v>No CAS Number Entered</v>
      </c>
      <c r="C137" s="102"/>
      <c r="D137" s="102" t="s">
        <v>12666</v>
      </c>
      <c r="E137" s="102" t="s">
        <v>12666</v>
      </c>
      <c r="F137" s="102" t="s">
        <v>12666</v>
      </c>
      <c r="G137" s="102" t="s">
        <v>12666</v>
      </c>
      <c r="H137" s="164"/>
      <c r="I137" s="51">
        <f>IF(speciated_chemicals_167[[#This Row],[Inert / Not a Contaminant?]]="Yes", 0, speciated_chemicals_167[[#This Row],[Weight Percent]]*(unique_components_166[[#Totals],[Controlled lb/hr]]+standard_components_165[[#Totals],[Controlled
lb/hr]]))</f>
        <v>0</v>
      </c>
      <c r="J137" s="51">
        <f>IF(speciated_chemicals_167[[#This Row],[Inert / Not a Contaminant?]]="Yes", 0, speciated_chemicals_167[[#This Row],[Weight Percent]]*(unique_components_166[[#Totals],[Controlled
tpy]]+standard_components_165[[#Totals],[Controlled
tpy]]))</f>
        <v>0</v>
      </c>
    </row>
    <row r="138" spans="1:10" x14ac:dyDescent="0.2">
      <c r="A138" s="103"/>
      <c r="B138" s="51" t="str">
        <f>IFERROR(VLOOKUP(speciated_chemicals_167[[#This Row],[CAS '#]],species[],MATCH("Substance", species[#Headers], 0),FALSE),"No CAS Number Entered")</f>
        <v>No CAS Number Entered</v>
      </c>
      <c r="C138" s="102"/>
      <c r="D138" s="102" t="s">
        <v>12666</v>
      </c>
      <c r="E138" s="102" t="s">
        <v>12666</v>
      </c>
      <c r="F138" s="102" t="s">
        <v>12666</v>
      </c>
      <c r="G138" s="102" t="s">
        <v>12666</v>
      </c>
      <c r="H138" s="164"/>
      <c r="I138" s="51">
        <f>IF(speciated_chemicals_167[[#This Row],[Inert / Not a Contaminant?]]="Yes", 0, speciated_chemicals_167[[#This Row],[Weight Percent]]*(unique_components_166[[#Totals],[Controlled lb/hr]]+standard_components_165[[#Totals],[Controlled
lb/hr]]))</f>
        <v>0</v>
      </c>
      <c r="J138" s="51">
        <f>IF(speciated_chemicals_167[[#This Row],[Inert / Not a Contaminant?]]="Yes", 0, speciated_chemicals_167[[#This Row],[Weight Percent]]*(unique_components_166[[#Totals],[Controlled
tpy]]+standard_components_165[[#Totals],[Controlled
tpy]]))</f>
        <v>0</v>
      </c>
    </row>
    <row r="139" spans="1:10" x14ac:dyDescent="0.2">
      <c r="A139" s="103"/>
      <c r="B139" s="51" t="str">
        <f>IFERROR(VLOOKUP(speciated_chemicals_167[[#This Row],[CAS '#]],species[],MATCH("Substance", species[#Headers], 0),FALSE),"No CAS Number Entered")</f>
        <v>No CAS Number Entered</v>
      </c>
      <c r="C139" s="102"/>
      <c r="D139" s="102" t="s">
        <v>12666</v>
      </c>
      <c r="E139" s="102" t="s">
        <v>12666</v>
      </c>
      <c r="F139" s="102" t="s">
        <v>12666</v>
      </c>
      <c r="G139" s="102" t="s">
        <v>12666</v>
      </c>
      <c r="H139" s="164"/>
      <c r="I139" s="51">
        <f>IF(speciated_chemicals_167[[#This Row],[Inert / Not a Contaminant?]]="Yes", 0, speciated_chemicals_167[[#This Row],[Weight Percent]]*(unique_components_166[[#Totals],[Controlled lb/hr]]+standard_components_165[[#Totals],[Controlled
lb/hr]]))</f>
        <v>0</v>
      </c>
      <c r="J139" s="51">
        <f>IF(speciated_chemicals_167[[#This Row],[Inert / Not a Contaminant?]]="Yes", 0, speciated_chemicals_167[[#This Row],[Weight Percent]]*(unique_components_166[[#Totals],[Controlled
tpy]]+standard_components_165[[#Totals],[Controlled
tpy]]))</f>
        <v>0</v>
      </c>
    </row>
    <row r="140" spans="1:10" x14ac:dyDescent="0.2">
      <c r="A140" s="103"/>
      <c r="B140" s="51" t="str">
        <f>IFERROR(VLOOKUP(speciated_chemicals_167[[#This Row],[CAS '#]],species[],MATCH("Substance", species[#Headers], 0),FALSE),"No CAS Number Entered")</f>
        <v>No CAS Number Entered</v>
      </c>
      <c r="C140" s="102"/>
      <c r="D140" s="102" t="s">
        <v>12666</v>
      </c>
      <c r="E140" s="102" t="s">
        <v>12666</v>
      </c>
      <c r="F140" s="102" t="s">
        <v>12666</v>
      </c>
      <c r="G140" s="102" t="s">
        <v>12666</v>
      </c>
      <c r="H140" s="164"/>
      <c r="I140" s="51">
        <f>IF(speciated_chemicals_167[[#This Row],[Inert / Not a Contaminant?]]="Yes", 0, speciated_chemicals_167[[#This Row],[Weight Percent]]*(unique_components_166[[#Totals],[Controlled lb/hr]]+standard_components_165[[#Totals],[Controlled
lb/hr]]))</f>
        <v>0</v>
      </c>
      <c r="J140" s="51">
        <f>IF(speciated_chemicals_167[[#This Row],[Inert / Not a Contaminant?]]="Yes", 0, speciated_chemicals_167[[#This Row],[Weight Percent]]*(unique_components_166[[#Totals],[Controlled
tpy]]+standard_components_165[[#Totals],[Controlled
tpy]]))</f>
        <v>0</v>
      </c>
    </row>
    <row r="141" spans="1:10" x14ac:dyDescent="0.2">
      <c r="A141" s="103"/>
      <c r="B141" s="51" t="str">
        <f>IFERROR(VLOOKUP(speciated_chemicals_167[[#This Row],[CAS '#]],species[],MATCH("Substance", species[#Headers], 0),FALSE),"No CAS Number Entered")</f>
        <v>No CAS Number Entered</v>
      </c>
      <c r="C141" s="102"/>
      <c r="D141" s="102" t="s">
        <v>12666</v>
      </c>
      <c r="E141" s="102" t="s">
        <v>12666</v>
      </c>
      <c r="F141" s="102" t="s">
        <v>12666</v>
      </c>
      <c r="G141" s="102" t="s">
        <v>12666</v>
      </c>
      <c r="H141" s="164"/>
      <c r="I141" s="51">
        <f>IF(speciated_chemicals_167[[#This Row],[Inert / Not a Contaminant?]]="Yes", 0, speciated_chemicals_167[[#This Row],[Weight Percent]]*(unique_components_166[[#Totals],[Controlled lb/hr]]+standard_components_165[[#Totals],[Controlled
lb/hr]]))</f>
        <v>0</v>
      </c>
      <c r="J141" s="51">
        <f>IF(speciated_chemicals_167[[#This Row],[Inert / Not a Contaminant?]]="Yes", 0, speciated_chemicals_167[[#This Row],[Weight Percent]]*(unique_components_166[[#Totals],[Controlled
tpy]]+standard_components_165[[#Totals],[Controlled
tpy]]))</f>
        <v>0</v>
      </c>
    </row>
    <row r="142" spans="1:10" x14ac:dyDescent="0.2">
      <c r="A142" s="103"/>
      <c r="B142" s="51" t="str">
        <f>IFERROR(VLOOKUP(speciated_chemicals_167[[#This Row],[CAS '#]],species[],MATCH("Substance", species[#Headers], 0),FALSE),"No CAS Number Entered")</f>
        <v>No CAS Number Entered</v>
      </c>
      <c r="C142" s="102"/>
      <c r="D142" s="102" t="s">
        <v>12666</v>
      </c>
      <c r="E142" s="102" t="s">
        <v>12666</v>
      </c>
      <c r="F142" s="102" t="s">
        <v>12666</v>
      </c>
      <c r="G142" s="102" t="s">
        <v>12666</v>
      </c>
      <c r="H142" s="164"/>
      <c r="I142" s="51">
        <f>IF(speciated_chemicals_167[[#This Row],[Inert / Not a Contaminant?]]="Yes", 0, speciated_chemicals_167[[#This Row],[Weight Percent]]*(unique_components_166[[#Totals],[Controlled lb/hr]]+standard_components_165[[#Totals],[Controlled
lb/hr]]))</f>
        <v>0</v>
      </c>
      <c r="J142" s="51">
        <f>IF(speciated_chemicals_167[[#This Row],[Inert / Not a Contaminant?]]="Yes", 0, speciated_chemicals_167[[#This Row],[Weight Percent]]*(unique_components_166[[#Totals],[Controlled
tpy]]+standard_components_165[[#Totals],[Controlled
tpy]]))</f>
        <v>0</v>
      </c>
    </row>
    <row r="143" spans="1:10" x14ac:dyDescent="0.2">
      <c r="A143" s="103"/>
      <c r="B143" s="51" t="str">
        <f>IFERROR(VLOOKUP(speciated_chemicals_167[[#This Row],[CAS '#]],species[],MATCH("Substance", species[#Headers], 0),FALSE),"No CAS Number Entered")</f>
        <v>No CAS Number Entered</v>
      </c>
      <c r="C143" s="102"/>
      <c r="D143" s="102" t="s">
        <v>12666</v>
      </c>
      <c r="E143" s="102" t="s">
        <v>12666</v>
      </c>
      <c r="F143" s="102" t="s">
        <v>12666</v>
      </c>
      <c r="G143" s="102" t="s">
        <v>12666</v>
      </c>
      <c r="H143" s="164"/>
      <c r="I143" s="51">
        <f>IF(speciated_chemicals_167[[#This Row],[Inert / Not a Contaminant?]]="Yes", 0, speciated_chemicals_167[[#This Row],[Weight Percent]]*(unique_components_166[[#Totals],[Controlled lb/hr]]+standard_components_165[[#Totals],[Controlled
lb/hr]]))</f>
        <v>0</v>
      </c>
      <c r="J143" s="51">
        <f>IF(speciated_chemicals_167[[#This Row],[Inert / Not a Contaminant?]]="Yes", 0, speciated_chemicals_167[[#This Row],[Weight Percent]]*(unique_components_166[[#Totals],[Controlled
tpy]]+standard_components_165[[#Totals],[Controlled
tpy]]))</f>
        <v>0</v>
      </c>
    </row>
    <row r="144" spans="1:10" x14ac:dyDescent="0.2">
      <c r="A144" s="103"/>
      <c r="B144" s="51" t="str">
        <f>IFERROR(VLOOKUP(speciated_chemicals_167[[#This Row],[CAS '#]],species[],MATCH("Substance", species[#Headers], 0),FALSE),"No CAS Number Entered")</f>
        <v>No CAS Number Entered</v>
      </c>
      <c r="C144" s="102"/>
      <c r="D144" s="102" t="s">
        <v>12666</v>
      </c>
      <c r="E144" s="102" t="s">
        <v>12666</v>
      </c>
      <c r="F144" s="102" t="s">
        <v>12666</v>
      </c>
      <c r="G144" s="102" t="s">
        <v>12666</v>
      </c>
      <c r="H144" s="164"/>
      <c r="I144" s="51">
        <f>IF(speciated_chemicals_167[[#This Row],[Inert / Not a Contaminant?]]="Yes", 0, speciated_chemicals_167[[#This Row],[Weight Percent]]*(unique_components_166[[#Totals],[Controlled lb/hr]]+standard_components_165[[#Totals],[Controlled
lb/hr]]))</f>
        <v>0</v>
      </c>
      <c r="J144" s="51">
        <f>IF(speciated_chemicals_167[[#This Row],[Inert / Not a Contaminant?]]="Yes", 0, speciated_chemicals_167[[#This Row],[Weight Percent]]*(unique_components_166[[#Totals],[Controlled
tpy]]+standard_components_165[[#Totals],[Controlled
tpy]]))</f>
        <v>0</v>
      </c>
    </row>
    <row r="145" spans="1:10" x14ac:dyDescent="0.2">
      <c r="A145" s="103"/>
      <c r="B145" s="51" t="str">
        <f>IFERROR(VLOOKUP(speciated_chemicals_167[[#This Row],[CAS '#]],species[],MATCH("Substance", species[#Headers], 0),FALSE),"No CAS Number Entered")</f>
        <v>No CAS Number Entered</v>
      </c>
      <c r="C145" s="102"/>
      <c r="D145" s="102" t="s">
        <v>12666</v>
      </c>
      <c r="E145" s="102" t="s">
        <v>12666</v>
      </c>
      <c r="F145" s="102" t="s">
        <v>12666</v>
      </c>
      <c r="G145" s="102" t="s">
        <v>12666</v>
      </c>
      <c r="H145" s="164"/>
      <c r="I145" s="51">
        <f>IF(speciated_chemicals_167[[#This Row],[Inert / Not a Contaminant?]]="Yes", 0, speciated_chemicals_167[[#This Row],[Weight Percent]]*(unique_components_166[[#Totals],[Controlled lb/hr]]+standard_components_165[[#Totals],[Controlled
lb/hr]]))</f>
        <v>0</v>
      </c>
      <c r="J145" s="51">
        <f>IF(speciated_chemicals_167[[#This Row],[Inert / Not a Contaminant?]]="Yes", 0, speciated_chemicals_167[[#This Row],[Weight Percent]]*(unique_components_166[[#Totals],[Controlled
tpy]]+standard_components_165[[#Totals],[Controlled
tpy]]))</f>
        <v>0</v>
      </c>
    </row>
    <row r="146" spans="1:10" x14ac:dyDescent="0.2">
      <c r="A146" s="103"/>
      <c r="B146" s="51" t="str">
        <f>IFERROR(VLOOKUP(speciated_chemicals_167[[#This Row],[CAS '#]],species[],MATCH("Substance", species[#Headers], 0),FALSE),"No CAS Number Entered")</f>
        <v>No CAS Number Entered</v>
      </c>
      <c r="C146" s="102"/>
      <c r="D146" s="102" t="s">
        <v>12666</v>
      </c>
      <c r="E146" s="102" t="s">
        <v>12666</v>
      </c>
      <c r="F146" s="102" t="s">
        <v>12666</v>
      </c>
      <c r="G146" s="102" t="s">
        <v>12666</v>
      </c>
      <c r="H146" s="164"/>
      <c r="I146" s="51">
        <f>IF(speciated_chemicals_167[[#This Row],[Inert / Not a Contaminant?]]="Yes", 0, speciated_chemicals_167[[#This Row],[Weight Percent]]*(unique_components_166[[#Totals],[Controlled lb/hr]]+standard_components_165[[#Totals],[Controlled
lb/hr]]))</f>
        <v>0</v>
      </c>
      <c r="J146" s="51">
        <f>IF(speciated_chemicals_167[[#This Row],[Inert / Not a Contaminant?]]="Yes", 0, speciated_chemicals_167[[#This Row],[Weight Percent]]*(unique_components_166[[#Totals],[Controlled
tpy]]+standard_components_165[[#Totals],[Controlled
tpy]]))</f>
        <v>0</v>
      </c>
    </row>
    <row r="147" spans="1:10" x14ac:dyDescent="0.2">
      <c r="A147" s="103"/>
      <c r="B147" s="51" t="str">
        <f>IFERROR(VLOOKUP(speciated_chemicals_167[[#This Row],[CAS '#]],species[],MATCH("Substance", species[#Headers], 0),FALSE),"No CAS Number Entered")</f>
        <v>No CAS Number Entered</v>
      </c>
      <c r="C147" s="102"/>
      <c r="D147" s="102" t="s">
        <v>12666</v>
      </c>
      <c r="E147" s="102" t="s">
        <v>12666</v>
      </c>
      <c r="F147" s="102" t="s">
        <v>12666</v>
      </c>
      <c r="G147" s="102" t="s">
        <v>12666</v>
      </c>
      <c r="H147" s="164"/>
      <c r="I147" s="51">
        <f>IF(speciated_chemicals_167[[#This Row],[Inert / Not a Contaminant?]]="Yes", 0, speciated_chemicals_167[[#This Row],[Weight Percent]]*(unique_components_166[[#Totals],[Controlled lb/hr]]+standard_components_165[[#Totals],[Controlled
lb/hr]]))</f>
        <v>0</v>
      </c>
      <c r="J147" s="51">
        <f>IF(speciated_chemicals_167[[#This Row],[Inert / Not a Contaminant?]]="Yes", 0, speciated_chemicals_167[[#This Row],[Weight Percent]]*(unique_components_166[[#Totals],[Controlled
tpy]]+standard_components_165[[#Totals],[Controlled
tpy]]))</f>
        <v>0</v>
      </c>
    </row>
    <row r="148" spans="1:10" x14ac:dyDescent="0.2">
      <c r="A148" s="103"/>
      <c r="B148" s="51" t="str">
        <f>IFERROR(VLOOKUP(speciated_chemicals_167[[#This Row],[CAS '#]],species[],MATCH("Substance", species[#Headers], 0),FALSE),"No CAS Number Entered")</f>
        <v>No CAS Number Entered</v>
      </c>
      <c r="C148" s="102"/>
      <c r="D148" s="102" t="s">
        <v>12666</v>
      </c>
      <c r="E148" s="102" t="s">
        <v>12666</v>
      </c>
      <c r="F148" s="102" t="s">
        <v>12666</v>
      </c>
      <c r="G148" s="102" t="s">
        <v>12666</v>
      </c>
      <c r="H148" s="164"/>
      <c r="I148" s="51">
        <f>IF(speciated_chemicals_167[[#This Row],[Inert / Not a Contaminant?]]="Yes", 0, speciated_chemicals_167[[#This Row],[Weight Percent]]*(unique_components_166[[#Totals],[Controlled lb/hr]]+standard_components_165[[#Totals],[Controlled
lb/hr]]))</f>
        <v>0</v>
      </c>
      <c r="J148" s="51">
        <f>IF(speciated_chemicals_167[[#This Row],[Inert / Not a Contaminant?]]="Yes", 0, speciated_chemicals_167[[#This Row],[Weight Percent]]*(unique_components_166[[#Totals],[Controlled
tpy]]+standard_components_165[[#Totals],[Controlled
tpy]]))</f>
        <v>0</v>
      </c>
    </row>
    <row r="149" spans="1:10" x14ac:dyDescent="0.2">
      <c r="A149" s="103"/>
      <c r="B149" s="51" t="str">
        <f>IFERROR(VLOOKUP(speciated_chemicals_167[[#This Row],[CAS '#]],species[],MATCH("Substance", species[#Headers], 0),FALSE),"No CAS Number Entered")</f>
        <v>No CAS Number Entered</v>
      </c>
      <c r="C149" s="102"/>
      <c r="D149" s="102" t="s">
        <v>12666</v>
      </c>
      <c r="E149" s="102" t="s">
        <v>12666</v>
      </c>
      <c r="F149" s="102" t="s">
        <v>12666</v>
      </c>
      <c r="G149" s="102" t="s">
        <v>12666</v>
      </c>
      <c r="H149" s="164"/>
      <c r="I149" s="51">
        <f>IF(speciated_chemicals_167[[#This Row],[Inert / Not a Contaminant?]]="Yes", 0, speciated_chemicals_167[[#This Row],[Weight Percent]]*(unique_components_166[[#Totals],[Controlled lb/hr]]+standard_components_165[[#Totals],[Controlled
lb/hr]]))</f>
        <v>0</v>
      </c>
      <c r="J149" s="51">
        <f>IF(speciated_chemicals_167[[#This Row],[Inert / Not a Contaminant?]]="Yes", 0, speciated_chemicals_167[[#This Row],[Weight Percent]]*(unique_components_166[[#Totals],[Controlled
tpy]]+standard_components_165[[#Totals],[Controlled
tpy]]))</f>
        <v>0</v>
      </c>
    </row>
    <row r="150" spans="1:10" x14ac:dyDescent="0.2">
      <c r="A150" s="103"/>
      <c r="B150" s="51" t="str">
        <f>IFERROR(VLOOKUP(speciated_chemicals_167[[#This Row],[CAS '#]],species[],MATCH("Substance", species[#Headers], 0),FALSE),"No CAS Number Entered")</f>
        <v>No CAS Number Entered</v>
      </c>
      <c r="C150" s="102"/>
      <c r="D150" s="102" t="s">
        <v>12666</v>
      </c>
      <c r="E150" s="102" t="s">
        <v>12666</v>
      </c>
      <c r="F150" s="102" t="s">
        <v>12666</v>
      </c>
      <c r="G150" s="102" t="s">
        <v>12666</v>
      </c>
      <c r="H150" s="164"/>
      <c r="I150" s="51">
        <f>IF(speciated_chemicals_167[[#This Row],[Inert / Not a Contaminant?]]="Yes", 0, speciated_chemicals_167[[#This Row],[Weight Percent]]*(unique_components_166[[#Totals],[Controlled lb/hr]]+standard_components_165[[#Totals],[Controlled
lb/hr]]))</f>
        <v>0</v>
      </c>
      <c r="J150" s="51">
        <f>IF(speciated_chemicals_167[[#This Row],[Inert / Not a Contaminant?]]="Yes", 0, speciated_chemicals_167[[#This Row],[Weight Percent]]*(unique_components_166[[#Totals],[Controlled
tpy]]+standard_components_165[[#Totals],[Controlled
tpy]]))</f>
        <v>0</v>
      </c>
    </row>
    <row r="151" spans="1:10" x14ac:dyDescent="0.2">
      <c r="A151" s="103"/>
      <c r="B151" s="51" t="str">
        <f>IFERROR(VLOOKUP(speciated_chemicals_167[[#This Row],[CAS '#]],species[],MATCH("Substance", species[#Headers], 0),FALSE),"No CAS Number Entered")</f>
        <v>No CAS Number Entered</v>
      </c>
      <c r="C151" s="102"/>
      <c r="D151" s="102" t="s">
        <v>12666</v>
      </c>
      <c r="E151" s="102" t="s">
        <v>12666</v>
      </c>
      <c r="F151" s="102" t="s">
        <v>12666</v>
      </c>
      <c r="G151" s="102" t="s">
        <v>12666</v>
      </c>
      <c r="H151" s="164"/>
      <c r="I151" s="51">
        <f>IF(speciated_chemicals_167[[#This Row],[Inert / Not a Contaminant?]]="Yes", 0, speciated_chemicals_167[[#This Row],[Weight Percent]]*(unique_components_166[[#Totals],[Controlled lb/hr]]+standard_components_165[[#Totals],[Controlled
lb/hr]]))</f>
        <v>0</v>
      </c>
      <c r="J151" s="51">
        <f>IF(speciated_chemicals_167[[#This Row],[Inert / Not a Contaminant?]]="Yes", 0, speciated_chemicals_167[[#This Row],[Weight Percent]]*(unique_components_166[[#Totals],[Controlled
tpy]]+standard_components_165[[#Totals],[Controlled
tpy]]))</f>
        <v>0</v>
      </c>
    </row>
    <row r="152" spans="1:10" x14ac:dyDescent="0.2">
      <c r="A152" s="103"/>
      <c r="B152" s="51" t="str">
        <f>IFERROR(VLOOKUP(speciated_chemicals_167[[#This Row],[CAS '#]],species[],MATCH("Substance", species[#Headers], 0),FALSE),"No CAS Number Entered")</f>
        <v>No CAS Number Entered</v>
      </c>
      <c r="C152" s="102"/>
      <c r="D152" s="102" t="s">
        <v>12666</v>
      </c>
      <c r="E152" s="102" t="s">
        <v>12666</v>
      </c>
      <c r="F152" s="102" t="s">
        <v>12666</v>
      </c>
      <c r="G152" s="102" t="s">
        <v>12666</v>
      </c>
      <c r="H152" s="164"/>
      <c r="I152" s="51">
        <f>IF(speciated_chemicals_167[[#This Row],[Inert / Not a Contaminant?]]="Yes", 0, speciated_chemicals_167[[#This Row],[Weight Percent]]*(unique_components_166[[#Totals],[Controlled lb/hr]]+standard_components_165[[#Totals],[Controlled
lb/hr]]))</f>
        <v>0</v>
      </c>
      <c r="J152" s="51">
        <f>IF(speciated_chemicals_167[[#This Row],[Inert / Not a Contaminant?]]="Yes", 0, speciated_chemicals_167[[#This Row],[Weight Percent]]*(unique_components_166[[#Totals],[Controlled
tpy]]+standard_components_165[[#Totals],[Controlled
tpy]]))</f>
        <v>0</v>
      </c>
    </row>
    <row r="153" spans="1:10" x14ac:dyDescent="0.2">
      <c r="A153" s="103"/>
      <c r="B153" s="51" t="str">
        <f>IFERROR(VLOOKUP(speciated_chemicals_167[[#This Row],[CAS '#]],species[],MATCH("Substance", species[#Headers], 0),FALSE),"No CAS Number Entered")</f>
        <v>No CAS Number Entered</v>
      </c>
      <c r="C153" s="102"/>
      <c r="D153" s="102" t="s">
        <v>12666</v>
      </c>
      <c r="E153" s="102" t="s">
        <v>12666</v>
      </c>
      <c r="F153" s="102" t="s">
        <v>12666</v>
      </c>
      <c r="G153" s="102" t="s">
        <v>12666</v>
      </c>
      <c r="H153" s="164"/>
      <c r="I153" s="51">
        <f>IF(speciated_chemicals_167[[#This Row],[Inert / Not a Contaminant?]]="Yes", 0, speciated_chemicals_167[[#This Row],[Weight Percent]]*(unique_components_166[[#Totals],[Controlled lb/hr]]+standard_components_165[[#Totals],[Controlled
lb/hr]]))</f>
        <v>0</v>
      </c>
      <c r="J153" s="51">
        <f>IF(speciated_chemicals_167[[#This Row],[Inert / Not a Contaminant?]]="Yes", 0, speciated_chemicals_167[[#This Row],[Weight Percent]]*(unique_components_166[[#Totals],[Controlled
tpy]]+standard_components_165[[#Totals],[Controlled
tpy]]))</f>
        <v>0</v>
      </c>
    </row>
    <row r="154" spans="1:10" x14ac:dyDescent="0.2">
      <c r="A154" s="103"/>
      <c r="B154" s="51" t="str">
        <f>IFERROR(VLOOKUP(speciated_chemicals_167[[#This Row],[CAS '#]],species[],MATCH("Substance", species[#Headers], 0),FALSE),"No CAS Number Entered")</f>
        <v>No CAS Number Entered</v>
      </c>
      <c r="C154" s="102"/>
      <c r="D154" s="102" t="s">
        <v>12666</v>
      </c>
      <c r="E154" s="102" t="s">
        <v>12666</v>
      </c>
      <c r="F154" s="102" t="s">
        <v>12666</v>
      </c>
      <c r="G154" s="102" t="s">
        <v>12666</v>
      </c>
      <c r="H154" s="164"/>
      <c r="I154" s="51">
        <f>IF(speciated_chemicals_167[[#This Row],[Inert / Not a Contaminant?]]="Yes", 0, speciated_chemicals_167[[#This Row],[Weight Percent]]*(unique_components_166[[#Totals],[Controlled lb/hr]]+standard_components_165[[#Totals],[Controlled
lb/hr]]))</f>
        <v>0</v>
      </c>
      <c r="J154" s="51">
        <f>IF(speciated_chemicals_167[[#This Row],[Inert / Not a Contaminant?]]="Yes", 0, speciated_chemicals_167[[#This Row],[Weight Percent]]*(unique_components_166[[#Totals],[Controlled
tpy]]+standard_components_165[[#Totals],[Controlled
tpy]]))</f>
        <v>0</v>
      </c>
    </row>
    <row r="155" spans="1:10" x14ac:dyDescent="0.2">
      <c r="A155" s="103"/>
      <c r="B155" s="51" t="str">
        <f>IFERROR(VLOOKUP(speciated_chemicals_167[[#This Row],[CAS '#]],species[],MATCH("Substance", species[#Headers], 0),FALSE),"No CAS Number Entered")</f>
        <v>No CAS Number Entered</v>
      </c>
      <c r="C155" s="102"/>
      <c r="D155" s="102" t="s">
        <v>12666</v>
      </c>
      <c r="E155" s="102" t="s">
        <v>12666</v>
      </c>
      <c r="F155" s="102" t="s">
        <v>12666</v>
      </c>
      <c r="G155" s="102" t="s">
        <v>12666</v>
      </c>
      <c r="H155" s="164"/>
      <c r="I155" s="51">
        <f>IF(speciated_chemicals_167[[#This Row],[Inert / Not a Contaminant?]]="Yes", 0, speciated_chemicals_167[[#This Row],[Weight Percent]]*(unique_components_166[[#Totals],[Controlled lb/hr]]+standard_components_165[[#Totals],[Controlled
lb/hr]]))</f>
        <v>0</v>
      </c>
      <c r="J155" s="51">
        <f>IF(speciated_chemicals_167[[#This Row],[Inert / Not a Contaminant?]]="Yes", 0, speciated_chemicals_167[[#This Row],[Weight Percent]]*(unique_components_166[[#Totals],[Controlled
tpy]]+standard_components_165[[#Totals],[Controlled
tpy]]))</f>
        <v>0</v>
      </c>
    </row>
    <row r="156" spans="1:10" x14ac:dyDescent="0.2">
      <c r="A156" s="103"/>
      <c r="B156" s="51" t="str">
        <f>IFERROR(VLOOKUP(speciated_chemicals_167[[#This Row],[CAS '#]],species[],MATCH("Substance", species[#Headers], 0),FALSE),"No CAS Number Entered")</f>
        <v>No CAS Number Entered</v>
      </c>
      <c r="C156" s="102"/>
      <c r="D156" s="102" t="s">
        <v>12666</v>
      </c>
      <c r="E156" s="102" t="s">
        <v>12666</v>
      </c>
      <c r="F156" s="102" t="s">
        <v>12666</v>
      </c>
      <c r="G156" s="102" t="s">
        <v>12666</v>
      </c>
      <c r="H156" s="164"/>
      <c r="I156" s="51">
        <f>IF(speciated_chemicals_167[[#This Row],[Inert / Not a Contaminant?]]="Yes", 0, speciated_chemicals_167[[#This Row],[Weight Percent]]*(unique_components_166[[#Totals],[Controlled lb/hr]]+standard_components_165[[#Totals],[Controlled
lb/hr]]))</f>
        <v>0</v>
      </c>
      <c r="J156" s="51">
        <f>IF(speciated_chemicals_167[[#This Row],[Inert / Not a Contaminant?]]="Yes", 0, speciated_chemicals_167[[#This Row],[Weight Percent]]*(unique_components_166[[#Totals],[Controlled
tpy]]+standard_components_165[[#Totals],[Controlled
tpy]]))</f>
        <v>0</v>
      </c>
    </row>
    <row r="157" spans="1:10" x14ac:dyDescent="0.2">
      <c r="A157" s="103"/>
      <c r="B157" s="51" t="str">
        <f>IFERROR(VLOOKUP(speciated_chemicals_167[[#This Row],[CAS '#]],species[],MATCH("Substance", species[#Headers], 0),FALSE),"No CAS Number Entered")</f>
        <v>No CAS Number Entered</v>
      </c>
      <c r="C157" s="102"/>
      <c r="D157" s="102" t="s">
        <v>12666</v>
      </c>
      <c r="E157" s="102" t="s">
        <v>12666</v>
      </c>
      <c r="F157" s="102" t="s">
        <v>12666</v>
      </c>
      <c r="G157" s="102" t="s">
        <v>12666</v>
      </c>
      <c r="H157" s="164"/>
      <c r="I157" s="51">
        <f>IF(speciated_chemicals_167[[#This Row],[Inert / Not a Contaminant?]]="Yes", 0, speciated_chemicals_167[[#This Row],[Weight Percent]]*(unique_components_166[[#Totals],[Controlled lb/hr]]+standard_components_165[[#Totals],[Controlled
lb/hr]]))</f>
        <v>0</v>
      </c>
      <c r="J157" s="51">
        <f>IF(speciated_chemicals_167[[#This Row],[Inert / Not a Contaminant?]]="Yes", 0, speciated_chemicals_167[[#This Row],[Weight Percent]]*(unique_components_166[[#Totals],[Controlled
tpy]]+standard_components_165[[#Totals],[Controlled
tpy]]))</f>
        <v>0</v>
      </c>
    </row>
    <row r="158" spans="1:10" x14ac:dyDescent="0.2">
      <c r="A158" s="103"/>
      <c r="B158" s="51" t="str">
        <f>IFERROR(VLOOKUP(speciated_chemicals_167[[#This Row],[CAS '#]],species[],MATCH("Substance", species[#Headers], 0),FALSE),"No CAS Number Entered")</f>
        <v>No CAS Number Entered</v>
      </c>
      <c r="C158" s="102"/>
      <c r="D158" s="102" t="s">
        <v>12666</v>
      </c>
      <c r="E158" s="102" t="s">
        <v>12666</v>
      </c>
      <c r="F158" s="102" t="s">
        <v>12666</v>
      </c>
      <c r="G158" s="102" t="s">
        <v>12666</v>
      </c>
      <c r="H158" s="164"/>
      <c r="I158" s="51">
        <f>IF(speciated_chemicals_167[[#This Row],[Inert / Not a Contaminant?]]="Yes", 0, speciated_chemicals_167[[#This Row],[Weight Percent]]*(unique_components_166[[#Totals],[Controlled lb/hr]]+standard_components_165[[#Totals],[Controlled
lb/hr]]))</f>
        <v>0</v>
      </c>
      <c r="J158" s="51">
        <f>IF(speciated_chemicals_167[[#This Row],[Inert / Not a Contaminant?]]="Yes", 0, speciated_chemicals_167[[#This Row],[Weight Percent]]*(unique_components_166[[#Totals],[Controlled
tpy]]+standard_components_165[[#Totals],[Controlled
tpy]]))</f>
        <v>0</v>
      </c>
    </row>
    <row r="159" spans="1:10" x14ac:dyDescent="0.2">
      <c r="A159" s="103"/>
      <c r="B159" s="51" t="str">
        <f>IFERROR(VLOOKUP(speciated_chemicals_167[[#This Row],[CAS '#]],species[],MATCH("Substance", species[#Headers], 0),FALSE),"No CAS Number Entered")</f>
        <v>No CAS Number Entered</v>
      </c>
      <c r="C159" s="102"/>
      <c r="D159" s="102" t="s">
        <v>12666</v>
      </c>
      <c r="E159" s="102" t="s">
        <v>12666</v>
      </c>
      <c r="F159" s="102" t="s">
        <v>12666</v>
      </c>
      <c r="G159" s="102" t="s">
        <v>12666</v>
      </c>
      <c r="H159" s="164"/>
      <c r="I159" s="51">
        <f>IF(speciated_chemicals_167[[#This Row],[Inert / Not a Contaminant?]]="Yes", 0, speciated_chemicals_167[[#This Row],[Weight Percent]]*(unique_components_166[[#Totals],[Controlled lb/hr]]+standard_components_165[[#Totals],[Controlled
lb/hr]]))</f>
        <v>0</v>
      </c>
      <c r="J159" s="51">
        <f>IF(speciated_chemicals_167[[#This Row],[Inert / Not a Contaminant?]]="Yes", 0, speciated_chemicals_167[[#This Row],[Weight Percent]]*(unique_components_166[[#Totals],[Controlled
tpy]]+standard_components_165[[#Totals],[Controlled
tpy]]))</f>
        <v>0</v>
      </c>
    </row>
    <row r="160" spans="1:10" x14ac:dyDescent="0.2">
      <c r="A160" s="103"/>
      <c r="B160" s="51" t="str">
        <f>IFERROR(VLOOKUP(speciated_chemicals_167[[#This Row],[CAS '#]],species[],MATCH("Substance", species[#Headers], 0),FALSE),"No CAS Number Entered")</f>
        <v>No CAS Number Entered</v>
      </c>
      <c r="C160" s="102"/>
      <c r="D160" s="102" t="s">
        <v>12666</v>
      </c>
      <c r="E160" s="102" t="s">
        <v>12666</v>
      </c>
      <c r="F160" s="102" t="s">
        <v>12666</v>
      </c>
      <c r="G160" s="102" t="s">
        <v>12666</v>
      </c>
      <c r="H160" s="164"/>
      <c r="I160" s="51">
        <f>IF(speciated_chemicals_167[[#This Row],[Inert / Not a Contaminant?]]="Yes", 0, speciated_chemicals_167[[#This Row],[Weight Percent]]*(unique_components_166[[#Totals],[Controlled lb/hr]]+standard_components_165[[#Totals],[Controlled
lb/hr]]))</f>
        <v>0</v>
      </c>
      <c r="J160" s="51">
        <f>IF(speciated_chemicals_167[[#This Row],[Inert / Not a Contaminant?]]="Yes", 0, speciated_chemicals_167[[#This Row],[Weight Percent]]*(unique_components_166[[#Totals],[Controlled
tpy]]+standard_components_165[[#Totals],[Controlled
tpy]]))</f>
        <v>0</v>
      </c>
    </row>
    <row r="161" spans="1:10" x14ac:dyDescent="0.2">
      <c r="A161" s="103"/>
      <c r="B161" s="51" t="str">
        <f>IFERROR(VLOOKUP(speciated_chemicals_167[[#This Row],[CAS '#]],species[],MATCH("Substance", species[#Headers], 0),FALSE),"No CAS Number Entered")</f>
        <v>No CAS Number Entered</v>
      </c>
      <c r="C161" s="102"/>
      <c r="D161" s="102" t="s">
        <v>12666</v>
      </c>
      <c r="E161" s="102" t="s">
        <v>12666</v>
      </c>
      <c r="F161" s="102" t="s">
        <v>12666</v>
      </c>
      <c r="G161" s="102" t="s">
        <v>12666</v>
      </c>
      <c r="H161" s="164"/>
      <c r="I161" s="51">
        <f>IF(speciated_chemicals_167[[#This Row],[Inert / Not a Contaminant?]]="Yes", 0, speciated_chemicals_167[[#This Row],[Weight Percent]]*(unique_components_166[[#Totals],[Controlled lb/hr]]+standard_components_165[[#Totals],[Controlled
lb/hr]]))</f>
        <v>0</v>
      </c>
      <c r="J161" s="51">
        <f>IF(speciated_chemicals_167[[#This Row],[Inert / Not a Contaminant?]]="Yes", 0, speciated_chemicals_167[[#This Row],[Weight Percent]]*(unique_components_166[[#Totals],[Controlled
tpy]]+standard_components_165[[#Totals],[Controlled
tpy]]))</f>
        <v>0</v>
      </c>
    </row>
    <row r="162" spans="1:10" x14ac:dyDescent="0.2">
      <c r="A162" s="103"/>
      <c r="B162" s="51" t="str">
        <f>IFERROR(VLOOKUP(speciated_chemicals_167[[#This Row],[CAS '#]],species[],MATCH("Substance", species[#Headers], 0),FALSE),"No CAS Number Entered")</f>
        <v>No CAS Number Entered</v>
      </c>
      <c r="C162" s="102"/>
      <c r="D162" s="102" t="s">
        <v>12666</v>
      </c>
      <c r="E162" s="102" t="s">
        <v>12666</v>
      </c>
      <c r="F162" s="102" t="s">
        <v>12666</v>
      </c>
      <c r="G162" s="102" t="s">
        <v>12666</v>
      </c>
      <c r="H162" s="164"/>
      <c r="I162" s="51">
        <f>IF(speciated_chemicals_167[[#This Row],[Inert / Not a Contaminant?]]="Yes", 0, speciated_chemicals_167[[#This Row],[Weight Percent]]*(unique_components_166[[#Totals],[Controlled lb/hr]]+standard_components_165[[#Totals],[Controlled
lb/hr]]))</f>
        <v>0</v>
      </c>
      <c r="J162" s="51">
        <f>IF(speciated_chemicals_167[[#This Row],[Inert / Not a Contaminant?]]="Yes", 0, speciated_chemicals_167[[#This Row],[Weight Percent]]*(unique_components_166[[#Totals],[Controlled
tpy]]+standard_components_165[[#Totals],[Controlled
tpy]]))</f>
        <v>0</v>
      </c>
    </row>
    <row r="163" spans="1:10" x14ac:dyDescent="0.2">
      <c r="A163" s="103"/>
      <c r="B163" s="51" t="str">
        <f>IFERROR(VLOOKUP(speciated_chemicals_167[[#This Row],[CAS '#]],species[],MATCH("Substance", species[#Headers], 0),FALSE),"No CAS Number Entered")</f>
        <v>No CAS Number Entered</v>
      </c>
      <c r="C163" s="102"/>
      <c r="D163" s="102" t="s">
        <v>12666</v>
      </c>
      <c r="E163" s="102" t="s">
        <v>12666</v>
      </c>
      <c r="F163" s="102" t="s">
        <v>12666</v>
      </c>
      <c r="G163" s="102" t="s">
        <v>12666</v>
      </c>
      <c r="H163" s="164"/>
      <c r="I163" s="51">
        <f>IF(speciated_chemicals_167[[#This Row],[Inert / Not a Contaminant?]]="Yes", 0, speciated_chemicals_167[[#This Row],[Weight Percent]]*(unique_components_166[[#Totals],[Controlled lb/hr]]+standard_components_165[[#Totals],[Controlled
lb/hr]]))</f>
        <v>0</v>
      </c>
      <c r="J163" s="51">
        <f>IF(speciated_chemicals_167[[#This Row],[Inert / Not a Contaminant?]]="Yes", 0, speciated_chemicals_167[[#This Row],[Weight Percent]]*(unique_components_166[[#Totals],[Controlled
tpy]]+standard_components_165[[#Totals],[Controlled
tpy]]))</f>
        <v>0</v>
      </c>
    </row>
    <row r="164" spans="1:10" x14ac:dyDescent="0.2">
      <c r="A164" s="103"/>
      <c r="B164" s="51" t="str">
        <f>IFERROR(VLOOKUP(speciated_chemicals_167[[#This Row],[CAS '#]],species[],MATCH("Substance", species[#Headers], 0),FALSE),"No CAS Number Entered")</f>
        <v>No CAS Number Entered</v>
      </c>
      <c r="C164" s="102"/>
      <c r="D164" s="102" t="s">
        <v>12666</v>
      </c>
      <c r="E164" s="102" t="s">
        <v>12666</v>
      </c>
      <c r="F164" s="102" t="s">
        <v>12666</v>
      </c>
      <c r="G164" s="102" t="s">
        <v>12666</v>
      </c>
      <c r="H164" s="164"/>
      <c r="I164" s="51">
        <f>IF(speciated_chemicals_167[[#This Row],[Inert / Not a Contaminant?]]="Yes", 0, speciated_chemicals_167[[#This Row],[Weight Percent]]*(unique_components_166[[#Totals],[Controlled lb/hr]]+standard_components_165[[#Totals],[Controlled
lb/hr]]))</f>
        <v>0</v>
      </c>
      <c r="J164" s="51">
        <f>IF(speciated_chemicals_167[[#This Row],[Inert / Not a Contaminant?]]="Yes", 0, speciated_chemicals_167[[#This Row],[Weight Percent]]*(unique_components_166[[#Totals],[Controlled
tpy]]+standard_components_165[[#Totals],[Controlled
tpy]]))</f>
        <v>0</v>
      </c>
    </row>
    <row r="165" spans="1:10" x14ac:dyDescent="0.2">
      <c r="A165" s="103"/>
      <c r="B165" s="51" t="str">
        <f>IFERROR(VLOOKUP(speciated_chemicals_167[[#This Row],[CAS '#]],species[],MATCH("Substance", species[#Headers], 0),FALSE),"No CAS Number Entered")</f>
        <v>No CAS Number Entered</v>
      </c>
      <c r="C165" s="102"/>
      <c r="D165" s="102" t="s">
        <v>12666</v>
      </c>
      <c r="E165" s="102" t="s">
        <v>12666</v>
      </c>
      <c r="F165" s="102" t="s">
        <v>12666</v>
      </c>
      <c r="G165" s="102" t="s">
        <v>12666</v>
      </c>
      <c r="H165" s="164"/>
      <c r="I165" s="51">
        <f>IF(speciated_chemicals_167[[#This Row],[Inert / Not a Contaminant?]]="Yes", 0, speciated_chemicals_167[[#This Row],[Weight Percent]]*(unique_components_166[[#Totals],[Controlled lb/hr]]+standard_components_165[[#Totals],[Controlled
lb/hr]]))</f>
        <v>0</v>
      </c>
      <c r="J165" s="51">
        <f>IF(speciated_chemicals_167[[#This Row],[Inert / Not a Contaminant?]]="Yes", 0, speciated_chemicals_167[[#This Row],[Weight Percent]]*(unique_components_166[[#Totals],[Controlled
tpy]]+standard_components_165[[#Totals],[Controlled
tpy]]))</f>
        <v>0</v>
      </c>
    </row>
    <row r="166" spans="1:10" x14ac:dyDescent="0.2">
      <c r="A166" s="103"/>
      <c r="B166" s="51" t="str">
        <f>IFERROR(VLOOKUP(speciated_chemicals_167[[#This Row],[CAS '#]],species[],MATCH("Substance", species[#Headers], 0),FALSE),"No CAS Number Entered")</f>
        <v>No CAS Number Entered</v>
      </c>
      <c r="C166" s="102"/>
      <c r="D166" s="102" t="s">
        <v>12666</v>
      </c>
      <c r="E166" s="102" t="s">
        <v>12666</v>
      </c>
      <c r="F166" s="102" t="s">
        <v>12666</v>
      </c>
      <c r="G166" s="102" t="s">
        <v>12666</v>
      </c>
      <c r="H166" s="164"/>
      <c r="I166" s="51">
        <f>IF(speciated_chemicals_167[[#This Row],[Inert / Not a Contaminant?]]="Yes", 0, speciated_chemicals_167[[#This Row],[Weight Percent]]*(unique_components_166[[#Totals],[Controlled lb/hr]]+standard_components_165[[#Totals],[Controlled
lb/hr]]))</f>
        <v>0</v>
      </c>
      <c r="J166" s="51">
        <f>IF(speciated_chemicals_167[[#This Row],[Inert / Not a Contaminant?]]="Yes", 0, speciated_chemicals_167[[#This Row],[Weight Percent]]*(unique_components_166[[#Totals],[Controlled
tpy]]+standard_components_165[[#Totals],[Controlled
tpy]]))</f>
        <v>0</v>
      </c>
    </row>
    <row r="167" spans="1:10" x14ac:dyDescent="0.2">
      <c r="A167" s="103"/>
      <c r="B167" s="51" t="str">
        <f>IFERROR(VLOOKUP(speciated_chemicals_167[[#This Row],[CAS '#]],species[],MATCH("Substance", species[#Headers], 0),FALSE),"No CAS Number Entered")</f>
        <v>No CAS Number Entered</v>
      </c>
      <c r="C167" s="102"/>
      <c r="D167" s="102" t="s">
        <v>12666</v>
      </c>
      <c r="E167" s="102" t="s">
        <v>12666</v>
      </c>
      <c r="F167" s="102" t="s">
        <v>12666</v>
      </c>
      <c r="G167" s="102" t="s">
        <v>12666</v>
      </c>
      <c r="H167" s="164"/>
      <c r="I167" s="51">
        <f>IF(speciated_chemicals_167[[#This Row],[Inert / Not a Contaminant?]]="Yes", 0, speciated_chemicals_167[[#This Row],[Weight Percent]]*(unique_components_166[[#Totals],[Controlled lb/hr]]+standard_components_165[[#Totals],[Controlled
lb/hr]]))</f>
        <v>0</v>
      </c>
      <c r="J167" s="51">
        <f>IF(speciated_chemicals_167[[#This Row],[Inert / Not a Contaminant?]]="Yes", 0, speciated_chemicals_167[[#This Row],[Weight Percent]]*(unique_components_166[[#Totals],[Controlled
tpy]]+standard_components_165[[#Totals],[Controlled
tpy]]))</f>
        <v>0</v>
      </c>
    </row>
    <row r="168" spans="1:10" x14ac:dyDescent="0.2">
      <c r="A168" s="103"/>
      <c r="B168" s="51" t="str">
        <f>IFERROR(VLOOKUP(speciated_chemicals_167[[#This Row],[CAS '#]],species[],MATCH("Substance", species[#Headers], 0),FALSE),"No CAS Number Entered")</f>
        <v>No CAS Number Entered</v>
      </c>
      <c r="C168" s="102"/>
      <c r="D168" s="102" t="s">
        <v>12666</v>
      </c>
      <c r="E168" s="102" t="s">
        <v>12666</v>
      </c>
      <c r="F168" s="102" t="s">
        <v>12666</v>
      </c>
      <c r="G168" s="102" t="s">
        <v>12666</v>
      </c>
      <c r="H168" s="164"/>
      <c r="I168" s="51">
        <f>IF(speciated_chemicals_167[[#This Row],[Inert / Not a Contaminant?]]="Yes", 0, speciated_chemicals_167[[#This Row],[Weight Percent]]*(unique_components_166[[#Totals],[Controlled lb/hr]]+standard_components_165[[#Totals],[Controlled
lb/hr]]))</f>
        <v>0</v>
      </c>
      <c r="J168" s="51">
        <f>IF(speciated_chemicals_167[[#This Row],[Inert / Not a Contaminant?]]="Yes", 0, speciated_chemicals_167[[#This Row],[Weight Percent]]*(unique_components_166[[#Totals],[Controlled
tpy]]+standard_components_165[[#Totals],[Controlled
tpy]]))</f>
        <v>0</v>
      </c>
    </row>
    <row r="169" spans="1:10" x14ac:dyDescent="0.2">
      <c r="A169" s="103"/>
      <c r="B169" s="51" t="str">
        <f>IFERROR(VLOOKUP(speciated_chemicals_167[[#This Row],[CAS '#]],species[],MATCH("Substance", species[#Headers], 0),FALSE),"No CAS Number Entered")</f>
        <v>No CAS Number Entered</v>
      </c>
      <c r="C169" s="102"/>
      <c r="D169" s="102" t="s">
        <v>12666</v>
      </c>
      <c r="E169" s="102" t="s">
        <v>12666</v>
      </c>
      <c r="F169" s="102" t="s">
        <v>12666</v>
      </c>
      <c r="G169" s="102" t="s">
        <v>12666</v>
      </c>
      <c r="H169" s="164"/>
      <c r="I169" s="51">
        <f>IF(speciated_chemicals_167[[#This Row],[Inert / Not a Contaminant?]]="Yes", 0, speciated_chemicals_167[[#This Row],[Weight Percent]]*(unique_components_166[[#Totals],[Controlled lb/hr]]+standard_components_165[[#Totals],[Controlled
lb/hr]]))</f>
        <v>0</v>
      </c>
      <c r="J169" s="51">
        <f>IF(speciated_chemicals_167[[#This Row],[Inert / Not a Contaminant?]]="Yes", 0, speciated_chemicals_167[[#This Row],[Weight Percent]]*(unique_components_166[[#Totals],[Controlled
tpy]]+standard_components_165[[#Totals],[Controlled
tpy]]))</f>
        <v>0</v>
      </c>
    </row>
    <row r="170" spans="1:10" x14ac:dyDescent="0.2">
      <c r="A170" s="103"/>
      <c r="B170" s="51" t="str">
        <f>IFERROR(VLOOKUP(speciated_chemicals_167[[#This Row],[CAS '#]],species[],MATCH("Substance", species[#Headers], 0),FALSE),"No CAS Number Entered")</f>
        <v>No CAS Number Entered</v>
      </c>
      <c r="C170" s="102"/>
      <c r="D170" s="102" t="s">
        <v>12666</v>
      </c>
      <c r="E170" s="102" t="s">
        <v>12666</v>
      </c>
      <c r="F170" s="102" t="s">
        <v>12666</v>
      </c>
      <c r="G170" s="102" t="s">
        <v>12666</v>
      </c>
      <c r="H170" s="164"/>
      <c r="I170" s="51">
        <f>IF(speciated_chemicals_167[[#This Row],[Inert / Not a Contaminant?]]="Yes", 0, speciated_chemicals_167[[#This Row],[Weight Percent]]*(unique_components_166[[#Totals],[Controlled lb/hr]]+standard_components_165[[#Totals],[Controlled
lb/hr]]))</f>
        <v>0</v>
      </c>
      <c r="J170" s="51">
        <f>IF(speciated_chemicals_167[[#This Row],[Inert / Not a Contaminant?]]="Yes", 0, speciated_chemicals_167[[#This Row],[Weight Percent]]*(unique_components_166[[#Totals],[Controlled
tpy]]+standard_components_165[[#Totals],[Controlled
tpy]]))</f>
        <v>0</v>
      </c>
    </row>
    <row r="171" spans="1:10" x14ac:dyDescent="0.2">
      <c r="A171" s="103"/>
      <c r="B171" s="51" t="str">
        <f>IFERROR(VLOOKUP(speciated_chemicals_167[[#This Row],[CAS '#]],species[],MATCH("Substance", species[#Headers], 0),FALSE),"No CAS Number Entered")</f>
        <v>No CAS Number Entered</v>
      </c>
      <c r="C171" s="102"/>
      <c r="D171" s="102" t="s">
        <v>12666</v>
      </c>
      <c r="E171" s="102" t="s">
        <v>12666</v>
      </c>
      <c r="F171" s="102" t="s">
        <v>12666</v>
      </c>
      <c r="G171" s="102" t="s">
        <v>12666</v>
      </c>
      <c r="H171" s="164"/>
      <c r="I171" s="51">
        <f>IF(speciated_chemicals_167[[#This Row],[Inert / Not a Contaminant?]]="Yes", 0, speciated_chemicals_167[[#This Row],[Weight Percent]]*(unique_components_166[[#Totals],[Controlled lb/hr]]+standard_components_165[[#Totals],[Controlled
lb/hr]]))</f>
        <v>0</v>
      </c>
      <c r="J171" s="51">
        <f>IF(speciated_chemicals_167[[#This Row],[Inert / Not a Contaminant?]]="Yes", 0, speciated_chemicals_167[[#This Row],[Weight Percent]]*(unique_components_166[[#Totals],[Controlled
tpy]]+standard_components_165[[#Totals],[Controlled
tpy]]))</f>
        <v>0</v>
      </c>
    </row>
    <row r="172" spans="1:10" x14ac:dyDescent="0.2">
      <c r="A172" s="103"/>
      <c r="B172" s="51" t="str">
        <f>IFERROR(VLOOKUP(speciated_chemicals_167[[#This Row],[CAS '#]],species[],MATCH("Substance", species[#Headers], 0),FALSE),"No CAS Number Entered")</f>
        <v>No CAS Number Entered</v>
      </c>
      <c r="C172" s="102"/>
      <c r="D172" s="102" t="s">
        <v>12666</v>
      </c>
      <c r="E172" s="102" t="s">
        <v>12666</v>
      </c>
      <c r="F172" s="102" t="s">
        <v>12666</v>
      </c>
      <c r="G172" s="102" t="s">
        <v>12666</v>
      </c>
      <c r="H172" s="164"/>
      <c r="I172" s="51">
        <f>IF(speciated_chemicals_167[[#This Row],[Inert / Not a Contaminant?]]="Yes", 0, speciated_chemicals_167[[#This Row],[Weight Percent]]*(unique_components_166[[#Totals],[Controlled lb/hr]]+standard_components_165[[#Totals],[Controlled
lb/hr]]))</f>
        <v>0</v>
      </c>
      <c r="J172" s="51">
        <f>IF(speciated_chemicals_167[[#This Row],[Inert / Not a Contaminant?]]="Yes", 0, speciated_chemicals_167[[#This Row],[Weight Percent]]*(unique_components_166[[#Totals],[Controlled
tpy]]+standard_components_165[[#Totals],[Controlled
tpy]]))</f>
        <v>0</v>
      </c>
    </row>
    <row r="173" spans="1:10" x14ac:dyDescent="0.2">
      <c r="A173" s="103"/>
      <c r="B173" s="51" t="str">
        <f>IFERROR(VLOOKUP(speciated_chemicals_167[[#This Row],[CAS '#]],species[],MATCH("Substance", species[#Headers], 0),FALSE),"No CAS Number Entered")</f>
        <v>No CAS Number Entered</v>
      </c>
      <c r="C173" s="102"/>
      <c r="D173" s="102" t="s">
        <v>12666</v>
      </c>
      <c r="E173" s="102" t="s">
        <v>12666</v>
      </c>
      <c r="F173" s="102" t="s">
        <v>12666</v>
      </c>
      <c r="G173" s="102" t="s">
        <v>12666</v>
      </c>
      <c r="H173" s="164"/>
      <c r="I173" s="51">
        <f>IF(speciated_chemicals_167[[#This Row],[Inert / Not a Contaminant?]]="Yes", 0, speciated_chemicals_167[[#This Row],[Weight Percent]]*(unique_components_166[[#Totals],[Controlled lb/hr]]+standard_components_165[[#Totals],[Controlled
lb/hr]]))</f>
        <v>0</v>
      </c>
      <c r="J173" s="51">
        <f>IF(speciated_chemicals_167[[#This Row],[Inert / Not a Contaminant?]]="Yes", 0, speciated_chemicals_167[[#This Row],[Weight Percent]]*(unique_components_166[[#Totals],[Controlled
tpy]]+standard_components_165[[#Totals],[Controlled
tpy]]))</f>
        <v>0</v>
      </c>
    </row>
    <row r="174" spans="1:10" x14ac:dyDescent="0.2">
      <c r="A174" s="103"/>
      <c r="B174" s="51" t="str">
        <f>IFERROR(VLOOKUP(speciated_chemicals_167[[#This Row],[CAS '#]],species[],MATCH("Substance", species[#Headers], 0),FALSE),"No CAS Number Entered")</f>
        <v>No CAS Number Entered</v>
      </c>
      <c r="C174" s="102"/>
      <c r="D174" s="102" t="s">
        <v>12666</v>
      </c>
      <c r="E174" s="102" t="s">
        <v>12666</v>
      </c>
      <c r="F174" s="102" t="s">
        <v>12666</v>
      </c>
      <c r="G174" s="102" t="s">
        <v>12666</v>
      </c>
      <c r="H174" s="164"/>
      <c r="I174" s="51">
        <f>IF(speciated_chemicals_167[[#This Row],[Inert / Not a Contaminant?]]="Yes", 0, speciated_chemicals_167[[#This Row],[Weight Percent]]*(unique_components_166[[#Totals],[Controlled lb/hr]]+standard_components_165[[#Totals],[Controlled
lb/hr]]))</f>
        <v>0</v>
      </c>
      <c r="J174" s="51">
        <f>IF(speciated_chemicals_167[[#This Row],[Inert / Not a Contaminant?]]="Yes", 0, speciated_chemicals_167[[#This Row],[Weight Percent]]*(unique_components_166[[#Totals],[Controlled
tpy]]+standard_components_165[[#Totals],[Controlled
tpy]]))</f>
        <v>0</v>
      </c>
    </row>
    <row r="175" spans="1:10" x14ac:dyDescent="0.2">
      <c r="A175" s="103"/>
      <c r="B175" s="51" t="str">
        <f>IFERROR(VLOOKUP(speciated_chemicals_167[[#This Row],[CAS '#]],species[],MATCH("Substance", species[#Headers], 0),FALSE),"No CAS Number Entered")</f>
        <v>No CAS Number Entered</v>
      </c>
      <c r="C175" s="102"/>
      <c r="D175" s="102" t="s">
        <v>12666</v>
      </c>
      <c r="E175" s="102" t="s">
        <v>12666</v>
      </c>
      <c r="F175" s="102" t="s">
        <v>12666</v>
      </c>
      <c r="G175" s="102" t="s">
        <v>12666</v>
      </c>
      <c r="H175" s="164"/>
      <c r="I175" s="51">
        <f>IF(speciated_chemicals_167[[#This Row],[Inert / Not a Contaminant?]]="Yes", 0, speciated_chemicals_167[[#This Row],[Weight Percent]]*(unique_components_166[[#Totals],[Controlled lb/hr]]+standard_components_165[[#Totals],[Controlled
lb/hr]]))</f>
        <v>0</v>
      </c>
      <c r="J175" s="51">
        <f>IF(speciated_chemicals_167[[#This Row],[Inert / Not a Contaminant?]]="Yes", 0, speciated_chemicals_167[[#This Row],[Weight Percent]]*(unique_components_166[[#Totals],[Controlled
tpy]]+standard_components_165[[#Totals],[Controlled
tpy]]))</f>
        <v>0</v>
      </c>
    </row>
    <row r="176" spans="1:10" x14ac:dyDescent="0.2">
      <c r="A176" s="165"/>
      <c r="B176" s="51" t="str">
        <f>IFERROR(VLOOKUP(speciated_chemicals_167[[#This Row],[CAS '#]],species[],MATCH("Substance", species[#Headers], 0),FALSE),"No CAS Number Entered")</f>
        <v>No CAS Number Entered</v>
      </c>
      <c r="C176" s="102"/>
      <c r="D176" s="102" t="s">
        <v>12666</v>
      </c>
      <c r="E176" s="102" t="s">
        <v>12666</v>
      </c>
      <c r="F176" s="102" t="s">
        <v>12666</v>
      </c>
      <c r="G176" s="102" t="s">
        <v>12666</v>
      </c>
      <c r="H176" s="164"/>
      <c r="I176" s="51">
        <f>IF(speciated_chemicals_167[[#This Row],[Inert / Not a Contaminant?]]="Yes", 0, speciated_chemicals_167[[#This Row],[Weight Percent]]*(unique_components_166[[#Totals],[Controlled lb/hr]]+standard_components_165[[#Totals],[Controlled
lb/hr]]))</f>
        <v>0</v>
      </c>
      <c r="J176" s="51">
        <f>IF(speciated_chemicals_167[[#This Row],[Inert / Not a Contaminant?]]="Yes", 0, speciated_chemicals_167[[#This Row],[Weight Percent]]*(unique_components_166[[#Totals],[Controlled
tpy]]+standard_components_165[[#Totals],[Controlled
tpy]]))</f>
        <v>0</v>
      </c>
    </row>
    <row r="177" spans="1:10" x14ac:dyDescent="0.2">
      <c r="A177" s="103"/>
      <c r="B177" s="51" t="str">
        <f>IFERROR(VLOOKUP(speciated_chemicals_167[[#This Row],[CAS '#]],species[],MATCH("Substance", species[#Headers], 0),FALSE),"No CAS Number Entered")</f>
        <v>No CAS Number Entered</v>
      </c>
      <c r="C177" s="102"/>
      <c r="D177" s="102" t="s">
        <v>12666</v>
      </c>
      <c r="E177" s="102" t="s">
        <v>12666</v>
      </c>
      <c r="F177" s="102" t="s">
        <v>12666</v>
      </c>
      <c r="G177" s="102" t="s">
        <v>12666</v>
      </c>
      <c r="H177" s="164"/>
      <c r="I177" s="51">
        <f>IF(speciated_chemicals_167[[#This Row],[Inert / Not a Contaminant?]]="Yes", 0, speciated_chemicals_167[[#This Row],[Weight Percent]]*(unique_components_166[[#Totals],[Controlled lb/hr]]+standard_components_165[[#Totals],[Controlled
lb/hr]]))</f>
        <v>0</v>
      </c>
      <c r="J177" s="51">
        <f>IF(speciated_chemicals_167[[#This Row],[Inert / Not a Contaminant?]]="Yes", 0, speciated_chemicals_167[[#This Row],[Weight Percent]]*(unique_components_166[[#Totals],[Controlled
tpy]]+standard_components_165[[#Totals],[Controlled
tpy]]))</f>
        <v>0</v>
      </c>
    </row>
    <row r="178" spans="1:10" x14ac:dyDescent="0.2">
      <c r="A178" s="103"/>
      <c r="B178" s="51" t="str">
        <f>IFERROR(VLOOKUP(speciated_chemicals_167[[#This Row],[CAS '#]],species[],MATCH("Substance", species[#Headers], 0),FALSE),"No CAS Number Entered")</f>
        <v>No CAS Number Entered</v>
      </c>
      <c r="C178" s="102"/>
      <c r="D178" s="102" t="s">
        <v>12666</v>
      </c>
      <c r="E178" s="102" t="s">
        <v>12666</v>
      </c>
      <c r="F178" s="102" t="s">
        <v>12666</v>
      </c>
      <c r="G178" s="102" t="s">
        <v>12666</v>
      </c>
      <c r="H178" s="164"/>
      <c r="I178" s="51">
        <f>IF(speciated_chemicals_167[[#This Row],[Inert / Not a Contaminant?]]="Yes", 0, speciated_chemicals_167[[#This Row],[Weight Percent]]*(unique_components_166[[#Totals],[Controlled lb/hr]]+standard_components_165[[#Totals],[Controlled
lb/hr]]))</f>
        <v>0</v>
      </c>
      <c r="J178" s="51">
        <f>IF(speciated_chemicals_167[[#This Row],[Inert / Not a Contaminant?]]="Yes", 0, speciated_chemicals_167[[#This Row],[Weight Percent]]*(unique_components_166[[#Totals],[Controlled
tpy]]+standard_components_165[[#Totals],[Controlled
tpy]]))</f>
        <v>0</v>
      </c>
    </row>
    <row r="179" spans="1:10" x14ac:dyDescent="0.2">
      <c r="A179" s="103"/>
      <c r="B179" s="51" t="str">
        <f>IFERROR(VLOOKUP(speciated_chemicals_167[[#This Row],[CAS '#]],species[],MATCH("Substance", species[#Headers], 0),FALSE),"No CAS Number Entered")</f>
        <v>No CAS Number Entered</v>
      </c>
      <c r="C179" s="102"/>
      <c r="D179" s="102" t="s">
        <v>12666</v>
      </c>
      <c r="E179" s="102" t="s">
        <v>12666</v>
      </c>
      <c r="F179" s="102" t="s">
        <v>12666</v>
      </c>
      <c r="G179" s="102" t="s">
        <v>12666</v>
      </c>
      <c r="H179" s="164"/>
      <c r="I179" s="51">
        <f>IF(speciated_chemicals_167[[#This Row],[Inert / Not a Contaminant?]]="Yes", 0, speciated_chemicals_167[[#This Row],[Weight Percent]]*(unique_components_166[[#Totals],[Controlled lb/hr]]+standard_components_165[[#Totals],[Controlled
lb/hr]]))</f>
        <v>0</v>
      </c>
      <c r="J179" s="51">
        <f>IF(speciated_chemicals_167[[#This Row],[Inert / Not a Contaminant?]]="Yes", 0, speciated_chemicals_167[[#This Row],[Weight Percent]]*(unique_components_166[[#Totals],[Controlled
tpy]]+standard_components_165[[#Totals],[Controlled
tpy]]))</f>
        <v>0</v>
      </c>
    </row>
    <row r="180" spans="1:10" x14ac:dyDescent="0.2">
      <c r="A180" s="103"/>
      <c r="B180" s="51" t="str">
        <f>IFERROR(VLOOKUP(speciated_chemicals_167[[#This Row],[CAS '#]],species[],MATCH("Substance", species[#Headers], 0),FALSE),"No CAS Number Entered")</f>
        <v>No CAS Number Entered</v>
      </c>
      <c r="C180" s="102"/>
      <c r="D180" s="102" t="s">
        <v>12666</v>
      </c>
      <c r="E180" s="102" t="s">
        <v>12666</v>
      </c>
      <c r="F180" s="102" t="s">
        <v>12666</v>
      </c>
      <c r="G180" s="102" t="s">
        <v>12666</v>
      </c>
      <c r="H180" s="164"/>
      <c r="I180" s="51">
        <f>IF(speciated_chemicals_167[[#This Row],[Inert / Not a Contaminant?]]="Yes", 0, speciated_chemicals_167[[#This Row],[Weight Percent]]*(unique_components_166[[#Totals],[Controlled lb/hr]]+standard_components_165[[#Totals],[Controlled
lb/hr]]))</f>
        <v>0</v>
      </c>
      <c r="J180" s="51">
        <f>IF(speciated_chemicals_167[[#This Row],[Inert / Not a Contaminant?]]="Yes", 0, speciated_chemicals_167[[#This Row],[Weight Percent]]*(unique_components_166[[#Totals],[Controlled
tpy]]+standard_components_165[[#Totals],[Controlled
tpy]]))</f>
        <v>0</v>
      </c>
    </row>
    <row r="181" spans="1:10" ht="30" x14ac:dyDescent="0.2">
      <c r="A181" s="184" t="s">
        <v>12705</v>
      </c>
      <c r="B181" s="52"/>
      <c r="C181" s="53"/>
      <c r="D181" s="52"/>
      <c r="E181" s="52"/>
      <c r="F181" s="52"/>
      <c r="G181" s="52"/>
      <c r="H181" s="166">
        <f>SUBTOTAL(109,speciated_chemicals_167[Weight Percent])</f>
        <v>0</v>
      </c>
      <c r="I181" s="167">
        <f>SUBTOTAL(109,speciated_chemicals_167[lb/hr])</f>
        <v>0</v>
      </c>
      <c r="J181" s="167">
        <f>SUBTOTAL(109,speciated_chemicals_167[tpy])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MATCH(speciated_ghg_168[[#This Row],[CAS '#]], gwp_table[CAS No.], 0), MATCH("Name", gwp_table[#Headers], 0)),"No CAS Number Entered")</f>
        <v>No CAS Number Entered</v>
      </c>
      <c r="C185" s="79" t="str">
        <f>IFERROR(INDEX(gwp_table[], MATCH(speciated_ghg_168[[#This Row],[CAS '#]], gwp_table[CAS No.], 0), MATCH("Global warming potential", gwp_table[#Headers], 0)),"No CAS Number Entered")</f>
        <v>No CAS Number Entered</v>
      </c>
      <c r="D185" s="219"/>
      <c r="E185" s="79">
        <f>IFERROR(speciated_ghg_168[[#This Row],[Weight Percent]]*(unique_components_166[[#Totals],[Controlled
tpy]]+standard_components_165[[#Totals],[Controlled
tpy]]), "-")</f>
        <v>0</v>
      </c>
      <c r="F185" s="81" t="str">
        <f>IFERROR(speciated_ghg_168[[#This Row],[Mass Emissions (U.S. tons per year)]]*speciated_ghg_168[[#This Row],[Global Warming Potential (GWP)]], "-")</f>
        <v>-</v>
      </c>
      <c r="G185" s="30"/>
      <c r="H185" s="168"/>
      <c r="I185" s="168"/>
    </row>
    <row r="186" spans="1:10" x14ac:dyDescent="0.2">
      <c r="A186" s="210"/>
      <c r="B186" s="79" t="str">
        <f>IFERROR(INDEX(gwp_table[], MATCH(speciated_ghg_168[[#This Row],[CAS '#]], gwp_table[CAS No.], 0), MATCH("Name", gwp_table[#Headers], 0)),"No CAS Number Entered")</f>
        <v>No CAS Number Entered</v>
      </c>
      <c r="C186" s="79" t="str">
        <f>IFERROR(INDEX(gwp_table[], MATCH(speciated_ghg_168[[#This Row],[CAS '#]], gwp_table[CAS No.], 0), MATCH("Global warming potential", gwp_table[#Headers], 0)),"No CAS Number Entered")</f>
        <v>No CAS Number Entered</v>
      </c>
      <c r="D186" s="219"/>
      <c r="E186" s="79">
        <f>IFERROR(speciated_ghg_168[[#This Row],[Weight Percent]]*(unique_components_166[[#Totals],[Controlled
tpy]]+standard_components_165[[#Totals],[Controlled
tpy]]), "-")</f>
        <v>0</v>
      </c>
      <c r="F186" s="81" t="str">
        <f>IFERROR(speciated_ghg_168[[#This Row],[Mass Emissions (U.S. tons per year)]]*speciated_ghg_168[[#This Row],[Global Warming Potential (GWP)]], "-")</f>
        <v>-</v>
      </c>
      <c r="G186" s="30"/>
      <c r="H186" s="168"/>
      <c r="I186" s="168"/>
    </row>
    <row r="187" spans="1:10" x14ac:dyDescent="0.2">
      <c r="A187" s="210"/>
      <c r="B187" s="79" t="str">
        <f>IFERROR(INDEX(gwp_table[], MATCH(speciated_ghg_168[[#This Row],[CAS '#]], gwp_table[CAS No.], 0), MATCH("Name", gwp_table[#Headers], 0)),"No CAS Number Entered")</f>
        <v>No CAS Number Entered</v>
      </c>
      <c r="C187" s="79" t="str">
        <f>IFERROR(INDEX(gwp_table[], MATCH(speciated_ghg_168[[#This Row],[CAS '#]], gwp_table[CAS No.], 0), MATCH("Global warming potential", gwp_table[#Headers], 0)),"No CAS Number Entered")</f>
        <v>No CAS Number Entered</v>
      </c>
      <c r="D187" s="219"/>
      <c r="E187" s="79">
        <f>IFERROR(speciated_ghg_168[[#This Row],[Weight Percent]]*(unique_components_166[[#Totals],[Controlled
tpy]]+standard_components_165[[#Totals],[Controlled
tpy]]), "-")</f>
        <v>0</v>
      </c>
      <c r="F187" s="81" t="str">
        <f>IFERROR(speciated_ghg_168[[#This Row],[Mass Emissions (U.S. tons per year)]]*speciated_ghg_168[[#This Row],[Global Warming Potential (GWP)]], "-")</f>
        <v>-</v>
      </c>
      <c r="G187" s="30"/>
      <c r="H187" s="168"/>
      <c r="I187" s="168"/>
    </row>
    <row r="188" spans="1:10" x14ac:dyDescent="0.2">
      <c r="A188" s="210"/>
      <c r="B188" s="79" t="str">
        <f>IFERROR(INDEX(gwp_table[], MATCH(speciated_ghg_168[[#This Row],[CAS '#]], gwp_table[CAS No.], 0), MATCH("Name", gwp_table[#Headers], 0)),"No CAS Number Entered")</f>
        <v>No CAS Number Entered</v>
      </c>
      <c r="C188" s="79" t="str">
        <f>IFERROR(INDEX(gwp_table[], MATCH(speciated_ghg_168[[#This Row],[CAS '#]], gwp_table[CAS No.], 0), MATCH("Global warming potential", gwp_table[#Headers], 0)),"No CAS Number Entered")</f>
        <v>No CAS Number Entered</v>
      </c>
      <c r="D188" s="219"/>
      <c r="E188" s="79">
        <f>IFERROR(speciated_ghg_168[[#This Row],[Weight Percent]]*(unique_components_166[[#Totals],[Controlled
tpy]]+standard_components_165[[#Totals],[Controlled
tpy]]), "-")</f>
        <v>0</v>
      </c>
      <c r="F188" s="81" t="str">
        <f>IFERROR(speciated_ghg_168[[#This Row],[Mass Emissions (U.S. tons per year)]]*speciated_ghg_168[[#This Row],[Global Warming Potential (GWP)]], "-")</f>
        <v>-</v>
      </c>
      <c r="G188" s="30"/>
      <c r="H188" s="168"/>
      <c r="I188" s="168"/>
    </row>
    <row r="189" spans="1:10" x14ac:dyDescent="0.2">
      <c r="A189" s="210"/>
      <c r="B189" s="79" t="str">
        <f>IFERROR(INDEX(gwp_table[], MATCH(speciated_ghg_168[[#This Row],[CAS '#]], gwp_table[CAS No.], 0), MATCH("Name", gwp_table[#Headers], 0)),"No CAS Number Entered")</f>
        <v>No CAS Number Entered</v>
      </c>
      <c r="C189" s="79" t="str">
        <f>IFERROR(INDEX(gwp_table[], MATCH(speciated_ghg_168[[#This Row],[CAS '#]], gwp_table[CAS No.], 0), MATCH("Global warming potential", gwp_table[#Headers], 0)),"No CAS Number Entered")</f>
        <v>No CAS Number Entered</v>
      </c>
      <c r="D189" s="219"/>
      <c r="E189" s="79">
        <f>IFERROR(speciated_ghg_168[[#This Row],[Weight Percent]]*(unique_components_166[[#Totals],[Controlled
tpy]]+standard_components_165[[#Totals],[Controlled
tpy]]), "-")</f>
        <v>0</v>
      </c>
      <c r="F189" s="81" t="str">
        <f>IFERROR(speciated_ghg_168[[#This Row],[Mass Emissions (U.S. tons per year)]]*speciated_ghg_168[[#This Row],[Global Warming Potential (GWP)]], "-")</f>
        <v>-</v>
      </c>
      <c r="G189" s="30"/>
      <c r="H189" s="168"/>
      <c r="I189" s="168"/>
    </row>
    <row r="190" spans="1:10" x14ac:dyDescent="0.2">
      <c r="A190" s="210"/>
      <c r="B190" s="79" t="str">
        <f>IFERROR(INDEX(gwp_table[], MATCH(speciated_ghg_168[[#This Row],[CAS '#]], gwp_table[CAS No.], 0), MATCH("Name", gwp_table[#Headers], 0)),"No CAS Number Entered")</f>
        <v>No CAS Number Entered</v>
      </c>
      <c r="C190" s="79" t="str">
        <f>IFERROR(INDEX(gwp_table[], MATCH(speciated_ghg_168[[#This Row],[CAS '#]], gwp_table[CAS No.], 0), MATCH("Global warming potential", gwp_table[#Headers], 0)),"No CAS Number Entered")</f>
        <v>No CAS Number Entered</v>
      </c>
      <c r="D190" s="219"/>
      <c r="E190" s="79">
        <f>IFERROR(speciated_ghg_168[[#This Row],[Weight Percent]]*(unique_components_166[[#Totals],[Controlled
tpy]]+standard_components_165[[#Totals],[Controlled
tpy]]), "-")</f>
        <v>0</v>
      </c>
      <c r="F190" s="81" t="str">
        <f>IFERROR(speciated_ghg_168[[#This Row],[Mass Emissions (U.S. tons per year)]]*speciated_ghg_168[[#This Row],[Global Warming Potential (GWP)]], "-")</f>
        <v>-</v>
      </c>
      <c r="G190" s="30"/>
      <c r="H190" s="168"/>
      <c r="I190" s="168"/>
    </row>
    <row r="191" spans="1:10" x14ac:dyDescent="0.2">
      <c r="A191" s="210"/>
      <c r="B191" s="79" t="str">
        <f>IFERROR(INDEX(gwp_table[], MATCH(speciated_ghg_168[[#This Row],[CAS '#]], gwp_table[CAS No.], 0), MATCH("Name", gwp_table[#Headers], 0)),"No CAS Number Entered")</f>
        <v>No CAS Number Entered</v>
      </c>
      <c r="C191" s="79" t="str">
        <f>IFERROR(INDEX(gwp_table[], MATCH(speciated_ghg_168[[#This Row],[CAS '#]], gwp_table[CAS No.], 0), MATCH("Global warming potential", gwp_table[#Headers], 0)),"No CAS Number Entered")</f>
        <v>No CAS Number Entered</v>
      </c>
      <c r="D191" s="219"/>
      <c r="E191" s="79">
        <f>IFERROR(speciated_ghg_168[[#This Row],[Weight Percent]]*(unique_components_166[[#Totals],[Controlled
tpy]]+standard_components_165[[#Totals],[Controlled
tpy]]), "-")</f>
        <v>0</v>
      </c>
      <c r="F191" s="81" t="str">
        <f>IFERROR(speciated_ghg_168[[#This Row],[Mass Emissions (U.S. tons per year)]]*speciated_ghg_168[[#This Row],[Global Warming Potential (GWP)]], "-")</f>
        <v>-</v>
      </c>
      <c r="G191" s="17"/>
    </row>
    <row r="192" spans="1:10" ht="15" x14ac:dyDescent="0.25">
      <c r="A192" s="210"/>
      <c r="B192" s="79" t="str">
        <f>IFERROR(INDEX(gwp_table[], MATCH(speciated_ghg_168[[#This Row],[CAS '#]], gwp_table[CAS No.], 0), MATCH("Name", gwp_table[#Headers], 0)),"No CAS Number Entered")</f>
        <v>No CAS Number Entered</v>
      </c>
      <c r="C192" s="79" t="str">
        <f>IFERROR(INDEX(gwp_table[], MATCH(speciated_ghg_168[[#This Row],[CAS '#]], gwp_table[CAS No.], 0), MATCH("Global warming potential", gwp_table[#Headers], 0)),"No CAS Number Entered")</f>
        <v>No CAS Number Entered</v>
      </c>
      <c r="D192" s="219"/>
      <c r="E192" s="79">
        <f>IFERROR(speciated_ghg_168[[#This Row],[Weight Percent]]*(unique_components_166[[#Totals],[Controlled
tpy]]+standard_components_165[[#Totals],[Controlled
tpy]]), "-")</f>
        <v>0</v>
      </c>
      <c r="F192" s="81" t="str">
        <f>IFERROR(speciated_ghg_168[[#This Row],[Mass Emissions (U.S. tons per year)]]*speciated_ghg_168[[#This Row],[Global Warming Potential (GWP)]], "-")</f>
        <v>-</v>
      </c>
      <c r="G192" s="134"/>
      <c r="H192" s="169"/>
    </row>
    <row r="193" spans="1:9" ht="15" x14ac:dyDescent="0.25">
      <c r="A193" s="210"/>
      <c r="B193" s="79" t="str">
        <f>IFERROR(INDEX(gwp_table[], MATCH(speciated_ghg_168[[#This Row],[CAS '#]], gwp_table[CAS No.], 0), MATCH("Name", gwp_table[#Headers], 0)),"No CAS Number Entered")</f>
        <v>No CAS Number Entered</v>
      </c>
      <c r="C193" s="79" t="str">
        <f>IFERROR(INDEX(gwp_table[], MATCH(speciated_ghg_168[[#This Row],[CAS '#]], gwp_table[CAS No.], 0), MATCH("Global warming potential", gwp_table[#Headers], 0)),"No CAS Number Entered")</f>
        <v>No CAS Number Entered</v>
      </c>
      <c r="D193" s="219"/>
      <c r="E193" s="79">
        <f>IFERROR(speciated_ghg_168[[#This Row],[Weight Percent]]*(unique_components_166[[#Totals],[Controlled
tpy]]+standard_components_165[[#Totals],[Controlled
tpy]]), "-")</f>
        <v>0</v>
      </c>
      <c r="F193" s="81" t="str">
        <f>IFERROR(speciated_ghg_168[[#This Row],[Mass Emissions (U.S. tons per year)]]*speciated_ghg_168[[#This Row],[Global Warming Potential (GWP)]], "-")</f>
        <v>-</v>
      </c>
      <c r="G193" s="134"/>
      <c r="H193" s="169"/>
    </row>
    <row r="194" spans="1:9" ht="15" x14ac:dyDescent="0.25">
      <c r="A194" s="210"/>
      <c r="B194" s="79" t="str">
        <f>IFERROR(INDEX(gwp_table[], MATCH(speciated_ghg_168[[#This Row],[CAS '#]], gwp_table[CAS No.], 0), MATCH("Name", gwp_table[#Headers], 0)),"No CAS Number Entered")</f>
        <v>No CAS Number Entered</v>
      </c>
      <c r="C194" s="79" t="str">
        <f>IFERROR(INDEX(gwp_table[], MATCH(speciated_ghg_168[[#This Row],[CAS '#]], gwp_table[CAS No.], 0), MATCH("Global warming potential", gwp_table[#Headers], 0)),"No CAS Number Entered")</f>
        <v>No CAS Number Entered</v>
      </c>
      <c r="D194" s="219"/>
      <c r="E194" s="79">
        <f>IFERROR(speciated_ghg_168[[#This Row],[Weight Percent]]*(unique_components_166[[#Totals],[Controlled
tpy]]+standard_components_165[[#Totals],[Controlled
tpy]]), "-")</f>
        <v>0</v>
      </c>
      <c r="F194" s="81" t="str">
        <f>IFERROR(speciated_ghg_168[[#This Row],[Mass Emissions (U.S. tons per year)]]*speciated_ghg_168[[#This Row],[Global Warming Potential (GWP)]], "-")</f>
        <v>-</v>
      </c>
      <c r="G194" s="134"/>
      <c r="H194" s="169"/>
    </row>
    <row r="195" spans="1:9" x14ac:dyDescent="0.2">
      <c r="A195" s="210"/>
      <c r="B195" s="79" t="str">
        <f>IFERROR(INDEX(gwp_table[], MATCH(speciated_ghg_168[[#This Row],[CAS '#]], gwp_table[CAS No.], 0), MATCH("Name", gwp_table[#Headers], 0)),"No CAS Number Entered")</f>
        <v>No CAS Number Entered</v>
      </c>
      <c r="C195" s="79" t="str">
        <f>IFERROR(INDEX(gwp_table[], MATCH(speciated_ghg_168[[#This Row],[CAS '#]], gwp_table[CAS No.], 0), MATCH("Global warming potential", gwp_table[#Headers], 0)),"No CAS Number Entered")</f>
        <v>No CAS Number Entered</v>
      </c>
      <c r="D195" s="219"/>
      <c r="E195" s="79">
        <f>IFERROR(speciated_ghg_168[[#This Row],[Weight Percent]]*(unique_components_166[[#Totals],[Controlled
tpy]]+standard_components_165[[#Totals],[Controlled
tpy]]), "-")</f>
        <v>0</v>
      </c>
      <c r="F195" s="81" t="str">
        <f>IFERROR(speciated_ghg_168[[#This Row],[Mass Emissions (U.S. tons per year)]]*speciated_ghg_168[[#This Row],[Global Warming Potential (GWP)]], "-")</f>
        <v>-</v>
      </c>
      <c r="G195" s="69"/>
      <c r="H195" s="169"/>
    </row>
    <row r="196" spans="1:9" x14ac:dyDescent="0.2">
      <c r="A196" s="210"/>
      <c r="B196" s="79" t="str">
        <f>IFERROR(INDEX(gwp_table[], MATCH(speciated_ghg_168[[#This Row],[CAS '#]], gwp_table[CAS No.], 0), MATCH("Name", gwp_table[#Headers], 0)),"No CAS Number Entered")</f>
        <v>No CAS Number Entered</v>
      </c>
      <c r="C196" s="79" t="str">
        <f>IFERROR(INDEX(gwp_table[], MATCH(speciated_ghg_168[[#This Row],[CAS '#]], gwp_table[CAS No.], 0), MATCH("Global warming potential", gwp_table[#Headers], 0)),"No CAS Number Entered")</f>
        <v>No CAS Number Entered</v>
      </c>
      <c r="D196" s="219"/>
      <c r="E196" s="79">
        <f>IFERROR(speciated_ghg_168[[#This Row],[Weight Percent]]*(unique_components_166[[#Totals],[Controlled
tpy]]+standard_components_165[[#Totals],[Controlled
tpy]]), "-")</f>
        <v>0</v>
      </c>
      <c r="F196" s="81" t="str">
        <f>IFERROR(speciated_ghg_168[[#This Row],[Mass Emissions (U.S. tons per year)]]*speciated_ghg_168[[#This Row],[Global Warming Potential (GWP)]], "-")</f>
        <v>-</v>
      </c>
      <c r="G196" s="29"/>
      <c r="H196" s="169"/>
    </row>
    <row r="197" spans="1:9" x14ac:dyDescent="0.2">
      <c r="A197" s="210"/>
      <c r="B197" s="79" t="str">
        <f>IFERROR(INDEX(gwp_table[], MATCH(speciated_ghg_168[[#This Row],[CAS '#]], gwp_table[CAS No.], 0), MATCH("Name", gwp_table[#Headers], 0)),"No CAS Number Entered")</f>
        <v>No CAS Number Entered</v>
      </c>
      <c r="C197" s="79" t="str">
        <f>IFERROR(INDEX(gwp_table[], MATCH(speciated_ghg_168[[#This Row],[CAS '#]], gwp_table[CAS No.], 0), MATCH("Global warming potential", gwp_table[#Headers], 0)),"No CAS Number Entered")</f>
        <v>No CAS Number Entered</v>
      </c>
      <c r="D197" s="219"/>
      <c r="E197" s="79">
        <f>IFERROR(speciated_ghg_168[[#This Row],[Weight Percent]]*(unique_components_166[[#Totals],[Controlled
tpy]]+standard_components_165[[#Totals],[Controlled
tpy]]), "-")</f>
        <v>0</v>
      </c>
      <c r="F197" s="81" t="str">
        <f>IFERROR(speciated_ghg_168[[#This Row],[Mass Emissions (U.S. tons per year)]]*speciated_ghg_168[[#This Row],[Global Warming Potential (GWP)]], "-")</f>
        <v>-</v>
      </c>
      <c r="G197" s="29"/>
      <c r="H197" s="29"/>
      <c r="I197" s="169"/>
    </row>
    <row r="198" spans="1:9" x14ac:dyDescent="0.2">
      <c r="A198" s="210"/>
      <c r="B198" s="79" t="str">
        <f>IFERROR(INDEX(gwp_table[], MATCH(speciated_ghg_168[[#This Row],[CAS '#]], gwp_table[CAS No.], 0), MATCH("Name", gwp_table[#Headers], 0)),"No CAS Number Entered")</f>
        <v>No CAS Number Entered</v>
      </c>
      <c r="C198" s="79" t="str">
        <f>IFERROR(INDEX(gwp_table[], MATCH(speciated_ghg_168[[#This Row],[CAS '#]], gwp_table[CAS No.], 0), MATCH("Global warming potential", gwp_table[#Headers], 0)),"No CAS Number Entered")</f>
        <v>No CAS Number Entered</v>
      </c>
      <c r="D198" s="219"/>
      <c r="E198" s="79">
        <f>IFERROR(speciated_ghg_168[[#This Row],[Weight Percent]]*(unique_components_166[[#Totals],[Controlled
tpy]]+standard_components_165[[#Totals],[Controlled
tpy]]), "-")</f>
        <v>0</v>
      </c>
      <c r="F198" s="81" t="str">
        <f>IFERROR(speciated_ghg_168[[#This Row],[Mass Emissions (U.S. tons per year)]]*speciated_ghg_168[[#This Row],[Global Warming Potential (GWP)]], "-")</f>
        <v>-</v>
      </c>
      <c r="G198" s="29"/>
      <c r="H198" s="29"/>
      <c r="I198" s="169"/>
    </row>
    <row r="199" spans="1:9" x14ac:dyDescent="0.2">
      <c r="A199" s="210"/>
      <c r="B199" s="79" t="str">
        <f>IFERROR(INDEX(gwp_table[], MATCH(speciated_ghg_168[[#This Row],[CAS '#]], gwp_table[CAS No.], 0), MATCH("Name", gwp_table[#Headers], 0)),"No CAS Number Entered")</f>
        <v>No CAS Number Entered</v>
      </c>
      <c r="C199" s="79" t="str">
        <f>IFERROR(INDEX(gwp_table[], MATCH(speciated_ghg_168[[#This Row],[CAS '#]], gwp_table[CAS No.], 0), MATCH("Global warming potential", gwp_table[#Headers], 0)),"No CAS Number Entered")</f>
        <v>No CAS Number Entered</v>
      </c>
      <c r="D199" s="219"/>
      <c r="E199" s="79">
        <f>IFERROR(speciated_ghg_168[[#This Row],[Weight Percent]]*(unique_components_166[[#Totals],[Controlled
tpy]]+standard_components_165[[#Totals],[Controlled
tpy]]), "-")</f>
        <v>0</v>
      </c>
      <c r="F199" s="81" t="str">
        <f>IFERROR(speciated_ghg_168[[#This Row],[Mass Emissions (U.S. tons per year)]]*speciated_ghg_168[[#This Row],[Global Warming Potential (GWP)]], "-")</f>
        <v>-</v>
      </c>
      <c r="G199" s="29"/>
      <c r="H199" s="29"/>
      <c r="I199" s="169"/>
    </row>
    <row r="200" spans="1:9" x14ac:dyDescent="0.2">
      <c r="A200" s="210"/>
      <c r="B200" s="79" t="str">
        <f>IFERROR(INDEX(gwp_table[], MATCH(speciated_ghg_168[[#This Row],[CAS '#]], gwp_table[CAS No.], 0), MATCH("Name", gwp_table[#Headers], 0)),"No CAS Number Entered")</f>
        <v>No CAS Number Entered</v>
      </c>
      <c r="C200" s="79" t="str">
        <f>IFERROR(INDEX(gwp_table[], MATCH(speciated_ghg_168[[#This Row],[CAS '#]], gwp_table[CAS No.], 0), MATCH("Global warming potential", gwp_table[#Headers], 0)),"No CAS Number Entered")</f>
        <v>No CAS Number Entered</v>
      </c>
      <c r="D200" s="219"/>
      <c r="E200" s="79">
        <f>IFERROR(speciated_ghg_168[[#This Row],[Weight Percent]]*(unique_components_166[[#Totals],[Controlled
tpy]]+standard_components_165[[#Totals],[Controlled
tpy]]), "-")</f>
        <v>0</v>
      </c>
      <c r="F200" s="81" t="str">
        <f>IFERROR(speciated_ghg_168[[#This Row],[Mass Emissions (U.S. tons per year)]]*speciated_ghg_168[[#This Row],[Global Warming Potential (GWP)]], "-")</f>
        <v>-</v>
      </c>
      <c r="G200" s="29"/>
      <c r="H200" s="29"/>
      <c r="I200" s="169"/>
    </row>
    <row r="201" spans="1:9" x14ac:dyDescent="0.2">
      <c r="A201" s="210"/>
      <c r="B201" s="79" t="str">
        <f>IFERROR(INDEX(gwp_table[], MATCH(speciated_ghg_168[[#This Row],[CAS '#]], gwp_table[CAS No.], 0), MATCH("Name", gwp_table[#Headers], 0)),"No CAS Number Entered")</f>
        <v>No CAS Number Entered</v>
      </c>
      <c r="C201" s="79" t="str">
        <f>IFERROR(INDEX(gwp_table[], MATCH(speciated_ghg_168[[#This Row],[CAS '#]], gwp_table[CAS No.], 0), MATCH("Global warming potential", gwp_table[#Headers], 0)),"No CAS Number Entered")</f>
        <v>No CAS Number Entered</v>
      </c>
      <c r="D201" s="219"/>
      <c r="E201" s="79">
        <f>IFERROR(speciated_ghg_168[[#This Row],[Weight Percent]]*(unique_components_166[[#Totals],[Controlled
tpy]]+standard_components_165[[#Totals],[Controlled
tpy]]), "-")</f>
        <v>0</v>
      </c>
      <c r="F201" s="81" t="str">
        <f>IFERROR(speciated_ghg_168[[#This Row],[Mass Emissions (U.S. tons per year)]]*speciated_ghg_168[[#This Row],[Global Warming Potential (GWP)]], "-")</f>
        <v>-</v>
      </c>
      <c r="G201" s="169"/>
      <c r="H201" s="169"/>
      <c r="I201" s="169"/>
    </row>
    <row r="202" spans="1:9" x14ac:dyDescent="0.2">
      <c r="A202" s="210"/>
      <c r="B202" s="79" t="str">
        <f>IFERROR(INDEX(gwp_table[], MATCH(speciated_ghg_168[[#This Row],[CAS '#]], gwp_table[CAS No.], 0), MATCH("Name", gwp_table[#Headers], 0)),"No CAS Number Entered")</f>
        <v>No CAS Number Entered</v>
      </c>
      <c r="C202" s="79" t="str">
        <f>IFERROR(INDEX(gwp_table[], MATCH(speciated_ghg_168[[#This Row],[CAS '#]], gwp_table[CAS No.], 0), MATCH("Global warming potential", gwp_table[#Headers], 0)),"No CAS Number Entered")</f>
        <v>No CAS Number Entered</v>
      </c>
      <c r="D202" s="219"/>
      <c r="E202" s="79">
        <f>IFERROR(speciated_ghg_168[[#This Row],[Weight Percent]]*(unique_components_166[[#Totals],[Controlled
tpy]]+standard_components_165[[#Totals],[Controlled
tpy]]), "-")</f>
        <v>0</v>
      </c>
      <c r="F202" s="81" t="str">
        <f>IFERROR(speciated_ghg_168[[#This Row],[Mass Emissions (U.S. tons per year)]]*speciated_ghg_168[[#This Row],[Global Warming Potential (GWP)]], "-")</f>
        <v>-</v>
      </c>
      <c r="G202" s="169"/>
      <c r="H202" s="169"/>
      <c r="I202" s="169"/>
    </row>
    <row r="203" spans="1:9" x14ac:dyDescent="0.2">
      <c r="A203" s="210"/>
      <c r="B203" s="79" t="str">
        <f>IFERROR(INDEX(gwp_table[], MATCH(speciated_ghg_168[[#This Row],[CAS '#]], gwp_table[CAS No.], 0), MATCH("Name", gwp_table[#Headers], 0)),"No CAS Number Entered")</f>
        <v>No CAS Number Entered</v>
      </c>
      <c r="C203" s="79" t="str">
        <f>IFERROR(INDEX(gwp_table[], MATCH(speciated_ghg_168[[#This Row],[CAS '#]], gwp_table[CAS No.], 0), MATCH("Global warming potential", gwp_table[#Headers], 0)),"No CAS Number Entered")</f>
        <v>No CAS Number Entered</v>
      </c>
      <c r="D203" s="219"/>
      <c r="E203" s="79">
        <f>IFERROR(speciated_ghg_168[[#This Row],[Weight Percent]]*(unique_components_166[[#Totals],[Controlled
tpy]]+standard_components_165[[#Totals],[Controlled
tpy]]), "-")</f>
        <v>0</v>
      </c>
      <c r="F203" s="81" t="str">
        <f>IFERROR(speciated_ghg_168[[#This Row],[Mass Emissions (U.S. tons per year)]]*speciated_ghg_168[[#This Row],[Global Warming Potential (GWP)]], "-")</f>
        <v>-</v>
      </c>
      <c r="G203" s="169"/>
      <c r="H203" s="169"/>
      <c r="I203" s="169"/>
    </row>
    <row r="204" spans="1:9" ht="30" x14ac:dyDescent="0.25">
      <c r="A204" s="185" t="s">
        <v>13321</v>
      </c>
      <c r="B204" s="77"/>
      <c r="C204" s="77"/>
      <c r="D204" s="77"/>
      <c r="E204" s="80">
        <f>SUBTOTAL(109,speciated_ghg_168[Mass Emissions (U.S. tons per year)])</f>
        <v>0</v>
      </c>
      <c r="F204" s="82">
        <f>SUBTOTAL(109,speciated_ghg_168[CO2e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speciated_chemicals_167[[#Totals],[lb/hr]]</f>
        <v>0</v>
      </c>
      <c r="C207" s="134"/>
      <c r="D207" s="134"/>
      <c r="E207" s="134"/>
      <c r="F207" s="134"/>
      <c r="G207" s="169"/>
      <c r="H207" s="169"/>
    </row>
    <row r="208" spans="1:9" ht="29.25" x14ac:dyDescent="0.25">
      <c r="A208" s="174" t="s">
        <v>13320</v>
      </c>
      <c r="B208" s="175">
        <f>speciated_chemicals_167[[#Totals],[tpy]]</f>
        <v>0</v>
      </c>
      <c r="C208" s="134"/>
      <c r="D208" s="134"/>
      <c r="E208" s="134"/>
      <c r="F208" s="134"/>
      <c r="G208" s="169"/>
      <c r="H208" s="169"/>
    </row>
    <row r="209" spans="1:8" ht="15" x14ac:dyDescent="0.25">
      <c r="A209" s="126" t="s">
        <v>13277</v>
      </c>
      <c r="B209" s="128">
        <f>SUMIF(speciated_chemicals_167[VOC?],"Yes",speciated_chemicals_167[lb/hr])</f>
        <v>0</v>
      </c>
      <c r="C209" s="134"/>
      <c r="D209" s="29"/>
      <c r="E209" s="29"/>
      <c r="F209" s="29"/>
      <c r="G209" s="169"/>
      <c r="H209" s="169"/>
    </row>
    <row r="210" spans="1:8" ht="15" x14ac:dyDescent="0.25">
      <c r="A210" s="126" t="s">
        <v>12669</v>
      </c>
      <c r="B210" s="128">
        <f>SUMIF(speciated_chemicals_167[VOC?],"Yes",speciated_chemicals_167[tpy])</f>
        <v>0</v>
      </c>
      <c r="C210" s="134"/>
      <c r="D210" s="29"/>
      <c r="E210" s="29"/>
      <c r="F210" s="29"/>
      <c r="G210" s="169"/>
      <c r="H210" s="169"/>
    </row>
    <row r="211" spans="1:8" ht="15" x14ac:dyDescent="0.25">
      <c r="A211" s="126" t="s">
        <v>12775</v>
      </c>
      <c r="B211" s="128">
        <f>SUMIF(speciated_chemicals_167[Inorganic?],"Yes",speciated_chemicals_167[lb/hr])</f>
        <v>0</v>
      </c>
      <c r="C211" s="134"/>
      <c r="D211" s="29"/>
      <c r="E211" s="29"/>
      <c r="F211" s="29"/>
      <c r="G211" s="169"/>
      <c r="H211" s="169"/>
    </row>
    <row r="212" spans="1:8" ht="15" x14ac:dyDescent="0.25">
      <c r="A212" s="126" t="s">
        <v>12770</v>
      </c>
      <c r="B212" s="128">
        <f>SUMIF(speciated_chemicals_167[Inorganic?],"Yes",speciated_chemicals_167[tpy])</f>
        <v>0</v>
      </c>
      <c r="C212" s="134"/>
      <c r="D212" s="29"/>
      <c r="E212" s="29"/>
      <c r="F212" s="29"/>
      <c r="G212" s="169"/>
      <c r="H212" s="169"/>
    </row>
    <row r="213" spans="1:8" ht="15" x14ac:dyDescent="0.25">
      <c r="A213" s="126" t="s">
        <v>13276</v>
      </c>
      <c r="B213" s="128">
        <f>SUMIF(speciated_chemicals_167[VOC-Exempt Solvent?],"Yes",speciated_chemicals_167[lb/hr])</f>
        <v>0</v>
      </c>
      <c r="C213" s="134"/>
      <c r="D213" s="29"/>
      <c r="E213" s="29"/>
      <c r="F213" s="29"/>
      <c r="G213" s="169"/>
      <c r="H213" s="169"/>
    </row>
    <row r="214" spans="1:8" ht="15" x14ac:dyDescent="0.25">
      <c r="A214" s="126" t="s">
        <v>13278</v>
      </c>
      <c r="B214" s="128">
        <f>SUMIF(speciated_chemicals_167[VOC-Exempt Solvent?],"Yes",speciated_chemicals_167[tpy])</f>
        <v>0</v>
      </c>
      <c r="C214" s="134"/>
      <c r="D214" s="29"/>
      <c r="E214" s="29"/>
      <c r="F214" s="29"/>
      <c r="G214" s="169"/>
      <c r="H214" s="169"/>
    </row>
    <row r="215" spans="1:8" ht="15" x14ac:dyDescent="0.25">
      <c r="A215" s="127" t="s">
        <v>13280</v>
      </c>
      <c r="B215" s="176">
        <f>speciated_ghg_168[[#Totals],[Mass Emissions (U.S. tons per year)]]</f>
        <v>0</v>
      </c>
      <c r="C215" s="134"/>
      <c r="D215" s="29"/>
      <c r="E215" s="29"/>
      <c r="F215" s="29"/>
      <c r="G215" s="169"/>
      <c r="H215" s="169"/>
    </row>
    <row r="216" spans="1:8" ht="18.75" x14ac:dyDescent="0.35">
      <c r="A216" s="127" t="s">
        <v>13281</v>
      </c>
      <c r="B216" s="176">
        <f>speciated_ghg_168[[#Totals],[CO2e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6GCitGeysfAleW/CGios2uzSuSK87OylmEwQSJz+x3MfkSEb1IFCkhOQRFOYnAlCUNHB160vhQEObW4FZQAcWw==" saltValue="WXIdHXGod5dH6iPh5VtU2A==" spinCount="100000" sheet="1" objects="1" scenarios="1" formatColumns="0" formatRows="0" autoFilter="0"/>
  <conditionalFormatting sqref="A21:H21">
    <cfRule type="expression" dxfId="1234" priority="5">
      <formula>$F$19="No"</formula>
    </cfRule>
  </conditionalFormatting>
  <conditionalFormatting sqref="A105:E106 F106:G126">
    <cfRule type="expression" dxfId="1233" priority="4">
      <formula>$E$104="no"</formula>
    </cfRule>
  </conditionalFormatting>
  <conditionalFormatting sqref="C131:C180">
    <cfRule type="expression" dxfId="1232" priority="3">
      <formula>NOT(B131="Other (Please specify):")</formula>
    </cfRule>
  </conditionalFormatting>
  <conditionalFormatting sqref="A107:E126">
    <cfRule type="expression" dxfId="1231" priority="2">
      <formula>$A$58="No"</formula>
    </cfRule>
  </conditionalFormatting>
  <conditionalFormatting sqref="A107:E126 A206:B214 A215:A216">
    <cfRule type="expression" dxfId="1230"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B57873F7-A36B-43E4-9E5A-F71CF1B749BE}"/>
    <dataValidation type="list" allowBlank="1" showInputMessage="1" showErrorMessage="1" sqref="E104:H104 B10" xr:uid="{95D9D82E-F4A5-43BA-95C9-D75EDE5C628E}">
      <formula1>"Yes,No"</formula1>
    </dataValidation>
    <dataValidation type="list" allowBlank="1" showInputMessage="1" showErrorMessage="1" sqref="F19:H20" xr:uid="{07AA5455-C98B-4C35-B73D-343865A7DC9F}">
      <formula1>"No,Yes - 75%,Yes - 95%"</formula1>
    </dataValidation>
    <dataValidation type="list" allowBlank="1" showInputMessage="1" showErrorMessage="1" sqref="F18" xr:uid="{399E07D0-AF78-42AA-B504-DAC80F240604}">
      <formula1>IF(#REF!="SOCMI Non-leaker",ListNone,ListInspection)</formula1>
    </dataValidation>
    <dataValidation type="list" allowBlank="1" showInputMessage="1" showErrorMessage="1" sqref="F16:F17" xr:uid="{FAAD62CE-7971-40B5-842B-1DE00B0576E9}">
      <formula1>IF(#REF!="SOCMI Non-Leaker",ListNone,ListInstrument)</formula1>
    </dataValidation>
    <dataValidation type="list" allowBlank="1" showInputMessage="1" prompt="Please specify whether the substance is a volatile organic compound (VOC); methane and ethane are not classifed as VOCs" sqref="D132:D180" xr:uid="{BCEE3782-73C8-45C8-BB4A-47332B64772B}">
      <formula1>"Yes,No"</formula1>
    </dataValidation>
    <dataValidation allowBlank="1" showInputMessage="1" showErrorMessage="1" prompt="Enter the weight percent of the substance" sqref="H178:H180 H132:H176" xr:uid="{1CAF20CE-5A27-4C2D-87F5-422C04059BF6}"/>
    <dataValidation type="list" allowBlank="1" showInputMessage="1" showErrorMessage="1" prompt="Enter or select Chemical Abstracts Service number; select &quot;N/A&quot; if a CAS # is not applicable" sqref="A131:A175 A177:A180" xr:uid="{94DB1DE7-182E-42DF-B37F-CAA2EBC23D14}">
      <formula1>SpeciesList</formula1>
    </dataValidation>
    <dataValidation type="list" allowBlank="1" showInputMessage="1" prompt="Select other species from dropdown" sqref="C131:C180" xr:uid="{DA14BBFC-5D19-47FD-A773-FDDEF8AB4B0A}">
      <formula1>NoCASList</formula1>
    </dataValidation>
    <dataValidation allowBlank="1" showInputMessage="1" showErrorMessage="1" prompt="Proposed control efficiency (0-1)" sqref="E107:E126" xr:uid="{D92EBE71-9A17-4BCA-B147-FED1E218EB8B}"/>
    <dataValidation allowBlank="1" showInputMessage="1" showErrorMessage="1" prompt="Count of unique component" sqref="C107:C126" xr:uid="{7BE17D7E-32FA-4CF3-AF79-3AB21A127D49}"/>
    <dataValidation allowBlank="1" showInputMessage="1" showErrorMessage="1" prompt="Type of service (e.g. gas, vapor, or liquid)" sqref="B107:B126" xr:uid="{6D9D0A45-DB08-495D-833C-C1307BB657A5}"/>
    <dataValidation allowBlank="1" showInputMessage="1" showErrorMessage="1" prompt="Name of unique component" sqref="A107:A126" xr:uid="{89D3A12F-1DE6-4CCD-9A7E-4A37727BA9EC}"/>
    <dataValidation type="list" allowBlank="1" showInputMessage="1" showErrorMessage="1" sqref="B13" xr:uid="{01895CA9-FADA-4226-BA71-FFAA5D7339B2}">
      <formula1>industry_names</formula1>
    </dataValidation>
    <dataValidation type="list" allowBlank="1" showInputMessage="1" showErrorMessage="1" sqref="B19" xr:uid="{B3707B9E-F4A5-4257-9F51-AFA25415F57A}">
      <formula1>yes_no_list</formula1>
    </dataValidation>
    <dataValidation type="list" allowBlank="1" showInputMessage="1" showErrorMessage="1" sqref="B20" xr:uid="{1FEE9CEF-E2C8-4B97-9E1C-6B797D3ADB5D}">
      <formula1>process_drains_effs</formula1>
    </dataValidation>
    <dataValidation allowBlank="1" showInputMessage="1" showErrorMessage="1" prompt="Proposed emission factor" sqref="D107:D126" xr:uid="{25A520D8-F8E9-46FC-8612-2ED2A4AF15EF}"/>
    <dataValidation type="list" allowBlank="1" showInputMessage="1" prompt="Please specify if the substance is an inert substance or is not considered a contaminant (e.g. steam)" sqref="G131:G180" xr:uid="{451EB467-C753-4A53-887C-4EE9690386F6}">
      <formula1>"Yes,No"</formula1>
    </dataValidation>
    <dataValidation type="list" allowBlank="1" showInputMessage="1" showErrorMessage="1" prompt="Please select from the dropdown" sqref="B104" xr:uid="{BCD5A60E-073B-4345-AE4E-4ACF46FEED82}">
      <formula1>yes_no_list</formula1>
    </dataValidation>
    <dataValidation allowBlank="1" showInputMessage="1" showErrorMessage="1" prompt="Provide justification" sqref="B105" xr:uid="{1C968B15-03DB-4DA3-9644-7CB659CAEE1A}"/>
    <dataValidation type="list" showInputMessage="1" prompt="Please specify whether the substance is a volatile organic compound (VOC); methane and ethane are not classifed as VOCs" sqref="D131" xr:uid="{0B3B7AF0-2FC7-41C4-B5C6-A3710B077F40}">
      <formula1>"Yes,No"</formula1>
    </dataValidation>
    <dataValidation type="list" showInputMessage="1" prompt="Please specify whether the substance is an inorganic contaminant (e.g. ammonia or chlorine gas)" sqref="E131:E180" xr:uid="{5BEB576C-27BB-4350-82D8-C3229BBFC8EC}">
      <formula1>"Yes,No"</formula1>
    </dataValidation>
    <dataValidation type="list" allowBlank="1" showInputMessage="1" prompt="Please specify whether the substance is an VOC-exempt solvent." sqref="F131:F180" xr:uid="{B018A4EF-702C-4FCA-8406-AC5FD3628777}">
      <formula1>"Yes,No"</formula1>
    </dataValidation>
    <dataValidation type="list" allowBlank="1" showInputMessage="1" showErrorMessage="1" prompt="Enter or select Chemical Abstracts Service number; select &quot;N/A&quot; if a CAS # is not applicable" sqref="A185:A203 A176" xr:uid="{B5EF2DED-A135-46D7-AACF-92A522E81017}">
      <formula1>gwp_table_cas</formula1>
    </dataValidation>
    <dataValidation type="decimal" allowBlank="1" showInputMessage="1" showErrorMessage="1" prompt="Enter the weight percent of the substance" sqref="H177" xr:uid="{A7A8B819-01D4-4CEF-BD5C-51CFC85B7E9D}">
      <formula1>0</formula1>
      <formula2>1</formula2>
    </dataValidation>
    <dataValidation type="decimal" operator="greaterThan" allowBlank="1" showInputMessage="1" showErrorMessage="1" prompt="Enter the weight percent of the substance" sqref="H131 D185:D203" xr:uid="{D2BDC574-FA3A-4FEE-BAB4-BF67FF731F7A}">
      <formula1>0</formula1>
    </dataValidation>
    <dataValidation type="list" allowBlank="1" showInputMessage="1" showErrorMessage="1" sqref="B18" xr:uid="{95F5FB32-9442-417A-956B-790B33A2F45F}">
      <formula1>inspection_ldar_list</formula1>
    </dataValidation>
    <dataValidation type="list" allowBlank="1" showInputMessage="1" showErrorMessage="1" sqref="B17" xr:uid="{FB4ED167-3136-46B7-A980-8F12FC9A12D5}">
      <formula1>connector_ldar_list</formula1>
    </dataValidation>
    <dataValidation type="list" allowBlank="1" showInputMessage="1" showErrorMessage="1" sqref="B16" xr:uid="{C8765E48-56C3-4FB7-A33E-38555A89635F}">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AB45A-0339-49D0-92D4-F1374D24914C}">
  <sheetPr codeName="Sheet20">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INDEX((standard_components_169[[#This Row],[Component]]=factor_eff_table[Component])*(standard_components_169[[#This Row],[Service]]=factor_eff_table[Service]), 0, 1), 0)),
 "-")</f>
        <v>-</v>
      </c>
      <c r="E25" s="145" t="str" cm="1">
        <f t="array" ref="E2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25" s="145" t="str" cm="1">
        <f t="array" ref="F2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25" s="145" t="str" cm="1">
        <f t="array" ref="G2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2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2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INDEX((standard_components_169[[#This Row],[Component]]=factor_eff_table[Component])*(standard_components_169[[#This Row],[Service]]=factor_eff_table[Service]), 0, 1), 0)),
 "-")</f>
        <v>-</v>
      </c>
      <c r="E26" s="145" t="str" cm="1">
        <f t="array" ref="E2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26" s="145" t="str" cm="1">
        <f t="array" ref="F2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26" s="145" t="str" cm="1">
        <f t="array" ref="G2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2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2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INDEX((standard_components_169[[#This Row],[Component]]=factor_eff_table[Component])*(standard_components_169[[#This Row],[Service]]=factor_eff_table[Service]), 0, 1), 0)),
 "-")</f>
        <v>-</v>
      </c>
      <c r="E27" s="145" t="str" cm="1">
        <f t="array" ref="E2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27" s="145" t="str" cm="1">
        <f t="array" ref="F2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27" s="145" t="str" cm="1">
        <f t="array" ref="G2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2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2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INDEX((standard_components_169[[#This Row],[Component]]=factor_eff_table[Component])*(standard_components_169[[#This Row],[Service]]=factor_eff_table[Service]), 0, 1), 0)),
 "-")</f>
        <v>-</v>
      </c>
      <c r="E28" s="145" t="str" cm="1">
        <f t="array" ref="E2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28" s="145" t="str" cm="1">
        <f t="array" ref="F2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28" s="145" t="str" cm="1">
        <f t="array" ref="G2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2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2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INDEX((standard_components_169[[#This Row],[Component]]=factor_eff_table[Component])*(standard_components_169[[#This Row],[Service]]=factor_eff_table[Service]), 0, 1), 0)),
 "-")</f>
        <v>-</v>
      </c>
      <c r="E29" s="145" t="str" cm="1">
        <f t="array" ref="E2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29" s="145" t="str" cm="1">
        <f t="array" ref="F2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29" s="145" t="str" cm="1">
        <f t="array" ref="G2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2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2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INDEX((standard_components_169[[#This Row],[Component]]=factor_eff_table[Component])*(standard_components_169[[#This Row],[Service]]=factor_eff_table[Service]), 0, 1), 0)),
 "-")</f>
        <v>-</v>
      </c>
      <c r="E30" s="145" t="str" cm="1">
        <f t="array" ref="E3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0" s="145" t="str" cm="1">
        <f t="array" ref="F3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0" s="145" t="str" cm="1">
        <f t="array" ref="G3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INDEX((standard_components_169[[#This Row],[Component]]=factor_eff_table[Component])*(standard_components_169[[#This Row],[Service]]=factor_eff_table[Service]), 0, 1), 0)),
 "-")</f>
        <v>-</v>
      </c>
      <c r="E31" s="145" t="str" cm="1">
        <f t="array" ref="E3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1" s="145" t="str" cm="1">
        <f t="array" ref="F3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1" s="145" t="str" cm="1">
        <f t="array" ref="G3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INDEX((standard_components_169[[#This Row],[Component]]=factor_eff_table[Component])*(standard_components_169[[#This Row],[Service]]=factor_eff_table[Service]), 0, 1), 0)),
 "-")</f>
        <v>-</v>
      </c>
      <c r="E32" s="145" t="str" cm="1">
        <f t="array" ref="E3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2" s="145" t="str" cm="1">
        <f t="array" ref="F3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2" s="145" t="str" cm="1">
        <f t="array" ref="G3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INDEX((standard_components_169[[#This Row],[Component]]=factor_eff_table[Component])*(standard_components_169[[#This Row],[Service]]=factor_eff_table[Service]), 0, 1), 0)),
 "-")</f>
        <v>-</v>
      </c>
      <c r="E33" s="145" t="str" cm="1">
        <f t="array" ref="E3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3" s="145" t="str" cm="1">
        <f t="array" ref="F3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3" s="145" t="str" cm="1">
        <f t="array" ref="G3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INDEX((standard_components_169[[#This Row],[Component]]=factor_eff_table[Component])*(standard_components_169[[#This Row],[Service]]=factor_eff_table[Service]), 0, 1), 0)),
 "-")</f>
        <v>-</v>
      </c>
      <c r="E34" s="145" t="str" cm="1">
        <f t="array" ref="E3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4" s="145" t="str" cm="1">
        <f t="array" ref="F3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4" s="145" t="str" cm="1">
        <f t="array" ref="G3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INDEX((standard_components_169[[#This Row],[Component]]=factor_eff_table[Component])*(standard_components_169[[#This Row],[Service]]=factor_eff_table[Service]), 0, 1), 0)),
 "-")</f>
        <v>-</v>
      </c>
      <c r="E35" s="145" t="str" cm="1">
        <f t="array" ref="E3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5" s="145" t="str" cm="1">
        <f t="array" ref="F3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5" s="145" t="str" cm="1">
        <f t="array" ref="G3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INDEX((standard_components_169[[#This Row],[Component]]=factor_eff_table[Component])*(standard_components_169[[#This Row],[Service]]=factor_eff_table[Service]), 0, 1), 0)),
 "-")</f>
        <v>-</v>
      </c>
      <c r="E36" s="145" t="str" cm="1">
        <f t="array" ref="E3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6" s="145" t="str" cm="1">
        <f t="array" ref="F3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6" s="145" t="str" cm="1">
        <f t="array" ref="G3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INDEX((standard_components_169[[#This Row],[Component]]=factor_eff_table[Component])*(standard_components_169[[#This Row],[Service]]=factor_eff_table[Service]), 0, 1), 0)),
 "-")</f>
        <v>-</v>
      </c>
      <c r="E37" s="145" t="str" cm="1">
        <f t="array" ref="E3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7" s="145" t="str" cm="1">
        <f t="array" ref="F3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7" s="145" t="str" cm="1">
        <f t="array" ref="G3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INDEX((standard_components_169[[#This Row],[Component]]=factor_eff_table[Component])*(standard_components_169[[#This Row],[Service]]=factor_eff_table[Service]), 0, 1), 0)),
 "-")</f>
        <v>-</v>
      </c>
      <c r="E38" s="145" t="str" cm="1">
        <f t="array" ref="E3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8" s="145" t="str" cm="1">
        <f t="array" ref="F3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8" s="145" t="str" cm="1">
        <f t="array" ref="G3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INDEX((standard_components_169[[#This Row],[Component]]=factor_eff_table[Component])*(standard_components_169[[#This Row],[Service]]=factor_eff_table[Service]), 0, 1), 0)),
 "-")</f>
        <v>-</v>
      </c>
      <c r="E39" s="145" t="str" cm="1">
        <f t="array" ref="E3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39" s="145" t="str" cm="1">
        <f t="array" ref="F3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39" s="145" t="str" cm="1">
        <f t="array" ref="G3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3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3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INDEX((standard_components_169[[#This Row],[Component]]=factor_eff_table[Component])*(standard_components_169[[#This Row],[Service]]=factor_eff_table[Service]), 0, 1), 0)),
 "-")</f>
        <v>-</v>
      </c>
      <c r="E40" s="145" t="str" cm="1">
        <f t="array" ref="E4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0" s="145" t="str" cm="1">
        <f t="array" ref="F4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0" s="145" t="str" cm="1">
        <f t="array" ref="G4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INDEX((standard_components_169[[#This Row],[Component]]=factor_eff_table[Component])*(standard_components_169[[#This Row],[Service]]=factor_eff_table[Service]), 0, 1), 0)),
 "-")</f>
        <v>-</v>
      </c>
      <c r="E41" s="145" t="str" cm="1">
        <f t="array" ref="E4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1" s="145" t="str" cm="1">
        <f t="array" ref="F4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1" s="145" t="str" cm="1">
        <f t="array" ref="G4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INDEX((standard_components_169[[#This Row],[Component]]=factor_eff_table[Component])*(standard_components_169[[#This Row],[Service]]=factor_eff_table[Service]), 0, 1), 0)),
 "-")</f>
        <v>-</v>
      </c>
      <c r="E42" s="145" t="str" cm="1">
        <f t="array" ref="E4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2" s="145" t="str" cm="1">
        <f t="array" ref="F4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2" s="145" t="str" cm="1">
        <f t="array" ref="G4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INDEX((standard_components_169[[#This Row],[Component]]=factor_eff_table[Component])*(standard_components_169[[#This Row],[Service]]=factor_eff_table[Service]), 0, 1), 0)),
 "-")</f>
        <v>-</v>
      </c>
      <c r="E43" s="145" t="str" cm="1">
        <f t="array" ref="E4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3" s="145" t="str" cm="1">
        <f t="array" ref="F4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3" s="145" t="str" cm="1">
        <f t="array" ref="G4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INDEX((standard_components_169[[#This Row],[Component]]=factor_eff_table[Component])*(standard_components_169[[#This Row],[Service]]=factor_eff_table[Service]), 0, 1), 0)),
 "-")</f>
        <v>-</v>
      </c>
      <c r="E44" s="145" t="str" cm="1">
        <f t="array" ref="E4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4" s="145" t="str" cm="1">
        <f t="array" ref="F4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4" s="145" t="str" cm="1">
        <f t="array" ref="G4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INDEX((standard_components_169[[#This Row],[Component]]=factor_eff_table[Component])*(standard_components_169[[#This Row],[Service]]=factor_eff_table[Service]), 0, 1), 0)),
 "-")</f>
        <v>-</v>
      </c>
      <c r="E45" s="145" t="str" cm="1">
        <f t="array" ref="E4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5" s="145" t="str" cm="1">
        <f t="array" ref="F4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5" s="145" t="str" cm="1">
        <f t="array" ref="G4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INDEX((standard_components_169[[#This Row],[Component]]=factor_eff_table[Component])*(standard_components_169[[#This Row],[Service]]=factor_eff_table[Service]), 0, 1), 0)),
 "-")</f>
        <v>-</v>
      </c>
      <c r="E46" s="145" t="str" cm="1">
        <f t="array" ref="E4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6" s="145" t="str" cm="1">
        <f t="array" ref="F4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6" s="145" t="str" cm="1">
        <f t="array" ref="G4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INDEX((standard_components_169[[#This Row],[Component]]=factor_eff_table[Component])*(standard_components_169[[#This Row],[Service]]=factor_eff_table[Service]), 0, 1), 0)),
 "-")</f>
        <v>-</v>
      </c>
      <c r="E47" s="145" t="str" cm="1">
        <f t="array" ref="E4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7" s="145" t="str" cm="1">
        <f t="array" ref="F4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7" s="145" t="str" cm="1">
        <f t="array" ref="G4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INDEX((standard_components_169[[#This Row],[Component]]=factor_eff_table[Component])*(standard_components_169[[#This Row],[Service]]=factor_eff_table[Service]), 0, 1), 0)),
 "-")</f>
        <v>-</v>
      </c>
      <c r="E48" s="145" t="str" cm="1">
        <f t="array" ref="E4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8" s="145" t="str" cm="1">
        <f t="array" ref="F4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8" s="145" t="str" cm="1">
        <f t="array" ref="G4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INDEX((standard_components_169[[#This Row],[Component]]=factor_eff_table[Component])*(standard_components_169[[#This Row],[Service]]=factor_eff_table[Service]), 0, 1), 0)),
 "-")</f>
        <v>-</v>
      </c>
      <c r="E49" s="145" t="str" cm="1">
        <f t="array" ref="E4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49" s="145" t="str" cm="1">
        <f t="array" ref="F4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49" s="145" t="str" cm="1">
        <f t="array" ref="G4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4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4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INDEX((standard_components_169[[#This Row],[Component]]=factor_eff_table[Component])*(standard_components_169[[#This Row],[Service]]=factor_eff_table[Service]), 0, 1), 0)),
 "-")</f>
        <v>-</v>
      </c>
      <c r="E50" s="145" t="str" cm="1">
        <f t="array" ref="E5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0" s="145" t="str" cm="1">
        <f t="array" ref="F5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0" s="145" t="str" cm="1">
        <f t="array" ref="G5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INDEX((standard_components_169[[#This Row],[Component]]=factor_eff_table[Component])*(standard_components_169[[#This Row],[Service]]=factor_eff_table[Service]), 0, 1), 0)),
 "-")</f>
        <v>-</v>
      </c>
      <c r="E51" s="145" t="str" cm="1">
        <f t="array" ref="E5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1" s="145" t="str" cm="1">
        <f t="array" ref="F5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1" s="145" t="str" cm="1">
        <f t="array" ref="G5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INDEX((standard_components_169[[#This Row],[Component]]=factor_eff_table[Component])*(standard_components_169[[#This Row],[Service]]=factor_eff_table[Service]), 0, 1), 0)),
 "-")</f>
        <v>-</v>
      </c>
      <c r="E52" s="145" t="str" cm="1">
        <f t="array" ref="E5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2" s="145" t="str" cm="1">
        <f t="array" ref="F5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2" s="145" t="str" cm="1">
        <f t="array" ref="G5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INDEX((standard_components_169[[#This Row],[Component]]=factor_eff_table[Component])*(standard_components_169[[#This Row],[Service]]=factor_eff_table[Service]), 0, 1), 0)),
 "-")</f>
        <v>-</v>
      </c>
      <c r="E53" s="145" t="str" cm="1">
        <f t="array" ref="E5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3" s="145" t="str" cm="1">
        <f t="array" ref="F5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3" s="145" t="str" cm="1">
        <f t="array" ref="G5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INDEX((standard_components_169[[#This Row],[Component]]=factor_eff_table[Component])*(standard_components_169[[#This Row],[Service]]=factor_eff_table[Service]), 0, 1), 0)),
 "-")</f>
        <v>-</v>
      </c>
      <c r="E54" s="145" t="str" cm="1">
        <f t="array" ref="E5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4" s="145" t="str" cm="1">
        <f t="array" ref="F5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4" s="145" t="str" cm="1">
        <f t="array" ref="G5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INDEX((standard_components_169[[#This Row],[Component]]=factor_eff_table[Component])*(standard_components_169[[#This Row],[Service]]=factor_eff_table[Service]), 0, 1), 0)),
 "-")</f>
        <v>-</v>
      </c>
      <c r="E55" s="145" t="str" cm="1">
        <f t="array" ref="E5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5" s="145" t="str" cm="1">
        <f t="array" ref="F5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5" s="145" t="str" cm="1">
        <f t="array" ref="G5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INDEX((standard_components_169[[#This Row],[Component]]=factor_eff_table[Component])*(standard_components_169[[#This Row],[Service]]=factor_eff_table[Service]), 0, 1), 0)),
 "-")</f>
        <v>-</v>
      </c>
      <c r="E56" s="145" t="str" cm="1">
        <f t="array" ref="E5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6" s="145" t="str" cm="1">
        <f t="array" ref="F5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6" s="145" t="str" cm="1">
        <f t="array" ref="G5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INDEX((standard_components_169[[#This Row],[Component]]=factor_eff_table[Component])*(standard_components_169[[#This Row],[Service]]=factor_eff_table[Service]), 0, 1), 0)),
 "-")</f>
        <v>-</v>
      </c>
      <c r="E57" s="145" t="str" cm="1">
        <f t="array" ref="E5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7" s="145" t="str" cm="1">
        <f t="array" ref="F5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7" s="145" t="str" cm="1">
        <f t="array" ref="G5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INDEX((standard_components_169[[#This Row],[Component]]=factor_eff_table[Component])*(standard_components_169[[#This Row],[Service]]=factor_eff_table[Service]), 0, 1), 0)),
 "-")</f>
        <v>-</v>
      </c>
      <c r="E58" s="145" t="str" cm="1">
        <f t="array" ref="E5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8" s="145" t="str" cm="1">
        <f t="array" ref="F5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8" s="145" t="str" cm="1">
        <f t="array" ref="G5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INDEX((standard_components_169[[#This Row],[Component]]=factor_eff_table[Component])*(standard_components_169[[#This Row],[Service]]=factor_eff_table[Service]), 0, 1), 0)),
 "-")</f>
        <v>-</v>
      </c>
      <c r="E59" s="145" t="str" cm="1">
        <f t="array" ref="E5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59" s="145" t="str" cm="1">
        <f t="array" ref="F5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59" s="145" t="str" cm="1">
        <f t="array" ref="G5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5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5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INDEX((standard_components_169[[#This Row],[Component]]=factor_eff_table[Component])*(standard_components_169[[#This Row],[Service]]=factor_eff_table[Service]), 0, 1), 0)),
 "-")</f>
        <v>-</v>
      </c>
      <c r="E60" s="145" t="str" cm="1">
        <f t="array" ref="E6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0" s="145" t="str" cm="1">
        <f t="array" ref="F6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0" s="145" t="str" cm="1">
        <f t="array" ref="G6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INDEX((standard_components_169[[#This Row],[Component]]=factor_eff_table[Component])*(standard_components_169[[#This Row],[Service]]=factor_eff_table[Service]), 0, 1), 0)),
 "-")</f>
        <v>-</v>
      </c>
      <c r="E61" s="145" t="str" cm="1">
        <f t="array" ref="E6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1" s="145" t="str" cm="1">
        <f t="array" ref="F6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1" s="145" t="str" cm="1">
        <f t="array" ref="G6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INDEX((standard_components_169[[#This Row],[Component]]=factor_eff_table[Component])*(standard_components_169[[#This Row],[Service]]=factor_eff_table[Service]), 0, 1), 0)),
 "-")</f>
        <v>-</v>
      </c>
      <c r="E62" s="145" t="str" cm="1">
        <f t="array" ref="E6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2" s="145" t="str" cm="1">
        <f t="array" ref="F6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2" s="145" t="str" cm="1">
        <f t="array" ref="G6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INDEX((standard_components_169[[#This Row],[Component]]=factor_eff_table[Component])*(standard_components_169[[#This Row],[Service]]=factor_eff_table[Service]), 0, 1), 0)),
 "-")</f>
        <v>-</v>
      </c>
      <c r="E63" s="145" t="str" cm="1">
        <f t="array" ref="E6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3" s="145" t="str" cm="1">
        <f t="array" ref="F6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3" s="145" t="str" cm="1">
        <f t="array" ref="G6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INDEX((standard_components_169[[#This Row],[Component]]=factor_eff_table[Component])*(standard_components_169[[#This Row],[Service]]=factor_eff_table[Service]), 0, 1), 0)),
 "-")</f>
        <v>-</v>
      </c>
      <c r="E64" s="145" t="str" cm="1">
        <f t="array" ref="E6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4" s="145" t="str" cm="1">
        <f t="array" ref="F6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4" s="145" t="str" cm="1">
        <f t="array" ref="G6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INDEX((standard_components_169[[#This Row],[Component]]=factor_eff_table[Component])*(standard_components_169[[#This Row],[Service]]=factor_eff_table[Service]), 0, 1), 0)),
 "-")</f>
        <v>-</v>
      </c>
      <c r="E65" s="145" t="str" cm="1">
        <f t="array" ref="E6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5" s="145" t="str" cm="1">
        <f t="array" ref="F6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5" s="145" t="str" cm="1">
        <f t="array" ref="G6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INDEX((standard_components_169[[#This Row],[Component]]=factor_eff_table[Component])*(standard_components_169[[#This Row],[Service]]=factor_eff_table[Service]), 0, 1), 0)),
 "-")</f>
        <v>-</v>
      </c>
      <c r="E66" s="145" t="str" cm="1">
        <f t="array" ref="E6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6" s="145" t="str" cm="1">
        <f t="array" ref="F6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6" s="145" t="str" cm="1">
        <f t="array" ref="G6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INDEX((standard_components_169[[#This Row],[Component]]=factor_eff_table[Component])*(standard_components_169[[#This Row],[Service]]=factor_eff_table[Service]), 0, 1), 0)),
 "-")</f>
        <v>-</v>
      </c>
      <c r="E67" s="145" t="str" cm="1">
        <f t="array" ref="E6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7" s="145" t="str" cm="1">
        <f t="array" ref="F6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7" s="145" t="str" cm="1">
        <f t="array" ref="G6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INDEX((standard_components_169[[#This Row],[Component]]=factor_eff_table[Component])*(standard_components_169[[#This Row],[Service]]=factor_eff_table[Service]), 0, 1), 0)),
 "-")</f>
        <v>-</v>
      </c>
      <c r="E68" s="145" t="str" cm="1">
        <f t="array" ref="E6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8" s="145" t="str" cm="1">
        <f t="array" ref="F6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8" s="145" t="str" cm="1">
        <f t="array" ref="G6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INDEX((standard_components_169[[#This Row],[Component]]=factor_eff_table[Component])*(standard_components_169[[#This Row],[Service]]=factor_eff_table[Service]), 0, 1), 0)),
 "-")</f>
        <v>-</v>
      </c>
      <c r="E69" s="145" t="str" cm="1">
        <f t="array" ref="E6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69" s="145" t="str" cm="1">
        <f t="array" ref="F6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69" s="145" t="str" cm="1">
        <f t="array" ref="G6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6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6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INDEX((standard_components_169[[#This Row],[Component]]=factor_eff_table[Component])*(standard_components_169[[#This Row],[Service]]=factor_eff_table[Service]), 0, 1), 0)),
 "-")</f>
        <v>-</v>
      </c>
      <c r="E70" s="145" t="str" cm="1">
        <f t="array" ref="E7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0" s="145" t="str" cm="1">
        <f t="array" ref="F7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0" s="145" t="str" cm="1">
        <f t="array" ref="G7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INDEX((standard_components_169[[#This Row],[Component]]=factor_eff_table[Component])*(standard_components_169[[#This Row],[Service]]=factor_eff_table[Service]), 0, 1), 0)),
 "-")</f>
        <v>-</v>
      </c>
      <c r="E71" s="145" t="str" cm="1">
        <f t="array" ref="E7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1" s="145" t="str" cm="1">
        <f t="array" ref="F7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1" s="145" t="str" cm="1">
        <f t="array" ref="G7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INDEX((standard_components_169[[#This Row],[Component]]=factor_eff_table[Component])*(standard_components_169[[#This Row],[Service]]=factor_eff_table[Service]), 0, 1), 0)),
 "-")</f>
        <v>-</v>
      </c>
      <c r="E72" s="145" t="str" cm="1">
        <f t="array" ref="E7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2" s="145" t="str" cm="1">
        <f t="array" ref="F7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2" s="145" t="str" cm="1">
        <f t="array" ref="G7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INDEX((standard_components_169[[#This Row],[Component]]=factor_eff_table[Component])*(standard_components_169[[#This Row],[Service]]=factor_eff_table[Service]), 0, 1), 0)),
 "-")</f>
        <v>-</v>
      </c>
      <c r="E73" s="145" t="str" cm="1">
        <f t="array" ref="E7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3" s="145" t="str" cm="1">
        <f t="array" ref="F7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3" s="145" t="str" cm="1">
        <f t="array" ref="G7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INDEX((standard_components_169[[#This Row],[Component]]=factor_eff_table[Component])*(standard_components_169[[#This Row],[Service]]=factor_eff_table[Service]), 0, 1), 0)),
 "-")</f>
        <v>-</v>
      </c>
      <c r="E74" s="145" t="str" cm="1">
        <f t="array" ref="E7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4" s="145" t="str" cm="1">
        <f t="array" ref="F7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4" s="145" t="str" cm="1">
        <f t="array" ref="G7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INDEX((standard_components_169[[#This Row],[Component]]=factor_eff_table[Component])*(standard_components_169[[#This Row],[Service]]=factor_eff_table[Service]), 0, 1), 0)),
 "-")</f>
        <v>-</v>
      </c>
      <c r="E75" s="145" t="str" cm="1">
        <f t="array" ref="E7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5" s="145" t="str" cm="1">
        <f t="array" ref="F7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5" s="145" t="str" cm="1">
        <f t="array" ref="G7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INDEX((standard_components_169[[#This Row],[Component]]=factor_eff_table[Component])*(standard_components_169[[#This Row],[Service]]=factor_eff_table[Service]), 0, 1), 0)),
 "-")</f>
        <v>-</v>
      </c>
      <c r="E76" s="145" t="str" cm="1">
        <f t="array" ref="E7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6" s="145" t="str" cm="1">
        <f t="array" ref="F7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6" s="145" t="str" cm="1">
        <f t="array" ref="G7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INDEX((standard_components_169[[#This Row],[Component]]=factor_eff_table[Component])*(standard_components_169[[#This Row],[Service]]=factor_eff_table[Service]), 0, 1), 0)),
 "-")</f>
        <v>-</v>
      </c>
      <c r="E77" s="145" t="str" cm="1">
        <f t="array" ref="E7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7" s="145" t="str" cm="1">
        <f t="array" ref="F7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7" s="145" t="str" cm="1">
        <f t="array" ref="G7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INDEX((standard_components_169[[#This Row],[Component]]=factor_eff_table[Component])*(standard_components_169[[#This Row],[Service]]=factor_eff_table[Service]), 0, 1), 0)),
 "-")</f>
        <v>-</v>
      </c>
      <c r="E78" s="145" t="str" cm="1">
        <f t="array" ref="E7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8" s="145" t="str" cm="1">
        <f t="array" ref="F7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8" s="145" t="str" cm="1">
        <f t="array" ref="G7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INDEX((standard_components_169[[#This Row],[Component]]=factor_eff_table[Component])*(standard_components_169[[#This Row],[Service]]=factor_eff_table[Service]), 0, 1), 0)),
 "-")</f>
        <v>-</v>
      </c>
      <c r="E79" s="145" t="str" cm="1">
        <f t="array" ref="E7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79" s="145" t="str" cm="1">
        <f t="array" ref="F7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79" s="145" t="str" cm="1">
        <f t="array" ref="G7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7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7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INDEX((standard_components_169[[#This Row],[Component]]=factor_eff_table[Component])*(standard_components_169[[#This Row],[Service]]=factor_eff_table[Service]), 0, 1), 0)),
 "-")</f>
        <v>-</v>
      </c>
      <c r="E80" s="145" t="str" cm="1">
        <f t="array" ref="E8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0" s="145" t="str" cm="1">
        <f t="array" ref="F8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0" s="145" t="str" cm="1">
        <f t="array" ref="G8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INDEX((standard_components_169[[#This Row],[Component]]=factor_eff_table[Component])*(standard_components_169[[#This Row],[Service]]=factor_eff_table[Service]), 0, 1), 0)),
 "-")</f>
        <v>-</v>
      </c>
      <c r="E81" s="145" t="str" cm="1">
        <f t="array" ref="E8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1" s="145" t="str" cm="1">
        <f t="array" ref="F8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1" s="145" t="str" cm="1">
        <f t="array" ref="G8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INDEX((standard_components_169[[#This Row],[Component]]=factor_eff_table[Component])*(standard_components_169[[#This Row],[Service]]=factor_eff_table[Service]), 0, 1), 0)),
 "-")</f>
        <v>-</v>
      </c>
      <c r="E82" s="145" t="str" cm="1">
        <f t="array" ref="E8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2" s="145" t="str" cm="1">
        <f t="array" ref="F8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2" s="145" t="str" cm="1">
        <f t="array" ref="G8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INDEX((standard_components_169[[#This Row],[Component]]=factor_eff_table[Component])*(standard_components_169[[#This Row],[Service]]=factor_eff_table[Service]), 0, 1), 0)),
 "-")</f>
        <v>-</v>
      </c>
      <c r="E83" s="145" t="str" cm="1">
        <f t="array" ref="E8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3" s="145" t="str" cm="1">
        <f t="array" ref="F8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3" s="145" t="str" cm="1">
        <f t="array" ref="G8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INDEX((standard_components_169[[#This Row],[Component]]=factor_eff_table[Component])*(standard_components_169[[#This Row],[Service]]=factor_eff_table[Service]), 0, 1), 0)),
 "-")</f>
        <v>-</v>
      </c>
      <c r="E84" s="145" t="str" cm="1">
        <f t="array" ref="E8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4" s="145" t="str" cm="1">
        <f t="array" ref="F8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4" s="145" t="str" cm="1">
        <f t="array" ref="G8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INDEX((standard_components_169[[#This Row],[Component]]=factor_eff_table[Component])*(standard_components_169[[#This Row],[Service]]=factor_eff_table[Service]), 0, 1), 0)),
 "-")</f>
        <v>-</v>
      </c>
      <c r="E85" s="145" t="str" cm="1">
        <f t="array" ref="E8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5" s="145" t="str" cm="1">
        <f t="array" ref="F8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5" s="145" t="str" cm="1">
        <f t="array" ref="G8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INDEX((standard_components_169[[#This Row],[Component]]=factor_eff_table[Component])*(standard_components_169[[#This Row],[Service]]=factor_eff_table[Service]), 0, 1), 0)),
 "-")</f>
        <v>-</v>
      </c>
      <c r="E86" s="145" t="str" cm="1">
        <f t="array" ref="E8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6" s="145" t="str" cm="1">
        <f t="array" ref="F8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6" s="145" t="str" cm="1">
        <f t="array" ref="G8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INDEX((standard_components_169[[#This Row],[Component]]=factor_eff_table[Component])*(standard_components_169[[#This Row],[Service]]=factor_eff_table[Service]), 0, 1), 0)),
 "-")</f>
        <v>-</v>
      </c>
      <c r="E87" s="145" t="str" cm="1">
        <f t="array" ref="E8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7" s="145" t="str" cm="1">
        <f t="array" ref="F8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7" s="145" t="str" cm="1">
        <f t="array" ref="G8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INDEX((standard_components_169[[#This Row],[Component]]=factor_eff_table[Component])*(standard_components_169[[#This Row],[Service]]=factor_eff_table[Service]), 0, 1), 0)),
 "-")</f>
        <v>-</v>
      </c>
      <c r="E88" s="145" t="str" cm="1">
        <f t="array" ref="E8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8" s="145" t="str" cm="1">
        <f t="array" ref="F8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8" s="145" t="str" cm="1">
        <f t="array" ref="G8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INDEX((standard_components_169[[#This Row],[Component]]=factor_eff_table[Component])*(standard_components_169[[#This Row],[Service]]=factor_eff_table[Service]), 0, 1), 0)),
 "-")</f>
        <v>-</v>
      </c>
      <c r="E89" s="145" t="str" cm="1">
        <f t="array" ref="E8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89" s="145" t="str" cm="1">
        <f t="array" ref="F8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89" s="145" t="str" cm="1">
        <f t="array" ref="G8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8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8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INDEX((standard_components_169[[#This Row],[Component]]=factor_eff_table[Component])*(standard_components_169[[#This Row],[Service]]=factor_eff_table[Service]), 0, 1), 0)),
 "-")</f>
        <v>-</v>
      </c>
      <c r="E90" s="145" t="str" cm="1">
        <f t="array" ref="E9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0" s="145" t="str" cm="1">
        <f t="array" ref="F9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0" s="145" t="str" cm="1">
        <f t="array" ref="G9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INDEX((standard_components_169[[#This Row],[Component]]=factor_eff_table[Component])*(standard_components_169[[#This Row],[Service]]=factor_eff_table[Service]), 0, 1), 0)),
 "-")</f>
        <v>-</v>
      </c>
      <c r="E91" s="145" t="str" cm="1">
        <f t="array" ref="E91">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1" s="145" t="str" cm="1">
        <f t="array" ref="F91">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1" s="145" t="str" cm="1">
        <f t="array" ref="G91">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1"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1"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INDEX((standard_components_169[[#This Row],[Component]]=factor_eff_table[Component])*(standard_components_169[[#This Row],[Service]]=factor_eff_table[Service]), 0, 1), 0)),
 "-")</f>
        <v>-</v>
      </c>
      <c r="E92" s="145" t="str" cm="1">
        <f t="array" ref="E92">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2" s="145" t="str" cm="1">
        <f t="array" ref="F92">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2" s="145" t="str" cm="1">
        <f t="array" ref="G92">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2"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2"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INDEX((standard_components_169[[#This Row],[Component]]=factor_eff_table[Component])*(standard_components_169[[#This Row],[Service]]=factor_eff_table[Service]), 0, 1), 0)),
 "-")</f>
        <v>-</v>
      </c>
      <c r="E93" s="145" t="str" cm="1">
        <f t="array" ref="E93">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3" s="145" t="str" cm="1">
        <f t="array" ref="F93">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3" s="145" t="str" cm="1">
        <f t="array" ref="G93">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3"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3"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INDEX((standard_components_169[[#This Row],[Component]]=factor_eff_table[Component])*(standard_components_169[[#This Row],[Service]]=factor_eff_table[Service]), 0, 1), 0)),
 "-")</f>
        <v>-</v>
      </c>
      <c r="E94" s="145" t="str" cm="1">
        <f t="array" ref="E94">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4" s="145" t="str" cm="1">
        <f t="array" ref="F94">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4" s="145" t="str" cm="1">
        <f t="array" ref="G94">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4"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4"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INDEX((standard_components_169[[#This Row],[Component]]=factor_eff_table[Component])*(standard_components_169[[#This Row],[Service]]=factor_eff_table[Service]), 0, 1), 0)),
 "-")</f>
        <v>-</v>
      </c>
      <c r="E95" s="145" t="str" cm="1">
        <f t="array" ref="E95">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5" s="145" t="str" cm="1">
        <f t="array" ref="F95">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5" s="145" t="str" cm="1">
        <f t="array" ref="G95">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5"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5"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INDEX((standard_components_169[[#This Row],[Component]]=factor_eff_table[Component])*(standard_components_169[[#This Row],[Service]]=factor_eff_table[Service]), 0, 1), 0)),
 "-")</f>
        <v>-</v>
      </c>
      <c r="E96" s="145" t="str" cm="1">
        <f t="array" ref="E96">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6" s="145" t="str" cm="1">
        <f t="array" ref="F96">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6" s="145" t="str" cm="1">
        <f t="array" ref="G96">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6"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6"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INDEX((standard_components_169[[#This Row],[Component]]=factor_eff_table[Component])*(standard_components_169[[#This Row],[Service]]=factor_eff_table[Service]), 0, 1), 0)),
 "-")</f>
        <v>-</v>
      </c>
      <c r="E97" s="145" t="str" cm="1">
        <f t="array" ref="E97">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7" s="145" t="str" cm="1">
        <f t="array" ref="F97">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7" s="145" t="str" cm="1">
        <f t="array" ref="G97">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7"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7"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INDEX((standard_components_169[[#This Row],[Component]]=factor_eff_table[Component])*(standard_components_169[[#This Row],[Service]]=factor_eff_table[Service]), 0, 1), 0)),
 "-")</f>
        <v>-</v>
      </c>
      <c r="E98" s="145" t="str" cm="1">
        <f t="array" ref="E98">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8" s="145" t="str" cm="1">
        <f t="array" ref="F98">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8" s="145" t="str" cm="1">
        <f t="array" ref="G98">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8"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8"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INDEX((standard_components_169[[#This Row],[Component]]=factor_eff_table[Component])*(standard_components_169[[#This Row],[Service]]=factor_eff_table[Service]), 0, 1), 0)),
 "-")</f>
        <v>-</v>
      </c>
      <c r="E99" s="145" t="str" cm="1">
        <f t="array" ref="E99">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99" s="145" t="str" cm="1">
        <f t="array" ref="F99">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99" s="145" t="str" cm="1">
        <f t="array" ref="G99">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99"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99"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INDEX((standard_components_169[[#This Row],[Component]]=factor_eff_table[Component])*(standard_components_169[[#This Row],[Service]]=factor_eff_table[Service]), 0, 1), 0)),
 "-")</f>
        <v>-</v>
      </c>
      <c r="E100" s="145" t="str" cm="1">
        <f t="array" ref="E100">IF(AND(process_drain_bool="Yes",LEFT(standard_components_169[[#This Row],[Component]], LEN("Process drains"))="Process Drains", ISBLANK(instrument_ldar)=FALSE), process_drain_eff,
IFERROR(
INDEX(
INDEX(factor_eff_table[], , MATCH(instrument_ldar, factor_eff_table[#Headers], 0)),
MATCH(1, INDEX((standard_components_169[[#This Row],[Component]]=factor_eff_table[Component])*(standard_components_169[[#This Row],[Service]]=factor_eff_table[Service]), 0, 1), 0)),
 "-"))</f>
        <v>-</v>
      </c>
      <c r="F100" s="145" t="str" cm="1">
        <f t="array" ref="F100">IF(AND(process_drain_bool="Yes",LEFT(standard_components_169[[#This Row],[Component]], LEN("Process drains"))="Process Drains", ISBLANK(connector_ldar)=FALSE), process_drain_eff,
IFERROR(
INDEX(
INDEX(factor_eff_table[], , MATCH(connector_ldar, factor_eff_table[#Headers], 0)),
MATCH(1, INDEX((standard_components_169[[#This Row],[Component]]=factor_eff_table[Component])*(standard_components_169[[#This Row],[Service]]=factor_eff_table[Service]), 0, 1), 0)),
 "-"))</f>
        <v>-</v>
      </c>
      <c r="G100" s="145" t="str" cm="1">
        <f t="array" ref="G100">IF(AND(process_drain_bool="Yes",LEFT(standard_components_169[[#This Row],[Component]], LEN("Process Drains"))="Process Drains", ISBLANK(inspection_ldar)=FALSE), process_drain_eff,
IFERROR(
INDEX(
INDEX(factor_eff_table[], , MATCH(inspection_ldar, factor_eff_table[#Headers], 0)),
MATCH(1, INDEX((standard_components_169[[#This Row],[Component]]=factor_eff_table[Component])*(standard_components_169[[#This Row],[Service]]=factor_eff_table[Service]), 0, 1), 0)),
 "-"))</f>
        <v>-</v>
      </c>
      <c r="H100" s="146" t="str">
        <f>IF(standard_components_169[[#This Row],[Component]]="Sampling Connections (annual) [2]", "N/A",
 IF(standard_components_169[[#This Row],[Component]]="Sampling Connections (hourly) [1]", standard_components_169[[#This Row],[Count]]*standard_components_169[[#This Row],[Industry Emission Factor]],
IFERROR(standard_components_169[[#This Row],[Count]]*standard_components_169[[#This Row],[Industry Emission Factor]]*MIN(1-standard_components_169[[#This Row],[Instrument Monitoring LDAR Control Efficiency]], 1-standard_components_169[[#This Row],[Physical Inspection LDAR Control Efficiency]], 1-standard_components_169[[#This Row],[Connector Monitoring LDAR Control Efficiency]]), "-")))</f>
        <v>-</v>
      </c>
      <c r="I100" s="146" t="str">
        <f>IF(standard_components_169[[#This Row],[Component]]="Sampling Connections (hourly) [1]", "N/A",
 IF(standard_components_169[[#This Row],[Component]]="Sampling Connections (annual) [2]", standard_components_169[[#This Row],[Count]]*standard_components_169[[#This Row],[Industry Emission Factor]]/stons_to_lbs,
 IFERROR(years_to_hrs/stons_to_lbs*standard_components_169[[#This Row],[Controlled
lb/hr]], "-")))</f>
        <v>-</v>
      </c>
    </row>
    <row r="101" spans="1:9" ht="15" x14ac:dyDescent="0.25">
      <c r="A101" s="147" t="s">
        <v>12776</v>
      </c>
      <c r="B101" s="148"/>
      <c r="C101" s="149">
        <f>SUBTOTAL(109,standard_components_169[Count])</f>
        <v>0</v>
      </c>
      <c r="D101" s="150"/>
      <c r="E101" s="150"/>
      <c r="F101" s="150"/>
      <c r="G101" s="150"/>
      <c r="H101" s="151">
        <f>SUBTOTAL(109,standard_components_169[Controlled
lb/hr])</f>
        <v>0</v>
      </c>
      <c r="I101" s="151">
        <f>SUBTOTAL(109,standard_components_169[Controlled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unique_components_170[[#This Row],[Count]]*unique_components_170[[#This Row],[Proposed Emission Factor]]*(1-unique_components_170[[#This Row],[Proposed Control Efficiency]])</f>
        <v>0</v>
      </c>
      <c r="G107" s="155">
        <f>IFERROR(unique_components_170[[#This Row],[Controlled lb/hr]]*4.38,"")</f>
        <v>0</v>
      </c>
    </row>
    <row r="108" spans="1:9" x14ac:dyDescent="0.2">
      <c r="A108" s="103"/>
      <c r="B108" s="104"/>
      <c r="C108" s="153"/>
      <c r="D108" s="154"/>
      <c r="E108" s="154"/>
      <c r="F108" s="146">
        <f>unique_components_170[[#This Row],[Count]]*unique_components_170[[#This Row],[Proposed Emission Factor]]*(1-unique_components_170[[#This Row],[Proposed Control Efficiency]])</f>
        <v>0</v>
      </c>
      <c r="G108" s="155">
        <f>IFERROR(unique_components_170[[#This Row],[Controlled lb/hr]]*4.38,"")</f>
        <v>0</v>
      </c>
    </row>
    <row r="109" spans="1:9" x14ac:dyDescent="0.2">
      <c r="A109" s="103"/>
      <c r="B109" s="104"/>
      <c r="C109" s="153"/>
      <c r="D109" s="154"/>
      <c r="E109" s="154"/>
      <c r="F109" s="146">
        <f>unique_components_170[[#This Row],[Count]]*unique_components_170[[#This Row],[Proposed Emission Factor]]*(1-unique_components_170[[#This Row],[Proposed Control Efficiency]])</f>
        <v>0</v>
      </c>
      <c r="G109" s="155">
        <f>IFERROR(unique_components_170[[#This Row],[Controlled lb/hr]]*4.38,"")</f>
        <v>0</v>
      </c>
    </row>
    <row r="110" spans="1:9" x14ac:dyDescent="0.2">
      <c r="A110" s="103"/>
      <c r="B110" s="104"/>
      <c r="C110" s="153"/>
      <c r="D110" s="154"/>
      <c r="E110" s="154"/>
      <c r="F110" s="146">
        <f>unique_components_170[[#This Row],[Count]]*unique_components_170[[#This Row],[Proposed Emission Factor]]*(1-unique_components_170[[#This Row],[Proposed Control Efficiency]])</f>
        <v>0</v>
      </c>
      <c r="G110" s="155">
        <f>IFERROR(unique_components_170[[#This Row],[Controlled lb/hr]]*4.38,"")</f>
        <v>0</v>
      </c>
    </row>
    <row r="111" spans="1:9" x14ac:dyDescent="0.2">
      <c r="A111" s="103"/>
      <c r="B111" s="104"/>
      <c r="C111" s="153"/>
      <c r="D111" s="154"/>
      <c r="E111" s="154"/>
      <c r="F111" s="146">
        <f>unique_components_170[[#This Row],[Count]]*unique_components_170[[#This Row],[Proposed Emission Factor]]*(1-unique_components_170[[#This Row],[Proposed Control Efficiency]])</f>
        <v>0</v>
      </c>
      <c r="G111" s="155">
        <f>IFERROR(unique_components_170[[#This Row],[Controlled lb/hr]]*4.38,"")</f>
        <v>0</v>
      </c>
    </row>
    <row r="112" spans="1:9" x14ac:dyDescent="0.2">
      <c r="A112" s="103"/>
      <c r="B112" s="104"/>
      <c r="C112" s="153"/>
      <c r="D112" s="154"/>
      <c r="E112" s="154"/>
      <c r="F112" s="146">
        <f>unique_components_170[[#This Row],[Count]]*unique_components_170[[#This Row],[Proposed Emission Factor]]*(1-unique_components_170[[#This Row],[Proposed Control Efficiency]])</f>
        <v>0</v>
      </c>
      <c r="G112" s="155">
        <f>IFERROR(unique_components_170[[#This Row],[Controlled lb/hr]]*4.38,"")</f>
        <v>0</v>
      </c>
    </row>
    <row r="113" spans="1:8" x14ac:dyDescent="0.2">
      <c r="A113" s="103"/>
      <c r="B113" s="104"/>
      <c r="C113" s="153"/>
      <c r="D113" s="154"/>
      <c r="E113" s="154"/>
      <c r="F113" s="146">
        <f>unique_components_170[[#This Row],[Count]]*unique_components_170[[#This Row],[Proposed Emission Factor]]*(1-unique_components_170[[#This Row],[Proposed Control Efficiency]])</f>
        <v>0</v>
      </c>
      <c r="G113" s="155">
        <f>IFERROR(unique_components_170[[#This Row],[Controlled lb/hr]]*4.38,"")</f>
        <v>0</v>
      </c>
    </row>
    <row r="114" spans="1:8" x14ac:dyDescent="0.2">
      <c r="A114" s="103"/>
      <c r="B114" s="104"/>
      <c r="C114" s="153"/>
      <c r="D114" s="154"/>
      <c r="E114" s="154"/>
      <c r="F114" s="146">
        <f>unique_components_170[[#This Row],[Count]]*unique_components_170[[#This Row],[Proposed Emission Factor]]*(1-unique_components_170[[#This Row],[Proposed Control Efficiency]])</f>
        <v>0</v>
      </c>
      <c r="G114" s="155">
        <f>IFERROR(unique_components_170[[#This Row],[Controlled lb/hr]]*4.38,"")</f>
        <v>0</v>
      </c>
    </row>
    <row r="115" spans="1:8" x14ac:dyDescent="0.2">
      <c r="A115" s="103"/>
      <c r="B115" s="104"/>
      <c r="C115" s="153"/>
      <c r="D115" s="154"/>
      <c r="E115" s="154"/>
      <c r="F115" s="146">
        <f>unique_components_170[[#This Row],[Count]]*unique_components_170[[#This Row],[Proposed Emission Factor]]*(1-unique_components_170[[#This Row],[Proposed Control Efficiency]])</f>
        <v>0</v>
      </c>
      <c r="G115" s="155">
        <f>IFERROR(unique_components_170[[#This Row],[Controlled lb/hr]]*4.38,"")</f>
        <v>0</v>
      </c>
    </row>
    <row r="116" spans="1:8" x14ac:dyDescent="0.2">
      <c r="A116" s="103"/>
      <c r="B116" s="104"/>
      <c r="C116" s="153"/>
      <c r="D116" s="154"/>
      <c r="E116" s="154"/>
      <c r="F116" s="146">
        <f>unique_components_170[[#This Row],[Count]]*unique_components_170[[#This Row],[Proposed Emission Factor]]*(1-unique_components_170[[#This Row],[Proposed Control Efficiency]])</f>
        <v>0</v>
      </c>
      <c r="G116" s="155">
        <f>IFERROR(unique_components_170[[#This Row],[Controlled lb/hr]]*4.38,"")</f>
        <v>0</v>
      </c>
    </row>
    <row r="117" spans="1:8" x14ac:dyDescent="0.2">
      <c r="A117" s="103"/>
      <c r="B117" s="104"/>
      <c r="C117" s="153"/>
      <c r="D117" s="154"/>
      <c r="E117" s="154"/>
      <c r="F117" s="146">
        <f>unique_components_170[[#This Row],[Count]]*unique_components_170[[#This Row],[Proposed Emission Factor]]*(1-unique_components_170[[#This Row],[Proposed Control Efficiency]])</f>
        <v>0</v>
      </c>
      <c r="G117" s="155">
        <f>IFERROR(unique_components_170[[#This Row],[Controlled lb/hr]]*4.38,"")</f>
        <v>0</v>
      </c>
    </row>
    <row r="118" spans="1:8" x14ac:dyDescent="0.2">
      <c r="A118" s="103"/>
      <c r="B118" s="104"/>
      <c r="C118" s="153"/>
      <c r="D118" s="154"/>
      <c r="E118" s="154"/>
      <c r="F118" s="146">
        <f>unique_components_170[[#This Row],[Count]]*unique_components_170[[#This Row],[Proposed Emission Factor]]*(1-unique_components_170[[#This Row],[Proposed Control Efficiency]])</f>
        <v>0</v>
      </c>
      <c r="G118" s="155">
        <f>IFERROR(unique_components_170[[#This Row],[Controlled lb/hr]]*4.38,"")</f>
        <v>0</v>
      </c>
    </row>
    <row r="119" spans="1:8" x14ac:dyDescent="0.2">
      <c r="A119" s="103"/>
      <c r="B119" s="104"/>
      <c r="C119" s="153"/>
      <c r="D119" s="154"/>
      <c r="E119" s="154"/>
      <c r="F119" s="146">
        <f>unique_components_170[[#This Row],[Count]]*unique_components_170[[#This Row],[Proposed Emission Factor]]*(1-unique_components_170[[#This Row],[Proposed Control Efficiency]])</f>
        <v>0</v>
      </c>
      <c r="G119" s="155">
        <f>IFERROR(unique_components_170[[#This Row],[Controlled lb/hr]]*4.38,"")</f>
        <v>0</v>
      </c>
    </row>
    <row r="120" spans="1:8" x14ac:dyDescent="0.2">
      <c r="A120" s="103"/>
      <c r="B120" s="104"/>
      <c r="C120" s="153"/>
      <c r="D120" s="154"/>
      <c r="E120" s="154"/>
      <c r="F120" s="146">
        <f>unique_components_170[[#This Row],[Count]]*unique_components_170[[#This Row],[Proposed Emission Factor]]*(1-unique_components_170[[#This Row],[Proposed Control Efficiency]])</f>
        <v>0</v>
      </c>
      <c r="G120" s="155">
        <f>IFERROR(unique_components_170[[#This Row],[Controlled lb/hr]]*4.38,"")</f>
        <v>0</v>
      </c>
    </row>
    <row r="121" spans="1:8" x14ac:dyDescent="0.2">
      <c r="A121" s="103"/>
      <c r="B121" s="104"/>
      <c r="C121" s="153"/>
      <c r="D121" s="154"/>
      <c r="E121" s="154"/>
      <c r="F121" s="146">
        <f>unique_components_170[[#This Row],[Count]]*unique_components_170[[#This Row],[Proposed Emission Factor]]*(1-unique_components_170[[#This Row],[Proposed Control Efficiency]])</f>
        <v>0</v>
      </c>
      <c r="G121" s="155">
        <f>IFERROR(unique_components_170[[#This Row],[Controlled lb/hr]]*4.38,"")</f>
        <v>0</v>
      </c>
    </row>
    <row r="122" spans="1:8" x14ac:dyDescent="0.2">
      <c r="A122" s="103"/>
      <c r="B122" s="104"/>
      <c r="C122" s="153"/>
      <c r="D122" s="154"/>
      <c r="E122" s="154"/>
      <c r="F122" s="146">
        <f>unique_components_170[[#This Row],[Count]]*unique_components_170[[#This Row],[Proposed Emission Factor]]*(1-unique_components_170[[#This Row],[Proposed Control Efficiency]])</f>
        <v>0</v>
      </c>
      <c r="G122" s="155">
        <f>IFERROR(unique_components_170[[#This Row],[Controlled lb/hr]]*4.38,"")</f>
        <v>0</v>
      </c>
    </row>
    <row r="123" spans="1:8" x14ac:dyDescent="0.2">
      <c r="A123" s="103"/>
      <c r="B123" s="104"/>
      <c r="C123" s="153"/>
      <c r="D123" s="154"/>
      <c r="E123" s="154"/>
      <c r="F123" s="146">
        <f>unique_components_170[[#This Row],[Count]]*unique_components_170[[#This Row],[Proposed Emission Factor]]*(1-unique_components_170[[#This Row],[Proposed Control Efficiency]])</f>
        <v>0</v>
      </c>
      <c r="G123" s="155">
        <f>IFERROR(unique_components_170[[#This Row],[Controlled lb/hr]]*4.38,"")</f>
        <v>0</v>
      </c>
    </row>
    <row r="124" spans="1:8" x14ac:dyDescent="0.2">
      <c r="A124" s="103"/>
      <c r="B124" s="104"/>
      <c r="C124" s="153"/>
      <c r="D124" s="154"/>
      <c r="E124" s="154"/>
      <c r="F124" s="146">
        <f>unique_components_170[[#This Row],[Count]]*unique_components_170[[#This Row],[Proposed Emission Factor]]*(1-unique_components_170[[#This Row],[Proposed Control Efficiency]])</f>
        <v>0</v>
      </c>
      <c r="G124" s="155">
        <f>IFERROR(unique_components_170[[#This Row],[Controlled lb/hr]]*4.38,"")</f>
        <v>0</v>
      </c>
    </row>
    <row r="125" spans="1:8" x14ac:dyDescent="0.2">
      <c r="A125" s="103"/>
      <c r="B125" s="104"/>
      <c r="C125" s="153"/>
      <c r="D125" s="154"/>
      <c r="E125" s="154"/>
      <c r="F125" s="146">
        <f>unique_components_170[[#This Row],[Count]]*unique_components_170[[#This Row],[Proposed Emission Factor]]*(1-unique_components_170[[#This Row],[Proposed Control Efficiency]])</f>
        <v>0</v>
      </c>
      <c r="G125" s="155">
        <f>IFERROR(unique_components_170[[#This Row],[Controlled lb/hr]]*4.38,"")</f>
        <v>0</v>
      </c>
    </row>
    <row r="126" spans="1:8" x14ac:dyDescent="0.2">
      <c r="A126" s="105"/>
      <c r="B126" s="106"/>
      <c r="C126" s="156"/>
      <c r="D126" s="154"/>
      <c r="E126" s="157"/>
      <c r="F126" s="158">
        <f>unique_components_170[[#This Row],[Count]]*unique_components_170[[#This Row],[Proposed Emission Factor]]*(1-unique_components_170[[#This Row],[Proposed Control Efficiency]])</f>
        <v>0</v>
      </c>
      <c r="G126" s="159">
        <f>IFERROR(unique_components_170[[#This Row],[Controlled lb/hr]]*4.38,"")</f>
        <v>0</v>
      </c>
    </row>
    <row r="127" spans="1:8" ht="30" x14ac:dyDescent="0.2">
      <c r="A127" s="57" t="s">
        <v>13297</v>
      </c>
      <c r="B127" s="54"/>
      <c r="C127" s="160">
        <f>SUBTOTAL(109,unique_components_170[Count])</f>
        <v>0</v>
      </c>
      <c r="D127" s="161"/>
      <c r="E127" s="161"/>
      <c r="F127" s="162">
        <f>SUBTOTAL(109,unique_components_170[Controlled lb/hr])</f>
        <v>0</v>
      </c>
      <c r="G127" s="162">
        <f>SUBTOTAL(109,unique_components_170[Controlled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IFERROR(VLOOKUP(speciated_chemicals_171[[#This Row],[CAS '#]],species[],MATCH("Substance", species[#Headers], 0),FALSE),"No CAS Number Entered")</f>
        <v>No CAS Number Entered</v>
      </c>
      <c r="C131" s="102"/>
      <c r="D131" s="102" t="s">
        <v>12666</v>
      </c>
      <c r="E131" s="102" t="s">
        <v>12666</v>
      </c>
      <c r="F131" s="102" t="s">
        <v>12666</v>
      </c>
      <c r="G131" s="102" t="s">
        <v>12666</v>
      </c>
      <c r="H131" s="164"/>
      <c r="I131" s="51">
        <f>IF(speciated_chemicals_171[[#This Row],[Inert / Not a Contaminant?]]="Yes", 0, speciated_chemicals_171[[#This Row],[Weight Percent]]*(unique_components_170[[#Totals],[Controlled lb/hr]]+standard_components_169[[#Totals],[Controlled
lb/hr]]))</f>
        <v>0</v>
      </c>
      <c r="J131" s="51">
        <f>IF(speciated_chemicals_171[[#This Row],[Inert / Not a Contaminant?]]="Yes", 0, speciated_chemicals_171[[#This Row],[Weight Percent]]*(unique_components_170[[#Totals],[Controlled
tpy]]+standard_components_169[[#Totals],[Controlled
tpy]]))</f>
        <v>0</v>
      </c>
    </row>
    <row r="132" spans="1:10" x14ac:dyDescent="0.2">
      <c r="A132" s="103"/>
      <c r="B132" s="51" t="str">
        <f>IFERROR(VLOOKUP(speciated_chemicals_171[[#This Row],[CAS '#]],species[],MATCH("Substance", species[#Headers], 0),FALSE),"No CAS Number Entered")</f>
        <v>No CAS Number Entered</v>
      </c>
      <c r="C132" s="102"/>
      <c r="D132" s="102" t="s">
        <v>12666</v>
      </c>
      <c r="E132" s="102" t="s">
        <v>12666</v>
      </c>
      <c r="F132" s="102" t="s">
        <v>12666</v>
      </c>
      <c r="G132" s="102" t="s">
        <v>12666</v>
      </c>
      <c r="H132" s="164"/>
      <c r="I132" s="51">
        <f>IF(speciated_chemicals_171[[#This Row],[Inert / Not a Contaminant?]]="Yes", 0, speciated_chemicals_171[[#This Row],[Weight Percent]]*(unique_components_170[[#Totals],[Controlled lb/hr]]+standard_components_169[[#Totals],[Controlled
lb/hr]]))</f>
        <v>0</v>
      </c>
      <c r="J132" s="51">
        <f>IF(speciated_chemicals_171[[#This Row],[Inert / Not a Contaminant?]]="Yes", 0, speciated_chemicals_171[[#This Row],[Weight Percent]]*(unique_components_170[[#Totals],[Controlled
tpy]]+standard_components_169[[#Totals],[Controlled
tpy]]))</f>
        <v>0</v>
      </c>
    </row>
    <row r="133" spans="1:10" x14ac:dyDescent="0.2">
      <c r="A133" s="103"/>
      <c r="B133" s="51" t="str">
        <f>IFERROR(VLOOKUP(speciated_chemicals_171[[#This Row],[CAS '#]],species[],MATCH("Substance", species[#Headers], 0),FALSE),"No CAS Number Entered")</f>
        <v>No CAS Number Entered</v>
      </c>
      <c r="C133" s="102"/>
      <c r="D133" s="102" t="s">
        <v>12666</v>
      </c>
      <c r="E133" s="102" t="s">
        <v>12666</v>
      </c>
      <c r="F133" s="102" t="s">
        <v>12666</v>
      </c>
      <c r="G133" s="102" t="s">
        <v>12666</v>
      </c>
      <c r="H133" s="164"/>
      <c r="I133" s="51">
        <f>IF(speciated_chemicals_171[[#This Row],[Inert / Not a Contaminant?]]="Yes", 0, speciated_chemicals_171[[#This Row],[Weight Percent]]*(unique_components_170[[#Totals],[Controlled lb/hr]]+standard_components_169[[#Totals],[Controlled
lb/hr]]))</f>
        <v>0</v>
      </c>
      <c r="J133" s="51">
        <f>IF(speciated_chemicals_171[[#This Row],[Inert / Not a Contaminant?]]="Yes", 0, speciated_chemicals_171[[#This Row],[Weight Percent]]*(unique_components_170[[#Totals],[Controlled
tpy]]+standard_components_169[[#Totals],[Controlled
tpy]]))</f>
        <v>0</v>
      </c>
    </row>
    <row r="134" spans="1:10" x14ac:dyDescent="0.2">
      <c r="A134" s="103"/>
      <c r="B134" s="51" t="str">
        <f>IFERROR(VLOOKUP(speciated_chemicals_171[[#This Row],[CAS '#]],species[],MATCH("Substance", species[#Headers], 0),FALSE),"No CAS Number Entered")</f>
        <v>No CAS Number Entered</v>
      </c>
      <c r="C134" s="102"/>
      <c r="D134" s="102" t="s">
        <v>12666</v>
      </c>
      <c r="E134" s="102" t="s">
        <v>12666</v>
      </c>
      <c r="F134" s="102" t="s">
        <v>12666</v>
      </c>
      <c r="G134" s="102" t="s">
        <v>12666</v>
      </c>
      <c r="H134" s="164"/>
      <c r="I134" s="51">
        <f>IF(speciated_chemicals_171[[#This Row],[Inert / Not a Contaminant?]]="Yes", 0, speciated_chemicals_171[[#This Row],[Weight Percent]]*(unique_components_170[[#Totals],[Controlled lb/hr]]+standard_components_169[[#Totals],[Controlled
lb/hr]]))</f>
        <v>0</v>
      </c>
      <c r="J134" s="51">
        <f>IF(speciated_chemicals_171[[#This Row],[Inert / Not a Contaminant?]]="Yes", 0, speciated_chemicals_171[[#This Row],[Weight Percent]]*(unique_components_170[[#Totals],[Controlled
tpy]]+standard_components_169[[#Totals],[Controlled
tpy]]))</f>
        <v>0</v>
      </c>
    </row>
    <row r="135" spans="1:10" x14ac:dyDescent="0.2">
      <c r="A135" s="103"/>
      <c r="B135" s="51" t="str">
        <f>IFERROR(VLOOKUP(speciated_chemicals_171[[#This Row],[CAS '#]],species[],MATCH("Substance", species[#Headers], 0),FALSE),"No CAS Number Entered")</f>
        <v>No CAS Number Entered</v>
      </c>
      <c r="C135" s="102"/>
      <c r="D135" s="102" t="s">
        <v>12666</v>
      </c>
      <c r="E135" s="102" t="s">
        <v>12666</v>
      </c>
      <c r="F135" s="102" t="s">
        <v>12666</v>
      </c>
      <c r="G135" s="102" t="s">
        <v>12666</v>
      </c>
      <c r="H135" s="164"/>
      <c r="I135" s="51">
        <f>IF(speciated_chemicals_171[[#This Row],[Inert / Not a Contaminant?]]="Yes", 0, speciated_chemicals_171[[#This Row],[Weight Percent]]*(unique_components_170[[#Totals],[Controlled lb/hr]]+standard_components_169[[#Totals],[Controlled
lb/hr]]))</f>
        <v>0</v>
      </c>
      <c r="J135" s="51">
        <f>IF(speciated_chemicals_171[[#This Row],[Inert / Not a Contaminant?]]="Yes", 0, speciated_chemicals_171[[#This Row],[Weight Percent]]*(unique_components_170[[#Totals],[Controlled
tpy]]+standard_components_169[[#Totals],[Controlled
tpy]]))</f>
        <v>0</v>
      </c>
    </row>
    <row r="136" spans="1:10" x14ac:dyDescent="0.2">
      <c r="A136" s="103"/>
      <c r="B136" s="51" t="str">
        <f>IFERROR(VLOOKUP(speciated_chemicals_171[[#This Row],[CAS '#]],species[],MATCH("Substance", species[#Headers], 0),FALSE),"No CAS Number Entered")</f>
        <v>No CAS Number Entered</v>
      </c>
      <c r="C136" s="102"/>
      <c r="D136" s="102" t="s">
        <v>12666</v>
      </c>
      <c r="E136" s="102" t="s">
        <v>12666</v>
      </c>
      <c r="F136" s="102" t="s">
        <v>12666</v>
      </c>
      <c r="G136" s="102" t="s">
        <v>12666</v>
      </c>
      <c r="H136" s="164"/>
      <c r="I136" s="51">
        <f>IF(speciated_chemicals_171[[#This Row],[Inert / Not a Contaminant?]]="Yes", 0, speciated_chemicals_171[[#This Row],[Weight Percent]]*(unique_components_170[[#Totals],[Controlled lb/hr]]+standard_components_169[[#Totals],[Controlled
lb/hr]]))</f>
        <v>0</v>
      </c>
      <c r="J136" s="51">
        <f>IF(speciated_chemicals_171[[#This Row],[Inert / Not a Contaminant?]]="Yes", 0, speciated_chemicals_171[[#This Row],[Weight Percent]]*(unique_components_170[[#Totals],[Controlled
tpy]]+standard_components_169[[#Totals],[Controlled
tpy]]))</f>
        <v>0</v>
      </c>
    </row>
    <row r="137" spans="1:10" x14ac:dyDescent="0.2">
      <c r="A137" s="103"/>
      <c r="B137" s="51" t="str">
        <f>IFERROR(VLOOKUP(speciated_chemicals_171[[#This Row],[CAS '#]],species[],MATCH("Substance", species[#Headers], 0),FALSE),"No CAS Number Entered")</f>
        <v>No CAS Number Entered</v>
      </c>
      <c r="C137" s="102"/>
      <c r="D137" s="102" t="s">
        <v>12666</v>
      </c>
      <c r="E137" s="102" t="s">
        <v>12666</v>
      </c>
      <c r="F137" s="102" t="s">
        <v>12666</v>
      </c>
      <c r="G137" s="102" t="s">
        <v>12666</v>
      </c>
      <c r="H137" s="164"/>
      <c r="I137" s="51">
        <f>IF(speciated_chemicals_171[[#This Row],[Inert / Not a Contaminant?]]="Yes", 0, speciated_chemicals_171[[#This Row],[Weight Percent]]*(unique_components_170[[#Totals],[Controlled lb/hr]]+standard_components_169[[#Totals],[Controlled
lb/hr]]))</f>
        <v>0</v>
      </c>
      <c r="J137" s="51">
        <f>IF(speciated_chemicals_171[[#This Row],[Inert / Not a Contaminant?]]="Yes", 0, speciated_chemicals_171[[#This Row],[Weight Percent]]*(unique_components_170[[#Totals],[Controlled
tpy]]+standard_components_169[[#Totals],[Controlled
tpy]]))</f>
        <v>0</v>
      </c>
    </row>
    <row r="138" spans="1:10" x14ac:dyDescent="0.2">
      <c r="A138" s="103"/>
      <c r="B138" s="51" t="str">
        <f>IFERROR(VLOOKUP(speciated_chemicals_171[[#This Row],[CAS '#]],species[],MATCH("Substance", species[#Headers], 0),FALSE),"No CAS Number Entered")</f>
        <v>No CAS Number Entered</v>
      </c>
      <c r="C138" s="102"/>
      <c r="D138" s="102" t="s">
        <v>12666</v>
      </c>
      <c r="E138" s="102" t="s">
        <v>12666</v>
      </c>
      <c r="F138" s="102" t="s">
        <v>12666</v>
      </c>
      <c r="G138" s="102" t="s">
        <v>12666</v>
      </c>
      <c r="H138" s="164"/>
      <c r="I138" s="51">
        <f>IF(speciated_chemicals_171[[#This Row],[Inert / Not a Contaminant?]]="Yes", 0, speciated_chemicals_171[[#This Row],[Weight Percent]]*(unique_components_170[[#Totals],[Controlled lb/hr]]+standard_components_169[[#Totals],[Controlled
lb/hr]]))</f>
        <v>0</v>
      </c>
      <c r="J138" s="51">
        <f>IF(speciated_chemicals_171[[#This Row],[Inert / Not a Contaminant?]]="Yes", 0, speciated_chemicals_171[[#This Row],[Weight Percent]]*(unique_components_170[[#Totals],[Controlled
tpy]]+standard_components_169[[#Totals],[Controlled
tpy]]))</f>
        <v>0</v>
      </c>
    </row>
    <row r="139" spans="1:10" x14ac:dyDescent="0.2">
      <c r="A139" s="103"/>
      <c r="B139" s="51" t="str">
        <f>IFERROR(VLOOKUP(speciated_chemicals_171[[#This Row],[CAS '#]],species[],MATCH("Substance", species[#Headers], 0),FALSE),"No CAS Number Entered")</f>
        <v>No CAS Number Entered</v>
      </c>
      <c r="C139" s="102"/>
      <c r="D139" s="102" t="s">
        <v>12666</v>
      </c>
      <c r="E139" s="102" t="s">
        <v>12666</v>
      </c>
      <c r="F139" s="102" t="s">
        <v>12666</v>
      </c>
      <c r="G139" s="102" t="s">
        <v>12666</v>
      </c>
      <c r="H139" s="164"/>
      <c r="I139" s="51">
        <f>IF(speciated_chemicals_171[[#This Row],[Inert / Not a Contaminant?]]="Yes", 0, speciated_chemicals_171[[#This Row],[Weight Percent]]*(unique_components_170[[#Totals],[Controlled lb/hr]]+standard_components_169[[#Totals],[Controlled
lb/hr]]))</f>
        <v>0</v>
      </c>
      <c r="J139" s="51">
        <f>IF(speciated_chemicals_171[[#This Row],[Inert / Not a Contaminant?]]="Yes", 0, speciated_chemicals_171[[#This Row],[Weight Percent]]*(unique_components_170[[#Totals],[Controlled
tpy]]+standard_components_169[[#Totals],[Controlled
tpy]]))</f>
        <v>0</v>
      </c>
    </row>
    <row r="140" spans="1:10" x14ac:dyDescent="0.2">
      <c r="A140" s="103"/>
      <c r="B140" s="51" t="str">
        <f>IFERROR(VLOOKUP(speciated_chemicals_171[[#This Row],[CAS '#]],species[],MATCH("Substance", species[#Headers], 0),FALSE),"No CAS Number Entered")</f>
        <v>No CAS Number Entered</v>
      </c>
      <c r="C140" s="102"/>
      <c r="D140" s="102" t="s">
        <v>12666</v>
      </c>
      <c r="E140" s="102" t="s">
        <v>12666</v>
      </c>
      <c r="F140" s="102" t="s">
        <v>12666</v>
      </c>
      <c r="G140" s="102" t="s">
        <v>12666</v>
      </c>
      <c r="H140" s="164"/>
      <c r="I140" s="51">
        <f>IF(speciated_chemicals_171[[#This Row],[Inert / Not a Contaminant?]]="Yes", 0, speciated_chemicals_171[[#This Row],[Weight Percent]]*(unique_components_170[[#Totals],[Controlled lb/hr]]+standard_components_169[[#Totals],[Controlled
lb/hr]]))</f>
        <v>0</v>
      </c>
      <c r="J140" s="51">
        <f>IF(speciated_chemicals_171[[#This Row],[Inert / Not a Contaminant?]]="Yes", 0, speciated_chemicals_171[[#This Row],[Weight Percent]]*(unique_components_170[[#Totals],[Controlled
tpy]]+standard_components_169[[#Totals],[Controlled
tpy]]))</f>
        <v>0</v>
      </c>
    </row>
    <row r="141" spans="1:10" x14ac:dyDescent="0.2">
      <c r="A141" s="103"/>
      <c r="B141" s="51" t="str">
        <f>IFERROR(VLOOKUP(speciated_chemicals_171[[#This Row],[CAS '#]],species[],MATCH("Substance", species[#Headers], 0),FALSE),"No CAS Number Entered")</f>
        <v>No CAS Number Entered</v>
      </c>
      <c r="C141" s="102"/>
      <c r="D141" s="102" t="s">
        <v>12666</v>
      </c>
      <c r="E141" s="102" t="s">
        <v>12666</v>
      </c>
      <c r="F141" s="102" t="s">
        <v>12666</v>
      </c>
      <c r="G141" s="102" t="s">
        <v>12666</v>
      </c>
      <c r="H141" s="164"/>
      <c r="I141" s="51">
        <f>IF(speciated_chemicals_171[[#This Row],[Inert / Not a Contaminant?]]="Yes", 0, speciated_chemicals_171[[#This Row],[Weight Percent]]*(unique_components_170[[#Totals],[Controlled lb/hr]]+standard_components_169[[#Totals],[Controlled
lb/hr]]))</f>
        <v>0</v>
      </c>
      <c r="J141" s="51">
        <f>IF(speciated_chemicals_171[[#This Row],[Inert / Not a Contaminant?]]="Yes", 0, speciated_chemicals_171[[#This Row],[Weight Percent]]*(unique_components_170[[#Totals],[Controlled
tpy]]+standard_components_169[[#Totals],[Controlled
tpy]]))</f>
        <v>0</v>
      </c>
    </row>
    <row r="142" spans="1:10" x14ac:dyDescent="0.2">
      <c r="A142" s="103"/>
      <c r="B142" s="51" t="str">
        <f>IFERROR(VLOOKUP(speciated_chemicals_171[[#This Row],[CAS '#]],species[],MATCH("Substance", species[#Headers], 0),FALSE),"No CAS Number Entered")</f>
        <v>No CAS Number Entered</v>
      </c>
      <c r="C142" s="102"/>
      <c r="D142" s="102" t="s">
        <v>12666</v>
      </c>
      <c r="E142" s="102" t="s">
        <v>12666</v>
      </c>
      <c r="F142" s="102" t="s">
        <v>12666</v>
      </c>
      <c r="G142" s="102" t="s">
        <v>12666</v>
      </c>
      <c r="H142" s="164"/>
      <c r="I142" s="51">
        <f>IF(speciated_chemicals_171[[#This Row],[Inert / Not a Contaminant?]]="Yes", 0, speciated_chemicals_171[[#This Row],[Weight Percent]]*(unique_components_170[[#Totals],[Controlled lb/hr]]+standard_components_169[[#Totals],[Controlled
lb/hr]]))</f>
        <v>0</v>
      </c>
      <c r="J142" s="51">
        <f>IF(speciated_chemicals_171[[#This Row],[Inert / Not a Contaminant?]]="Yes", 0, speciated_chemicals_171[[#This Row],[Weight Percent]]*(unique_components_170[[#Totals],[Controlled
tpy]]+standard_components_169[[#Totals],[Controlled
tpy]]))</f>
        <v>0</v>
      </c>
    </row>
    <row r="143" spans="1:10" x14ac:dyDescent="0.2">
      <c r="A143" s="103"/>
      <c r="B143" s="51" t="str">
        <f>IFERROR(VLOOKUP(speciated_chemicals_171[[#This Row],[CAS '#]],species[],MATCH("Substance", species[#Headers], 0),FALSE),"No CAS Number Entered")</f>
        <v>No CAS Number Entered</v>
      </c>
      <c r="C143" s="102"/>
      <c r="D143" s="102" t="s">
        <v>12666</v>
      </c>
      <c r="E143" s="102" t="s">
        <v>12666</v>
      </c>
      <c r="F143" s="102" t="s">
        <v>12666</v>
      </c>
      <c r="G143" s="102" t="s">
        <v>12666</v>
      </c>
      <c r="H143" s="164"/>
      <c r="I143" s="51">
        <f>IF(speciated_chemicals_171[[#This Row],[Inert / Not a Contaminant?]]="Yes", 0, speciated_chemicals_171[[#This Row],[Weight Percent]]*(unique_components_170[[#Totals],[Controlled lb/hr]]+standard_components_169[[#Totals],[Controlled
lb/hr]]))</f>
        <v>0</v>
      </c>
      <c r="J143" s="51">
        <f>IF(speciated_chemicals_171[[#This Row],[Inert / Not a Contaminant?]]="Yes", 0, speciated_chemicals_171[[#This Row],[Weight Percent]]*(unique_components_170[[#Totals],[Controlled
tpy]]+standard_components_169[[#Totals],[Controlled
tpy]]))</f>
        <v>0</v>
      </c>
    </row>
    <row r="144" spans="1:10" x14ac:dyDescent="0.2">
      <c r="A144" s="103"/>
      <c r="B144" s="51" t="str">
        <f>IFERROR(VLOOKUP(speciated_chemicals_171[[#This Row],[CAS '#]],species[],MATCH("Substance", species[#Headers], 0),FALSE),"No CAS Number Entered")</f>
        <v>No CAS Number Entered</v>
      </c>
      <c r="C144" s="102"/>
      <c r="D144" s="102" t="s">
        <v>12666</v>
      </c>
      <c r="E144" s="102" t="s">
        <v>12666</v>
      </c>
      <c r="F144" s="102" t="s">
        <v>12666</v>
      </c>
      <c r="G144" s="102" t="s">
        <v>12666</v>
      </c>
      <c r="H144" s="164"/>
      <c r="I144" s="51">
        <f>IF(speciated_chemicals_171[[#This Row],[Inert / Not a Contaminant?]]="Yes", 0, speciated_chemicals_171[[#This Row],[Weight Percent]]*(unique_components_170[[#Totals],[Controlled lb/hr]]+standard_components_169[[#Totals],[Controlled
lb/hr]]))</f>
        <v>0</v>
      </c>
      <c r="J144" s="51">
        <f>IF(speciated_chemicals_171[[#This Row],[Inert / Not a Contaminant?]]="Yes", 0, speciated_chemicals_171[[#This Row],[Weight Percent]]*(unique_components_170[[#Totals],[Controlled
tpy]]+standard_components_169[[#Totals],[Controlled
tpy]]))</f>
        <v>0</v>
      </c>
    </row>
    <row r="145" spans="1:10" x14ac:dyDescent="0.2">
      <c r="A145" s="103"/>
      <c r="B145" s="51" t="str">
        <f>IFERROR(VLOOKUP(speciated_chemicals_171[[#This Row],[CAS '#]],species[],MATCH("Substance", species[#Headers], 0),FALSE),"No CAS Number Entered")</f>
        <v>No CAS Number Entered</v>
      </c>
      <c r="C145" s="102"/>
      <c r="D145" s="102" t="s">
        <v>12666</v>
      </c>
      <c r="E145" s="102" t="s">
        <v>12666</v>
      </c>
      <c r="F145" s="102" t="s">
        <v>12666</v>
      </c>
      <c r="G145" s="102" t="s">
        <v>12666</v>
      </c>
      <c r="H145" s="164"/>
      <c r="I145" s="51">
        <f>IF(speciated_chemicals_171[[#This Row],[Inert / Not a Contaminant?]]="Yes", 0, speciated_chemicals_171[[#This Row],[Weight Percent]]*(unique_components_170[[#Totals],[Controlled lb/hr]]+standard_components_169[[#Totals],[Controlled
lb/hr]]))</f>
        <v>0</v>
      </c>
      <c r="J145" s="51">
        <f>IF(speciated_chemicals_171[[#This Row],[Inert / Not a Contaminant?]]="Yes", 0, speciated_chemicals_171[[#This Row],[Weight Percent]]*(unique_components_170[[#Totals],[Controlled
tpy]]+standard_components_169[[#Totals],[Controlled
tpy]]))</f>
        <v>0</v>
      </c>
    </row>
    <row r="146" spans="1:10" x14ac:dyDescent="0.2">
      <c r="A146" s="103"/>
      <c r="B146" s="51" t="str">
        <f>IFERROR(VLOOKUP(speciated_chemicals_171[[#This Row],[CAS '#]],species[],MATCH("Substance", species[#Headers], 0),FALSE),"No CAS Number Entered")</f>
        <v>No CAS Number Entered</v>
      </c>
      <c r="C146" s="102"/>
      <c r="D146" s="102" t="s">
        <v>12666</v>
      </c>
      <c r="E146" s="102" t="s">
        <v>12666</v>
      </c>
      <c r="F146" s="102" t="s">
        <v>12666</v>
      </c>
      <c r="G146" s="102" t="s">
        <v>12666</v>
      </c>
      <c r="H146" s="164"/>
      <c r="I146" s="51">
        <f>IF(speciated_chemicals_171[[#This Row],[Inert / Not a Contaminant?]]="Yes", 0, speciated_chemicals_171[[#This Row],[Weight Percent]]*(unique_components_170[[#Totals],[Controlled lb/hr]]+standard_components_169[[#Totals],[Controlled
lb/hr]]))</f>
        <v>0</v>
      </c>
      <c r="J146" s="51">
        <f>IF(speciated_chemicals_171[[#This Row],[Inert / Not a Contaminant?]]="Yes", 0, speciated_chemicals_171[[#This Row],[Weight Percent]]*(unique_components_170[[#Totals],[Controlled
tpy]]+standard_components_169[[#Totals],[Controlled
tpy]]))</f>
        <v>0</v>
      </c>
    </row>
    <row r="147" spans="1:10" x14ac:dyDescent="0.2">
      <c r="A147" s="103"/>
      <c r="B147" s="51" t="str">
        <f>IFERROR(VLOOKUP(speciated_chemicals_171[[#This Row],[CAS '#]],species[],MATCH("Substance", species[#Headers], 0),FALSE),"No CAS Number Entered")</f>
        <v>No CAS Number Entered</v>
      </c>
      <c r="C147" s="102"/>
      <c r="D147" s="102" t="s">
        <v>12666</v>
      </c>
      <c r="E147" s="102" t="s">
        <v>12666</v>
      </c>
      <c r="F147" s="102" t="s">
        <v>12666</v>
      </c>
      <c r="G147" s="102" t="s">
        <v>12666</v>
      </c>
      <c r="H147" s="164"/>
      <c r="I147" s="51">
        <f>IF(speciated_chemicals_171[[#This Row],[Inert / Not a Contaminant?]]="Yes", 0, speciated_chemicals_171[[#This Row],[Weight Percent]]*(unique_components_170[[#Totals],[Controlled lb/hr]]+standard_components_169[[#Totals],[Controlled
lb/hr]]))</f>
        <v>0</v>
      </c>
      <c r="J147" s="51">
        <f>IF(speciated_chemicals_171[[#This Row],[Inert / Not a Contaminant?]]="Yes", 0, speciated_chemicals_171[[#This Row],[Weight Percent]]*(unique_components_170[[#Totals],[Controlled
tpy]]+standard_components_169[[#Totals],[Controlled
tpy]]))</f>
        <v>0</v>
      </c>
    </row>
    <row r="148" spans="1:10" x14ac:dyDescent="0.2">
      <c r="A148" s="103"/>
      <c r="B148" s="51" t="str">
        <f>IFERROR(VLOOKUP(speciated_chemicals_171[[#This Row],[CAS '#]],species[],MATCH("Substance", species[#Headers], 0),FALSE),"No CAS Number Entered")</f>
        <v>No CAS Number Entered</v>
      </c>
      <c r="C148" s="102"/>
      <c r="D148" s="102" t="s">
        <v>12666</v>
      </c>
      <c r="E148" s="102" t="s">
        <v>12666</v>
      </c>
      <c r="F148" s="102" t="s">
        <v>12666</v>
      </c>
      <c r="G148" s="102" t="s">
        <v>12666</v>
      </c>
      <c r="H148" s="164"/>
      <c r="I148" s="51">
        <f>IF(speciated_chemicals_171[[#This Row],[Inert / Not a Contaminant?]]="Yes", 0, speciated_chemicals_171[[#This Row],[Weight Percent]]*(unique_components_170[[#Totals],[Controlled lb/hr]]+standard_components_169[[#Totals],[Controlled
lb/hr]]))</f>
        <v>0</v>
      </c>
      <c r="J148" s="51">
        <f>IF(speciated_chemicals_171[[#This Row],[Inert / Not a Contaminant?]]="Yes", 0, speciated_chemicals_171[[#This Row],[Weight Percent]]*(unique_components_170[[#Totals],[Controlled
tpy]]+standard_components_169[[#Totals],[Controlled
tpy]]))</f>
        <v>0</v>
      </c>
    </row>
    <row r="149" spans="1:10" x14ac:dyDescent="0.2">
      <c r="A149" s="103"/>
      <c r="B149" s="51" t="str">
        <f>IFERROR(VLOOKUP(speciated_chemicals_171[[#This Row],[CAS '#]],species[],MATCH("Substance", species[#Headers], 0),FALSE),"No CAS Number Entered")</f>
        <v>No CAS Number Entered</v>
      </c>
      <c r="C149" s="102"/>
      <c r="D149" s="102" t="s">
        <v>12666</v>
      </c>
      <c r="E149" s="102" t="s">
        <v>12666</v>
      </c>
      <c r="F149" s="102" t="s">
        <v>12666</v>
      </c>
      <c r="G149" s="102" t="s">
        <v>12666</v>
      </c>
      <c r="H149" s="164"/>
      <c r="I149" s="51">
        <f>IF(speciated_chemicals_171[[#This Row],[Inert / Not a Contaminant?]]="Yes", 0, speciated_chemicals_171[[#This Row],[Weight Percent]]*(unique_components_170[[#Totals],[Controlled lb/hr]]+standard_components_169[[#Totals],[Controlled
lb/hr]]))</f>
        <v>0</v>
      </c>
      <c r="J149" s="51">
        <f>IF(speciated_chemicals_171[[#This Row],[Inert / Not a Contaminant?]]="Yes", 0, speciated_chemicals_171[[#This Row],[Weight Percent]]*(unique_components_170[[#Totals],[Controlled
tpy]]+standard_components_169[[#Totals],[Controlled
tpy]]))</f>
        <v>0</v>
      </c>
    </row>
    <row r="150" spans="1:10" x14ac:dyDescent="0.2">
      <c r="A150" s="103"/>
      <c r="B150" s="51" t="str">
        <f>IFERROR(VLOOKUP(speciated_chemicals_171[[#This Row],[CAS '#]],species[],MATCH("Substance", species[#Headers], 0),FALSE),"No CAS Number Entered")</f>
        <v>No CAS Number Entered</v>
      </c>
      <c r="C150" s="102"/>
      <c r="D150" s="102" t="s">
        <v>12666</v>
      </c>
      <c r="E150" s="102" t="s">
        <v>12666</v>
      </c>
      <c r="F150" s="102" t="s">
        <v>12666</v>
      </c>
      <c r="G150" s="102" t="s">
        <v>12666</v>
      </c>
      <c r="H150" s="164"/>
      <c r="I150" s="51">
        <f>IF(speciated_chemicals_171[[#This Row],[Inert / Not a Contaminant?]]="Yes", 0, speciated_chemicals_171[[#This Row],[Weight Percent]]*(unique_components_170[[#Totals],[Controlled lb/hr]]+standard_components_169[[#Totals],[Controlled
lb/hr]]))</f>
        <v>0</v>
      </c>
      <c r="J150" s="51">
        <f>IF(speciated_chemicals_171[[#This Row],[Inert / Not a Contaminant?]]="Yes", 0, speciated_chemicals_171[[#This Row],[Weight Percent]]*(unique_components_170[[#Totals],[Controlled
tpy]]+standard_components_169[[#Totals],[Controlled
tpy]]))</f>
        <v>0</v>
      </c>
    </row>
    <row r="151" spans="1:10" x14ac:dyDescent="0.2">
      <c r="A151" s="103"/>
      <c r="B151" s="51" t="str">
        <f>IFERROR(VLOOKUP(speciated_chemicals_171[[#This Row],[CAS '#]],species[],MATCH("Substance", species[#Headers], 0),FALSE),"No CAS Number Entered")</f>
        <v>No CAS Number Entered</v>
      </c>
      <c r="C151" s="102"/>
      <c r="D151" s="102" t="s">
        <v>12666</v>
      </c>
      <c r="E151" s="102" t="s">
        <v>12666</v>
      </c>
      <c r="F151" s="102" t="s">
        <v>12666</v>
      </c>
      <c r="G151" s="102" t="s">
        <v>12666</v>
      </c>
      <c r="H151" s="164"/>
      <c r="I151" s="51">
        <f>IF(speciated_chemicals_171[[#This Row],[Inert / Not a Contaminant?]]="Yes", 0, speciated_chemicals_171[[#This Row],[Weight Percent]]*(unique_components_170[[#Totals],[Controlled lb/hr]]+standard_components_169[[#Totals],[Controlled
lb/hr]]))</f>
        <v>0</v>
      </c>
      <c r="J151" s="51">
        <f>IF(speciated_chemicals_171[[#This Row],[Inert / Not a Contaminant?]]="Yes", 0, speciated_chemicals_171[[#This Row],[Weight Percent]]*(unique_components_170[[#Totals],[Controlled
tpy]]+standard_components_169[[#Totals],[Controlled
tpy]]))</f>
        <v>0</v>
      </c>
    </row>
    <row r="152" spans="1:10" x14ac:dyDescent="0.2">
      <c r="A152" s="103"/>
      <c r="B152" s="51" t="str">
        <f>IFERROR(VLOOKUP(speciated_chemicals_171[[#This Row],[CAS '#]],species[],MATCH("Substance", species[#Headers], 0),FALSE),"No CAS Number Entered")</f>
        <v>No CAS Number Entered</v>
      </c>
      <c r="C152" s="102"/>
      <c r="D152" s="102" t="s">
        <v>12666</v>
      </c>
      <c r="E152" s="102" t="s">
        <v>12666</v>
      </c>
      <c r="F152" s="102" t="s">
        <v>12666</v>
      </c>
      <c r="G152" s="102" t="s">
        <v>12666</v>
      </c>
      <c r="H152" s="164"/>
      <c r="I152" s="51">
        <f>IF(speciated_chemicals_171[[#This Row],[Inert / Not a Contaminant?]]="Yes", 0, speciated_chemicals_171[[#This Row],[Weight Percent]]*(unique_components_170[[#Totals],[Controlled lb/hr]]+standard_components_169[[#Totals],[Controlled
lb/hr]]))</f>
        <v>0</v>
      </c>
      <c r="J152" s="51">
        <f>IF(speciated_chemicals_171[[#This Row],[Inert / Not a Contaminant?]]="Yes", 0, speciated_chemicals_171[[#This Row],[Weight Percent]]*(unique_components_170[[#Totals],[Controlled
tpy]]+standard_components_169[[#Totals],[Controlled
tpy]]))</f>
        <v>0</v>
      </c>
    </row>
    <row r="153" spans="1:10" x14ac:dyDescent="0.2">
      <c r="A153" s="103"/>
      <c r="B153" s="51" t="str">
        <f>IFERROR(VLOOKUP(speciated_chemicals_171[[#This Row],[CAS '#]],species[],MATCH("Substance", species[#Headers], 0),FALSE),"No CAS Number Entered")</f>
        <v>No CAS Number Entered</v>
      </c>
      <c r="C153" s="102"/>
      <c r="D153" s="102" t="s">
        <v>12666</v>
      </c>
      <c r="E153" s="102" t="s">
        <v>12666</v>
      </c>
      <c r="F153" s="102" t="s">
        <v>12666</v>
      </c>
      <c r="G153" s="102" t="s">
        <v>12666</v>
      </c>
      <c r="H153" s="164"/>
      <c r="I153" s="51">
        <f>IF(speciated_chemicals_171[[#This Row],[Inert / Not a Contaminant?]]="Yes", 0, speciated_chemicals_171[[#This Row],[Weight Percent]]*(unique_components_170[[#Totals],[Controlled lb/hr]]+standard_components_169[[#Totals],[Controlled
lb/hr]]))</f>
        <v>0</v>
      </c>
      <c r="J153" s="51">
        <f>IF(speciated_chemicals_171[[#This Row],[Inert / Not a Contaminant?]]="Yes", 0, speciated_chemicals_171[[#This Row],[Weight Percent]]*(unique_components_170[[#Totals],[Controlled
tpy]]+standard_components_169[[#Totals],[Controlled
tpy]]))</f>
        <v>0</v>
      </c>
    </row>
    <row r="154" spans="1:10" x14ac:dyDescent="0.2">
      <c r="A154" s="103"/>
      <c r="B154" s="51" t="str">
        <f>IFERROR(VLOOKUP(speciated_chemicals_171[[#This Row],[CAS '#]],species[],MATCH("Substance", species[#Headers], 0),FALSE),"No CAS Number Entered")</f>
        <v>No CAS Number Entered</v>
      </c>
      <c r="C154" s="102"/>
      <c r="D154" s="102" t="s">
        <v>12666</v>
      </c>
      <c r="E154" s="102" t="s">
        <v>12666</v>
      </c>
      <c r="F154" s="102" t="s">
        <v>12666</v>
      </c>
      <c r="G154" s="102" t="s">
        <v>12666</v>
      </c>
      <c r="H154" s="164"/>
      <c r="I154" s="51">
        <f>IF(speciated_chemicals_171[[#This Row],[Inert / Not a Contaminant?]]="Yes", 0, speciated_chemicals_171[[#This Row],[Weight Percent]]*(unique_components_170[[#Totals],[Controlled lb/hr]]+standard_components_169[[#Totals],[Controlled
lb/hr]]))</f>
        <v>0</v>
      </c>
      <c r="J154" s="51">
        <f>IF(speciated_chemicals_171[[#This Row],[Inert / Not a Contaminant?]]="Yes", 0, speciated_chemicals_171[[#This Row],[Weight Percent]]*(unique_components_170[[#Totals],[Controlled
tpy]]+standard_components_169[[#Totals],[Controlled
tpy]]))</f>
        <v>0</v>
      </c>
    </row>
    <row r="155" spans="1:10" x14ac:dyDescent="0.2">
      <c r="A155" s="103"/>
      <c r="B155" s="51" t="str">
        <f>IFERROR(VLOOKUP(speciated_chemicals_171[[#This Row],[CAS '#]],species[],MATCH("Substance", species[#Headers], 0),FALSE),"No CAS Number Entered")</f>
        <v>No CAS Number Entered</v>
      </c>
      <c r="C155" s="102"/>
      <c r="D155" s="102" t="s">
        <v>12666</v>
      </c>
      <c r="E155" s="102" t="s">
        <v>12666</v>
      </c>
      <c r="F155" s="102" t="s">
        <v>12666</v>
      </c>
      <c r="G155" s="102" t="s">
        <v>12666</v>
      </c>
      <c r="H155" s="164"/>
      <c r="I155" s="51">
        <f>IF(speciated_chemicals_171[[#This Row],[Inert / Not a Contaminant?]]="Yes", 0, speciated_chemicals_171[[#This Row],[Weight Percent]]*(unique_components_170[[#Totals],[Controlled lb/hr]]+standard_components_169[[#Totals],[Controlled
lb/hr]]))</f>
        <v>0</v>
      </c>
      <c r="J155" s="51">
        <f>IF(speciated_chemicals_171[[#This Row],[Inert / Not a Contaminant?]]="Yes", 0, speciated_chemicals_171[[#This Row],[Weight Percent]]*(unique_components_170[[#Totals],[Controlled
tpy]]+standard_components_169[[#Totals],[Controlled
tpy]]))</f>
        <v>0</v>
      </c>
    </row>
    <row r="156" spans="1:10" x14ac:dyDescent="0.2">
      <c r="A156" s="103"/>
      <c r="B156" s="51" t="str">
        <f>IFERROR(VLOOKUP(speciated_chemicals_171[[#This Row],[CAS '#]],species[],MATCH("Substance", species[#Headers], 0),FALSE),"No CAS Number Entered")</f>
        <v>No CAS Number Entered</v>
      </c>
      <c r="C156" s="102"/>
      <c r="D156" s="102" t="s">
        <v>12666</v>
      </c>
      <c r="E156" s="102" t="s">
        <v>12666</v>
      </c>
      <c r="F156" s="102" t="s">
        <v>12666</v>
      </c>
      <c r="G156" s="102" t="s">
        <v>12666</v>
      </c>
      <c r="H156" s="164"/>
      <c r="I156" s="51">
        <f>IF(speciated_chemicals_171[[#This Row],[Inert / Not a Contaminant?]]="Yes", 0, speciated_chemicals_171[[#This Row],[Weight Percent]]*(unique_components_170[[#Totals],[Controlled lb/hr]]+standard_components_169[[#Totals],[Controlled
lb/hr]]))</f>
        <v>0</v>
      </c>
      <c r="J156" s="51">
        <f>IF(speciated_chemicals_171[[#This Row],[Inert / Not a Contaminant?]]="Yes", 0, speciated_chemicals_171[[#This Row],[Weight Percent]]*(unique_components_170[[#Totals],[Controlled
tpy]]+standard_components_169[[#Totals],[Controlled
tpy]]))</f>
        <v>0</v>
      </c>
    </row>
    <row r="157" spans="1:10" x14ac:dyDescent="0.2">
      <c r="A157" s="103"/>
      <c r="B157" s="51" t="str">
        <f>IFERROR(VLOOKUP(speciated_chemicals_171[[#This Row],[CAS '#]],species[],MATCH("Substance", species[#Headers], 0),FALSE),"No CAS Number Entered")</f>
        <v>No CAS Number Entered</v>
      </c>
      <c r="C157" s="102"/>
      <c r="D157" s="102" t="s">
        <v>12666</v>
      </c>
      <c r="E157" s="102" t="s">
        <v>12666</v>
      </c>
      <c r="F157" s="102" t="s">
        <v>12666</v>
      </c>
      <c r="G157" s="102" t="s">
        <v>12666</v>
      </c>
      <c r="H157" s="164"/>
      <c r="I157" s="51">
        <f>IF(speciated_chemicals_171[[#This Row],[Inert / Not a Contaminant?]]="Yes", 0, speciated_chemicals_171[[#This Row],[Weight Percent]]*(unique_components_170[[#Totals],[Controlled lb/hr]]+standard_components_169[[#Totals],[Controlled
lb/hr]]))</f>
        <v>0</v>
      </c>
      <c r="J157" s="51">
        <f>IF(speciated_chemicals_171[[#This Row],[Inert / Not a Contaminant?]]="Yes", 0, speciated_chemicals_171[[#This Row],[Weight Percent]]*(unique_components_170[[#Totals],[Controlled
tpy]]+standard_components_169[[#Totals],[Controlled
tpy]]))</f>
        <v>0</v>
      </c>
    </row>
    <row r="158" spans="1:10" x14ac:dyDescent="0.2">
      <c r="A158" s="103"/>
      <c r="B158" s="51" t="str">
        <f>IFERROR(VLOOKUP(speciated_chemicals_171[[#This Row],[CAS '#]],species[],MATCH("Substance", species[#Headers], 0),FALSE),"No CAS Number Entered")</f>
        <v>No CAS Number Entered</v>
      </c>
      <c r="C158" s="102"/>
      <c r="D158" s="102" t="s">
        <v>12666</v>
      </c>
      <c r="E158" s="102" t="s">
        <v>12666</v>
      </c>
      <c r="F158" s="102" t="s">
        <v>12666</v>
      </c>
      <c r="G158" s="102" t="s">
        <v>12666</v>
      </c>
      <c r="H158" s="164"/>
      <c r="I158" s="51">
        <f>IF(speciated_chemicals_171[[#This Row],[Inert / Not a Contaminant?]]="Yes", 0, speciated_chemicals_171[[#This Row],[Weight Percent]]*(unique_components_170[[#Totals],[Controlled lb/hr]]+standard_components_169[[#Totals],[Controlled
lb/hr]]))</f>
        <v>0</v>
      </c>
      <c r="J158" s="51">
        <f>IF(speciated_chemicals_171[[#This Row],[Inert / Not a Contaminant?]]="Yes", 0, speciated_chemicals_171[[#This Row],[Weight Percent]]*(unique_components_170[[#Totals],[Controlled
tpy]]+standard_components_169[[#Totals],[Controlled
tpy]]))</f>
        <v>0</v>
      </c>
    </row>
    <row r="159" spans="1:10" x14ac:dyDescent="0.2">
      <c r="A159" s="103"/>
      <c r="B159" s="51" t="str">
        <f>IFERROR(VLOOKUP(speciated_chemicals_171[[#This Row],[CAS '#]],species[],MATCH("Substance", species[#Headers], 0),FALSE),"No CAS Number Entered")</f>
        <v>No CAS Number Entered</v>
      </c>
      <c r="C159" s="102"/>
      <c r="D159" s="102" t="s">
        <v>12666</v>
      </c>
      <c r="E159" s="102" t="s">
        <v>12666</v>
      </c>
      <c r="F159" s="102" t="s">
        <v>12666</v>
      </c>
      <c r="G159" s="102" t="s">
        <v>12666</v>
      </c>
      <c r="H159" s="164"/>
      <c r="I159" s="51">
        <f>IF(speciated_chemicals_171[[#This Row],[Inert / Not a Contaminant?]]="Yes", 0, speciated_chemicals_171[[#This Row],[Weight Percent]]*(unique_components_170[[#Totals],[Controlled lb/hr]]+standard_components_169[[#Totals],[Controlled
lb/hr]]))</f>
        <v>0</v>
      </c>
      <c r="J159" s="51">
        <f>IF(speciated_chemicals_171[[#This Row],[Inert / Not a Contaminant?]]="Yes", 0, speciated_chemicals_171[[#This Row],[Weight Percent]]*(unique_components_170[[#Totals],[Controlled
tpy]]+standard_components_169[[#Totals],[Controlled
tpy]]))</f>
        <v>0</v>
      </c>
    </row>
    <row r="160" spans="1:10" x14ac:dyDescent="0.2">
      <c r="A160" s="103"/>
      <c r="B160" s="51" t="str">
        <f>IFERROR(VLOOKUP(speciated_chemicals_171[[#This Row],[CAS '#]],species[],MATCH("Substance", species[#Headers], 0),FALSE),"No CAS Number Entered")</f>
        <v>No CAS Number Entered</v>
      </c>
      <c r="C160" s="102"/>
      <c r="D160" s="102" t="s">
        <v>12666</v>
      </c>
      <c r="E160" s="102" t="s">
        <v>12666</v>
      </c>
      <c r="F160" s="102" t="s">
        <v>12666</v>
      </c>
      <c r="G160" s="102" t="s">
        <v>12666</v>
      </c>
      <c r="H160" s="164"/>
      <c r="I160" s="51">
        <f>IF(speciated_chemicals_171[[#This Row],[Inert / Not a Contaminant?]]="Yes", 0, speciated_chemicals_171[[#This Row],[Weight Percent]]*(unique_components_170[[#Totals],[Controlled lb/hr]]+standard_components_169[[#Totals],[Controlled
lb/hr]]))</f>
        <v>0</v>
      </c>
      <c r="J160" s="51">
        <f>IF(speciated_chemicals_171[[#This Row],[Inert / Not a Contaminant?]]="Yes", 0, speciated_chemicals_171[[#This Row],[Weight Percent]]*(unique_components_170[[#Totals],[Controlled
tpy]]+standard_components_169[[#Totals],[Controlled
tpy]]))</f>
        <v>0</v>
      </c>
    </row>
    <row r="161" spans="1:10" x14ac:dyDescent="0.2">
      <c r="A161" s="103"/>
      <c r="B161" s="51" t="str">
        <f>IFERROR(VLOOKUP(speciated_chemicals_171[[#This Row],[CAS '#]],species[],MATCH("Substance", species[#Headers], 0),FALSE),"No CAS Number Entered")</f>
        <v>No CAS Number Entered</v>
      </c>
      <c r="C161" s="102"/>
      <c r="D161" s="102" t="s">
        <v>12666</v>
      </c>
      <c r="E161" s="102" t="s">
        <v>12666</v>
      </c>
      <c r="F161" s="102" t="s">
        <v>12666</v>
      </c>
      <c r="G161" s="102" t="s">
        <v>12666</v>
      </c>
      <c r="H161" s="164"/>
      <c r="I161" s="51">
        <f>IF(speciated_chemicals_171[[#This Row],[Inert / Not a Contaminant?]]="Yes", 0, speciated_chemicals_171[[#This Row],[Weight Percent]]*(unique_components_170[[#Totals],[Controlled lb/hr]]+standard_components_169[[#Totals],[Controlled
lb/hr]]))</f>
        <v>0</v>
      </c>
      <c r="J161" s="51">
        <f>IF(speciated_chemicals_171[[#This Row],[Inert / Not a Contaminant?]]="Yes", 0, speciated_chemicals_171[[#This Row],[Weight Percent]]*(unique_components_170[[#Totals],[Controlled
tpy]]+standard_components_169[[#Totals],[Controlled
tpy]]))</f>
        <v>0</v>
      </c>
    </row>
    <row r="162" spans="1:10" x14ac:dyDescent="0.2">
      <c r="A162" s="103"/>
      <c r="B162" s="51" t="str">
        <f>IFERROR(VLOOKUP(speciated_chemicals_171[[#This Row],[CAS '#]],species[],MATCH("Substance", species[#Headers], 0),FALSE),"No CAS Number Entered")</f>
        <v>No CAS Number Entered</v>
      </c>
      <c r="C162" s="102"/>
      <c r="D162" s="102" t="s">
        <v>12666</v>
      </c>
      <c r="E162" s="102" t="s">
        <v>12666</v>
      </c>
      <c r="F162" s="102" t="s">
        <v>12666</v>
      </c>
      <c r="G162" s="102" t="s">
        <v>12666</v>
      </c>
      <c r="H162" s="164"/>
      <c r="I162" s="51">
        <f>IF(speciated_chemicals_171[[#This Row],[Inert / Not a Contaminant?]]="Yes", 0, speciated_chemicals_171[[#This Row],[Weight Percent]]*(unique_components_170[[#Totals],[Controlled lb/hr]]+standard_components_169[[#Totals],[Controlled
lb/hr]]))</f>
        <v>0</v>
      </c>
      <c r="J162" s="51">
        <f>IF(speciated_chemicals_171[[#This Row],[Inert / Not a Contaminant?]]="Yes", 0, speciated_chemicals_171[[#This Row],[Weight Percent]]*(unique_components_170[[#Totals],[Controlled
tpy]]+standard_components_169[[#Totals],[Controlled
tpy]]))</f>
        <v>0</v>
      </c>
    </row>
    <row r="163" spans="1:10" x14ac:dyDescent="0.2">
      <c r="A163" s="103"/>
      <c r="B163" s="51" t="str">
        <f>IFERROR(VLOOKUP(speciated_chemicals_171[[#This Row],[CAS '#]],species[],MATCH("Substance", species[#Headers], 0),FALSE),"No CAS Number Entered")</f>
        <v>No CAS Number Entered</v>
      </c>
      <c r="C163" s="102"/>
      <c r="D163" s="102" t="s">
        <v>12666</v>
      </c>
      <c r="E163" s="102" t="s">
        <v>12666</v>
      </c>
      <c r="F163" s="102" t="s">
        <v>12666</v>
      </c>
      <c r="G163" s="102" t="s">
        <v>12666</v>
      </c>
      <c r="H163" s="164"/>
      <c r="I163" s="51">
        <f>IF(speciated_chemicals_171[[#This Row],[Inert / Not a Contaminant?]]="Yes", 0, speciated_chemicals_171[[#This Row],[Weight Percent]]*(unique_components_170[[#Totals],[Controlled lb/hr]]+standard_components_169[[#Totals],[Controlled
lb/hr]]))</f>
        <v>0</v>
      </c>
      <c r="J163" s="51">
        <f>IF(speciated_chemicals_171[[#This Row],[Inert / Not a Contaminant?]]="Yes", 0, speciated_chemicals_171[[#This Row],[Weight Percent]]*(unique_components_170[[#Totals],[Controlled
tpy]]+standard_components_169[[#Totals],[Controlled
tpy]]))</f>
        <v>0</v>
      </c>
    </row>
    <row r="164" spans="1:10" x14ac:dyDescent="0.2">
      <c r="A164" s="103"/>
      <c r="B164" s="51" t="str">
        <f>IFERROR(VLOOKUP(speciated_chemicals_171[[#This Row],[CAS '#]],species[],MATCH("Substance", species[#Headers], 0),FALSE),"No CAS Number Entered")</f>
        <v>No CAS Number Entered</v>
      </c>
      <c r="C164" s="102"/>
      <c r="D164" s="102" t="s">
        <v>12666</v>
      </c>
      <c r="E164" s="102" t="s">
        <v>12666</v>
      </c>
      <c r="F164" s="102" t="s">
        <v>12666</v>
      </c>
      <c r="G164" s="102" t="s">
        <v>12666</v>
      </c>
      <c r="H164" s="164"/>
      <c r="I164" s="51">
        <f>IF(speciated_chemicals_171[[#This Row],[Inert / Not a Contaminant?]]="Yes", 0, speciated_chemicals_171[[#This Row],[Weight Percent]]*(unique_components_170[[#Totals],[Controlled lb/hr]]+standard_components_169[[#Totals],[Controlled
lb/hr]]))</f>
        <v>0</v>
      </c>
      <c r="J164" s="51">
        <f>IF(speciated_chemicals_171[[#This Row],[Inert / Not a Contaminant?]]="Yes", 0, speciated_chemicals_171[[#This Row],[Weight Percent]]*(unique_components_170[[#Totals],[Controlled
tpy]]+standard_components_169[[#Totals],[Controlled
tpy]]))</f>
        <v>0</v>
      </c>
    </row>
    <row r="165" spans="1:10" x14ac:dyDescent="0.2">
      <c r="A165" s="103"/>
      <c r="B165" s="51" t="str">
        <f>IFERROR(VLOOKUP(speciated_chemicals_171[[#This Row],[CAS '#]],species[],MATCH("Substance", species[#Headers], 0),FALSE),"No CAS Number Entered")</f>
        <v>No CAS Number Entered</v>
      </c>
      <c r="C165" s="102"/>
      <c r="D165" s="102" t="s">
        <v>12666</v>
      </c>
      <c r="E165" s="102" t="s">
        <v>12666</v>
      </c>
      <c r="F165" s="102" t="s">
        <v>12666</v>
      </c>
      <c r="G165" s="102" t="s">
        <v>12666</v>
      </c>
      <c r="H165" s="164"/>
      <c r="I165" s="51">
        <f>IF(speciated_chemicals_171[[#This Row],[Inert / Not a Contaminant?]]="Yes", 0, speciated_chemicals_171[[#This Row],[Weight Percent]]*(unique_components_170[[#Totals],[Controlled lb/hr]]+standard_components_169[[#Totals],[Controlled
lb/hr]]))</f>
        <v>0</v>
      </c>
      <c r="J165" s="51">
        <f>IF(speciated_chemicals_171[[#This Row],[Inert / Not a Contaminant?]]="Yes", 0, speciated_chemicals_171[[#This Row],[Weight Percent]]*(unique_components_170[[#Totals],[Controlled
tpy]]+standard_components_169[[#Totals],[Controlled
tpy]]))</f>
        <v>0</v>
      </c>
    </row>
    <row r="166" spans="1:10" x14ac:dyDescent="0.2">
      <c r="A166" s="103"/>
      <c r="B166" s="51" t="str">
        <f>IFERROR(VLOOKUP(speciated_chemicals_171[[#This Row],[CAS '#]],species[],MATCH("Substance", species[#Headers], 0),FALSE),"No CAS Number Entered")</f>
        <v>No CAS Number Entered</v>
      </c>
      <c r="C166" s="102"/>
      <c r="D166" s="102" t="s">
        <v>12666</v>
      </c>
      <c r="E166" s="102" t="s">
        <v>12666</v>
      </c>
      <c r="F166" s="102" t="s">
        <v>12666</v>
      </c>
      <c r="G166" s="102" t="s">
        <v>12666</v>
      </c>
      <c r="H166" s="164"/>
      <c r="I166" s="51">
        <f>IF(speciated_chemicals_171[[#This Row],[Inert / Not a Contaminant?]]="Yes", 0, speciated_chemicals_171[[#This Row],[Weight Percent]]*(unique_components_170[[#Totals],[Controlled lb/hr]]+standard_components_169[[#Totals],[Controlled
lb/hr]]))</f>
        <v>0</v>
      </c>
      <c r="J166" s="51">
        <f>IF(speciated_chemicals_171[[#This Row],[Inert / Not a Contaminant?]]="Yes", 0, speciated_chemicals_171[[#This Row],[Weight Percent]]*(unique_components_170[[#Totals],[Controlled
tpy]]+standard_components_169[[#Totals],[Controlled
tpy]]))</f>
        <v>0</v>
      </c>
    </row>
    <row r="167" spans="1:10" x14ac:dyDescent="0.2">
      <c r="A167" s="103"/>
      <c r="B167" s="51" t="str">
        <f>IFERROR(VLOOKUP(speciated_chemicals_171[[#This Row],[CAS '#]],species[],MATCH("Substance", species[#Headers], 0),FALSE),"No CAS Number Entered")</f>
        <v>No CAS Number Entered</v>
      </c>
      <c r="C167" s="102"/>
      <c r="D167" s="102" t="s">
        <v>12666</v>
      </c>
      <c r="E167" s="102" t="s">
        <v>12666</v>
      </c>
      <c r="F167" s="102" t="s">
        <v>12666</v>
      </c>
      <c r="G167" s="102" t="s">
        <v>12666</v>
      </c>
      <c r="H167" s="164"/>
      <c r="I167" s="51">
        <f>IF(speciated_chemicals_171[[#This Row],[Inert / Not a Contaminant?]]="Yes", 0, speciated_chemicals_171[[#This Row],[Weight Percent]]*(unique_components_170[[#Totals],[Controlled lb/hr]]+standard_components_169[[#Totals],[Controlled
lb/hr]]))</f>
        <v>0</v>
      </c>
      <c r="J167" s="51">
        <f>IF(speciated_chemicals_171[[#This Row],[Inert / Not a Contaminant?]]="Yes", 0, speciated_chemicals_171[[#This Row],[Weight Percent]]*(unique_components_170[[#Totals],[Controlled
tpy]]+standard_components_169[[#Totals],[Controlled
tpy]]))</f>
        <v>0</v>
      </c>
    </row>
    <row r="168" spans="1:10" x14ac:dyDescent="0.2">
      <c r="A168" s="103"/>
      <c r="B168" s="51" t="str">
        <f>IFERROR(VLOOKUP(speciated_chemicals_171[[#This Row],[CAS '#]],species[],MATCH("Substance", species[#Headers], 0),FALSE),"No CAS Number Entered")</f>
        <v>No CAS Number Entered</v>
      </c>
      <c r="C168" s="102"/>
      <c r="D168" s="102" t="s">
        <v>12666</v>
      </c>
      <c r="E168" s="102" t="s">
        <v>12666</v>
      </c>
      <c r="F168" s="102" t="s">
        <v>12666</v>
      </c>
      <c r="G168" s="102" t="s">
        <v>12666</v>
      </c>
      <c r="H168" s="164"/>
      <c r="I168" s="51">
        <f>IF(speciated_chemicals_171[[#This Row],[Inert / Not a Contaminant?]]="Yes", 0, speciated_chemicals_171[[#This Row],[Weight Percent]]*(unique_components_170[[#Totals],[Controlled lb/hr]]+standard_components_169[[#Totals],[Controlled
lb/hr]]))</f>
        <v>0</v>
      </c>
      <c r="J168" s="51">
        <f>IF(speciated_chemicals_171[[#This Row],[Inert / Not a Contaminant?]]="Yes", 0, speciated_chemicals_171[[#This Row],[Weight Percent]]*(unique_components_170[[#Totals],[Controlled
tpy]]+standard_components_169[[#Totals],[Controlled
tpy]]))</f>
        <v>0</v>
      </c>
    </row>
    <row r="169" spans="1:10" x14ac:dyDescent="0.2">
      <c r="A169" s="103"/>
      <c r="B169" s="51" t="str">
        <f>IFERROR(VLOOKUP(speciated_chemicals_171[[#This Row],[CAS '#]],species[],MATCH("Substance", species[#Headers], 0),FALSE),"No CAS Number Entered")</f>
        <v>No CAS Number Entered</v>
      </c>
      <c r="C169" s="102"/>
      <c r="D169" s="102" t="s">
        <v>12666</v>
      </c>
      <c r="E169" s="102" t="s">
        <v>12666</v>
      </c>
      <c r="F169" s="102" t="s">
        <v>12666</v>
      </c>
      <c r="G169" s="102" t="s">
        <v>12666</v>
      </c>
      <c r="H169" s="164"/>
      <c r="I169" s="51">
        <f>IF(speciated_chemicals_171[[#This Row],[Inert / Not a Contaminant?]]="Yes", 0, speciated_chemicals_171[[#This Row],[Weight Percent]]*(unique_components_170[[#Totals],[Controlled lb/hr]]+standard_components_169[[#Totals],[Controlled
lb/hr]]))</f>
        <v>0</v>
      </c>
      <c r="J169" s="51">
        <f>IF(speciated_chemicals_171[[#This Row],[Inert / Not a Contaminant?]]="Yes", 0, speciated_chemicals_171[[#This Row],[Weight Percent]]*(unique_components_170[[#Totals],[Controlled
tpy]]+standard_components_169[[#Totals],[Controlled
tpy]]))</f>
        <v>0</v>
      </c>
    </row>
    <row r="170" spans="1:10" x14ac:dyDescent="0.2">
      <c r="A170" s="103"/>
      <c r="B170" s="51" t="str">
        <f>IFERROR(VLOOKUP(speciated_chemicals_171[[#This Row],[CAS '#]],species[],MATCH("Substance", species[#Headers], 0),FALSE),"No CAS Number Entered")</f>
        <v>No CAS Number Entered</v>
      </c>
      <c r="C170" s="102"/>
      <c r="D170" s="102" t="s">
        <v>12666</v>
      </c>
      <c r="E170" s="102" t="s">
        <v>12666</v>
      </c>
      <c r="F170" s="102" t="s">
        <v>12666</v>
      </c>
      <c r="G170" s="102" t="s">
        <v>12666</v>
      </c>
      <c r="H170" s="164"/>
      <c r="I170" s="51">
        <f>IF(speciated_chemicals_171[[#This Row],[Inert / Not a Contaminant?]]="Yes", 0, speciated_chemicals_171[[#This Row],[Weight Percent]]*(unique_components_170[[#Totals],[Controlled lb/hr]]+standard_components_169[[#Totals],[Controlled
lb/hr]]))</f>
        <v>0</v>
      </c>
      <c r="J170" s="51">
        <f>IF(speciated_chemicals_171[[#This Row],[Inert / Not a Contaminant?]]="Yes", 0, speciated_chemicals_171[[#This Row],[Weight Percent]]*(unique_components_170[[#Totals],[Controlled
tpy]]+standard_components_169[[#Totals],[Controlled
tpy]]))</f>
        <v>0</v>
      </c>
    </row>
    <row r="171" spans="1:10" x14ac:dyDescent="0.2">
      <c r="A171" s="103"/>
      <c r="B171" s="51" t="str">
        <f>IFERROR(VLOOKUP(speciated_chemicals_171[[#This Row],[CAS '#]],species[],MATCH("Substance", species[#Headers], 0),FALSE),"No CAS Number Entered")</f>
        <v>No CAS Number Entered</v>
      </c>
      <c r="C171" s="102"/>
      <c r="D171" s="102" t="s">
        <v>12666</v>
      </c>
      <c r="E171" s="102" t="s">
        <v>12666</v>
      </c>
      <c r="F171" s="102" t="s">
        <v>12666</v>
      </c>
      <c r="G171" s="102" t="s">
        <v>12666</v>
      </c>
      <c r="H171" s="164"/>
      <c r="I171" s="51">
        <f>IF(speciated_chemicals_171[[#This Row],[Inert / Not a Contaminant?]]="Yes", 0, speciated_chemicals_171[[#This Row],[Weight Percent]]*(unique_components_170[[#Totals],[Controlled lb/hr]]+standard_components_169[[#Totals],[Controlled
lb/hr]]))</f>
        <v>0</v>
      </c>
      <c r="J171" s="51">
        <f>IF(speciated_chemicals_171[[#This Row],[Inert / Not a Contaminant?]]="Yes", 0, speciated_chemicals_171[[#This Row],[Weight Percent]]*(unique_components_170[[#Totals],[Controlled
tpy]]+standard_components_169[[#Totals],[Controlled
tpy]]))</f>
        <v>0</v>
      </c>
    </row>
    <row r="172" spans="1:10" x14ac:dyDescent="0.2">
      <c r="A172" s="103"/>
      <c r="B172" s="51" t="str">
        <f>IFERROR(VLOOKUP(speciated_chemicals_171[[#This Row],[CAS '#]],species[],MATCH("Substance", species[#Headers], 0),FALSE),"No CAS Number Entered")</f>
        <v>No CAS Number Entered</v>
      </c>
      <c r="C172" s="102"/>
      <c r="D172" s="102" t="s">
        <v>12666</v>
      </c>
      <c r="E172" s="102" t="s">
        <v>12666</v>
      </c>
      <c r="F172" s="102" t="s">
        <v>12666</v>
      </c>
      <c r="G172" s="102" t="s">
        <v>12666</v>
      </c>
      <c r="H172" s="164"/>
      <c r="I172" s="51">
        <f>IF(speciated_chemicals_171[[#This Row],[Inert / Not a Contaminant?]]="Yes", 0, speciated_chemicals_171[[#This Row],[Weight Percent]]*(unique_components_170[[#Totals],[Controlled lb/hr]]+standard_components_169[[#Totals],[Controlled
lb/hr]]))</f>
        <v>0</v>
      </c>
      <c r="J172" s="51">
        <f>IF(speciated_chemicals_171[[#This Row],[Inert / Not a Contaminant?]]="Yes", 0, speciated_chemicals_171[[#This Row],[Weight Percent]]*(unique_components_170[[#Totals],[Controlled
tpy]]+standard_components_169[[#Totals],[Controlled
tpy]]))</f>
        <v>0</v>
      </c>
    </row>
    <row r="173" spans="1:10" x14ac:dyDescent="0.2">
      <c r="A173" s="103"/>
      <c r="B173" s="51" t="str">
        <f>IFERROR(VLOOKUP(speciated_chemicals_171[[#This Row],[CAS '#]],species[],MATCH("Substance", species[#Headers], 0),FALSE),"No CAS Number Entered")</f>
        <v>No CAS Number Entered</v>
      </c>
      <c r="C173" s="102"/>
      <c r="D173" s="102" t="s">
        <v>12666</v>
      </c>
      <c r="E173" s="102" t="s">
        <v>12666</v>
      </c>
      <c r="F173" s="102" t="s">
        <v>12666</v>
      </c>
      <c r="G173" s="102" t="s">
        <v>12666</v>
      </c>
      <c r="H173" s="164"/>
      <c r="I173" s="51">
        <f>IF(speciated_chemicals_171[[#This Row],[Inert / Not a Contaminant?]]="Yes", 0, speciated_chemicals_171[[#This Row],[Weight Percent]]*(unique_components_170[[#Totals],[Controlled lb/hr]]+standard_components_169[[#Totals],[Controlled
lb/hr]]))</f>
        <v>0</v>
      </c>
      <c r="J173" s="51">
        <f>IF(speciated_chemicals_171[[#This Row],[Inert / Not a Contaminant?]]="Yes", 0, speciated_chemicals_171[[#This Row],[Weight Percent]]*(unique_components_170[[#Totals],[Controlled
tpy]]+standard_components_169[[#Totals],[Controlled
tpy]]))</f>
        <v>0</v>
      </c>
    </row>
    <row r="174" spans="1:10" x14ac:dyDescent="0.2">
      <c r="A174" s="103"/>
      <c r="B174" s="51" t="str">
        <f>IFERROR(VLOOKUP(speciated_chemicals_171[[#This Row],[CAS '#]],species[],MATCH("Substance", species[#Headers], 0),FALSE),"No CAS Number Entered")</f>
        <v>No CAS Number Entered</v>
      </c>
      <c r="C174" s="102"/>
      <c r="D174" s="102" t="s">
        <v>12666</v>
      </c>
      <c r="E174" s="102" t="s">
        <v>12666</v>
      </c>
      <c r="F174" s="102" t="s">
        <v>12666</v>
      </c>
      <c r="G174" s="102" t="s">
        <v>12666</v>
      </c>
      <c r="H174" s="164"/>
      <c r="I174" s="51">
        <f>IF(speciated_chemicals_171[[#This Row],[Inert / Not a Contaminant?]]="Yes", 0, speciated_chemicals_171[[#This Row],[Weight Percent]]*(unique_components_170[[#Totals],[Controlled lb/hr]]+standard_components_169[[#Totals],[Controlled
lb/hr]]))</f>
        <v>0</v>
      </c>
      <c r="J174" s="51">
        <f>IF(speciated_chemicals_171[[#This Row],[Inert / Not a Contaminant?]]="Yes", 0, speciated_chemicals_171[[#This Row],[Weight Percent]]*(unique_components_170[[#Totals],[Controlled
tpy]]+standard_components_169[[#Totals],[Controlled
tpy]]))</f>
        <v>0</v>
      </c>
    </row>
    <row r="175" spans="1:10" x14ac:dyDescent="0.2">
      <c r="A175" s="103"/>
      <c r="B175" s="51" t="str">
        <f>IFERROR(VLOOKUP(speciated_chemicals_171[[#This Row],[CAS '#]],species[],MATCH("Substance", species[#Headers], 0),FALSE),"No CAS Number Entered")</f>
        <v>No CAS Number Entered</v>
      </c>
      <c r="C175" s="102"/>
      <c r="D175" s="102" t="s">
        <v>12666</v>
      </c>
      <c r="E175" s="102" t="s">
        <v>12666</v>
      </c>
      <c r="F175" s="102" t="s">
        <v>12666</v>
      </c>
      <c r="G175" s="102" t="s">
        <v>12666</v>
      </c>
      <c r="H175" s="164"/>
      <c r="I175" s="51">
        <f>IF(speciated_chemicals_171[[#This Row],[Inert / Not a Contaminant?]]="Yes", 0, speciated_chemicals_171[[#This Row],[Weight Percent]]*(unique_components_170[[#Totals],[Controlled lb/hr]]+standard_components_169[[#Totals],[Controlled
lb/hr]]))</f>
        <v>0</v>
      </c>
      <c r="J175" s="51">
        <f>IF(speciated_chemicals_171[[#This Row],[Inert / Not a Contaminant?]]="Yes", 0, speciated_chemicals_171[[#This Row],[Weight Percent]]*(unique_components_170[[#Totals],[Controlled
tpy]]+standard_components_169[[#Totals],[Controlled
tpy]]))</f>
        <v>0</v>
      </c>
    </row>
    <row r="176" spans="1:10" x14ac:dyDescent="0.2">
      <c r="A176" s="165"/>
      <c r="B176" s="51" t="str">
        <f>IFERROR(VLOOKUP(speciated_chemicals_171[[#This Row],[CAS '#]],species[],MATCH("Substance", species[#Headers], 0),FALSE),"No CAS Number Entered")</f>
        <v>No CAS Number Entered</v>
      </c>
      <c r="C176" s="102"/>
      <c r="D176" s="102" t="s">
        <v>12666</v>
      </c>
      <c r="E176" s="102" t="s">
        <v>12666</v>
      </c>
      <c r="F176" s="102" t="s">
        <v>12666</v>
      </c>
      <c r="G176" s="102" t="s">
        <v>12666</v>
      </c>
      <c r="H176" s="164"/>
      <c r="I176" s="51">
        <f>IF(speciated_chemicals_171[[#This Row],[Inert / Not a Contaminant?]]="Yes", 0, speciated_chemicals_171[[#This Row],[Weight Percent]]*(unique_components_170[[#Totals],[Controlled lb/hr]]+standard_components_169[[#Totals],[Controlled
lb/hr]]))</f>
        <v>0</v>
      </c>
      <c r="J176" s="51">
        <f>IF(speciated_chemicals_171[[#This Row],[Inert / Not a Contaminant?]]="Yes", 0, speciated_chemicals_171[[#This Row],[Weight Percent]]*(unique_components_170[[#Totals],[Controlled
tpy]]+standard_components_169[[#Totals],[Controlled
tpy]]))</f>
        <v>0</v>
      </c>
    </row>
    <row r="177" spans="1:10" x14ac:dyDescent="0.2">
      <c r="A177" s="103"/>
      <c r="B177" s="51" t="str">
        <f>IFERROR(VLOOKUP(speciated_chemicals_171[[#This Row],[CAS '#]],species[],MATCH("Substance", species[#Headers], 0),FALSE),"No CAS Number Entered")</f>
        <v>No CAS Number Entered</v>
      </c>
      <c r="C177" s="102"/>
      <c r="D177" s="102" t="s">
        <v>12666</v>
      </c>
      <c r="E177" s="102" t="s">
        <v>12666</v>
      </c>
      <c r="F177" s="102" t="s">
        <v>12666</v>
      </c>
      <c r="G177" s="102" t="s">
        <v>12666</v>
      </c>
      <c r="H177" s="164"/>
      <c r="I177" s="51">
        <f>IF(speciated_chemicals_171[[#This Row],[Inert / Not a Contaminant?]]="Yes", 0, speciated_chemicals_171[[#This Row],[Weight Percent]]*(unique_components_170[[#Totals],[Controlled lb/hr]]+standard_components_169[[#Totals],[Controlled
lb/hr]]))</f>
        <v>0</v>
      </c>
      <c r="J177" s="51">
        <f>IF(speciated_chemicals_171[[#This Row],[Inert / Not a Contaminant?]]="Yes", 0, speciated_chemicals_171[[#This Row],[Weight Percent]]*(unique_components_170[[#Totals],[Controlled
tpy]]+standard_components_169[[#Totals],[Controlled
tpy]]))</f>
        <v>0</v>
      </c>
    </row>
    <row r="178" spans="1:10" x14ac:dyDescent="0.2">
      <c r="A178" s="103"/>
      <c r="B178" s="51" t="str">
        <f>IFERROR(VLOOKUP(speciated_chemicals_171[[#This Row],[CAS '#]],species[],MATCH("Substance", species[#Headers], 0),FALSE),"No CAS Number Entered")</f>
        <v>No CAS Number Entered</v>
      </c>
      <c r="C178" s="102"/>
      <c r="D178" s="102" t="s">
        <v>12666</v>
      </c>
      <c r="E178" s="102" t="s">
        <v>12666</v>
      </c>
      <c r="F178" s="102" t="s">
        <v>12666</v>
      </c>
      <c r="G178" s="102" t="s">
        <v>12666</v>
      </c>
      <c r="H178" s="164"/>
      <c r="I178" s="51">
        <f>IF(speciated_chemicals_171[[#This Row],[Inert / Not a Contaminant?]]="Yes", 0, speciated_chemicals_171[[#This Row],[Weight Percent]]*(unique_components_170[[#Totals],[Controlled lb/hr]]+standard_components_169[[#Totals],[Controlled
lb/hr]]))</f>
        <v>0</v>
      </c>
      <c r="J178" s="51">
        <f>IF(speciated_chemicals_171[[#This Row],[Inert / Not a Contaminant?]]="Yes", 0, speciated_chemicals_171[[#This Row],[Weight Percent]]*(unique_components_170[[#Totals],[Controlled
tpy]]+standard_components_169[[#Totals],[Controlled
tpy]]))</f>
        <v>0</v>
      </c>
    </row>
    <row r="179" spans="1:10" x14ac:dyDescent="0.2">
      <c r="A179" s="103"/>
      <c r="B179" s="51" t="str">
        <f>IFERROR(VLOOKUP(speciated_chemicals_171[[#This Row],[CAS '#]],species[],MATCH("Substance", species[#Headers], 0),FALSE),"No CAS Number Entered")</f>
        <v>No CAS Number Entered</v>
      </c>
      <c r="C179" s="102"/>
      <c r="D179" s="102" t="s">
        <v>12666</v>
      </c>
      <c r="E179" s="102" t="s">
        <v>12666</v>
      </c>
      <c r="F179" s="102" t="s">
        <v>12666</v>
      </c>
      <c r="G179" s="102" t="s">
        <v>12666</v>
      </c>
      <c r="H179" s="164"/>
      <c r="I179" s="51">
        <f>IF(speciated_chemicals_171[[#This Row],[Inert / Not a Contaminant?]]="Yes", 0, speciated_chemicals_171[[#This Row],[Weight Percent]]*(unique_components_170[[#Totals],[Controlled lb/hr]]+standard_components_169[[#Totals],[Controlled
lb/hr]]))</f>
        <v>0</v>
      </c>
      <c r="J179" s="51">
        <f>IF(speciated_chemicals_171[[#This Row],[Inert / Not a Contaminant?]]="Yes", 0, speciated_chemicals_171[[#This Row],[Weight Percent]]*(unique_components_170[[#Totals],[Controlled
tpy]]+standard_components_169[[#Totals],[Controlled
tpy]]))</f>
        <v>0</v>
      </c>
    </row>
    <row r="180" spans="1:10" x14ac:dyDescent="0.2">
      <c r="A180" s="103"/>
      <c r="B180" s="51" t="str">
        <f>IFERROR(VLOOKUP(speciated_chemicals_171[[#This Row],[CAS '#]],species[],MATCH("Substance", species[#Headers], 0),FALSE),"No CAS Number Entered")</f>
        <v>No CAS Number Entered</v>
      </c>
      <c r="C180" s="102"/>
      <c r="D180" s="102" t="s">
        <v>12666</v>
      </c>
      <c r="E180" s="102" t="s">
        <v>12666</v>
      </c>
      <c r="F180" s="102" t="s">
        <v>12666</v>
      </c>
      <c r="G180" s="102" t="s">
        <v>12666</v>
      </c>
      <c r="H180" s="164"/>
      <c r="I180" s="51">
        <f>IF(speciated_chemicals_171[[#This Row],[Inert / Not a Contaminant?]]="Yes", 0, speciated_chemicals_171[[#This Row],[Weight Percent]]*(unique_components_170[[#Totals],[Controlled lb/hr]]+standard_components_169[[#Totals],[Controlled
lb/hr]]))</f>
        <v>0</v>
      </c>
      <c r="J180" s="51">
        <f>IF(speciated_chemicals_171[[#This Row],[Inert / Not a Contaminant?]]="Yes", 0, speciated_chemicals_171[[#This Row],[Weight Percent]]*(unique_components_170[[#Totals],[Controlled
tpy]]+standard_components_169[[#Totals],[Controlled
tpy]]))</f>
        <v>0</v>
      </c>
    </row>
    <row r="181" spans="1:10" ht="30" x14ac:dyDescent="0.2">
      <c r="A181" s="184" t="s">
        <v>12705</v>
      </c>
      <c r="B181" s="52"/>
      <c r="C181" s="53"/>
      <c r="D181" s="52"/>
      <c r="E181" s="52"/>
      <c r="F181" s="52"/>
      <c r="G181" s="52"/>
      <c r="H181" s="166">
        <f>SUBTOTAL(109,speciated_chemicals_171[Weight Percent])</f>
        <v>0</v>
      </c>
      <c r="I181" s="167">
        <f>SUBTOTAL(109,speciated_chemicals_171[lb/hr])</f>
        <v>0</v>
      </c>
      <c r="J181" s="167">
        <f>SUBTOTAL(109,speciated_chemicals_171[tpy])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MATCH(speciated_ghg_172[[#This Row],[CAS '#]], gwp_table[CAS No.], 0), MATCH("Name", gwp_table[#Headers], 0)),"No CAS Number Entered")</f>
        <v>No CAS Number Entered</v>
      </c>
      <c r="C185" s="79" t="str">
        <f>IFERROR(INDEX(gwp_table[], MATCH(speciated_ghg_172[[#This Row],[CAS '#]], gwp_table[CAS No.], 0), MATCH("Global warming potential", gwp_table[#Headers], 0)),"No CAS Number Entered")</f>
        <v>No CAS Number Entered</v>
      </c>
      <c r="D185" s="219"/>
      <c r="E185" s="79">
        <f>IFERROR(speciated_ghg_172[[#This Row],[Weight Percent]]*(unique_components_170[[#Totals],[Controlled
tpy]]+standard_components_169[[#Totals],[Controlled
tpy]]), "-")</f>
        <v>0</v>
      </c>
      <c r="F185" s="81" t="str">
        <f>IFERROR(speciated_ghg_172[[#This Row],[Mass Emissions (U.S. tons per year)]]*speciated_ghg_172[[#This Row],[Global Warming Potential (GWP)]], "-")</f>
        <v>-</v>
      </c>
      <c r="G185" s="30"/>
      <c r="H185" s="168"/>
      <c r="I185" s="168"/>
    </row>
    <row r="186" spans="1:10" x14ac:dyDescent="0.2">
      <c r="A186" s="210"/>
      <c r="B186" s="79" t="str">
        <f>IFERROR(INDEX(gwp_table[], MATCH(speciated_ghg_172[[#This Row],[CAS '#]], gwp_table[CAS No.], 0), MATCH("Name", gwp_table[#Headers], 0)),"No CAS Number Entered")</f>
        <v>No CAS Number Entered</v>
      </c>
      <c r="C186" s="79" t="str">
        <f>IFERROR(INDEX(gwp_table[], MATCH(speciated_ghg_172[[#This Row],[CAS '#]], gwp_table[CAS No.], 0), MATCH("Global warming potential", gwp_table[#Headers], 0)),"No CAS Number Entered")</f>
        <v>No CAS Number Entered</v>
      </c>
      <c r="D186" s="219"/>
      <c r="E186" s="79">
        <f>IFERROR(speciated_ghg_172[[#This Row],[Weight Percent]]*(unique_components_170[[#Totals],[Controlled
tpy]]+standard_components_169[[#Totals],[Controlled
tpy]]), "-")</f>
        <v>0</v>
      </c>
      <c r="F186" s="81" t="str">
        <f>IFERROR(speciated_ghg_172[[#This Row],[Mass Emissions (U.S. tons per year)]]*speciated_ghg_172[[#This Row],[Global Warming Potential (GWP)]], "-")</f>
        <v>-</v>
      </c>
      <c r="G186" s="30"/>
      <c r="H186" s="168"/>
      <c r="I186" s="168"/>
    </row>
    <row r="187" spans="1:10" x14ac:dyDescent="0.2">
      <c r="A187" s="210"/>
      <c r="B187" s="79" t="str">
        <f>IFERROR(INDEX(gwp_table[], MATCH(speciated_ghg_172[[#This Row],[CAS '#]], gwp_table[CAS No.], 0), MATCH("Name", gwp_table[#Headers], 0)),"No CAS Number Entered")</f>
        <v>No CAS Number Entered</v>
      </c>
      <c r="C187" s="79" t="str">
        <f>IFERROR(INDEX(gwp_table[], MATCH(speciated_ghg_172[[#This Row],[CAS '#]], gwp_table[CAS No.], 0), MATCH("Global warming potential", gwp_table[#Headers], 0)),"No CAS Number Entered")</f>
        <v>No CAS Number Entered</v>
      </c>
      <c r="D187" s="219"/>
      <c r="E187" s="79">
        <f>IFERROR(speciated_ghg_172[[#This Row],[Weight Percent]]*(unique_components_170[[#Totals],[Controlled
tpy]]+standard_components_169[[#Totals],[Controlled
tpy]]), "-")</f>
        <v>0</v>
      </c>
      <c r="F187" s="81" t="str">
        <f>IFERROR(speciated_ghg_172[[#This Row],[Mass Emissions (U.S. tons per year)]]*speciated_ghg_172[[#This Row],[Global Warming Potential (GWP)]], "-")</f>
        <v>-</v>
      </c>
      <c r="G187" s="30"/>
      <c r="H187" s="168"/>
      <c r="I187" s="168"/>
    </row>
    <row r="188" spans="1:10" x14ac:dyDescent="0.2">
      <c r="A188" s="210"/>
      <c r="B188" s="79" t="str">
        <f>IFERROR(INDEX(gwp_table[], MATCH(speciated_ghg_172[[#This Row],[CAS '#]], gwp_table[CAS No.], 0), MATCH("Name", gwp_table[#Headers], 0)),"No CAS Number Entered")</f>
        <v>No CAS Number Entered</v>
      </c>
      <c r="C188" s="79" t="str">
        <f>IFERROR(INDEX(gwp_table[], MATCH(speciated_ghg_172[[#This Row],[CAS '#]], gwp_table[CAS No.], 0), MATCH("Global warming potential", gwp_table[#Headers], 0)),"No CAS Number Entered")</f>
        <v>No CAS Number Entered</v>
      </c>
      <c r="D188" s="219"/>
      <c r="E188" s="79">
        <f>IFERROR(speciated_ghg_172[[#This Row],[Weight Percent]]*(unique_components_170[[#Totals],[Controlled
tpy]]+standard_components_169[[#Totals],[Controlled
tpy]]), "-")</f>
        <v>0</v>
      </c>
      <c r="F188" s="81" t="str">
        <f>IFERROR(speciated_ghg_172[[#This Row],[Mass Emissions (U.S. tons per year)]]*speciated_ghg_172[[#This Row],[Global Warming Potential (GWP)]], "-")</f>
        <v>-</v>
      </c>
      <c r="G188" s="30"/>
      <c r="H188" s="168"/>
      <c r="I188" s="168"/>
    </row>
    <row r="189" spans="1:10" x14ac:dyDescent="0.2">
      <c r="A189" s="210"/>
      <c r="B189" s="79" t="str">
        <f>IFERROR(INDEX(gwp_table[], MATCH(speciated_ghg_172[[#This Row],[CAS '#]], gwp_table[CAS No.], 0), MATCH("Name", gwp_table[#Headers], 0)),"No CAS Number Entered")</f>
        <v>No CAS Number Entered</v>
      </c>
      <c r="C189" s="79" t="str">
        <f>IFERROR(INDEX(gwp_table[], MATCH(speciated_ghg_172[[#This Row],[CAS '#]], gwp_table[CAS No.], 0), MATCH("Global warming potential", gwp_table[#Headers], 0)),"No CAS Number Entered")</f>
        <v>No CAS Number Entered</v>
      </c>
      <c r="D189" s="219"/>
      <c r="E189" s="79">
        <f>IFERROR(speciated_ghg_172[[#This Row],[Weight Percent]]*(unique_components_170[[#Totals],[Controlled
tpy]]+standard_components_169[[#Totals],[Controlled
tpy]]), "-")</f>
        <v>0</v>
      </c>
      <c r="F189" s="81" t="str">
        <f>IFERROR(speciated_ghg_172[[#This Row],[Mass Emissions (U.S. tons per year)]]*speciated_ghg_172[[#This Row],[Global Warming Potential (GWP)]], "-")</f>
        <v>-</v>
      </c>
      <c r="G189" s="30"/>
      <c r="H189" s="168"/>
      <c r="I189" s="168"/>
    </row>
    <row r="190" spans="1:10" x14ac:dyDescent="0.2">
      <c r="A190" s="210"/>
      <c r="B190" s="79" t="str">
        <f>IFERROR(INDEX(gwp_table[], MATCH(speciated_ghg_172[[#This Row],[CAS '#]], gwp_table[CAS No.], 0), MATCH("Name", gwp_table[#Headers], 0)),"No CAS Number Entered")</f>
        <v>No CAS Number Entered</v>
      </c>
      <c r="C190" s="79" t="str">
        <f>IFERROR(INDEX(gwp_table[], MATCH(speciated_ghg_172[[#This Row],[CAS '#]], gwp_table[CAS No.], 0), MATCH("Global warming potential", gwp_table[#Headers], 0)),"No CAS Number Entered")</f>
        <v>No CAS Number Entered</v>
      </c>
      <c r="D190" s="219"/>
      <c r="E190" s="79">
        <f>IFERROR(speciated_ghg_172[[#This Row],[Weight Percent]]*(unique_components_170[[#Totals],[Controlled
tpy]]+standard_components_169[[#Totals],[Controlled
tpy]]), "-")</f>
        <v>0</v>
      </c>
      <c r="F190" s="81" t="str">
        <f>IFERROR(speciated_ghg_172[[#This Row],[Mass Emissions (U.S. tons per year)]]*speciated_ghg_172[[#This Row],[Global Warming Potential (GWP)]], "-")</f>
        <v>-</v>
      </c>
      <c r="G190" s="30"/>
      <c r="H190" s="168"/>
      <c r="I190" s="168"/>
    </row>
    <row r="191" spans="1:10" x14ac:dyDescent="0.2">
      <c r="A191" s="210"/>
      <c r="B191" s="79" t="str">
        <f>IFERROR(INDEX(gwp_table[], MATCH(speciated_ghg_172[[#This Row],[CAS '#]], gwp_table[CAS No.], 0), MATCH("Name", gwp_table[#Headers], 0)),"No CAS Number Entered")</f>
        <v>No CAS Number Entered</v>
      </c>
      <c r="C191" s="79" t="str">
        <f>IFERROR(INDEX(gwp_table[], MATCH(speciated_ghg_172[[#This Row],[CAS '#]], gwp_table[CAS No.], 0), MATCH("Global warming potential", gwp_table[#Headers], 0)),"No CAS Number Entered")</f>
        <v>No CAS Number Entered</v>
      </c>
      <c r="D191" s="219"/>
      <c r="E191" s="79">
        <f>IFERROR(speciated_ghg_172[[#This Row],[Weight Percent]]*(unique_components_170[[#Totals],[Controlled
tpy]]+standard_components_169[[#Totals],[Controlled
tpy]]), "-")</f>
        <v>0</v>
      </c>
      <c r="F191" s="81" t="str">
        <f>IFERROR(speciated_ghg_172[[#This Row],[Mass Emissions (U.S. tons per year)]]*speciated_ghg_172[[#This Row],[Global Warming Potential (GWP)]], "-")</f>
        <v>-</v>
      </c>
      <c r="G191" s="17"/>
    </row>
    <row r="192" spans="1:10" ht="15" x14ac:dyDescent="0.25">
      <c r="A192" s="210"/>
      <c r="B192" s="79" t="str">
        <f>IFERROR(INDEX(gwp_table[], MATCH(speciated_ghg_172[[#This Row],[CAS '#]], gwp_table[CAS No.], 0), MATCH("Name", gwp_table[#Headers], 0)),"No CAS Number Entered")</f>
        <v>No CAS Number Entered</v>
      </c>
      <c r="C192" s="79" t="str">
        <f>IFERROR(INDEX(gwp_table[], MATCH(speciated_ghg_172[[#This Row],[CAS '#]], gwp_table[CAS No.], 0), MATCH("Global warming potential", gwp_table[#Headers], 0)),"No CAS Number Entered")</f>
        <v>No CAS Number Entered</v>
      </c>
      <c r="D192" s="219"/>
      <c r="E192" s="79">
        <f>IFERROR(speciated_ghg_172[[#This Row],[Weight Percent]]*(unique_components_170[[#Totals],[Controlled
tpy]]+standard_components_169[[#Totals],[Controlled
tpy]]), "-")</f>
        <v>0</v>
      </c>
      <c r="F192" s="81" t="str">
        <f>IFERROR(speciated_ghg_172[[#This Row],[Mass Emissions (U.S. tons per year)]]*speciated_ghg_172[[#This Row],[Global Warming Potential (GWP)]], "-")</f>
        <v>-</v>
      </c>
      <c r="G192" s="134"/>
      <c r="H192" s="169"/>
    </row>
    <row r="193" spans="1:9" ht="15" x14ac:dyDescent="0.25">
      <c r="A193" s="210"/>
      <c r="B193" s="79" t="str">
        <f>IFERROR(INDEX(gwp_table[], MATCH(speciated_ghg_172[[#This Row],[CAS '#]], gwp_table[CAS No.], 0), MATCH("Name", gwp_table[#Headers], 0)),"No CAS Number Entered")</f>
        <v>No CAS Number Entered</v>
      </c>
      <c r="C193" s="79" t="str">
        <f>IFERROR(INDEX(gwp_table[], MATCH(speciated_ghg_172[[#This Row],[CAS '#]], gwp_table[CAS No.], 0), MATCH("Global warming potential", gwp_table[#Headers], 0)),"No CAS Number Entered")</f>
        <v>No CAS Number Entered</v>
      </c>
      <c r="D193" s="219"/>
      <c r="E193" s="79">
        <f>IFERROR(speciated_ghg_172[[#This Row],[Weight Percent]]*(unique_components_170[[#Totals],[Controlled
tpy]]+standard_components_169[[#Totals],[Controlled
tpy]]), "-")</f>
        <v>0</v>
      </c>
      <c r="F193" s="81" t="str">
        <f>IFERROR(speciated_ghg_172[[#This Row],[Mass Emissions (U.S. tons per year)]]*speciated_ghg_172[[#This Row],[Global Warming Potential (GWP)]], "-")</f>
        <v>-</v>
      </c>
      <c r="G193" s="134"/>
      <c r="H193" s="169"/>
    </row>
    <row r="194" spans="1:9" ht="15" x14ac:dyDescent="0.25">
      <c r="A194" s="210"/>
      <c r="B194" s="79" t="str">
        <f>IFERROR(INDEX(gwp_table[], MATCH(speciated_ghg_172[[#This Row],[CAS '#]], gwp_table[CAS No.], 0), MATCH("Name", gwp_table[#Headers], 0)),"No CAS Number Entered")</f>
        <v>No CAS Number Entered</v>
      </c>
      <c r="C194" s="79" t="str">
        <f>IFERROR(INDEX(gwp_table[], MATCH(speciated_ghg_172[[#This Row],[CAS '#]], gwp_table[CAS No.], 0), MATCH("Global warming potential", gwp_table[#Headers], 0)),"No CAS Number Entered")</f>
        <v>No CAS Number Entered</v>
      </c>
      <c r="D194" s="219"/>
      <c r="E194" s="79">
        <f>IFERROR(speciated_ghg_172[[#This Row],[Weight Percent]]*(unique_components_170[[#Totals],[Controlled
tpy]]+standard_components_169[[#Totals],[Controlled
tpy]]), "-")</f>
        <v>0</v>
      </c>
      <c r="F194" s="81" t="str">
        <f>IFERROR(speciated_ghg_172[[#This Row],[Mass Emissions (U.S. tons per year)]]*speciated_ghg_172[[#This Row],[Global Warming Potential (GWP)]], "-")</f>
        <v>-</v>
      </c>
      <c r="G194" s="134"/>
      <c r="H194" s="169"/>
    </row>
    <row r="195" spans="1:9" x14ac:dyDescent="0.2">
      <c r="A195" s="210"/>
      <c r="B195" s="79" t="str">
        <f>IFERROR(INDEX(gwp_table[], MATCH(speciated_ghg_172[[#This Row],[CAS '#]], gwp_table[CAS No.], 0), MATCH("Name", gwp_table[#Headers], 0)),"No CAS Number Entered")</f>
        <v>No CAS Number Entered</v>
      </c>
      <c r="C195" s="79" t="str">
        <f>IFERROR(INDEX(gwp_table[], MATCH(speciated_ghg_172[[#This Row],[CAS '#]], gwp_table[CAS No.], 0), MATCH("Global warming potential", gwp_table[#Headers], 0)),"No CAS Number Entered")</f>
        <v>No CAS Number Entered</v>
      </c>
      <c r="D195" s="219"/>
      <c r="E195" s="79">
        <f>IFERROR(speciated_ghg_172[[#This Row],[Weight Percent]]*(unique_components_170[[#Totals],[Controlled
tpy]]+standard_components_169[[#Totals],[Controlled
tpy]]), "-")</f>
        <v>0</v>
      </c>
      <c r="F195" s="81" t="str">
        <f>IFERROR(speciated_ghg_172[[#This Row],[Mass Emissions (U.S. tons per year)]]*speciated_ghg_172[[#This Row],[Global Warming Potential (GWP)]], "-")</f>
        <v>-</v>
      </c>
      <c r="G195" s="69"/>
      <c r="H195" s="169"/>
    </row>
    <row r="196" spans="1:9" x14ac:dyDescent="0.2">
      <c r="A196" s="210"/>
      <c r="B196" s="79" t="str">
        <f>IFERROR(INDEX(gwp_table[], MATCH(speciated_ghg_172[[#This Row],[CAS '#]], gwp_table[CAS No.], 0), MATCH("Name", gwp_table[#Headers], 0)),"No CAS Number Entered")</f>
        <v>No CAS Number Entered</v>
      </c>
      <c r="C196" s="79" t="str">
        <f>IFERROR(INDEX(gwp_table[], MATCH(speciated_ghg_172[[#This Row],[CAS '#]], gwp_table[CAS No.], 0), MATCH("Global warming potential", gwp_table[#Headers], 0)),"No CAS Number Entered")</f>
        <v>No CAS Number Entered</v>
      </c>
      <c r="D196" s="219"/>
      <c r="E196" s="79">
        <f>IFERROR(speciated_ghg_172[[#This Row],[Weight Percent]]*(unique_components_170[[#Totals],[Controlled
tpy]]+standard_components_169[[#Totals],[Controlled
tpy]]), "-")</f>
        <v>0</v>
      </c>
      <c r="F196" s="81" t="str">
        <f>IFERROR(speciated_ghg_172[[#This Row],[Mass Emissions (U.S. tons per year)]]*speciated_ghg_172[[#This Row],[Global Warming Potential (GWP)]], "-")</f>
        <v>-</v>
      </c>
      <c r="G196" s="29"/>
      <c r="H196" s="169"/>
    </row>
    <row r="197" spans="1:9" x14ac:dyDescent="0.2">
      <c r="A197" s="210"/>
      <c r="B197" s="79" t="str">
        <f>IFERROR(INDEX(gwp_table[], MATCH(speciated_ghg_172[[#This Row],[CAS '#]], gwp_table[CAS No.], 0), MATCH("Name", gwp_table[#Headers], 0)),"No CAS Number Entered")</f>
        <v>No CAS Number Entered</v>
      </c>
      <c r="C197" s="79" t="str">
        <f>IFERROR(INDEX(gwp_table[], MATCH(speciated_ghg_172[[#This Row],[CAS '#]], gwp_table[CAS No.], 0), MATCH("Global warming potential", gwp_table[#Headers], 0)),"No CAS Number Entered")</f>
        <v>No CAS Number Entered</v>
      </c>
      <c r="D197" s="219"/>
      <c r="E197" s="79">
        <f>IFERROR(speciated_ghg_172[[#This Row],[Weight Percent]]*(unique_components_170[[#Totals],[Controlled
tpy]]+standard_components_169[[#Totals],[Controlled
tpy]]), "-")</f>
        <v>0</v>
      </c>
      <c r="F197" s="81" t="str">
        <f>IFERROR(speciated_ghg_172[[#This Row],[Mass Emissions (U.S. tons per year)]]*speciated_ghg_172[[#This Row],[Global Warming Potential (GWP)]], "-")</f>
        <v>-</v>
      </c>
      <c r="G197" s="29"/>
      <c r="H197" s="29"/>
      <c r="I197" s="169"/>
    </row>
    <row r="198" spans="1:9" x14ac:dyDescent="0.2">
      <c r="A198" s="210"/>
      <c r="B198" s="79" t="str">
        <f>IFERROR(INDEX(gwp_table[], MATCH(speciated_ghg_172[[#This Row],[CAS '#]], gwp_table[CAS No.], 0), MATCH("Name", gwp_table[#Headers], 0)),"No CAS Number Entered")</f>
        <v>No CAS Number Entered</v>
      </c>
      <c r="C198" s="79" t="str">
        <f>IFERROR(INDEX(gwp_table[], MATCH(speciated_ghg_172[[#This Row],[CAS '#]], gwp_table[CAS No.], 0), MATCH("Global warming potential", gwp_table[#Headers], 0)),"No CAS Number Entered")</f>
        <v>No CAS Number Entered</v>
      </c>
      <c r="D198" s="219"/>
      <c r="E198" s="79">
        <f>IFERROR(speciated_ghg_172[[#This Row],[Weight Percent]]*(unique_components_170[[#Totals],[Controlled
tpy]]+standard_components_169[[#Totals],[Controlled
tpy]]), "-")</f>
        <v>0</v>
      </c>
      <c r="F198" s="81" t="str">
        <f>IFERROR(speciated_ghg_172[[#This Row],[Mass Emissions (U.S. tons per year)]]*speciated_ghg_172[[#This Row],[Global Warming Potential (GWP)]], "-")</f>
        <v>-</v>
      </c>
      <c r="G198" s="29"/>
      <c r="H198" s="29"/>
      <c r="I198" s="169"/>
    </row>
    <row r="199" spans="1:9" x14ac:dyDescent="0.2">
      <c r="A199" s="210"/>
      <c r="B199" s="79" t="str">
        <f>IFERROR(INDEX(gwp_table[], MATCH(speciated_ghg_172[[#This Row],[CAS '#]], gwp_table[CAS No.], 0), MATCH("Name", gwp_table[#Headers], 0)),"No CAS Number Entered")</f>
        <v>No CAS Number Entered</v>
      </c>
      <c r="C199" s="79" t="str">
        <f>IFERROR(INDEX(gwp_table[], MATCH(speciated_ghg_172[[#This Row],[CAS '#]], gwp_table[CAS No.], 0), MATCH("Global warming potential", gwp_table[#Headers], 0)),"No CAS Number Entered")</f>
        <v>No CAS Number Entered</v>
      </c>
      <c r="D199" s="219"/>
      <c r="E199" s="79">
        <f>IFERROR(speciated_ghg_172[[#This Row],[Weight Percent]]*(unique_components_170[[#Totals],[Controlled
tpy]]+standard_components_169[[#Totals],[Controlled
tpy]]), "-")</f>
        <v>0</v>
      </c>
      <c r="F199" s="81" t="str">
        <f>IFERROR(speciated_ghg_172[[#This Row],[Mass Emissions (U.S. tons per year)]]*speciated_ghg_172[[#This Row],[Global Warming Potential (GWP)]], "-")</f>
        <v>-</v>
      </c>
      <c r="G199" s="29"/>
      <c r="H199" s="29"/>
      <c r="I199" s="169"/>
    </row>
    <row r="200" spans="1:9" x14ac:dyDescent="0.2">
      <c r="A200" s="210"/>
      <c r="B200" s="79" t="str">
        <f>IFERROR(INDEX(gwp_table[], MATCH(speciated_ghg_172[[#This Row],[CAS '#]], gwp_table[CAS No.], 0), MATCH("Name", gwp_table[#Headers], 0)),"No CAS Number Entered")</f>
        <v>No CAS Number Entered</v>
      </c>
      <c r="C200" s="79" t="str">
        <f>IFERROR(INDEX(gwp_table[], MATCH(speciated_ghg_172[[#This Row],[CAS '#]], gwp_table[CAS No.], 0), MATCH("Global warming potential", gwp_table[#Headers], 0)),"No CAS Number Entered")</f>
        <v>No CAS Number Entered</v>
      </c>
      <c r="D200" s="219"/>
      <c r="E200" s="79">
        <f>IFERROR(speciated_ghg_172[[#This Row],[Weight Percent]]*(unique_components_170[[#Totals],[Controlled
tpy]]+standard_components_169[[#Totals],[Controlled
tpy]]), "-")</f>
        <v>0</v>
      </c>
      <c r="F200" s="81" t="str">
        <f>IFERROR(speciated_ghg_172[[#This Row],[Mass Emissions (U.S. tons per year)]]*speciated_ghg_172[[#This Row],[Global Warming Potential (GWP)]], "-")</f>
        <v>-</v>
      </c>
      <c r="G200" s="29"/>
      <c r="H200" s="29"/>
      <c r="I200" s="169"/>
    </row>
    <row r="201" spans="1:9" x14ac:dyDescent="0.2">
      <c r="A201" s="210"/>
      <c r="B201" s="79" t="str">
        <f>IFERROR(INDEX(gwp_table[], MATCH(speciated_ghg_172[[#This Row],[CAS '#]], gwp_table[CAS No.], 0), MATCH("Name", gwp_table[#Headers], 0)),"No CAS Number Entered")</f>
        <v>No CAS Number Entered</v>
      </c>
      <c r="C201" s="79" t="str">
        <f>IFERROR(INDEX(gwp_table[], MATCH(speciated_ghg_172[[#This Row],[CAS '#]], gwp_table[CAS No.], 0), MATCH("Global warming potential", gwp_table[#Headers], 0)),"No CAS Number Entered")</f>
        <v>No CAS Number Entered</v>
      </c>
      <c r="D201" s="219"/>
      <c r="E201" s="79">
        <f>IFERROR(speciated_ghg_172[[#This Row],[Weight Percent]]*(unique_components_170[[#Totals],[Controlled
tpy]]+standard_components_169[[#Totals],[Controlled
tpy]]), "-")</f>
        <v>0</v>
      </c>
      <c r="F201" s="81" t="str">
        <f>IFERROR(speciated_ghg_172[[#This Row],[Mass Emissions (U.S. tons per year)]]*speciated_ghg_172[[#This Row],[Global Warming Potential (GWP)]], "-")</f>
        <v>-</v>
      </c>
      <c r="G201" s="169"/>
      <c r="H201" s="169"/>
      <c r="I201" s="169"/>
    </row>
    <row r="202" spans="1:9" x14ac:dyDescent="0.2">
      <c r="A202" s="210"/>
      <c r="B202" s="79" t="str">
        <f>IFERROR(INDEX(gwp_table[], MATCH(speciated_ghg_172[[#This Row],[CAS '#]], gwp_table[CAS No.], 0), MATCH("Name", gwp_table[#Headers], 0)),"No CAS Number Entered")</f>
        <v>No CAS Number Entered</v>
      </c>
      <c r="C202" s="79" t="str">
        <f>IFERROR(INDEX(gwp_table[], MATCH(speciated_ghg_172[[#This Row],[CAS '#]], gwp_table[CAS No.], 0), MATCH("Global warming potential", gwp_table[#Headers], 0)),"No CAS Number Entered")</f>
        <v>No CAS Number Entered</v>
      </c>
      <c r="D202" s="219"/>
      <c r="E202" s="79">
        <f>IFERROR(speciated_ghg_172[[#This Row],[Weight Percent]]*(unique_components_170[[#Totals],[Controlled
tpy]]+standard_components_169[[#Totals],[Controlled
tpy]]), "-")</f>
        <v>0</v>
      </c>
      <c r="F202" s="81" t="str">
        <f>IFERROR(speciated_ghg_172[[#This Row],[Mass Emissions (U.S. tons per year)]]*speciated_ghg_172[[#This Row],[Global Warming Potential (GWP)]], "-")</f>
        <v>-</v>
      </c>
      <c r="G202" s="169"/>
      <c r="H202" s="169"/>
      <c r="I202" s="169"/>
    </row>
    <row r="203" spans="1:9" x14ac:dyDescent="0.2">
      <c r="A203" s="210"/>
      <c r="B203" s="79" t="str">
        <f>IFERROR(INDEX(gwp_table[], MATCH(speciated_ghg_172[[#This Row],[CAS '#]], gwp_table[CAS No.], 0), MATCH("Name", gwp_table[#Headers], 0)),"No CAS Number Entered")</f>
        <v>No CAS Number Entered</v>
      </c>
      <c r="C203" s="79" t="str">
        <f>IFERROR(INDEX(gwp_table[], MATCH(speciated_ghg_172[[#This Row],[CAS '#]], gwp_table[CAS No.], 0), MATCH("Global warming potential", gwp_table[#Headers], 0)),"No CAS Number Entered")</f>
        <v>No CAS Number Entered</v>
      </c>
      <c r="D203" s="219"/>
      <c r="E203" s="79">
        <f>IFERROR(speciated_ghg_172[[#This Row],[Weight Percent]]*(unique_components_170[[#Totals],[Controlled
tpy]]+standard_components_169[[#Totals],[Controlled
tpy]]), "-")</f>
        <v>0</v>
      </c>
      <c r="F203" s="81" t="str">
        <f>IFERROR(speciated_ghg_172[[#This Row],[Mass Emissions (U.S. tons per year)]]*speciated_ghg_172[[#This Row],[Global Warming Potential (GWP)]], "-")</f>
        <v>-</v>
      </c>
      <c r="G203" s="169"/>
      <c r="H203" s="169"/>
      <c r="I203" s="169"/>
    </row>
    <row r="204" spans="1:9" ht="30" x14ac:dyDescent="0.25">
      <c r="A204" s="185" t="s">
        <v>13321</v>
      </c>
      <c r="B204" s="77"/>
      <c r="C204" s="77"/>
      <c r="D204" s="77"/>
      <c r="E204" s="80">
        <f>SUBTOTAL(109,speciated_ghg_172[Mass Emissions (U.S. tons per year)])</f>
        <v>0</v>
      </c>
      <c r="F204" s="82">
        <f>SUBTOTAL(109,speciated_ghg_172[CO2e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speciated_chemicals_171[[#Totals],[lb/hr]]</f>
        <v>0</v>
      </c>
      <c r="C207" s="134"/>
      <c r="D207" s="134"/>
      <c r="E207" s="134"/>
      <c r="F207" s="134"/>
      <c r="G207" s="169"/>
      <c r="H207" s="169"/>
    </row>
    <row r="208" spans="1:9" ht="29.25" x14ac:dyDescent="0.25">
      <c r="A208" s="174" t="s">
        <v>13320</v>
      </c>
      <c r="B208" s="175">
        <f>speciated_chemicals_171[[#Totals],[tpy]]</f>
        <v>0</v>
      </c>
      <c r="C208" s="134"/>
      <c r="D208" s="134"/>
      <c r="E208" s="134"/>
      <c r="F208" s="134"/>
      <c r="G208" s="169"/>
      <c r="H208" s="169"/>
    </row>
    <row r="209" spans="1:8" ht="15" x14ac:dyDescent="0.25">
      <c r="A209" s="126" t="s">
        <v>13277</v>
      </c>
      <c r="B209" s="128">
        <f>SUMIF(speciated_chemicals_171[VOC?],"Yes",speciated_chemicals_171[lb/hr])</f>
        <v>0</v>
      </c>
      <c r="C209" s="134"/>
      <c r="D209" s="29"/>
      <c r="E209" s="29"/>
      <c r="F209" s="29"/>
      <c r="G209" s="169"/>
      <c r="H209" s="169"/>
    </row>
    <row r="210" spans="1:8" ht="15" x14ac:dyDescent="0.25">
      <c r="A210" s="126" t="s">
        <v>12669</v>
      </c>
      <c r="B210" s="128">
        <f>SUMIF(speciated_chemicals_171[VOC?],"Yes",speciated_chemicals_171[tpy])</f>
        <v>0</v>
      </c>
      <c r="C210" s="134"/>
      <c r="D210" s="29"/>
      <c r="E210" s="29"/>
      <c r="F210" s="29"/>
      <c r="G210" s="169"/>
      <c r="H210" s="169"/>
    </row>
    <row r="211" spans="1:8" ht="15" x14ac:dyDescent="0.25">
      <c r="A211" s="126" t="s">
        <v>12775</v>
      </c>
      <c r="B211" s="128">
        <f>SUMIF(speciated_chemicals_171[Inorganic?],"Yes",speciated_chemicals_171[lb/hr])</f>
        <v>0</v>
      </c>
      <c r="C211" s="134"/>
      <c r="D211" s="29"/>
      <c r="E211" s="29"/>
      <c r="F211" s="29"/>
      <c r="G211" s="169"/>
      <c r="H211" s="169"/>
    </row>
    <row r="212" spans="1:8" ht="15" x14ac:dyDescent="0.25">
      <c r="A212" s="126" t="s">
        <v>12770</v>
      </c>
      <c r="B212" s="128">
        <f>SUMIF(speciated_chemicals_171[Inorganic?],"Yes",speciated_chemicals_171[tpy])</f>
        <v>0</v>
      </c>
      <c r="C212" s="134"/>
      <c r="D212" s="29"/>
      <c r="E212" s="29"/>
      <c r="F212" s="29"/>
      <c r="G212" s="169"/>
      <c r="H212" s="169"/>
    </row>
    <row r="213" spans="1:8" ht="15" x14ac:dyDescent="0.25">
      <c r="A213" s="126" t="s">
        <v>13276</v>
      </c>
      <c r="B213" s="128">
        <f>SUMIF(speciated_chemicals_171[VOC-Exempt Solvent?],"Yes",speciated_chemicals_171[lb/hr])</f>
        <v>0</v>
      </c>
      <c r="C213" s="134"/>
      <c r="D213" s="29"/>
      <c r="E213" s="29"/>
      <c r="F213" s="29"/>
      <c r="G213" s="169"/>
      <c r="H213" s="169"/>
    </row>
    <row r="214" spans="1:8" ht="15" x14ac:dyDescent="0.25">
      <c r="A214" s="126" t="s">
        <v>13278</v>
      </c>
      <c r="B214" s="128">
        <f>SUMIF(speciated_chemicals_171[VOC-Exempt Solvent?],"Yes",speciated_chemicals_171[tpy])</f>
        <v>0</v>
      </c>
      <c r="C214" s="134"/>
      <c r="D214" s="29"/>
      <c r="E214" s="29"/>
      <c r="F214" s="29"/>
      <c r="G214" s="169"/>
      <c r="H214" s="169"/>
    </row>
    <row r="215" spans="1:8" ht="15" x14ac:dyDescent="0.25">
      <c r="A215" s="127" t="s">
        <v>13280</v>
      </c>
      <c r="B215" s="176">
        <f>speciated_ghg_172[[#Totals],[Mass Emissions (U.S. tons per year)]]</f>
        <v>0</v>
      </c>
      <c r="C215" s="134"/>
      <c r="D215" s="29"/>
      <c r="E215" s="29"/>
      <c r="F215" s="29"/>
      <c r="G215" s="169"/>
      <c r="H215" s="169"/>
    </row>
    <row r="216" spans="1:8" ht="18.75" x14ac:dyDescent="0.35">
      <c r="A216" s="127" t="s">
        <v>13281</v>
      </c>
      <c r="B216" s="176">
        <f>speciated_ghg_172[[#Totals],[CO2e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GpbODg+yyjN0b4vlQew8wgtixgPUTG/Sy2SJZS+iEb+Hv5q7xv+6xAGbWAG5WlyYnSLFwDADC8/+3sXqamU5Xg==" saltValue="zh5ncFq8TM7IeAQNVfoTIw==" spinCount="100000" sheet="1" objects="1" scenarios="1" formatColumns="0" formatRows="0" autoFilter="0"/>
  <conditionalFormatting sqref="A21:H21">
    <cfRule type="expression" dxfId="1141" priority="5">
      <formula>$F$19="No"</formula>
    </cfRule>
  </conditionalFormatting>
  <conditionalFormatting sqref="A105:E106 F106:G126">
    <cfRule type="expression" dxfId="1140" priority="4">
      <formula>$E$104="no"</formula>
    </cfRule>
  </conditionalFormatting>
  <conditionalFormatting sqref="C131:C180">
    <cfRule type="expression" dxfId="1139" priority="3">
      <formula>NOT(B131="Other (Please specify):")</formula>
    </cfRule>
  </conditionalFormatting>
  <conditionalFormatting sqref="A107:E126">
    <cfRule type="expression" dxfId="1138" priority="2">
      <formula>$A$58="No"</formula>
    </cfRule>
  </conditionalFormatting>
  <conditionalFormatting sqref="A107:E126 A206:B214 A215:A216">
    <cfRule type="expression" dxfId="1137"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59D1933C-62FB-4E6E-9926-C2B39B9D801F}"/>
    <dataValidation type="list" allowBlank="1" showInputMessage="1" showErrorMessage="1" sqref="E104:H104 B10" xr:uid="{D9CFC74D-D380-47F8-AC1E-2FE1E078470D}">
      <formula1>"Yes,No"</formula1>
    </dataValidation>
    <dataValidation type="list" allowBlank="1" showInputMessage="1" showErrorMessage="1" sqref="F19:H20" xr:uid="{B669DD4B-9A87-4043-B123-0BF20C0AA12F}">
      <formula1>"No,Yes - 75%,Yes - 95%"</formula1>
    </dataValidation>
    <dataValidation type="list" allowBlank="1" showInputMessage="1" showErrorMessage="1" sqref="F18" xr:uid="{1D07BE98-110C-4E54-A322-46A2E83F8BA6}">
      <formula1>IF(#REF!="SOCMI Non-leaker",ListNone,ListInspection)</formula1>
    </dataValidation>
    <dataValidation type="list" allowBlank="1" showInputMessage="1" showErrorMessage="1" sqref="F16:F17" xr:uid="{68A3D8BA-E910-4529-AACA-051DDE68EAE6}">
      <formula1>IF(#REF!="SOCMI Non-Leaker",ListNone,ListInstrument)</formula1>
    </dataValidation>
    <dataValidation type="list" allowBlank="1" showInputMessage="1" prompt="Please specify whether the substance is a volatile organic compound (VOC); methane and ethane are not classifed as VOCs" sqref="D132:D180" xr:uid="{58F4F4A3-662A-46BA-B154-F86A155F5F9D}">
      <formula1>"Yes,No"</formula1>
    </dataValidation>
    <dataValidation allowBlank="1" showInputMessage="1" showErrorMessage="1" prompt="Enter the weight percent of the substance" sqref="H178:H180 H132:H176" xr:uid="{808DD25A-DE3D-4B66-81EC-21A2E6ABF61B}"/>
    <dataValidation type="list" allowBlank="1" showInputMessage="1" showErrorMessage="1" prompt="Enter or select Chemical Abstracts Service number; select &quot;N/A&quot; if a CAS # is not applicable" sqref="A131:A175 A177:A180" xr:uid="{9D02E925-7852-403F-B48B-1D55B5D64B15}">
      <formula1>SpeciesList</formula1>
    </dataValidation>
    <dataValidation type="list" allowBlank="1" showInputMessage="1" prompt="Select other species from dropdown" sqref="C131:C180" xr:uid="{C5A55A5E-BDFC-4F19-A6BB-FCE5EB131B3A}">
      <formula1>NoCASList</formula1>
    </dataValidation>
    <dataValidation allowBlank="1" showInputMessage="1" showErrorMessage="1" prompt="Proposed control efficiency (0-1)" sqref="E107:E126" xr:uid="{AF4BC211-E7C2-467D-96E8-80DFB5736805}"/>
    <dataValidation allowBlank="1" showInputMessage="1" showErrorMessage="1" prompt="Count of unique component" sqref="C107:C126" xr:uid="{D070B4E4-B937-49AF-B9AB-3BD0911BFA4F}"/>
    <dataValidation allowBlank="1" showInputMessage="1" showErrorMessage="1" prompt="Type of service (e.g. gas, vapor, or liquid)" sqref="B107:B126" xr:uid="{B79A48E0-7FFE-4493-A304-5888E5E85A3B}"/>
    <dataValidation allowBlank="1" showInputMessage="1" showErrorMessage="1" prompt="Name of unique component" sqref="A107:A126" xr:uid="{04513CB2-7AB0-47AC-949A-98F7F0262495}"/>
    <dataValidation type="list" allowBlank="1" showInputMessage="1" showErrorMessage="1" sqref="B13" xr:uid="{1E0B7F97-6588-4529-BA3D-DEE885AA3803}">
      <formula1>industry_names</formula1>
    </dataValidation>
    <dataValidation type="list" allowBlank="1" showInputMessage="1" showErrorMessage="1" sqref="B19" xr:uid="{024B0C85-3A83-4FD7-A2D4-2A0B3518A4F8}">
      <formula1>yes_no_list</formula1>
    </dataValidation>
    <dataValidation type="list" allowBlank="1" showInputMessage="1" showErrorMessage="1" sqref="B20" xr:uid="{12ABF30B-DD3B-430A-BC86-7674D8F8C375}">
      <formula1>process_drains_effs</formula1>
    </dataValidation>
    <dataValidation allowBlank="1" showInputMessage="1" showErrorMessage="1" prompt="Proposed emission factor" sqref="D107:D126" xr:uid="{825B2C80-6663-467E-895D-18F340E54251}"/>
    <dataValidation type="list" allowBlank="1" showInputMessage="1" prompt="Please specify if the substance is an inert substance or is not considered a contaminant (e.g. steam)" sqref="G131:G180" xr:uid="{42026177-1596-4D23-A7B5-DF38466B2840}">
      <formula1>"Yes,No"</formula1>
    </dataValidation>
    <dataValidation type="list" allowBlank="1" showInputMessage="1" showErrorMessage="1" prompt="Please select from the dropdown" sqref="B104" xr:uid="{E1361CD1-D0CA-466C-B5F5-142F1A3D3371}">
      <formula1>yes_no_list</formula1>
    </dataValidation>
    <dataValidation allowBlank="1" showInputMessage="1" showErrorMessage="1" prompt="Provide justification" sqref="B105" xr:uid="{24C412BC-8DF5-43EE-8908-5EB0ADA6CE77}"/>
    <dataValidation type="list" showInputMessage="1" prompt="Please specify whether the substance is a volatile organic compound (VOC); methane and ethane are not classifed as VOCs" sqref="D131" xr:uid="{BDB40EE7-C058-43D7-B5F6-DFA9FCEC02FF}">
      <formula1>"Yes,No"</formula1>
    </dataValidation>
    <dataValidation type="list" showInputMessage="1" prompt="Please specify whether the substance is an inorganic contaminant (e.g. ammonia or chlorine gas)" sqref="E131:E180" xr:uid="{F204F2ED-D232-4123-BCE2-3DE0CC98EF00}">
      <formula1>"Yes,No"</formula1>
    </dataValidation>
    <dataValidation type="list" allowBlank="1" showInputMessage="1" prompt="Please specify whether the substance is an VOC-exempt solvent." sqref="F131:F180" xr:uid="{DB7E51F6-A4F5-4B78-9961-AAB2B62DB77D}">
      <formula1>"Yes,No"</formula1>
    </dataValidation>
    <dataValidation type="list" allowBlank="1" showInputMessage="1" showErrorMessage="1" prompt="Enter or select Chemical Abstracts Service number; select &quot;N/A&quot; if a CAS # is not applicable" sqref="A185:A203 A176" xr:uid="{6DCFB2F3-BF03-45B5-B72C-D73A6BE2545A}">
      <formula1>gwp_table_cas</formula1>
    </dataValidation>
    <dataValidation type="decimal" allowBlank="1" showInputMessage="1" showErrorMessage="1" prompt="Enter the weight percent of the substance" sqref="H177" xr:uid="{2D772ABB-C4DE-4944-B296-2E7C90D4077A}">
      <formula1>0</formula1>
      <formula2>1</formula2>
    </dataValidation>
    <dataValidation type="decimal" operator="greaterThan" allowBlank="1" showInputMessage="1" showErrorMessage="1" prompt="Enter the weight percent of the substance" sqref="H131 D185:D203" xr:uid="{814D1FE4-5358-40E6-BDA3-2BBF958A8464}">
      <formula1>0</formula1>
    </dataValidation>
    <dataValidation type="list" allowBlank="1" showInputMessage="1" showErrorMessage="1" sqref="B18" xr:uid="{23D37846-F822-461E-ACA9-A9B6C6D67176}">
      <formula1>inspection_ldar_list</formula1>
    </dataValidation>
    <dataValidation type="list" allowBlank="1" showInputMessage="1" showErrorMessage="1" sqref="B17" xr:uid="{3F92C048-8213-48F8-B5AD-67586B31A584}">
      <formula1>connector_ldar_list</formula1>
    </dataValidation>
    <dataValidation type="list" allowBlank="1" showInputMessage="1" showErrorMessage="1" sqref="B16" xr:uid="{A03B9D7D-A7E7-4495-8BA5-917A44368CB4}">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696A8-CFD0-4D80-B3D2-1532337DFC9D}">
  <sheetPr codeName="Sheet21">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INDEX((standard_components_173[[#This Row],[Component]]=factor_eff_table[Component])*(standard_components_173[[#This Row],[Service]]=factor_eff_table[Service]), 0, 1), 0)),
 "-")</f>
        <v>-</v>
      </c>
      <c r="E25" s="145" t="str" cm="1">
        <f t="array" ref="E2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25" s="145" t="str" cm="1">
        <f t="array" ref="F2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25" s="145" t="str" cm="1">
        <f t="array" ref="G2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2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2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INDEX((standard_components_173[[#This Row],[Component]]=factor_eff_table[Component])*(standard_components_173[[#This Row],[Service]]=factor_eff_table[Service]), 0, 1), 0)),
 "-")</f>
        <v>-</v>
      </c>
      <c r="E26" s="145" t="str" cm="1">
        <f t="array" ref="E2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26" s="145" t="str" cm="1">
        <f t="array" ref="F2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26" s="145" t="str" cm="1">
        <f t="array" ref="G2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2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2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INDEX((standard_components_173[[#This Row],[Component]]=factor_eff_table[Component])*(standard_components_173[[#This Row],[Service]]=factor_eff_table[Service]), 0, 1), 0)),
 "-")</f>
        <v>-</v>
      </c>
      <c r="E27" s="145" t="str" cm="1">
        <f t="array" ref="E2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27" s="145" t="str" cm="1">
        <f t="array" ref="F2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27" s="145" t="str" cm="1">
        <f t="array" ref="G2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2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2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INDEX((standard_components_173[[#This Row],[Component]]=factor_eff_table[Component])*(standard_components_173[[#This Row],[Service]]=factor_eff_table[Service]), 0, 1), 0)),
 "-")</f>
        <v>-</v>
      </c>
      <c r="E28" s="145" t="str" cm="1">
        <f t="array" ref="E2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28" s="145" t="str" cm="1">
        <f t="array" ref="F2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28" s="145" t="str" cm="1">
        <f t="array" ref="G2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2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2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INDEX((standard_components_173[[#This Row],[Component]]=factor_eff_table[Component])*(standard_components_173[[#This Row],[Service]]=factor_eff_table[Service]), 0, 1), 0)),
 "-")</f>
        <v>-</v>
      </c>
      <c r="E29" s="145" t="str" cm="1">
        <f t="array" ref="E2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29" s="145" t="str" cm="1">
        <f t="array" ref="F2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29" s="145" t="str" cm="1">
        <f t="array" ref="G2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2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2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INDEX((standard_components_173[[#This Row],[Component]]=factor_eff_table[Component])*(standard_components_173[[#This Row],[Service]]=factor_eff_table[Service]), 0, 1), 0)),
 "-")</f>
        <v>-</v>
      </c>
      <c r="E30" s="145" t="str" cm="1">
        <f t="array" ref="E3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0" s="145" t="str" cm="1">
        <f t="array" ref="F3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0" s="145" t="str" cm="1">
        <f t="array" ref="G3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INDEX((standard_components_173[[#This Row],[Component]]=factor_eff_table[Component])*(standard_components_173[[#This Row],[Service]]=factor_eff_table[Service]), 0, 1), 0)),
 "-")</f>
        <v>-</v>
      </c>
      <c r="E31" s="145" t="str" cm="1">
        <f t="array" ref="E3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1" s="145" t="str" cm="1">
        <f t="array" ref="F3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1" s="145" t="str" cm="1">
        <f t="array" ref="G3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INDEX((standard_components_173[[#This Row],[Component]]=factor_eff_table[Component])*(standard_components_173[[#This Row],[Service]]=factor_eff_table[Service]), 0, 1), 0)),
 "-")</f>
        <v>-</v>
      </c>
      <c r="E32" s="145" t="str" cm="1">
        <f t="array" ref="E3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2" s="145" t="str" cm="1">
        <f t="array" ref="F3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2" s="145" t="str" cm="1">
        <f t="array" ref="G3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INDEX((standard_components_173[[#This Row],[Component]]=factor_eff_table[Component])*(standard_components_173[[#This Row],[Service]]=factor_eff_table[Service]), 0, 1), 0)),
 "-")</f>
        <v>-</v>
      </c>
      <c r="E33" s="145" t="str" cm="1">
        <f t="array" ref="E3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3" s="145" t="str" cm="1">
        <f t="array" ref="F3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3" s="145" t="str" cm="1">
        <f t="array" ref="G3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INDEX((standard_components_173[[#This Row],[Component]]=factor_eff_table[Component])*(standard_components_173[[#This Row],[Service]]=factor_eff_table[Service]), 0, 1), 0)),
 "-")</f>
        <v>-</v>
      </c>
      <c r="E34" s="145" t="str" cm="1">
        <f t="array" ref="E3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4" s="145" t="str" cm="1">
        <f t="array" ref="F3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4" s="145" t="str" cm="1">
        <f t="array" ref="G3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INDEX((standard_components_173[[#This Row],[Component]]=factor_eff_table[Component])*(standard_components_173[[#This Row],[Service]]=factor_eff_table[Service]), 0, 1), 0)),
 "-")</f>
        <v>-</v>
      </c>
      <c r="E35" s="145" t="str" cm="1">
        <f t="array" ref="E3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5" s="145" t="str" cm="1">
        <f t="array" ref="F3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5" s="145" t="str" cm="1">
        <f t="array" ref="G3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INDEX((standard_components_173[[#This Row],[Component]]=factor_eff_table[Component])*(standard_components_173[[#This Row],[Service]]=factor_eff_table[Service]), 0, 1), 0)),
 "-")</f>
        <v>-</v>
      </c>
      <c r="E36" s="145" t="str" cm="1">
        <f t="array" ref="E3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6" s="145" t="str" cm="1">
        <f t="array" ref="F3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6" s="145" t="str" cm="1">
        <f t="array" ref="G3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INDEX((standard_components_173[[#This Row],[Component]]=factor_eff_table[Component])*(standard_components_173[[#This Row],[Service]]=factor_eff_table[Service]), 0, 1), 0)),
 "-")</f>
        <v>-</v>
      </c>
      <c r="E37" s="145" t="str" cm="1">
        <f t="array" ref="E3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7" s="145" t="str" cm="1">
        <f t="array" ref="F3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7" s="145" t="str" cm="1">
        <f t="array" ref="G3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INDEX((standard_components_173[[#This Row],[Component]]=factor_eff_table[Component])*(standard_components_173[[#This Row],[Service]]=factor_eff_table[Service]), 0, 1), 0)),
 "-")</f>
        <v>-</v>
      </c>
      <c r="E38" s="145" t="str" cm="1">
        <f t="array" ref="E3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8" s="145" t="str" cm="1">
        <f t="array" ref="F3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8" s="145" t="str" cm="1">
        <f t="array" ref="G3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INDEX((standard_components_173[[#This Row],[Component]]=factor_eff_table[Component])*(standard_components_173[[#This Row],[Service]]=factor_eff_table[Service]), 0, 1), 0)),
 "-")</f>
        <v>-</v>
      </c>
      <c r="E39" s="145" t="str" cm="1">
        <f t="array" ref="E3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39" s="145" t="str" cm="1">
        <f t="array" ref="F3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39" s="145" t="str" cm="1">
        <f t="array" ref="G3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3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3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INDEX((standard_components_173[[#This Row],[Component]]=factor_eff_table[Component])*(standard_components_173[[#This Row],[Service]]=factor_eff_table[Service]), 0, 1), 0)),
 "-")</f>
        <v>-</v>
      </c>
      <c r="E40" s="145" t="str" cm="1">
        <f t="array" ref="E4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0" s="145" t="str" cm="1">
        <f t="array" ref="F4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0" s="145" t="str" cm="1">
        <f t="array" ref="G4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INDEX((standard_components_173[[#This Row],[Component]]=factor_eff_table[Component])*(standard_components_173[[#This Row],[Service]]=factor_eff_table[Service]), 0, 1), 0)),
 "-")</f>
        <v>-</v>
      </c>
      <c r="E41" s="145" t="str" cm="1">
        <f t="array" ref="E4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1" s="145" t="str" cm="1">
        <f t="array" ref="F4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1" s="145" t="str" cm="1">
        <f t="array" ref="G4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INDEX((standard_components_173[[#This Row],[Component]]=factor_eff_table[Component])*(standard_components_173[[#This Row],[Service]]=factor_eff_table[Service]), 0, 1), 0)),
 "-")</f>
        <v>-</v>
      </c>
      <c r="E42" s="145" t="str" cm="1">
        <f t="array" ref="E4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2" s="145" t="str" cm="1">
        <f t="array" ref="F4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2" s="145" t="str" cm="1">
        <f t="array" ref="G4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INDEX((standard_components_173[[#This Row],[Component]]=factor_eff_table[Component])*(standard_components_173[[#This Row],[Service]]=factor_eff_table[Service]), 0, 1), 0)),
 "-")</f>
        <v>-</v>
      </c>
      <c r="E43" s="145" t="str" cm="1">
        <f t="array" ref="E4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3" s="145" t="str" cm="1">
        <f t="array" ref="F4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3" s="145" t="str" cm="1">
        <f t="array" ref="G4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INDEX((standard_components_173[[#This Row],[Component]]=factor_eff_table[Component])*(standard_components_173[[#This Row],[Service]]=factor_eff_table[Service]), 0, 1), 0)),
 "-")</f>
        <v>-</v>
      </c>
      <c r="E44" s="145" t="str" cm="1">
        <f t="array" ref="E4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4" s="145" t="str" cm="1">
        <f t="array" ref="F4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4" s="145" t="str" cm="1">
        <f t="array" ref="G4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INDEX((standard_components_173[[#This Row],[Component]]=factor_eff_table[Component])*(standard_components_173[[#This Row],[Service]]=factor_eff_table[Service]), 0, 1), 0)),
 "-")</f>
        <v>-</v>
      </c>
      <c r="E45" s="145" t="str" cm="1">
        <f t="array" ref="E4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5" s="145" t="str" cm="1">
        <f t="array" ref="F4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5" s="145" t="str" cm="1">
        <f t="array" ref="G4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INDEX((standard_components_173[[#This Row],[Component]]=factor_eff_table[Component])*(standard_components_173[[#This Row],[Service]]=factor_eff_table[Service]), 0, 1), 0)),
 "-")</f>
        <v>-</v>
      </c>
      <c r="E46" s="145" t="str" cm="1">
        <f t="array" ref="E4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6" s="145" t="str" cm="1">
        <f t="array" ref="F4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6" s="145" t="str" cm="1">
        <f t="array" ref="G4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INDEX((standard_components_173[[#This Row],[Component]]=factor_eff_table[Component])*(standard_components_173[[#This Row],[Service]]=factor_eff_table[Service]), 0, 1), 0)),
 "-")</f>
        <v>-</v>
      </c>
      <c r="E47" s="145" t="str" cm="1">
        <f t="array" ref="E4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7" s="145" t="str" cm="1">
        <f t="array" ref="F4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7" s="145" t="str" cm="1">
        <f t="array" ref="G4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INDEX((standard_components_173[[#This Row],[Component]]=factor_eff_table[Component])*(standard_components_173[[#This Row],[Service]]=factor_eff_table[Service]), 0, 1), 0)),
 "-")</f>
        <v>-</v>
      </c>
      <c r="E48" s="145" t="str" cm="1">
        <f t="array" ref="E4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8" s="145" t="str" cm="1">
        <f t="array" ref="F4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8" s="145" t="str" cm="1">
        <f t="array" ref="G4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INDEX((standard_components_173[[#This Row],[Component]]=factor_eff_table[Component])*(standard_components_173[[#This Row],[Service]]=factor_eff_table[Service]), 0, 1), 0)),
 "-")</f>
        <v>-</v>
      </c>
      <c r="E49" s="145" t="str" cm="1">
        <f t="array" ref="E4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49" s="145" t="str" cm="1">
        <f t="array" ref="F4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49" s="145" t="str" cm="1">
        <f t="array" ref="G4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4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4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INDEX((standard_components_173[[#This Row],[Component]]=factor_eff_table[Component])*(standard_components_173[[#This Row],[Service]]=factor_eff_table[Service]), 0, 1), 0)),
 "-")</f>
        <v>-</v>
      </c>
      <c r="E50" s="145" t="str" cm="1">
        <f t="array" ref="E5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0" s="145" t="str" cm="1">
        <f t="array" ref="F5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0" s="145" t="str" cm="1">
        <f t="array" ref="G5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INDEX((standard_components_173[[#This Row],[Component]]=factor_eff_table[Component])*(standard_components_173[[#This Row],[Service]]=factor_eff_table[Service]), 0, 1), 0)),
 "-")</f>
        <v>-</v>
      </c>
      <c r="E51" s="145" t="str" cm="1">
        <f t="array" ref="E5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1" s="145" t="str" cm="1">
        <f t="array" ref="F5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1" s="145" t="str" cm="1">
        <f t="array" ref="G5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INDEX((standard_components_173[[#This Row],[Component]]=factor_eff_table[Component])*(standard_components_173[[#This Row],[Service]]=factor_eff_table[Service]), 0, 1), 0)),
 "-")</f>
        <v>-</v>
      </c>
      <c r="E52" s="145" t="str" cm="1">
        <f t="array" ref="E5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2" s="145" t="str" cm="1">
        <f t="array" ref="F5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2" s="145" t="str" cm="1">
        <f t="array" ref="G5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INDEX((standard_components_173[[#This Row],[Component]]=factor_eff_table[Component])*(standard_components_173[[#This Row],[Service]]=factor_eff_table[Service]), 0, 1), 0)),
 "-")</f>
        <v>-</v>
      </c>
      <c r="E53" s="145" t="str" cm="1">
        <f t="array" ref="E5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3" s="145" t="str" cm="1">
        <f t="array" ref="F5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3" s="145" t="str" cm="1">
        <f t="array" ref="G5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INDEX((standard_components_173[[#This Row],[Component]]=factor_eff_table[Component])*(standard_components_173[[#This Row],[Service]]=factor_eff_table[Service]), 0, 1), 0)),
 "-")</f>
        <v>-</v>
      </c>
      <c r="E54" s="145" t="str" cm="1">
        <f t="array" ref="E5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4" s="145" t="str" cm="1">
        <f t="array" ref="F5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4" s="145" t="str" cm="1">
        <f t="array" ref="G5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INDEX((standard_components_173[[#This Row],[Component]]=factor_eff_table[Component])*(standard_components_173[[#This Row],[Service]]=factor_eff_table[Service]), 0, 1), 0)),
 "-")</f>
        <v>-</v>
      </c>
      <c r="E55" s="145" t="str" cm="1">
        <f t="array" ref="E5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5" s="145" t="str" cm="1">
        <f t="array" ref="F5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5" s="145" t="str" cm="1">
        <f t="array" ref="G5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INDEX((standard_components_173[[#This Row],[Component]]=factor_eff_table[Component])*(standard_components_173[[#This Row],[Service]]=factor_eff_table[Service]), 0, 1), 0)),
 "-")</f>
        <v>-</v>
      </c>
      <c r="E56" s="145" t="str" cm="1">
        <f t="array" ref="E5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6" s="145" t="str" cm="1">
        <f t="array" ref="F5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6" s="145" t="str" cm="1">
        <f t="array" ref="G5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INDEX((standard_components_173[[#This Row],[Component]]=factor_eff_table[Component])*(standard_components_173[[#This Row],[Service]]=factor_eff_table[Service]), 0, 1), 0)),
 "-")</f>
        <v>-</v>
      </c>
      <c r="E57" s="145" t="str" cm="1">
        <f t="array" ref="E5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7" s="145" t="str" cm="1">
        <f t="array" ref="F5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7" s="145" t="str" cm="1">
        <f t="array" ref="G5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INDEX((standard_components_173[[#This Row],[Component]]=factor_eff_table[Component])*(standard_components_173[[#This Row],[Service]]=factor_eff_table[Service]), 0, 1), 0)),
 "-")</f>
        <v>-</v>
      </c>
      <c r="E58" s="145" t="str" cm="1">
        <f t="array" ref="E5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8" s="145" t="str" cm="1">
        <f t="array" ref="F5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8" s="145" t="str" cm="1">
        <f t="array" ref="G5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INDEX((standard_components_173[[#This Row],[Component]]=factor_eff_table[Component])*(standard_components_173[[#This Row],[Service]]=factor_eff_table[Service]), 0, 1), 0)),
 "-")</f>
        <v>-</v>
      </c>
      <c r="E59" s="145" t="str" cm="1">
        <f t="array" ref="E5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59" s="145" t="str" cm="1">
        <f t="array" ref="F5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59" s="145" t="str" cm="1">
        <f t="array" ref="G5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5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5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INDEX((standard_components_173[[#This Row],[Component]]=factor_eff_table[Component])*(standard_components_173[[#This Row],[Service]]=factor_eff_table[Service]), 0, 1), 0)),
 "-")</f>
        <v>-</v>
      </c>
      <c r="E60" s="145" t="str" cm="1">
        <f t="array" ref="E6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0" s="145" t="str" cm="1">
        <f t="array" ref="F6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0" s="145" t="str" cm="1">
        <f t="array" ref="G6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INDEX((standard_components_173[[#This Row],[Component]]=factor_eff_table[Component])*(standard_components_173[[#This Row],[Service]]=factor_eff_table[Service]), 0, 1), 0)),
 "-")</f>
        <v>-</v>
      </c>
      <c r="E61" s="145" t="str" cm="1">
        <f t="array" ref="E6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1" s="145" t="str" cm="1">
        <f t="array" ref="F6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1" s="145" t="str" cm="1">
        <f t="array" ref="G6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INDEX((standard_components_173[[#This Row],[Component]]=factor_eff_table[Component])*(standard_components_173[[#This Row],[Service]]=factor_eff_table[Service]), 0, 1), 0)),
 "-")</f>
        <v>-</v>
      </c>
      <c r="E62" s="145" t="str" cm="1">
        <f t="array" ref="E6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2" s="145" t="str" cm="1">
        <f t="array" ref="F6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2" s="145" t="str" cm="1">
        <f t="array" ref="G6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INDEX((standard_components_173[[#This Row],[Component]]=factor_eff_table[Component])*(standard_components_173[[#This Row],[Service]]=factor_eff_table[Service]), 0, 1), 0)),
 "-")</f>
        <v>-</v>
      </c>
      <c r="E63" s="145" t="str" cm="1">
        <f t="array" ref="E6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3" s="145" t="str" cm="1">
        <f t="array" ref="F6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3" s="145" t="str" cm="1">
        <f t="array" ref="G6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INDEX((standard_components_173[[#This Row],[Component]]=factor_eff_table[Component])*(standard_components_173[[#This Row],[Service]]=factor_eff_table[Service]), 0, 1), 0)),
 "-")</f>
        <v>-</v>
      </c>
      <c r="E64" s="145" t="str" cm="1">
        <f t="array" ref="E6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4" s="145" t="str" cm="1">
        <f t="array" ref="F6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4" s="145" t="str" cm="1">
        <f t="array" ref="G6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INDEX((standard_components_173[[#This Row],[Component]]=factor_eff_table[Component])*(standard_components_173[[#This Row],[Service]]=factor_eff_table[Service]), 0, 1), 0)),
 "-")</f>
        <v>-</v>
      </c>
      <c r="E65" s="145" t="str" cm="1">
        <f t="array" ref="E6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5" s="145" t="str" cm="1">
        <f t="array" ref="F6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5" s="145" t="str" cm="1">
        <f t="array" ref="G6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INDEX((standard_components_173[[#This Row],[Component]]=factor_eff_table[Component])*(standard_components_173[[#This Row],[Service]]=factor_eff_table[Service]), 0, 1), 0)),
 "-")</f>
        <v>-</v>
      </c>
      <c r="E66" s="145" t="str" cm="1">
        <f t="array" ref="E6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6" s="145" t="str" cm="1">
        <f t="array" ref="F6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6" s="145" t="str" cm="1">
        <f t="array" ref="G6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INDEX((standard_components_173[[#This Row],[Component]]=factor_eff_table[Component])*(standard_components_173[[#This Row],[Service]]=factor_eff_table[Service]), 0, 1), 0)),
 "-")</f>
        <v>-</v>
      </c>
      <c r="E67" s="145" t="str" cm="1">
        <f t="array" ref="E6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7" s="145" t="str" cm="1">
        <f t="array" ref="F6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7" s="145" t="str" cm="1">
        <f t="array" ref="G6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INDEX((standard_components_173[[#This Row],[Component]]=factor_eff_table[Component])*(standard_components_173[[#This Row],[Service]]=factor_eff_table[Service]), 0, 1), 0)),
 "-")</f>
        <v>-</v>
      </c>
      <c r="E68" s="145" t="str" cm="1">
        <f t="array" ref="E6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8" s="145" t="str" cm="1">
        <f t="array" ref="F6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8" s="145" t="str" cm="1">
        <f t="array" ref="G6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INDEX((standard_components_173[[#This Row],[Component]]=factor_eff_table[Component])*(standard_components_173[[#This Row],[Service]]=factor_eff_table[Service]), 0, 1), 0)),
 "-")</f>
        <v>-</v>
      </c>
      <c r="E69" s="145" t="str" cm="1">
        <f t="array" ref="E6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69" s="145" t="str" cm="1">
        <f t="array" ref="F6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69" s="145" t="str" cm="1">
        <f t="array" ref="G6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6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6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INDEX((standard_components_173[[#This Row],[Component]]=factor_eff_table[Component])*(standard_components_173[[#This Row],[Service]]=factor_eff_table[Service]), 0, 1), 0)),
 "-")</f>
        <v>-</v>
      </c>
      <c r="E70" s="145" t="str" cm="1">
        <f t="array" ref="E7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0" s="145" t="str" cm="1">
        <f t="array" ref="F7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0" s="145" t="str" cm="1">
        <f t="array" ref="G7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INDEX((standard_components_173[[#This Row],[Component]]=factor_eff_table[Component])*(standard_components_173[[#This Row],[Service]]=factor_eff_table[Service]), 0, 1), 0)),
 "-")</f>
        <v>-</v>
      </c>
      <c r="E71" s="145" t="str" cm="1">
        <f t="array" ref="E7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1" s="145" t="str" cm="1">
        <f t="array" ref="F7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1" s="145" t="str" cm="1">
        <f t="array" ref="G7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INDEX((standard_components_173[[#This Row],[Component]]=factor_eff_table[Component])*(standard_components_173[[#This Row],[Service]]=factor_eff_table[Service]), 0, 1), 0)),
 "-")</f>
        <v>-</v>
      </c>
      <c r="E72" s="145" t="str" cm="1">
        <f t="array" ref="E7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2" s="145" t="str" cm="1">
        <f t="array" ref="F7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2" s="145" t="str" cm="1">
        <f t="array" ref="G7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INDEX((standard_components_173[[#This Row],[Component]]=factor_eff_table[Component])*(standard_components_173[[#This Row],[Service]]=factor_eff_table[Service]), 0, 1), 0)),
 "-")</f>
        <v>-</v>
      </c>
      <c r="E73" s="145" t="str" cm="1">
        <f t="array" ref="E7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3" s="145" t="str" cm="1">
        <f t="array" ref="F7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3" s="145" t="str" cm="1">
        <f t="array" ref="G7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INDEX((standard_components_173[[#This Row],[Component]]=factor_eff_table[Component])*(standard_components_173[[#This Row],[Service]]=factor_eff_table[Service]), 0, 1), 0)),
 "-")</f>
        <v>-</v>
      </c>
      <c r="E74" s="145" t="str" cm="1">
        <f t="array" ref="E7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4" s="145" t="str" cm="1">
        <f t="array" ref="F7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4" s="145" t="str" cm="1">
        <f t="array" ref="G7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INDEX((standard_components_173[[#This Row],[Component]]=factor_eff_table[Component])*(standard_components_173[[#This Row],[Service]]=factor_eff_table[Service]), 0, 1), 0)),
 "-")</f>
        <v>-</v>
      </c>
      <c r="E75" s="145" t="str" cm="1">
        <f t="array" ref="E7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5" s="145" t="str" cm="1">
        <f t="array" ref="F7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5" s="145" t="str" cm="1">
        <f t="array" ref="G7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INDEX((standard_components_173[[#This Row],[Component]]=factor_eff_table[Component])*(standard_components_173[[#This Row],[Service]]=factor_eff_table[Service]), 0, 1), 0)),
 "-")</f>
        <v>-</v>
      </c>
      <c r="E76" s="145" t="str" cm="1">
        <f t="array" ref="E7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6" s="145" t="str" cm="1">
        <f t="array" ref="F7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6" s="145" t="str" cm="1">
        <f t="array" ref="G7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INDEX((standard_components_173[[#This Row],[Component]]=factor_eff_table[Component])*(standard_components_173[[#This Row],[Service]]=factor_eff_table[Service]), 0, 1), 0)),
 "-")</f>
        <v>-</v>
      </c>
      <c r="E77" s="145" t="str" cm="1">
        <f t="array" ref="E7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7" s="145" t="str" cm="1">
        <f t="array" ref="F7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7" s="145" t="str" cm="1">
        <f t="array" ref="G7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INDEX((standard_components_173[[#This Row],[Component]]=factor_eff_table[Component])*(standard_components_173[[#This Row],[Service]]=factor_eff_table[Service]), 0, 1), 0)),
 "-")</f>
        <v>-</v>
      </c>
      <c r="E78" s="145" t="str" cm="1">
        <f t="array" ref="E7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8" s="145" t="str" cm="1">
        <f t="array" ref="F7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8" s="145" t="str" cm="1">
        <f t="array" ref="G7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INDEX((standard_components_173[[#This Row],[Component]]=factor_eff_table[Component])*(standard_components_173[[#This Row],[Service]]=factor_eff_table[Service]), 0, 1), 0)),
 "-")</f>
        <v>-</v>
      </c>
      <c r="E79" s="145" t="str" cm="1">
        <f t="array" ref="E7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79" s="145" t="str" cm="1">
        <f t="array" ref="F7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79" s="145" t="str" cm="1">
        <f t="array" ref="G7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7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7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INDEX((standard_components_173[[#This Row],[Component]]=factor_eff_table[Component])*(standard_components_173[[#This Row],[Service]]=factor_eff_table[Service]), 0, 1), 0)),
 "-")</f>
        <v>-</v>
      </c>
      <c r="E80" s="145" t="str" cm="1">
        <f t="array" ref="E8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0" s="145" t="str" cm="1">
        <f t="array" ref="F8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0" s="145" t="str" cm="1">
        <f t="array" ref="G8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INDEX((standard_components_173[[#This Row],[Component]]=factor_eff_table[Component])*(standard_components_173[[#This Row],[Service]]=factor_eff_table[Service]), 0, 1), 0)),
 "-")</f>
        <v>-</v>
      </c>
      <c r="E81" s="145" t="str" cm="1">
        <f t="array" ref="E8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1" s="145" t="str" cm="1">
        <f t="array" ref="F8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1" s="145" t="str" cm="1">
        <f t="array" ref="G8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INDEX((standard_components_173[[#This Row],[Component]]=factor_eff_table[Component])*(standard_components_173[[#This Row],[Service]]=factor_eff_table[Service]), 0, 1), 0)),
 "-")</f>
        <v>-</v>
      </c>
      <c r="E82" s="145" t="str" cm="1">
        <f t="array" ref="E8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2" s="145" t="str" cm="1">
        <f t="array" ref="F8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2" s="145" t="str" cm="1">
        <f t="array" ref="G8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INDEX((standard_components_173[[#This Row],[Component]]=factor_eff_table[Component])*(standard_components_173[[#This Row],[Service]]=factor_eff_table[Service]), 0, 1), 0)),
 "-")</f>
        <v>-</v>
      </c>
      <c r="E83" s="145" t="str" cm="1">
        <f t="array" ref="E8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3" s="145" t="str" cm="1">
        <f t="array" ref="F8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3" s="145" t="str" cm="1">
        <f t="array" ref="G8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INDEX((standard_components_173[[#This Row],[Component]]=factor_eff_table[Component])*(standard_components_173[[#This Row],[Service]]=factor_eff_table[Service]), 0, 1), 0)),
 "-")</f>
        <v>-</v>
      </c>
      <c r="E84" s="145" t="str" cm="1">
        <f t="array" ref="E8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4" s="145" t="str" cm="1">
        <f t="array" ref="F8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4" s="145" t="str" cm="1">
        <f t="array" ref="G8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INDEX((standard_components_173[[#This Row],[Component]]=factor_eff_table[Component])*(standard_components_173[[#This Row],[Service]]=factor_eff_table[Service]), 0, 1), 0)),
 "-")</f>
        <v>-</v>
      </c>
      <c r="E85" s="145" t="str" cm="1">
        <f t="array" ref="E8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5" s="145" t="str" cm="1">
        <f t="array" ref="F8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5" s="145" t="str" cm="1">
        <f t="array" ref="G8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INDEX((standard_components_173[[#This Row],[Component]]=factor_eff_table[Component])*(standard_components_173[[#This Row],[Service]]=factor_eff_table[Service]), 0, 1), 0)),
 "-")</f>
        <v>-</v>
      </c>
      <c r="E86" s="145" t="str" cm="1">
        <f t="array" ref="E8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6" s="145" t="str" cm="1">
        <f t="array" ref="F8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6" s="145" t="str" cm="1">
        <f t="array" ref="G8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INDEX((standard_components_173[[#This Row],[Component]]=factor_eff_table[Component])*(standard_components_173[[#This Row],[Service]]=factor_eff_table[Service]), 0, 1), 0)),
 "-")</f>
        <v>-</v>
      </c>
      <c r="E87" s="145" t="str" cm="1">
        <f t="array" ref="E8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7" s="145" t="str" cm="1">
        <f t="array" ref="F8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7" s="145" t="str" cm="1">
        <f t="array" ref="G8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INDEX((standard_components_173[[#This Row],[Component]]=factor_eff_table[Component])*(standard_components_173[[#This Row],[Service]]=factor_eff_table[Service]), 0, 1), 0)),
 "-")</f>
        <v>-</v>
      </c>
      <c r="E88" s="145" t="str" cm="1">
        <f t="array" ref="E8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8" s="145" t="str" cm="1">
        <f t="array" ref="F8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8" s="145" t="str" cm="1">
        <f t="array" ref="G8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INDEX((standard_components_173[[#This Row],[Component]]=factor_eff_table[Component])*(standard_components_173[[#This Row],[Service]]=factor_eff_table[Service]), 0, 1), 0)),
 "-")</f>
        <v>-</v>
      </c>
      <c r="E89" s="145" t="str" cm="1">
        <f t="array" ref="E8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89" s="145" t="str" cm="1">
        <f t="array" ref="F8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89" s="145" t="str" cm="1">
        <f t="array" ref="G8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8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8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INDEX((standard_components_173[[#This Row],[Component]]=factor_eff_table[Component])*(standard_components_173[[#This Row],[Service]]=factor_eff_table[Service]), 0, 1), 0)),
 "-")</f>
        <v>-</v>
      </c>
      <c r="E90" s="145" t="str" cm="1">
        <f t="array" ref="E9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0" s="145" t="str" cm="1">
        <f t="array" ref="F9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0" s="145" t="str" cm="1">
        <f t="array" ref="G9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INDEX((standard_components_173[[#This Row],[Component]]=factor_eff_table[Component])*(standard_components_173[[#This Row],[Service]]=factor_eff_table[Service]), 0, 1), 0)),
 "-")</f>
        <v>-</v>
      </c>
      <c r="E91" s="145" t="str" cm="1">
        <f t="array" ref="E91">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1" s="145" t="str" cm="1">
        <f t="array" ref="F91">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1" s="145" t="str" cm="1">
        <f t="array" ref="G91">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1"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1"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INDEX((standard_components_173[[#This Row],[Component]]=factor_eff_table[Component])*(standard_components_173[[#This Row],[Service]]=factor_eff_table[Service]), 0, 1), 0)),
 "-")</f>
        <v>-</v>
      </c>
      <c r="E92" s="145" t="str" cm="1">
        <f t="array" ref="E92">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2" s="145" t="str" cm="1">
        <f t="array" ref="F92">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2" s="145" t="str" cm="1">
        <f t="array" ref="G92">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2"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2"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INDEX((standard_components_173[[#This Row],[Component]]=factor_eff_table[Component])*(standard_components_173[[#This Row],[Service]]=factor_eff_table[Service]), 0, 1), 0)),
 "-")</f>
        <v>-</v>
      </c>
      <c r="E93" s="145" t="str" cm="1">
        <f t="array" ref="E93">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3" s="145" t="str" cm="1">
        <f t="array" ref="F93">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3" s="145" t="str" cm="1">
        <f t="array" ref="G93">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3"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3"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INDEX((standard_components_173[[#This Row],[Component]]=factor_eff_table[Component])*(standard_components_173[[#This Row],[Service]]=factor_eff_table[Service]), 0, 1), 0)),
 "-")</f>
        <v>-</v>
      </c>
      <c r="E94" s="145" t="str" cm="1">
        <f t="array" ref="E94">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4" s="145" t="str" cm="1">
        <f t="array" ref="F94">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4" s="145" t="str" cm="1">
        <f t="array" ref="G94">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4"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4"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INDEX((standard_components_173[[#This Row],[Component]]=factor_eff_table[Component])*(standard_components_173[[#This Row],[Service]]=factor_eff_table[Service]), 0, 1), 0)),
 "-")</f>
        <v>-</v>
      </c>
      <c r="E95" s="145" t="str" cm="1">
        <f t="array" ref="E95">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5" s="145" t="str" cm="1">
        <f t="array" ref="F95">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5" s="145" t="str" cm="1">
        <f t="array" ref="G95">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5"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5"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INDEX((standard_components_173[[#This Row],[Component]]=factor_eff_table[Component])*(standard_components_173[[#This Row],[Service]]=factor_eff_table[Service]), 0, 1), 0)),
 "-")</f>
        <v>-</v>
      </c>
      <c r="E96" s="145" t="str" cm="1">
        <f t="array" ref="E96">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6" s="145" t="str" cm="1">
        <f t="array" ref="F96">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6" s="145" t="str" cm="1">
        <f t="array" ref="G96">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6"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6"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INDEX((standard_components_173[[#This Row],[Component]]=factor_eff_table[Component])*(standard_components_173[[#This Row],[Service]]=factor_eff_table[Service]), 0, 1), 0)),
 "-")</f>
        <v>-</v>
      </c>
      <c r="E97" s="145" t="str" cm="1">
        <f t="array" ref="E97">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7" s="145" t="str" cm="1">
        <f t="array" ref="F97">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7" s="145" t="str" cm="1">
        <f t="array" ref="G97">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7"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7"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INDEX((standard_components_173[[#This Row],[Component]]=factor_eff_table[Component])*(standard_components_173[[#This Row],[Service]]=factor_eff_table[Service]), 0, 1), 0)),
 "-")</f>
        <v>-</v>
      </c>
      <c r="E98" s="145" t="str" cm="1">
        <f t="array" ref="E98">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8" s="145" t="str" cm="1">
        <f t="array" ref="F98">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8" s="145" t="str" cm="1">
        <f t="array" ref="G98">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8"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8"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INDEX((standard_components_173[[#This Row],[Component]]=factor_eff_table[Component])*(standard_components_173[[#This Row],[Service]]=factor_eff_table[Service]), 0, 1), 0)),
 "-")</f>
        <v>-</v>
      </c>
      <c r="E99" s="145" t="str" cm="1">
        <f t="array" ref="E99">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99" s="145" t="str" cm="1">
        <f t="array" ref="F99">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99" s="145" t="str" cm="1">
        <f t="array" ref="G99">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99"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99"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INDEX((standard_components_173[[#This Row],[Component]]=factor_eff_table[Component])*(standard_components_173[[#This Row],[Service]]=factor_eff_table[Service]), 0, 1), 0)),
 "-")</f>
        <v>-</v>
      </c>
      <c r="E100" s="145" t="str" cm="1">
        <f t="array" ref="E100">IF(AND(process_drain_bool="Yes",LEFT(standard_components_173[[#This Row],[Component]], LEN("Process drains"))="Process Drains", ISBLANK(instrument_ldar)=FALSE), process_drain_eff,
IFERROR(
INDEX(
INDEX(factor_eff_table[], , MATCH(instrument_ldar, factor_eff_table[#Headers], 0)),
MATCH(1, INDEX((standard_components_173[[#This Row],[Component]]=factor_eff_table[Component])*(standard_components_173[[#This Row],[Service]]=factor_eff_table[Service]), 0, 1), 0)),
 "-"))</f>
        <v>-</v>
      </c>
      <c r="F100" s="145" t="str" cm="1">
        <f t="array" ref="F100">IF(AND(process_drain_bool="Yes",LEFT(standard_components_173[[#This Row],[Component]], LEN("Process drains"))="Process Drains", ISBLANK(connector_ldar)=FALSE), process_drain_eff,
IFERROR(
INDEX(
INDEX(factor_eff_table[], , MATCH(connector_ldar, factor_eff_table[#Headers], 0)),
MATCH(1, INDEX((standard_components_173[[#This Row],[Component]]=factor_eff_table[Component])*(standard_components_173[[#This Row],[Service]]=factor_eff_table[Service]), 0, 1), 0)),
 "-"))</f>
        <v>-</v>
      </c>
      <c r="G100" s="145" t="str" cm="1">
        <f t="array" ref="G100">IF(AND(process_drain_bool="Yes",LEFT(standard_components_173[[#This Row],[Component]], LEN("Process Drains"))="Process Drains", ISBLANK(inspection_ldar)=FALSE), process_drain_eff,
IFERROR(
INDEX(
INDEX(factor_eff_table[], , MATCH(inspection_ldar, factor_eff_table[#Headers], 0)),
MATCH(1, INDEX((standard_components_173[[#This Row],[Component]]=factor_eff_table[Component])*(standard_components_173[[#This Row],[Service]]=factor_eff_table[Service]), 0, 1), 0)),
 "-"))</f>
        <v>-</v>
      </c>
      <c r="H100" s="146" t="str">
        <f>IF(standard_components_173[[#This Row],[Component]]="Sampling Connections (annual) [2]", "N/A",
 IF(standard_components_173[[#This Row],[Component]]="Sampling Connections (hourly) [1]", standard_components_173[[#This Row],[Count]]*standard_components_173[[#This Row],[Industry Emission Factor]],
IFERROR(standard_components_173[[#This Row],[Count]]*standard_components_173[[#This Row],[Industry Emission Factor]]*MIN(1-standard_components_173[[#This Row],[Instrument Monitoring LDAR Control Efficiency]], 1-standard_components_173[[#This Row],[Physical Inspection LDAR Control Efficiency]], 1-standard_components_173[[#This Row],[Connector Monitoring LDAR Control Efficiency]]), "-")))</f>
        <v>-</v>
      </c>
      <c r="I100" s="146" t="str">
        <f>IF(standard_components_173[[#This Row],[Component]]="Sampling Connections (hourly) [1]", "N/A",
 IF(standard_components_173[[#This Row],[Component]]="Sampling Connections (annual) [2]", standard_components_173[[#This Row],[Count]]*standard_components_173[[#This Row],[Industry Emission Factor]]/stons_to_lbs,
 IFERROR(years_to_hrs/stons_to_lbs*standard_components_173[[#This Row],[Controlled
lb/hr]], "-")))</f>
        <v>-</v>
      </c>
    </row>
    <row r="101" spans="1:9" ht="15" x14ac:dyDescent="0.25">
      <c r="A101" s="147" t="s">
        <v>12776</v>
      </c>
      <c r="B101" s="148"/>
      <c r="C101" s="149">
        <f>SUBTOTAL(109,standard_components_173[Count])</f>
        <v>0</v>
      </c>
      <c r="D101" s="150"/>
      <c r="E101" s="150"/>
      <c r="F101" s="150"/>
      <c r="G101" s="150"/>
      <c r="H101" s="151">
        <f>SUBTOTAL(109,standard_components_173[Controlled
lb/hr])</f>
        <v>0</v>
      </c>
      <c r="I101" s="151">
        <f>SUBTOTAL(109,standard_components_173[Controlled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unique_components_174[[#This Row],[Count]]*unique_components_174[[#This Row],[Proposed Emission Factor]]*(1-unique_components_174[[#This Row],[Proposed Control Efficiency]])</f>
        <v>0</v>
      </c>
      <c r="G107" s="155">
        <f>IFERROR(unique_components_174[[#This Row],[Controlled lb/hr]]*4.38,"")</f>
        <v>0</v>
      </c>
    </row>
    <row r="108" spans="1:9" x14ac:dyDescent="0.2">
      <c r="A108" s="103"/>
      <c r="B108" s="104"/>
      <c r="C108" s="153"/>
      <c r="D108" s="154"/>
      <c r="E108" s="154"/>
      <c r="F108" s="146">
        <f>unique_components_174[[#This Row],[Count]]*unique_components_174[[#This Row],[Proposed Emission Factor]]*(1-unique_components_174[[#This Row],[Proposed Control Efficiency]])</f>
        <v>0</v>
      </c>
      <c r="G108" s="155">
        <f>IFERROR(unique_components_174[[#This Row],[Controlled lb/hr]]*4.38,"")</f>
        <v>0</v>
      </c>
    </row>
    <row r="109" spans="1:9" x14ac:dyDescent="0.2">
      <c r="A109" s="103"/>
      <c r="B109" s="104"/>
      <c r="C109" s="153"/>
      <c r="D109" s="154"/>
      <c r="E109" s="154"/>
      <c r="F109" s="146">
        <f>unique_components_174[[#This Row],[Count]]*unique_components_174[[#This Row],[Proposed Emission Factor]]*(1-unique_components_174[[#This Row],[Proposed Control Efficiency]])</f>
        <v>0</v>
      </c>
      <c r="G109" s="155">
        <f>IFERROR(unique_components_174[[#This Row],[Controlled lb/hr]]*4.38,"")</f>
        <v>0</v>
      </c>
    </row>
    <row r="110" spans="1:9" x14ac:dyDescent="0.2">
      <c r="A110" s="103"/>
      <c r="B110" s="104"/>
      <c r="C110" s="153"/>
      <c r="D110" s="154"/>
      <c r="E110" s="154"/>
      <c r="F110" s="146">
        <f>unique_components_174[[#This Row],[Count]]*unique_components_174[[#This Row],[Proposed Emission Factor]]*(1-unique_components_174[[#This Row],[Proposed Control Efficiency]])</f>
        <v>0</v>
      </c>
      <c r="G110" s="155">
        <f>IFERROR(unique_components_174[[#This Row],[Controlled lb/hr]]*4.38,"")</f>
        <v>0</v>
      </c>
    </row>
    <row r="111" spans="1:9" x14ac:dyDescent="0.2">
      <c r="A111" s="103"/>
      <c r="B111" s="104"/>
      <c r="C111" s="153"/>
      <c r="D111" s="154"/>
      <c r="E111" s="154"/>
      <c r="F111" s="146">
        <f>unique_components_174[[#This Row],[Count]]*unique_components_174[[#This Row],[Proposed Emission Factor]]*(1-unique_components_174[[#This Row],[Proposed Control Efficiency]])</f>
        <v>0</v>
      </c>
      <c r="G111" s="155">
        <f>IFERROR(unique_components_174[[#This Row],[Controlled lb/hr]]*4.38,"")</f>
        <v>0</v>
      </c>
    </row>
    <row r="112" spans="1:9" x14ac:dyDescent="0.2">
      <c r="A112" s="103"/>
      <c r="B112" s="104"/>
      <c r="C112" s="153"/>
      <c r="D112" s="154"/>
      <c r="E112" s="154"/>
      <c r="F112" s="146">
        <f>unique_components_174[[#This Row],[Count]]*unique_components_174[[#This Row],[Proposed Emission Factor]]*(1-unique_components_174[[#This Row],[Proposed Control Efficiency]])</f>
        <v>0</v>
      </c>
      <c r="G112" s="155">
        <f>IFERROR(unique_components_174[[#This Row],[Controlled lb/hr]]*4.38,"")</f>
        <v>0</v>
      </c>
    </row>
    <row r="113" spans="1:8" x14ac:dyDescent="0.2">
      <c r="A113" s="103"/>
      <c r="B113" s="104"/>
      <c r="C113" s="153"/>
      <c r="D113" s="154"/>
      <c r="E113" s="154"/>
      <c r="F113" s="146">
        <f>unique_components_174[[#This Row],[Count]]*unique_components_174[[#This Row],[Proposed Emission Factor]]*(1-unique_components_174[[#This Row],[Proposed Control Efficiency]])</f>
        <v>0</v>
      </c>
      <c r="G113" s="155">
        <f>IFERROR(unique_components_174[[#This Row],[Controlled lb/hr]]*4.38,"")</f>
        <v>0</v>
      </c>
    </row>
    <row r="114" spans="1:8" x14ac:dyDescent="0.2">
      <c r="A114" s="103"/>
      <c r="B114" s="104"/>
      <c r="C114" s="153"/>
      <c r="D114" s="154"/>
      <c r="E114" s="154"/>
      <c r="F114" s="146">
        <f>unique_components_174[[#This Row],[Count]]*unique_components_174[[#This Row],[Proposed Emission Factor]]*(1-unique_components_174[[#This Row],[Proposed Control Efficiency]])</f>
        <v>0</v>
      </c>
      <c r="G114" s="155">
        <f>IFERROR(unique_components_174[[#This Row],[Controlled lb/hr]]*4.38,"")</f>
        <v>0</v>
      </c>
    </row>
    <row r="115" spans="1:8" x14ac:dyDescent="0.2">
      <c r="A115" s="103"/>
      <c r="B115" s="104"/>
      <c r="C115" s="153"/>
      <c r="D115" s="154"/>
      <c r="E115" s="154"/>
      <c r="F115" s="146">
        <f>unique_components_174[[#This Row],[Count]]*unique_components_174[[#This Row],[Proposed Emission Factor]]*(1-unique_components_174[[#This Row],[Proposed Control Efficiency]])</f>
        <v>0</v>
      </c>
      <c r="G115" s="155">
        <f>IFERROR(unique_components_174[[#This Row],[Controlled lb/hr]]*4.38,"")</f>
        <v>0</v>
      </c>
    </row>
    <row r="116" spans="1:8" x14ac:dyDescent="0.2">
      <c r="A116" s="103"/>
      <c r="B116" s="104"/>
      <c r="C116" s="153"/>
      <c r="D116" s="154"/>
      <c r="E116" s="154"/>
      <c r="F116" s="146">
        <f>unique_components_174[[#This Row],[Count]]*unique_components_174[[#This Row],[Proposed Emission Factor]]*(1-unique_components_174[[#This Row],[Proposed Control Efficiency]])</f>
        <v>0</v>
      </c>
      <c r="G116" s="155">
        <f>IFERROR(unique_components_174[[#This Row],[Controlled lb/hr]]*4.38,"")</f>
        <v>0</v>
      </c>
    </row>
    <row r="117" spans="1:8" x14ac:dyDescent="0.2">
      <c r="A117" s="103"/>
      <c r="B117" s="104"/>
      <c r="C117" s="153"/>
      <c r="D117" s="154"/>
      <c r="E117" s="154"/>
      <c r="F117" s="146">
        <f>unique_components_174[[#This Row],[Count]]*unique_components_174[[#This Row],[Proposed Emission Factor]]*(1-unique_components_174[[#This Row],[Proposed Control Efficiency]])</f>
        <v>0</v>
      </c>
      <c r="G117" s="155">
        <f>IFERROR(unique_components_174[[#This Row],[Controlled lb/hr]]*4.38,"")</f>
        <v>0</v>
      </c>
    </row>
    <row r="118" spans="1:8" x14ac:dyDescent="0.2">
      <c r="A118" s="103"/>
      <c r="B118" s="104"/>
      <c r="C118" s="153"/>
      <c r="D118" s="154"/>
      <c r="E118" s="154"/>
      <c r="F118" s="146">
        <f>unique_components_174[[#This Row],[Count]]*unique_components_174[[#This Row],[Proposed Emission Factor]]*(1-unique_components_174[[#This Row],[Proposed Control Efficiency]])</f>
        <v>0</v>
      </c>
      <c r="G118" s="155">
        <f>IFERROR(unique_components_174[[#This Row],[Controlled lb/hr]]*4.38,"")</f>
        <v>0</v>
      </c>
    </row>
    <row r="119" spans="1:8" x14ac:dyDescent="0.2">
      <c r="A119" s="103"/>
      <c r="B119" s="104"/>
      <c r="C119" s="153"/>
      <c r="D119" s="154"/>
      <c r="E119" s="154"/>
      <c r="F119" s="146">
        <f>unique_components_174[[#This Row],[Count]]*unique_components_174[[#This Row],[Proposed Emission Factor]]*(1-unique_components_174[[#This Row],[Proposed Control Efficiency]])</f>
        <v>0</v>
      </c>
      <c r="G119" s="155">
        <f>IFERROR(unique_components_174[[#This Row],[Controlled lb/hr]]*4.38,"")</f>
        <v>0</v>
      </c>
    </row>
    <row r="120" spans="1:8" x14ac:dyDescent="0.2">
      <c r="A120" s="103"/>
      <c r="B120" s="104"/>
      <c r="C120" s="153"/>
      <c r="D120" s="154"/>
      <c r="E120" s="154"/>
      <c r="F120" s="146">
        <f>unique_components_174[[#This Row],[Count]]*unique_components_174[[#This Row],[Proposed Emission Factor]]*(1-unique_components_174[[#This Row],[Proposed Control Efficiency]])</f>
        <v>0</v>
      </c>
      <c r="G120" s="155">
        <f>IFERROR(unique_components_174[[#This Row],[Controlled lb/hr]]*4.38,"")</f>
        <v>0</v>
      </c>
    </row>
    <row r="121" spans="1:8" x14ac:dyDescent="0.2">
      <c r="A121" s="103"/>
      <c r="B121" s="104"/>
      <c r="C121" s="153"/>
      <c r="D121" s="154"/>
      <c r="E121" s="154"/>
      <c r="F121" s="146">
        <f>unique_components_174[[#This Row],[Count]]*unique_components_174[[#This Row],[Proposed Emission Factor]]*(1-unique_components_174[[#This Row],[Proposed Control Efficiency]])</f>
        <v>0</v>
      </c>
      <c r="G121" s="155">
        <f>IFERROR(unique_components_174[[#This Row],[Controlled lb/hr]]*4.38,"")</f>
        <v>0</v>
      </c>
    </row>
    <row r="122" spans="1:8" x14ac:dyDescent="0.2">
      <c r="A122" s="103"/>
      <c r="B122" s="104"/>
      <c r="C122" s="153"/>
      <c r="D122" s="154"/>
      <c r="E122" s="154"/>
      <c r="F122" s="146">
        <f>unique_components_174[[#This Row],[Count]]*unique_components_174[[#This Row],[Proposed Emission Factor]]*(1-unique_components_174[[#This Row],[Proposed Control Efficiency]])</f>
        <v>0</v>
      </c>
      <c r="G122" s="155">
        <f>IFERROR(unique_components_174[[#This Row],[Controlled lb/hr]]*4.38,"")</f>
        <v>0</v>
      </c>
    </row>
    <row r="123" spans="1:8" x14ac:dyDescent="0.2">
      <c r="A123" s="103"/>
      <c r="B123" s="104"/>
      <c r="C123" s="153"/>
      <c r="D123" s="154"/>
      <c r="E123" s="154"/>
      <c r="F123" s="146">
        <f>unique_components_174[[#This Row],[Count]]*unique_components_174[[#This Row],[Proposed Emission Factor]]*(1-unique_components_174[[#This Row],[Proposed Control Efficiency]])</f>
        <v>0</v>
      </c>
      <c r="G123" s="155">
        <f>IFERROR(unique_components_174[[#This Row],[Controlled lb/hr]]*4.38,"")</f>
        <v>0</v>
      </c>
    </row>
    <row r="124" spans="1:8" x14ac:dyDescent="0.2">
      <c r="A124" s="103"/>
      <c r="B124" s="104"/>
      <c r="C124" s="153"/>
      <c r="D124" s="154"/>
      <c r="E124" s="154"/>
      <c r="F124" s="146">
        <f>unique_components_174[[#This Row],[Count]]*unique_components_174[[#This Row],[Proposed Emission Factor]]*(1-unique_components_174[[#This Row],[Proposed Control Efficiency]])</f>
        <v>0</v>
      </c>
      <c r="G124" s="155">
        <f>IFERROR(unique_components_174[[#This Row],[Controlled lb/hr]]*4.38,"")</f>
        <v>0</v>
      </c>
    </row>
    <row r="125" spans="1:8" x14ac:dyDescent="0.2">
      <c r="A125" s="103"/>
      <c r="B125" s="104"/>
      <c r="C125" s="153"/>
      <c r="D125" s="154"/>
      <c r="E125" s="154"/>
      <c r="F125" s="146">
        <f>unique_components_174[[#This Row],[Count]]*unique_components_174[[#This Row],[Proposed Emission Factor]]*(1-unique_components_174[[#This Row],[Proposed Control Efficiency]])</f>
        <v>0</v>
      </c>
      <c r="G125" s="155">
        <f>IFERROR(unique_components_174[[#This Row],[Controlled lb/hr]]*4.38,"")</f>
        <v>0</v>
      </c>
    </row>
    <row r="126" spans="1:8" x14ac:dyDescent="0.2">
      <c r="A126" s="105"/>
      <c r="B126" s="106"/>
      <c r="C126" s="156"/>
      <c r="D126" s="154"/>
      <c r="E126" s="157"/>
      <c r="F126" s="158">
        <f>unique_components_174[[#This Row],[Count]]*unique_components_174[[#This Row],[Proposed Emission Factor]]*(1-unique_components_174[[#This Row],[Proposed Control Efficiency]])</f>
        <v>0</v>
      </c>
      <c r="G126" s="159">
        <f>IFERROR(unique_components_174[[#This Row],[Controlled lb/hr]]*4.38,"")</f>
        <v>0</v>
      </c>
    </row>
    <row r="127" spans="1:8" ht="30" x14ac:dyDescent="0.2">
      <c r="A127" s="57" t="s">
        <v>13297</v>
      </c>
      <c r="B127" s="54"/>
      <c r="C127" s="160">
        <f>SUBTOTAL(109,unique_components_174[Count])</f>
        <v>0</v>
      </c>
      <c r="D127" s="161"/>
      <c r="E127" s="161"/>
      <c r="F127" s="162">
        <f>SUBTOTAL(109,unique_components_174[Controlled lb/hr])</f>
        <v>0</v>
      </c>
      <c r="G127" s="162">
        <f>SUBTOTAL(109,unique_components_174[Controlled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IFERROR(VLOOKUP(speciated_chemicals_175[[#This Row],[CAS '#]],species[],MATCH("Substance", species[#Headers], 0),FALSE),"No CAS Number Entered")</f>
        <v>No CAS Number Entered</v>
      </c>
      <c r="C131" s="102"/>
      <c r="D131" s="102" t="s">
        <v>12666</v>
      </c>
      <c r="E131" s="102" t="s">
        <v>12666</v>
      </c>
      <c r="F131" s="102" t="s">
        <v>12666</v>
      </c>
      <c r="G131" s="102" t="s">
        <v>12666</v>
      </c>
      <c r="H131" s="164"/>
      <c r="I131" s="51">
        <f>IF(speciated_chemicals_175[[#This Row],[Inert / Not a Contaminant?]]="Yes", 0, speciated_chemicals_175[[#This Row],[Weight Percent]]*(unique_components_174[[#Totals],[Controlled lb/hr]]+standard_components_173[[#Totals],[Controlled
lb/hr]]))</f>
        <v>0</v>
      </c>
      <c r="J131" s="51">
        <f>IF(speciated_chemicals_175[[#This Row],[Inert / Not a Contaminant?]]="Yes", 0, speciated_chemicals_175[[#This Row],[Weight Percent]]*(unique_components_174[[#Totals],[Controlled
tpy]]+standard_components_173[[#Totals],[Controlled
tpy]]))</f>
        <v>0</v>
      </c>
    </row>
    <row r="132" spans="1:10" x14ac:dyDescent="0.2">
      <c r="A132" s="103"/>
      <c r="B132" s="51" t="str">
        <f>IFERROR(VLOOKUP(speciated_chemicals_175[[#This Row],[CAS '#]],species[],MATCH("Substance", species[#Headers], 0),FALSE),"No CAS Number Entered")</f>
        <v>No CAS Number Entered</v>
      </c>
      <c r="C132" s="102"/>
      <c r="D132" s="102" t="s">
        <v>12666</v>
      </c>
      <c r="E132" s="102" t="s">
        <v>12666</v>
      </c>
      <c r="F132" s="102" t="s">
        <v>12666</v>
      </c>
      <c r="G132" s="102" t="s">
        <v>12666</v>
      </c>
      <c r="H132" s="164"/>
      <c r="I132" s="51">
        <f>IF(speciated_chemicals_175[[#This Row],[Inert / Not a Contaminant?]]="Yes", 0, speciated_chemicals_175[[#This Row],[Weight Percent]]*(unique_components_174[[#Totals],[Controlled lb/hr]]+standard_components_173[[#Totals],[Controlled
lb/hr]]))</f>
        <v>0</v>
      </c>
      <c r="J132" s="51">
        <f>IF(speciated_chemicals_175[[#This Row],[Inert / Not a Contaminant?]]="Yes", 0, speciated_chemicals_175[[#This Row],[Weight Percent]]*(unique_components_174[[#Totals],[Controlled
tpy]]+standard_components_173[[#Totals],[Controlled
tpy]]))</f>
        <v>0</v>
      </c>
    </row>
    <row r="133" spans="1:10" x14ac:dyDescent="0.2">
      <c r="A133" s="103"/>
      <c r="B133" s="51" t="str">
        <f>IFERROR(VLOOKUP(speciated_chemicals_175[[#This Row],[CAS '#]],species[],MATCH("Substance", species[#Headers], 0),FALSE),"No CAS Number Entered")</f>
        <v>No CAS Number Entered</v>
      </c>
      <c r="C133" s="102"/>
      <c r="D133" s="102" t="s">
        <v>12666</v>
      </c>
      <c r="E133" s="102" t="s">
        <v>12666</v>
      </c>
      <c r="F133" s="102" t="s">
        <v>12666</v>
      </c>
      <c r="G133" s="102" t="s">
        <v>12666</v>
      </c>
      <c r="H133" s="164"/>
      <c r="I133" s="51">
        <f>IF(speciated_chemicals_175[[#This Row],[Inert / Not a Contaminant?]]="Yes", 0, speciated_chemicals_175[[#This Row],[Weight Percent]]*(unique_components_174[[#Totals],[Controlled lb/hr]]+standard_components_173[[#Totals],[Controlled
lb/hr]]))</f>
        <v>0</v>
      </c>
      <c r="J133" s="51">
        <f>IF(speciated_chemicals_175[[#This Row],[Inert / Not a Contaminant?]]="Yes", 0, speciated_chemicals_175[[#This Row],[Weight Percent]]*(unique_components_174[[#Totals],[Controlled
tpy]]+standard_components_173[[#Totals],[Controlled
tpy]]))</f>
        <v>0</v>
      </c>
    </row>
    <row r="134" spans="1:10" x14ac:dyDescent="0.2">
      <c r="A134" s="103"/>
      <c r="B134" s="51" t="str">
        <f>IFERROR(VLOOKUP(speciated_chemicals_175[[#This Row],[CAS '#]],species[],MATCH("Substance", species[#Headers], 0),FALSE),"No CAS Number Entered")</f>
        <v>No CAS Number Entered</v>
      </c>
      <c r="C134" s="102"/>
      <c r="D134" s="102" t="s">
        <v>12666</v>
      </c>
      <c r="E134" s="102" t="s">
        <v>12666</v>
      </c>
      <c r="F134" s="102" t="s">
        <v>12666</v>
      </c>
      <c r="G134" s="102" t="s">
        <v>12666</v>
      </c>
      <c r="H134" s="164"/>
      <c r="I134" s="51">
        <f>IF(speciated_chemicals_175[[#This Row],[Inert / Not a Contaminant?]]="Yes", 0, speciated_chemicals_175[[#This Row],[Weight Percent]]*(unique_components_174[[#Totals],[Controlled lb/hr]]+standard_components_173[[#Totals],[Controlled
lb/hr]]))</f>
        <v>0</v>
      </c>
      <c r="J134" s="51">
        <f>IF(speciated_chemicals_175[[#This Row],[Inert / Not a Contaminant?]]="Yes", 0, speciated_chemicals_175[[#This Row],[Weight Percent]]*(unique_components_174[[#Totals],[Controlled
tpy]]+standard_components_173[[#Totals],[Controlled
tpy]]))</f>
        <v>0</v>
      </c>
    </row>
    <row r="135" spans="1:10" x14ac:dyDescent="0.2">
      <c r="A135" s="103"/>
      <c r="B135" s="51" t="str">
        <f>IFERROR(VLOOKUP(speciated_chemicals_175[[#This Row],[CAS '#]],species[],MATCH("Substance", species[#Headers], 0),FALSE),"No CAS Number Entered")</f>
        <v>No CAS Number Entered</v>
      </c>
      <c r="C135" s="102"/>
      <c r="D135" s="102" t="s">
        <v>12666</v>
      </c>
      <c r="E135" s="102" t="s">
        <v>12666</v>
      </c>
      <c r="F135" s="102" t="s">
        <v>12666</v>
      </c>
      <c r="G135" s="102" t="s">
        <v>12666</v>
      </c>
      <c r="H135" s="164"/>
      <c r="I135" s="51">
        <f>IF(speciated_chemicals_175[[#This Row],[Inert / Not a Contaminant?]]="Yes", 0, speciated_chemicals_175[[#This Row],[Weight Percent]]*(unique_components_174[[#Totals],[Controlled lb/hr]]+standard_components_173[[#Totals],[Controlled
lb/hr]]))</f>
        <v>0</v>
      </c>
      <c r="J135" s="51">
        <f>IF(speciated_chemicals_175[[#This Row],[Inert / Not a Contaminant?]]="Yes", 0, speciated_chemicals_175[[#This Row],[Weight Percent]]*(unique_components_174[[#Totals],[Controlled
tpy]]+standard_components_173[[#Totals],[Controlled
tpy]]))</f>
        <v>0</v>
      </c>
    </row>
    <row r="136" spans="1:10" x14ac:dyDescent="0.2">
      <c r="A136" s="103"/>
      <c r="B136" s="51" t="str">
        <f>IFERROR(VLOOKUP(speciated_chemicals_175[[#This Row],[CAS '#]],species[],MATCH("Substance", species[#Headers], 0),FALSE),"No CAS Number Entered")</f>
        <v>No CAS Number Entered</v>
      </c>
      <c r="C136" s="102"/>
      <c r="D136" s="102" t="s">
        <v>12666</v>
      </c>
      <c r="E136" s="102" t="s">
        <v>12666</v>
      </c>
      <c r="F136" s="102" t="s">
        <v>12666</v>
      </c>
      <c r="G136" s="102" t="s">
        <v>12666</v>
      </c>
      <c r="H136" s="164"/>
      <c r="I136" s="51">
        <f>IF(speciated_chemicals_175[[#This Row],[Inert / Not a Contaminant?]]="Yes", 0, speciated_chemicals_175[[#This Row],[Weight Percent]]*(unique_components_174[[#Totals],[Controlled lb/hr]]+standard_components_173[[#Totals],[Controlled
lb/hr]]))</f>
        <v>0</v>
      </c>
      <c r="J136" s="51">
        <f>IF(speciated_chemicals_175[[#This Row],[Inert / Not a Contaminant?]]="Yes", 0, speciated_chemicals_175[[#This Row],[Weight Percent]]*(unique_components_174[[#Totals],[Controlled
tpy]]+standard_components_173[[#Totals],[Controlled
tpy]]))</f>
        <v>0</v>
      </c>
    </row>
    <row r="137" spans="1:10" x14ac:dyDescent="0.2">
      <c r="A137" s="103"/>
      <c r="B137" s="51" t="str">
        <f>IFERROR(VLOOKUP(speciated_chemicals_175[[#This Row],[CAS '#]],species[],MATCH("Substance", species[#Headers], 0),FALSE),"No CAS Number Entered")</f>
        <v>No CAS Number Entered</v>
      </c>
      <c r="C137" s="102"/>
      <c r="D137" s="102" t="s">
        <v>12666</v>
      </c>
      <c r="E137" s="102" t="s">
        <v>12666</v>
      </c>
      <c r="F137" s="102" t="s">
        <v>12666</v>
      </c>
      <c r="G137" s="102" t="s">
        <v>12666</v>
      </c>
      <c r="H137" s="164"/>
      <c r="I137" s="51">
        <f>IF(speciated_chemicals_175[[#This Row],[Inert / Not a Contaminant?]]="Yes", 0, speciated_chemicals_175[[#This Row],[Weight Percent]]*(unique_components_174[[#Totals],[Controlled lb/hr]]+standard_components_173[[#Totals],[Controlled
lb/hr]]))</f>
        <v>0</v>
      </c>
      <c r="J137" s="51">
        <f>IF(speciated_chemicals_175[[#This Row],[Inert / Not a Contaminant?]]="Yes", 0, speciated_chemicals_175[[#This Row],[Weight Percent]]*(unique_components_174[[#Totals],[Controlled
tpy]]+standard_components_173[[#Totals],[Controlled
tpy]]))</f>
        <v>0</v>
      </c>
    </row>
    <row r="138" spans="1:10" x14ac:dyDescent="0.2">
      <c r="A138" s="103"/>
      <c r="B138" s="51" t="str">
        <f>IFERROR(VLOOKUP(speciated_chemicals_175[[#This Row],[CAS '#]],species[],MATCH("Substance", species[#Headers], 0),FALSE),"No CAS Number Entered")</f>
        <v>No CAS Number Entered</v>
      </c>
      <c r="C138" s="102"/>
      <c r="D138" s="102" t="s">
        <v>12666</v>
      </c>
      <c r="E138" s="102" t="s">
        <v>12666</v>
      </c>
      <c r="F138" s="102" t="s">
        <v>12666</v>
      </c>
      <c r="G138" s="102" t="s">
        <v>12666</v>
      </c>
      <c r="H138" s="164"/>
      <c r="I138" s="51">
        <f>IF(speciated_chemicals_175[[#This Row],[Inert / Not a Contaminant?]]="Yes", 0, speciated_chemicals_175[[#This Row],[Weight Percent]]*(unique_components_174[[#Totals],[Controlled lb/hr]]+standard_components_173[[#Totals],[Controlled
lb/hr]]))</f>
        <v>0</v>
      </c>
      <c r="J138" s="51">
        <f>IF(speciated_chemicals_175[[#This Row],[Inert / Not a Contaminant?]]="Yes", 0, speciated_chemicals_175[[#This Row],[Weight Percent]]*(unique_components_174[[#Totals],[Controlled
tpy]]+standard_components_173[[#Totals],[Controlled
tpy]]))</f>
        <v>0</v>
      </c>
    </row>
    <row r="139" spans="1:10" x14ac:dyDescent="0.2">
      <c r="A139" s="103"/>
      <c r="B139" s="51" t="str">
        <f>IFERROR(VLOOKUP(speciated_chemicals_175[[#This Row],[CAS '#]],species[],MATCH("Substance", species[#Headers], 0),FALSE),"No CAS Number Entered")</f>
        <v>No CAS Number Entered</v>
      </c>
      <c r="C139" s="102"/>
      <c r="D139" s="102" t="s">
        <v>12666</v>
      </c>
      <c r="E139" s="102" t="s">
        <v>12666</v>
      </c>
      <c r="F139" s="102" t="s">
        <v>12666</v>
      </c>
      <c r="G139" s="102" t="s">
        <v>12666</v>
      </c>
      <c r="H139" s="164"/>
      <c r="I139" s="51">
        <f>IF(speciated_chemicals_175[[#This Row],[Inert / Not a Contaminant?]]="Yes", 0, speciated_chemicals_175[[#This Row],[Weight Percent]]*(unique_components_174[[#Totals],[Controlled lb/hr]]+standard_components_173[[#Totals],[Controlled
lb/hr]]))</f>
        <v>0</v>
      </c>
      <c r="J139" s="51">
        <f>IF(speciated_chemicals_175[[#This Row],[Inert / Not a Contaminant?]]="Yes", 0, speciated_chemicals_175[[#This Row],[Weight Percent]]*(unique_components_174[[#Totals],[Controlled
tpy]]+standard_components_173[[#Totals],[Controlled
tpy]]))</f>
        <v>0</v>
      </c>
    </row>
    <row r="140" spans="1:10" x14ac:dyDescent="0.2">
      <c r="A140" s="103"/>
      <c r="B140" s="51" t="str">
        <f>IFERROR(VLOOKUP(speciated_chemicals_175[[#This Row],[CAS '#]],species[],MATCH("Substance", species[#Headers], 0),FALSE),"No CAS Number Entered")</f>
        <v>No CAS Number Entered</v>
      </c>
      <c r="C140" s="102"/>
      <c r="D140" s="102" t="s">
        <v>12666</v>
      </c>
      <c r="E140" s="102" t="s">
        <v>12666</v>
      </c>
      <c r="F140" s="102" t="s">
        <v>12666</v>
      </c>
      <c r="G140" s="102" t="s">
        <v>12666</v>
      </c>
      <c r="H140" s="164"/>
      <c r="I140" s="51">
        <f>IF(speciated_chemicals_175[[#This Row],[Inert / Not a Contaminant?]]="Yes", 0, speciated_chemicals_175[[#This Row],[Weight Percent]]*(unique_components_174[[#Totals],[Controlled lb/hr]]+standard_components_173[[#Totals],[Controlled
lb/hr]]))</f>
        <v>0</v>
      </c>
      <c r="J140" s="51">
        <f>IF(speciated_chemicals_175[[#This Row],[Inert / Not a Contaminant?]]="Yes", 0, speciated_chemicals_175[[#This Row],[Weight Percent]]*(unique_components_174[[#Totals],[Controlled
tpy]]+standard_components_173[[#Totals],[Controlled
tpy]]))</f>
        <v>0</v>
      </c>
    </row>
    <row r="141" spans="1:10" x14ac:dyDescent="0.2">
      <c r="A141" s="103"/>
      <c r="B141" s="51" t="str">
        <f>IFERROR(VLOOKUP(speciated_chemicals_175[[#This Row],[CAS '#]],species[],MATCH("Substance", species[#Headers], 0),FALSE),"No CAS Number Entered")</f>
        <v>No CAS Number Entered</v>
      </c>
      <c r="C141" s="102"/>
      <c r="D141" s="102" t="s">
        <v>12666</v>
      </c>
      <c r="E141" s="102" t="s">
        <v>12666</v>
      </c>
      <c r="F141" s="102" t="s">
        <v>12666</v>
      </c>
      <c r="G141" s="102" t="s">
        <v>12666</v>
      </c>
      <c r="H141" s="164"/>
      <c r="I141" s="51">
        <f>IF(speciated_chemicals_175[[#This Row],[Inert / Not a Contaminant?]]="Yes", 0, speciated_chemicals_175[[#This Row],[Weight Percent]]*(unique_components_174[[#Totals],[Controlled lb/hr]]+standard_components_173[[#Totals],[Controlled
lb/hr]]))</f>
        <v>0</v>
      </c>
      <c r="J141" s="51">
        <f>IF(speciated_chemicals_175[[#This Row],[Inert / Not a Contaminant?]]="Yes", 0, speciated_chemicals_175[[#This Row],[Weight Percent]]*(unique_components_174[[#Totals],[Controlled
tpy]]+standard_components_173[[#Totals],[Controlled
tpy]]))</f>
        <v>0</v>
      </c>
    </row>
    <row r="142" spans="1:10" x14ac:dyDescent="0.2">
      <c r="A142" s="103"/>
      <c r="B142" s="51" t="str">
        <f>IFERROR(VLOOKUP(speciated_chemicals_175[[#This Row],[CAS '#]],species[],MATCH("Substance", species[#Headers], 0),FALSE),"No CAS Number Entered")</f>
        <v>No CAS Number Entered</v>
      </c>
      <c r="C142" s="102"/>
      <c r="D142" s="102" t="s">
        <v>12666</v>
      </c>
      <c r="E142" s="102" t="s">
        <v>12666</v>
      </c>
      <c r="F142" s="102" t="s">
        <v>12666</v>
      </c>
      <c r="G142" s="102" t="s">
        <v>12666</v>
      </c>
      <c r="H142" s="164"/>
      <c r="I142" s="51">
        <f>IF(speciated_chemicals_175[[#This Row],[Inert / Not a Contaminant?]]="Yes", 0, speciated_chemicals_175[[#This Row],[Weight Percent]]*(unique_components_174[[#Totals],[Controlled lb/hr]]+standard_components_173[[#Totals],[Controlled
lb/hr]]))</f>
        <v>0</v>
      </c>
      <c r="J142" s="51">
        <f>IF(speciated_chemicals_175[[#This Row],[Inert / Not a Contaminant?]]="Yes", 0, speciated_chemicals_175[[#This Row],[Weight Percent]]*(unique_components_174[[#Totals],[Controlled
tpy]]+standard_components_173[[#Totals],[Controlled
tpy]]))</f>
        <v>0</v>
      </c>
    </row>
    <row r="143" spans="1:10" x14ac:dyDescent="0.2">
      <c r="A143" s="103"/>
      <c r="B143" s="51" t="str">
        <f>IFERROR(VLOOKUP(speciated_chemicals_175[[#This Row],[CAS '#]],species[],MATCH("Substance", species[#Headers], 0),FALSE),"No CAS Number Entered")</f>
        <v>No CAS Number Entered</v>
      </c>
      <c r="C143" s="102"/>
      <c r="D143" s="102" t="s">
        <v>12666</v>
      </c>
      <c r="E143" s="102" t="s">
        <v>12666</v>
      </c>
      <c r="F143" s="102" t="s">
        <v>12666</v>
      </c>
      <c r="G143" s="102" t="s">
        <v>12666</v>
      </c>
      <c r="H143" s="164"/>
      <c r="I143" s="51">
        <f>IF(speciated_chemicals_175[[#This Row],[Inert / Not a Contaminant?]]="Yes", 0, speciated_chemicals_175[[#This Row],[Weight Percent]]*(unique_components_174[[#Totals],[Controlled lb/hr]]+standard_components_173[[#Totals],[Controlled
lb/hr]]))</f>
        <v>0</v>
      </c>
      <c r="J143" s="51">
        <f>IF(speciated_chemicals_175[[#This Row],[Inert / Not a Contaminant?]]="Yes", 0, speciated_chemicals_175[[#This Row],[Weight Percent]]*(unique_components_174[[#Totals],[Controlled
tpy]]+standard_components_173[[#Totals],[Controlled
tpy]]))</f>
        <v>0</v>
      </c>
    </row>
    <row r="144" spans="1:10" x14ac:dyDescent="0.2">
      <c r="A144" s="103"/>
      <c r="B144" s="51" t="str">
        <f>IFERROR(VLOOKUP(speciated_chemicals_175[[#This Row],[CAS '#]],species[],MATCH("Substance", species[#Headers], 0),FALSE),"No CAS Number Entered")</f>
        <v>No CAS Number Entered</v>
      </c>
      <c r="C144" s="102"/>
      <c r="D144" s="102" t="s">
        <v>12666</v>
      </c>
      <c r="E144" s="102" t="s">
        <v>12666</v>
      </c>
      <c r="F144" s="102" t="s">
        <v>12666</v>
      </c>
      <c r="G144" s="102" t="s">
        <v>12666</v>
      </c>
      <c r="H144" s="164"/>
      <c r="I144" s="51">
        <f>IF(speciated_chemicals_175[[#This Row],[Inert / Not a Contaminant?]]="Yes", 0, speciated_chemicals_175[[#This Row],[Weight Percent]]*(unique_components_174[[#Totals],[Controlled lb/hr]]+standard_components_173[[#Totals],[Controlled
lb/hr]]))</f>
        <v>0</v>
      </c>
      <c r="J144" s="51">
        <f>IF(speciated_chemicals_175[[#This Row],[Inert / Not a Contaminant?]]="Yes", 0, speciated_chemicals_175[[#This Row],[Weight Percent]]*(unique_components_174[[#Totals],[Controlled
tpy]]+standard_components_173[[#Totals],[Controlled
tpy]]))</f>
        <v>0</v>
      </c>
    </row>
    <row r="145" spans="1:10" x14ac:dyDescent="0.2">
      <c r="A145" s="103"/>
      <c r="B145" s="51" t="str">
        <f>IFERROR(VLOOKUP(speciated_chemicals_175[[#This Row],[CAS '#]],species[],MATCH("Substance", species[#Headers], 0),FALSE),"No CAS Number Entered")</f>
        <v>No CAS Number Entered</v>
      </c>
      <c r="C145" s="102"/>
      <c r="D145" s="102" t="s">
        <v>12666</v>
      </c>
      <c r="E145" s="102" t="s">
        <v>12666</v>
      </c>
      <c r="F145" s="102" t="s">
        <v>12666</v>
      </c>
      <c r="G145" s="102" t="s">
        <v>12666</v>
      </c>
      <c r="H145" s="164"/>
      <c r="I145" s="51">
        <f>IF(speciated_chemicals_175[[#This Row],[Inert / Not a Contaminant?]]="Yes", 0, speciated_chemicals_175[[#This Row],[Weight Percent]]*(unique_components_174[[#Totals],[Controlled lb/hr]]+standard_components_173[[#Totals],[Controlled
lb/hr]]))</f>
        <v>0</v>
      </c>
      <c r="J145" s="51">
        <f>IF(speciated_chemicals_175[[#This Row],[Inert / Not a Contaminant?]]="Yes", 0, speciated_chemicals_175[[#This Row],[Weight Percent]]*(unique_components_174[[#Totals],[Controlled
tpy]]+standard_components_173[[#Totals],[Controlled
tpy]]))</f>
        <v>0</v>
      </c>
    </row>
    <row r="146" spans="1:10" x14ac:dyDescent="0.2">
      <c r="A146" s="103"/>
      <c r="B146" s="51" t="str">
        <f>IFERROR(VLOOKUP(speciated_chemicals_175[[#This Row],[CAS '#]],species[],MATCH("Substance", species[#Headers], 0),FALSE),"No CAS Number Entered")</f>
        <v>No CAS Number Entered</v>
      </c>
      <c r="C146" s="102"/>
      <c r="D146" s="102" t="s">
        <v>12666</v>
      </c>
      <c r="E146" s="102" t="s">
        <v>12666</v>
      </c>
      <c r="F146" s="102" t="s">
        <v>12666</v>
      </c>
      <c r="G146" s="102" t="s">
        <v>12666</v>
      </c>
      <c r="H146" s="164"/>
      <c r="I146" s="51">
        <f>IF(speciated_chemicals_175[[#This Row],[Inert / Not a Contaminant?]]="Yes", 0, speciated_chemicals_175[[#This Row],[Weight Percent]]*(unique_components_174[[#Totals],[Controlled lb/hr]]+standard_components_173[[#Totals],[Controlled
lb/hr]]))</f>
        <v>0</v>
      </c>
      <c r="J146" s="51">
        <f>IF(speciated_chemicals_175[[#This Row],[Inert / Not a Contaminant?]]="Yes", 0, speciated_chemicals_175[[#This Row],[Weight Percent]]*(unique_components_174[[#Totals],[Controlled
tpy]]+standard_components_173[[#Totals],[Controlled
tpy]]))</f>
        <v>0</v>
      </c>
    </row>
    <row r="147" spans="1:10" x14ac:dyDescent="0.2">
      <c r="A147" s="103"/>
      <c r="B147" s="51" t="str">
        <f>IFERROR(VLOOKUP(speciated_chemicals_175[[#This Row],[CAS '#]],species[],MATCH("Substance", species[#Headers], 0),FALSE),"No CAS Number Entered")</f>
        <v>No CAS Number Entered</v>
      </c>
      <c r="C147" s="102"/>
      <c r="D147" s="102" t="s">
        <v>12666</v>
      </c>
      <c r="E147" s="102" t="s">
        <v>12666</v>
      </c>
      <c r="F147" s="102" t="s">
        <v>12666</v>
      </c>
      <c r="G147" s="102" t="s">
        <v>12666</v>
      </c>
      <c r="H147" s="164"/>
      <c r="I147" s="51">
        <f>IF(speciated_chemicals_175[[#This Row],[Inert / Not a Contaminant?]]="Yes", 0, speciated_chemicals_175[[#This Row],[Weight Percent]]*(unique_components_174[[#Totals],[Controlled lb/hr]]+standard_components_173[[#Totals],[Controlled
lb/hr]]))</f>
        <v>0</v>
      </c>
      <c r="J147" s="51">
        <f>IF(speciated_chemicals_175[[#This Row],[Inert / Not a Contaminant?]]="Yes", 0, speciated_chemicals_175[[#This Row],[Weight Percent]]*(unique_components_174[[#Totals],[Controlled
tpy]]+standard_components_173[[#Totals],[Controlled
tpy]]))</f>
        <v>0</v>
      </c>
    </row>
    <row r="148" spans="1:10" x14ac:dyDescent="0.2">
      <c r="A148" s="103"/>
      <c r="B148" s="51" t="str">
        <f>IFERROR(VLOOKUP(speciated_chemicals_175[[#This Row],[CAS '#]],species[],MATCH("Substance", species[#Headers], 0),FALSE),"No CAS Number Entered")</f>
        <v>No CAS Number Entered</v>
      </c>
      <c r="C148" s="102"/>
      <c r="D148" s="102" t="s">
        <v>12666</v>
      </c>
      <c r="E148" s="102" t="s">
        <v>12666</v>
      </c>
      <c r="F148" s="102" t="s">
        <v>12666</v>
      </c>
      <c r="G148" s="102" t="s">
        <v>12666</v>
      </c>
      <c r="H148" s="164"/>
      <c r="I148" s="51">
        <f>IF(speciated_chemicals_175[[#This Row],[Inert / Not a Contaminant?]]="Yes", 0, speciated_chemicals_175[[#This Row],[Weight Percent]]*(unique_components_174[[#Totals],[Controlled lb/hr]]+standard_components_173[[#Totals],[Controlled
lb/hr]]))</f>
        <v>0</v>
      </c>
      <c r="J148" s="51">
        <f>IF(speciated_chemicals_175[[#This Row],[Inert / Not a Contaminant?]]="Yes", 0, speciated_chemicals_175[[#This Row],[Weight Percent]]*(unique_components_174[[#Totals],[Controlled
tpy]]+standard_components_173[[#Totals],[Controlled
tpy]]))</f>
        <v>0</v>
      </c>
    </row>
    <row r="149" spans="1:10" x14ac:dyDescent="0.2">
      <c r="A149" s="103"/>
      <c r="B149" s="51" t="str">
        <f>IFERROR(VLOOKUP(speciated_chemicals_175[[#This Row],[CAS '#]],species[],MATCH("Substance", species[#Headers], 0),FALSE),"No CAS Number Entered")</f>
        <v>No CAS Number Entered</v>
      </c>
      <c r="C149" s="102"/>
      <c r="D149" s="102" t="s">
        <v>12666</v>
      </c>
      <c r="E149" s="102" t="s">
        <v>12666</v>
      </c>
      <c r="F149" s="102" t="s">
        <v>12666</v>
      </c>
      <c r="G149" s="102" t="s">
        <v>12666</v>
      </c>
      <c r="H149" s="164"/>
      <c r="I149" s="51">
        <f>IF(speciated_chemicals_175[[#This Row],[Inert / Not a Contaminant?]]="Yes", 0, speciated_chemicals_175[[#This Row],[Weight Percent]]*(unique_components_174[[#Totals],[Controlled lb/hr]]+standard_components_173[[#Totals],[Controlled
lb/hr]]))</f>
        <v>0</v>
      </c>
      <c r="J149" s="51">
        <f>IF(speciated_chemicals_175[[#This Row],[Inert / Not a Contaminant?]]="Yes", 0, speciated_chemicals_175[[#This Row],[Weight Percent]]*(unique_components_174[[#Totals],[Controlled
tpy]]+standard_components_173[[#Totals],[Controlled
tpy]]))</f>
        <v>0</v>
      </c>
    </row>
    <row r="150" spans="1:10" x14ac:dyDescent="0.2">
      <c r="A150" s="103"/>
      <c r="B150" s="51" t="str">
        <f>IFERROR(VLOOKUP(speciated_chemicals_175[[#This Row],[CAS '#]],species[],MATCH("Substance", species[#Headers], 0),FALSE),"No CAS Number Entered")</f>
        <v>No CAS Number Entered</v>
      </c>
      <c r="C150" s="102"/>
      <c r="D150" s="102" t="s">
        <v>12666</v>
      </c>
      <c r="E150" s="102" t="s">
        <v>12666</v>
      </c>
      <c r="F150" s="102" t="s">
        <v>12666</v>
      </c>
      <c r="G150" s="102" t="s">
        <v>12666</v>
      </c>
      <c r="H150" s="164"/>
      <c r="I150" s="51">
        <f>IF(speciated_chemicals_175[[#This Row],[Inert / Not a Contaminant?]]="Yes", 0, speciated_chemicals_175[[#This Row],[Weight Percent]]*(unique_components_174[[#Totals],[Controlled lb/hr]]+standard_components_173[[#Totals],[Controlled
lb/hr]]))</f>
        <v>0</v>
      </c>
      <c r="J150" s="51">
        <f>IF(speciated_chemicals_175[[#This Row],[Inert / Not a Contaminant?]]="Yes", 0, speciated_chemicals_175[[#This Row],[Weight Percent]]*(unique_components_174[[#Totals],[Controlled
tpy]]+standard_components_173[[#Totals],[Controlled
tpy]]))</f>
        <v>0</v>
      </c>
    </row>
    <row r="151" spans="1:10" x14ac:dyDescent="0.2">
      <c r="A151" s="103"/>
      <c r="B151" s="51" t="str">
        <f>IFERROR(VLOOKUP(speciated_chemicals_175[[#This Row],[CAS '#]],species[],MATCH("Substance", species[#Headers], 0),FALSE),"No CAS Number Entered")</f>
        <v>No CAS Number Entered</v>
      </c>
      <c r="C151" s="102"/>
      <c r="D151" s="102" t="s">
        <v>12666</v>
      </c>
      <c r="E151" s="102" t="s">
        <v>12666</v>
      </c>
      <c r="F151" s="102" t="s">
        <v>12666</v>
      </c>
      <c r="G151" s="102" t="s">
        <v>12666</v>
      </c>
      <c r="H151" s="164"/>
      <c r="I151" s="51">
        <f>IF(speciated_chemicals_175[[#This Row],[Inert / Not a Contaminant?]]="Yes", 0, speciated_chemicals_175[[#This Row],[Weight Percent]]*(unique_components_174[[#Totals],[Controlled lb/hr]]+standard_components_173[[#Totals],[Controlled
lb/hr]]))</f>
        <v>0</v>
      </c>
      <c r="J151" s="51">
        <f>IF(speciated_chemicals_175[[#This Row],[Inert / Not a Contaminant?]]="Yes", 0, speciated_chemicals_175[[#This Row],[Weight Percent]]*(unique_components_174[[#Totals],[Controlled
tpy]]+standard_components_173[[#Totals],[Controlled
tpy]]))</f>
        <v>0</v>
      </c>
    </row>
    <row r="152" spans="1:10" x14ac:dyDescent="0.2">
      <c r="A152" s="103"/>
      <c r="B152" s="51" t="str">
        <f>IFERROR(VLOOKUP(speciated_chemicals_175[[#This Row],[CAS '#]],species[],MATCH("Substance", species[#Headers], 0),FALSE),"No CAS Number Entered")</f>
        <v>No CAS Number Entered</v>
      </c>
      <c r="C152" s="102"/>
      <c r="D152" s="102" t="s">
        <v>12666</v>
      </c>
      <c r="E152" s="102" t="s">
        <v>12666</v>
      </c>
      <c r="F152" s="102" t="s">
        <v>12666</v>
      </c>
      <c r="G152" s="102" t="s">
        <v>12666</v>
      </c>
      <c r="H152" s="164"/>
      <c r="I152" s="51">
        <f>IF(speciated_chemicals_175[[#This Row],[Inert / Not a Contaminant?]]="Yes", 0, speciated_chemicals_175[[#This Row],[Weight Percent]]*(unique_components_174[[#Totals],[Controlled lb/hr]]+standard_components_173[[#Totals],[Controlled
lb/hr]]))</f>
        <v>0</v>
      </c>
      <c r="J152" s="51">
        <f>IF(speciated_chemicals_175[[#This Row],[Inert / Not a Contaminant?]]="Yes", 0, speciated_chemicals_175[[#This Row],[Weight Percent]]*(unique_components_174[[#Totals],[Controlled
tpy]]+standard_components_173[[#Totals],[Controlled
tpy]]))</f>
        <v>0</v>
      </c>
    </row>
    <row r="153" spans="1:10" x14ac:dyDescent="0.2">
      <c r="A153" s="103"/>
      <c r="B153" s="51" t="str">
        <f>IFERROR(VLOOKUP(speciated_chemicals_175[[#This Row],[CAS '#]],species[],MATCH("Substance", species[#Headers], 0),FALSE),"No CAS Number Entered")</f>
        <v>No CAS Number Entered</v>
      </c>
      <c r="C153" s="102"/>
      <c r="D153" s="102" t="s">
        <v>12666</v>
      </c>
      <c r="E153" s="102" t="s">
        <v>12666</v>
      </c>
      <c r="F153" s="102" t="s">
        <v>12666</v>
      </c>
      <c r="G153" s="102" t="s">
        <v>12666</v>
      </c>
      <c r="H153" s="164"/>
      <c r="I153" s="51">
        <f>IF(speciated_chemicals_175[[#This Row],[Inert / Not a Contaminant?]]="Yes", 0, speciated_chemicals_175[[#This Row],[Weight Percent]]*(unique_components_174[[#Totals],[Controlled lb/hr]]+standard_components_173[[#Totals],[Controlled
lb/hr]]))</f>
        <v>0</v>
      </c>
      <c r="J153" s="51">
        <f>IF(speciated_chemicals_175[[#This Row],[Inert / Not a Contaminant?]]="Yes", 0, speciated_chemicals_175[[#This Row],[Weight Percent]]*(unique_components_174[[#Totals],[Controlled
tpy]]+standard_components_173[[#Totals],[Controlled
tpy]]))</f>
        <v>0</v>
      </c>
    </row>
    <row r="154" spans="1:10" x14ac:dyDescent="0.2">
      <c r="A154" s="103"/>
      <c r="B154" s="51" t="str">
        <f>IFERROR(VLOOKUP(speciated_chemicals_175[[#This Row],[CAS '#]],species[],MATCH("Substance", species[#Headers], 0),FALSE),"No CAS Number Entered")</f>
        <v>No CAS Number Entered</v>
      </c>
      <c r="C154" s="102"/>
      <c r="D154" s="102" t="s">
        <v>12666</v>
      </c>
      <c r="E154" s="102" t="s">
        <v>12666</v>
      </c>
      <c r="F154" s="102" t="s">
        <v>12666</v>
      </c>
      <c r="G154" s="102" t="s">
        <v>12666</v>
      </c>
      <c r="H154" s="164"/>
      <c r="I154" s="51">
        <f>IF(speciated_chemicals_175[[#This Row],[Inert / Not a Contaminant?]]="Yes", 0, speciated_chemicals_175[[#This Row],[Weight Percent]]*(unique_components_174[[#Totals],[Controlled lb/hr]]+standard_components_173[[#Totals],[Controlled
lb/hr]]))</f>
        <v>0</v>
      </c>
      <c r="J154" s="51">
        <f>IF(speciated_chemicals_175[[#This Row],[Inert / Not a Contaminant?]]="Yes", 0, speciated_chemicals_175[[#This Row],[Weight Percent]]*(unique_components_174[[#Totals],[Controlled
tpy]]+standard_components_173[[#Totals],[Controlled
tpy]]))</f>
        <v>0</v>
      </c>
    </row>
    <row r="155" spans="1:10" x14ac:dyDescent="0.2">
      <c r="A155" s="103"/>
      <c r="B155" s="51" t="str">
        <f>IFERROR(VLOOKUP(speciated_chemicals_175[[#This Row],[CAS '#]],species[],MATCH("Substance", species[#Headers], 0),FALSE),"No CAS Number Entered")</f>
        <v>No CAS Number Entered</v>
      </c>
      <c r="C155" s="102"/>
      <c r="D155" s="102" t="s">
        <v>12666</v>
      </c>
      <c r="E155" s="102" t="s">
        <v>12666</v>
      </c>
      <c r="F155" s="102" t="s">
        <v>12666</v>
      </c>
      <c r="G155" s="102" t="s">
        <v>12666</v>
      </c>
      <c r="H155" s="164"/>
      <c r="I155" s="51">
        <f>IF(speciated_chemicals_175[[#This Row],[Inert / Not a Contaminant?]]="Yes", 0, speciated_chemicals_175[[#This Row],[Weight Percent]]*(unique_components_174[[#Totals],[Controlled lb/hr]]+standard_components_173[[#Totals],[Controlled
lb/hr]]))</f>
        <v>0</v>
      </c>
      <c r="J155" s="51">
        <f>IF(speciated_chemicals_175[[#This Row],[Inert / Not a Contaminant?]]="Yes", 0, speciated_chemicals_175[[#This Row],[Weight Percent]]*(unique_components_174[[#Totals],[Controlled
tpy]]+standard_components_173[[#Totals],[Controlled
tpy]]))</f>
        <v>0</v>
      </c>
    </row>
    <row r="156" spans="1:10" x14ac:dyDescent="0.2">
      <c r="A156" s="103"/>
      <c r="B156" s="51" t="str">
        <f>IFERROR(VLOOKUP(speciated_chemicals_175[[#This Row],[CAS '#]],species[],MATCH("Substance", species[#Headers], 0),FALSE),"No CAS Number Entered")</f>
        <v>No CAS Number Entered</v>
      </c>
      <c r="C156" s="102"/>
      <c r="D156" s="102" t="s">
        <v>12666</v>
      </c>
      <c r="E156" s="102" t="s">
        <v>12666</v>
      </c>
      <c r="F156" s="102" t="s">
        <v>12666</v>
      </c>
      <c r="G156" s="102" t="s">
        <v>12666</v>
      </c>
      <c r="H156" s="164"/>
      <c r="I156" s="51">
        <f>IF(speciated_chemicals_175[[#This Row],[Inert / Not a Contaminant?]]="Yes", 0, speciated_chemicals_175[[#This Row],[Weight Percent]]*(unique_components_174[[#Totals],[Controlled lb/hr]]+standard_components_173[[#Totals],[Controlled
lb/hr]]))</f>
        <v>0</v>
      </c>
      <c r="J156" s="51">
        <f>IF(speciated_chemicals_175[[#This Row],[Inert / Not a Contaminant?]]="Yes", 0, speciated_chemicals_175[[#This Row],[Weight Percent]]*(unique_components_174[[#Totals],[Controlled
tpy]]+standard_components_173[[#Totals],[Controlled
tpy]]))</f>
        <v>0</v>
      </c>
    </row>
    <row r="157" spans="1:10" x14ac:dyDescent="0.2">
      <c r="A157" s="103"/>
      <c r="B157" s="51" t="str">
        <f>IFERROR(VLOOKUP(speciated_chemicals_175[[#This Row],[CAS '#]],species[],MATCH("Substance", species[#Headers], 0),FALSE),"No CAS Number Entered")</f>
        <v>No CAS Number Entered</v>
      </c>
      <c r="C157" s="102"/>
      <c r="D157" s="102" t="s">
        <v>12666</v>
      </c>
      <c r="E157" s="102" t="s">
        <v>12666</v>
      </c>
      <c r="F157" s="102" t="s">
        <v>12666</v>
      </c>
      <c r="G157" s="102" t="s">
        <v>12666</v>
      </c>
      <c r="H157" s="164"/>
      <c r="I157" s="51">
        <f>IF(speciated_chemicals_175[[#This Row],[Inert / Not a Contaminant?]]="Yes", 0, speciated_chemicals_175[[#This Row],[Weight Percent]]*(unique_components_174[[#Totals],[Controlled lb/hr]]+standard_components_173[[#Totals],[Controlled
lb/hr]]))</f>
        <v>0</v>
      </c>
      <c r="J157" s="51">
        <f>IF(speciated_chemicals_175[[#This Row],[Inert / Not a Contaminant?]]="Yes", 0, speciated_chemicals_175[[#This Row],[Weight Percent]]*(unique_components_174[[#Totals],[Controlled
tpy]]+standard_components_173[[#Totals],[Controlled
tpy]]))</f>
        <v>0</v>
      </c>
    </row>
    <row r="158" spans="1:10" x14ac:dyDescent="0.2">
      <c r="A158" s="103"/>
      <c r="B158" s="51" t="str">
        <f>IFERROR(VLOOKUP(speciated_chemicals_175[[#This Row],[CAS '#]],species[],MATCH("Substance", species[#Headers], 0),FALSE),"No CAS Number Entered")</f>
        <v>No CAS Number Entered</v>
      </c>
      <c r="C158" s="102"/>
      <c r="D158" s="102" t="s">
        <v>12666</v>
      </c>
      <c r="E158" s="102" t="s">
        <v>12666</v>
      </c>
      <c r="F158" s="102" t="s">
        <v>12666</v>
      </c>
      <c r="G158" s="102" t="s">
        <v>12666</v>
      </c>
      <c r="H158" s="164"/>
      <c r="I158" s="51">
        <f>IF(speciated_chemicals_175[[#This Row],[Inert / Not a Contaminant?]]="Yes", 0, speciated_chemicals_175[[#This Row],[Weight Percent]]*(unique_components_174[[#Totals],[Controlled lb/hr]]+standard_components_173[[#Totals],[Controlled
lb/hr]]))</f>
        <v>0</v>
      </c>
      <c r="J158" s="51">
        <f>IF(speciated_chemicals_175[[#This Row],[Inert / Not a Contaminant?]]="Yes", 0, speciated_chemicals_175[[#This Row],[Weight Percent]]*(unique_components_174[[#Totals],[Controlled
tpy]]+standard_components_173[[#Totals],[Controlled
tpy]]))</f>
        <v>0</v>
      </c>
    </row>
    <row r="159" spans="1:10" x14ac:dyDescent="0.2">
      <c r="A159" s="103"/>
      <c r="B159" s="51" t="str">
        <f>IFERROR(VLOOKUP(speciated_chemicals_175[[#This Row],[CAS '#]],species[],MATCH("Substance", species[#Headers], 0),FALSE),"No CAS Number Entered")</f>
        <v>No CAS Number Entered</v>
      </c>
      <c r="C159" s="102"/>
      <c r="D159" s="102" t="s">
        <v>12666</v>
      </c>
      <c r="E159" s="102" t="s">
        <v>12666</v>
      </c>
      <c r="F159" s="102" t="s">
        <v>12666</v>
      </c>
      <c r="G159" s="102" t="s">
        <v>12666</v>
      </c>
      <c r="H159" s="164"/>
      <c r="I159" s="51">
        <f>IF(speciated_chemicals_175[[#This Row],[Inert / Not a Contaminant?]]="Yes", 0, speciated_chemicals_175[[#This Row],[Weight Percent]]*(unique_components_174[[#Totals],[Controlled lb/hr]]+standard_components_173[[#Totals],[Controlled
lb/hr]]))</f>
        <v>0</v>
      </c>
      <c r="J159" s="51">
        <f>IF(speciated_chemicals_175[[#This Row],[Inert / Not a Contaminant?]]="Yes", 0, speciated_chemicals_175[[#This Row],[Weight Percent]]*(unique_components_174[[#Totals],[Controlled
tpy]]+standard_components_173[[#Totals],[Controlled
tpy]]))</f>
        <v>0</v>
      </c>
    </row>
    <row r="160" spans="1:10" x14ac:dyDescent="0.2">
      <c r="A160" s="103"/>
      <c r="B160" s="51" t="str">
        <f>IFERROR(VLOOKUP(speciated_chemicals_175[[#This Row],[CAS '#]],species[],MATCH("Substance", species[#Headers], 0),FALSE),"No CAS Number Entered")</f>
        <v>No CAS Number Entered</v>
      </c>
      <c r="C160" s="102"/>
      <c r="D160" s="102" t="s">
        <v>12666</v>
      </c>
      <c r="E160" s="102" t="s">
        <v>12666</v>
      </c>
      <c r="F160" s="102" t="s">
        <v>12666</v>
      </c>
      <c r="G160" s="102" t="s">
        <v>12666</v>
      </c>
      <c r="H160" s="164"/>
      <c r="I160" s="51">
        <f>IF(speciated_chemicals_175[[#This Row],[Inert / Not a Contaminant?]]="Yes", 0, speciated_chemicals_175[[#This Row],[Weight Percent]]*(unique_components_174[[#Totals],[Controlled lb/hr]]+standard_components_173[[#Totals],[Controlled
lb/hr]]))</f>
        <v>0</v>
      </c>
      <c r="J160" s="51">
        <f>IF(speciated_chemicals_175[[#This Row],[Inert / Not a Contaminant?]]="Yes", 0, speciated_chemicals_175[[#This Row],[Weight Percent]]*(unique_components_174[[#Totals],[Controlled
tpy]]+standard_components_173[[#Totals],[Controlled
tpy]]))</f>
        <v>0</v>
      </c>
    </row>
    <row r="161" spans="1:10" x14ac:dyDescent="0.2">
      <c r="A161" s="103"/>
      <c r="B161" s="51" t="str">
        <f>IFERROR(VLOOKUP(speciated_chemicals_175[[#This Row],[CAS '#]],species[],MATCH("Substance", species[#Headers], 0),FALSE),"No CAS Number Entered")</f>
        <v>No CAS Number Entered</v>
      </c>
      <c r="C161" s="102"/>
      <c r="D161" s="102" t="s">
        <v>12666</v>
      </c>
      <c r="E161" s="102" t="s">
        <v>12666</v>
      </c>
      <c r="F161" s="102" t="s">
        <v>12666</v>
      </c>
      <c r="G161" s="102" t="s">
        <v>12666</v>
      </c>
      <c r="H161" s="164"/>
      <c r="I161" s="51">
        <f>IF(speciated_chemicals_175[[#This Row],[Inert / Not a Contaminant?]]="Yes", 0, speciated_chemicals_175[[#This Row],[Weight Percent]]*(unique_components_174[[#Totals],[Controlled lb/hr]]+standard_components_173[[#Totals],[Controlled
lb/hr]]))</f>
        <v>0</v>
      </c>
      <c r="J161" s="51">
        <f>IF(speciated_chemicals_175[[#This Row],[Inert / Not a Contaminant?]]="Yes", 0, speciated_chemicals_175[[#This Row],[Weight Percent]]*(unique_components_174[[#Totals],[Controlled
tpy]]+standard_components_173[[#Totals],[Controlled
tpy]]))</f>
        <v>0</v>
      </c>
    </row>
    <row r="162" spans="1:10" x14ac:dyDescent="0.2">
      <c r="A162" s="103"/>
      <c r="B162" s="51" t="str">
        <f>IFERROR(VLOOKUP(speciated_chemicals_175[[#This Row],[CAS '#]],species[],MATCH("Substance", species[#Headers], 0),FALSE),"No CAS Number Entered")</f>
        <v>No CAS Number Entered</v>
      </c>
      <c r="C162" s="102"/>
      <c r="D162" s="102" t="s">
        <v>12666</v>
      </c>
      <c r="E162" s="102" t="s">
        <v>12666</v>
      </c>
      <c r="F162" s="102" t="s">
        <v>12666</v>
      </c>
      <c r="G162" s="102" t="s">
        <v>12666</v>
      </c>
      <c r="H162" s="164"/>
      <c r="I162" s="51">
        <f>IF(speciated_chemicals_175[[#This Row],[Inert / Not a Contaminant?]]="Yes", 0, speciated_chemicals_175[[#This Row],[Weight Percent]]*(unique_components_174[[#Totals],[Controlled lb/hr]]+standard_components_173[[#Totals],[Controlled
lb/hr]]))</f>
        <v>0</v>
      </c>
      <c r="J162" s="51">
        <f>IF(speciated_chemicals_175[[#This Row],[Inert / Not a Contaminant?]]="Yes", 0, speciated_chemicals_175[[#This Row],[Weight Percent]]*(unique_components_174[[#Totals],[Controlled
tpy]]+standard_components_173[[#Totals],[Controlled
tpy]]))</f>
        <v>0</v>
      </c>
    </row>
    <row r="163" spans="1:10" x14ac:dyDescent="0.2">
      <c r="A163" s="103"/>
      <c r="B163" s="51" t="str">
        <f>IFERROR(VLOOKUP(speciated_chemicals_175[[#This Row],[CAS '#]],species[],MATCH("Substance", species[#Headers], 0),FALSE),"No CAS Number Entered")</f>
        <v>No CAS Number Entered</v>
      </c>
      <c r="C163" s="102"/>
      <c r="D163" s="102" t="s">
        <v>12666</v>
      </c>
      <c r="E163" s="102" t="s">
        <v>12666</v>
      </c>
      <c r="F163" s="102" t="s">
        <v>12666</v>
      </c>
      <c r="G163" s="102" t="s">
        <v>12666</v>
      </c>
      <c r="H163" s="164"/>
      <c r="I163" s="51">
        <f>IF(speciated_chemicals_175[[#This Row],[Inert / Not a Contaminant?]]="Yes", 0, speciated_chemicals_175[[#This Row],[Weight Percent]]*(unique_components_174[[#Totals],[Controlled lb/hr]]+standard_components_173[[#Totals],[Controlled
lb/hr]]))</f>
        <v>0</v>
      </c>
      <c r="J163" s="51">
        <f>IF(speciated_chemicals_175[[#This Row],[Inert / Not a Contaminant?]]="Yes", 0, speciated_chemicals_175[[#This Row],[Weight Percent]]*(unique_components_174[[#Totals],[Controlled
tpy]]+standard_components_173[[#Totals],[Controlled
tpy]]))</f>
        <v>0</v>
      </c>
    </row>
    <row r="164" spans="1:10" x14ac:dyDescent="0.2">
      <c r="A164" s="103"/>
      <c r="B164" s="51" t="str">
        <f>IFERROR(VLOOKUP(speciated_chemicals_175[[#This Row],[CAS '#]],species[],MATCH("Substance", species[#Headers], 0),FALSE),"No CAS Number Entered")</f>
        <v>No CAS Number Entered</v>
      </c>
      <c r="C164" s="102"/>
      <c r="D164" s="102" t="s">
        <v>12666</v>
      </c>
      <c r="E164" s="102" t="s">
        <v>12666</v>
      </c>
      <c r="F164" s="102" t="s">
        <v>12666</v>
      </c>
      <c r="G164" s="102" t="s">
        <v>12666</v>
      </c>
      <c r="H164" s="164"/>
      <c r="I164" s="51">
        <f>IF(speciated_chemicals_175[[#This Row],[Inert / Not a Contaminant?]]="Yes", 0, speciated_chemicals_175[[#This Row],[Weight Percent]]*(unique_components_174[[#Totals],[Controlled lb/hr]]+standard_components_173[[#Totals],[Controlled
lb/hr]]))</f>
        <v>0</v>
      </c>
      <c r="J164" s="51">
        <f>IF(speciated_chemicals_175[[#This Row],[Inert / Not a Contaminant?]]="Yes", 0, speciated_chemicals_175[[#This Row],[Weight Percent]]*(unique_components_174[[#Totals],[Controlled
tpy]]+standard_components_173[[#Totals],[Controlled
tpy]]))</f>
        <v>0</v>
      </c>
    </row>
    <row r="165" spans="1:10" x14ac:dyDescent="0.2">
      <c r="A165" s="103"/>
      <c r="B165" s="51" t="str">
        <f>IFERROR(VLOOKUP(speciated_chemicals_175[[#This Row],[CAS '#]],species[],MATCH("Substance", species[#Headers], 0),FALSE),"No CAS Number Entered")</f>
        <v>No CAS Number Entered</v>
      </c>
      <c r="C165" s="102"/>
      <c r="D165" s="102" t="s">
        <v>12666</v>
      </c>
      <c r="E165" s="102" t="s">
        <v>12666</v>
      </c>
      <c r="F165" s="102" t="s">
        <v>12666</v>
      </c>
      <c r="G165" s="102" t="s">
        <v>12666</v>
      </c>
      <c r="H165" s="164"/>
      <c r="I165" s="51">
        <f>IF(speciated_chemicals_175[[#This Row],[Inert / Not a Contaminant?]]="Yes", 0, speciated_chemicals_175[[#This Row],[Weight Percent]]*(unique_components_174[[#Totals],[Controlled lb/hr]]+standard_components_173[[#Totals],[Controlled
lb/hr]]))</f>
        <v>0</v>
      </c>
      <c r="J165" s="51">
        <f>IF(speciated_chemicals_175[[#This Row],[Inert / Not a Contaminant?]]="Yes", 0, speciated_chemicals_175[[#This Row],[Weight Percent]]*(unique_components_174[[#Totals],[Controlled
tpy]]+standard_components_173[[#Totals],[Controlled
tpy]]))</f>
        <v>0</v>
      </c>
    </row>
    <row r="166" spans="1:10" x14ac:dyDescent="0.2">
      <c r="A166" s="103"/>
      <c r="B166" s="51" t="str">
        <f>IFERROR(VLOOKUP(speciated_chemicals_175[[#This Row],[CAS '#]],species[],MATCH("Substance", species[#Headers], 0),FALSE),"No CAS Number Entered")</f>
        <v>No CAS Number Entered</v>
      </c>
      <c r="C166" s="102"/>
      <c r="D166" s="102" t="s">
        <v>12666</v>
      </c>
      <c r="E166" s="102" t="s">
        <v>12666</v>
      </c>
      <c r="F166" s="102" t="s">
        <v>12666</v>
      </c>
      <c r="G166" s="102" t="s">
        <v>12666</v>
      </c>
      <c r="H166" s="164"/>
      <c r="I166" s="51">
        <f>IF(speciated_chemicals_175[[#This Row],[Inert / Not a Contaminant?]]="Yes", 0, speciated_chemicals_175[[#This Row],[Weight Percent]]*(unique_components_174[[#Totals],[Controlled lb/hr]]+standard_components_173[[#Totals],[Controlled
lb/hr]]))</f>
        <v>0</v>
      </c>
      <c r="J166" s="51">
        <f>IF(speciated_chemicals_175[[#This Row],[Inert / Not a Contaminant?]]="Yes", 0, speciated_chemicals_175[[#This Row],[Weight Percent]]*(unique_components_174[[#Totals],[Controlled
tpy]]+standard_components_173[[#Totals],[Controlled
tpy]]))</f>
        <v>0</v>
      </c>
    </row>
    <row r="167" spans="1:10" x14ac:dyDescent="0.2">
      <c r="A167" s="103"/>
      <c r="B167" s="51" t="str">
        <f>IFERROR(VLOOKUP(speciated_chemicals_175[[#This Row],[CAS '#]],species[],MATCH("Substance", species[#Headers], 0),FALSE),"No CAS Number Entered")</f>
        <v>No CAS Number Entered</v>
      </c>
      <c r="C167" s="102"/>
      <c r="D167" s="102" t="s">
        <v>12666</v>
      </c>
      <c r="E167" s="102" t="s">
        <v>12666</v>
      </c>
      <c r="F167" s="102" t="s">
        <v>12666</v>
      </c>
      <c r="G167" s="102" t="s">
        <v>12666</v>
      </c>
      <c r="H167" s="164"/>
      <c r="I167" s="51">
        <f>IF(speciated_chemicals_175[[#This Row],[Inert / Not a Contaminant?]]="Yes", 0, speciated_chemicals_175[[#This Row],[Weight Percent]]*(unique_components_174[[#Totals],[Controlled lb/hr]]+standard_components_173[[#Totals],[Controlled
lb/hr]]))</f>
        <v>0</v>
      </c>
      <c r="J167" s="51">
        <f>IF(speciated_chemicals_175[[#This Row],[Inert / Not a Contaminant?]]="Yes", 0, speciated_chemicals_175[[#This Row],[Weight Percent]]*(unique_components_174[[#Totals],[Controlled
tpy]]+standard_components_173[[#Totals],[Controlled
tpy]]))</f>
        <v>0</v>
      </c>
    </row>
    <row r="168" spans="1:10" x14ac:dyDescent="0.2">
      <c r="A168" s="103"/>
      <c r="B168" s="51" t="str">
        <f>IFERROR(VLOOKUP(speciated_chemicals_175[[#This Row],[CAS '#]],species[],MATCH("Substance", species[#Headers], 0),FALSE),"No CAS Number Entered")</f>
        <v>No CAS Number Entered</v>
      </c>
      <c r="C168" s="102"/>
      <c r="D168" s="102" t="s">
        <v>12666</v>
      </c>
      <c r="E168" s="102" t="s">
        <v>12666</v>
      </c>
      <c r="F168" s="102" t="s">
        <v>12666</v>
      </c>
      <c r="G168" s="102" t="s">
        <v>12666</v>
      </c>
      <c r="H168" s="164"/>
      <c r="I168" s="51">
        <f>IF(speciated_chemicals_175[[#This Row],[Inert / Not a Contaminant?]]="Yes", 0, speciated_chemicals_175[[#This Row],[Weight Percent]]*(unique_components_174[[#Totals],[Controlled lb/hr]]+standard_components_173[[#Totals],[Controlled
lb/hr]]))</f>
        <v>0</v>
      </c>
      <c r="J168" s="51">
        <f>IF(speciated_chemicals_175[[#This Row],[Inert / Not a Contaminant?]]="Yes", 0, speciated_chemicals_175[[#This Row],[Weight Percent]]*(unique_components_174[[#Totals],[Controlled
tpy]]+standard_components_173[[#Totals],[Controlled
tpy]]))</f>
        <v>0</v>
      </c>
    </row>
    <row r="169" spans="1:10" x14ac:dyDescent="0.2">
      <c r="A169" s="103"/>
      <c r="B169" s="51" t="str">
        <f>IFERROR(VLOOKUP(speciated_chemicals_175[[#This Row],[CAS '#]],species[],MATCH("Substance", species[#Headers], 0),FALSE),"No CAS Number Entered")</f>
        <v>No CAS Number Entered</v>
      </c>
      <c r="C169" s="102"/>
      <c r="D169" s="102" t="s">
        <v>12666</v>
      </c>
      <c r="E169" s="102" t="s">
        <v>12666</v>
      </c>
      <c r="F169" s="102" t="s">
        <v>12666</v>
      </c>
      <c r="G169" s="102" t="s">
        <v>12666</v>
      </c>
      <c r="H169" s="164"/>
      <c r="I169" s="51">
        <f>IF(speciated_chemicals_175[[#This Row],[Inert / Not a Contaminant?]]="Yes", 0, speciated_chemicals_175[[#This Row],[Weight Percent]]*(unique_components_174[[#Totals],[Controlled lb/hr]]+standard_components_173[[#Totals],[Controlled
lb/hr]]))</f>
        <v>0</v>
      </c>
      <c r="J169" s="51">
        <f>IF(speciated_chemicals_175[[#This Row],[Inert / Not a Contaminant?]]="Yes", 0, speciated_chemicals_175[[#This Row],[Weight Percent]]*(unique_components_174[[#Totals],[Controlled
tpy]]+standard_components_173[[#Totals],[Controlled
tpy]]))</f>
        <v>0</v>
      </c>
    </row>
    <row r="170" spans="1:10" x14ac:dyDescent="0.2">
      <c r="A170" s="103"/>
      <c r="B170" s="51" t="str">
        <f>IFERROR(VLOOKUP(speciated_chemicals_175[[#This Row],[CAS '#]],species[],MATCH("Substance", species[#Headers], 0),FALSE),"No CAS Number Entered")</f>
        <v>No CAS Number Entered</v>
      </c>
      <c r="C170" s="102"/>
      <c r="D170" s="102" t="s">
        <v>12666</v>
      </c>
      <c r="E170" s="102" t="s">
        <v>12666</v>
      </c>
      <c r="F170" s="102" t="s">
        <v>12666</v>
      </c>
      <c r="G170" s="102" t="s">
        <v>12666</v>
      </c>
      <c r="H170" s="164"/>
      <c r="I170" s="51">
        <f>IF(speciated_chemicals_175[[#This Row],[Inert / Not a Contaminant?]]="Yes", 0, speciated_chemicals_175[[#This Row],[Weight Percent]]*(unique_components_174[[#Totals],[Controlled lb/hr]]+standard_components_173[[#Totals],[Controlled
lb/hr]]))</f>
        <v>0</v>
      </c>
      <c r="J170" s="51">
        <f>IF(speciated_chemicals_175[[#This Row],[Inert / Not a Contaminant?]]="Yes", 0, speciated_chemicals_175[[#This Row],[Weight Percent]]*(unique_components_174[[#Totals],[Controlled
tpy]]+standard_components_173[[#Totals],[Controlled
tpy]]))</f>
        <v>0</v>
      </c>
    </row>
    <row r="171" spans="1:10" x14ac:dyDescent="0.2">
      <c r="A171" s="103"/>
      <c r="B171" s="51" t="str">
        <f>IFERROR(VLOOKUP(speciated_chemicals_175[[#This Row],[CAS '#]],species[],MATCH("Substance", species[#Headers], 0),FALSE),"No CAS Number Entered")</f>
        <v>No CAS Number Entered</v>
      </c>
      <c r="C171" s="102"/>
      <c r="D171" s="102" t="s">
        <v>12666</v>
      </c>
      <c r="E171" s="102" t="s">
        <v>12666</v>
      </c>
      <c r="F171" s="102" t="s">
        <v>12666</v>
      </c>
      <c r="G171" s="102" t="s">
        <v>12666</v>
      </c>
      <c r="H171" s="164"/>
      <c r="I171" s="51">
        <f>IF(speciated_chemicals_175[[#This Row],[Inert / Not a Contaminant?]]="Yes", 0, speciated_chemicals_175[[#This Row],[Weight Percent]]*(unique_components_174[[#Totals],[Controlled lb/hr]]+standard_components_173[[#Totals],[Controlled
lb/hr]]))</f>
        <v>0</v>
      </c>
      <c r="J171" s="51">
        <f>IF(speciated_chemicals_175[[#This Row],[Inert / Not a Contaminant?]]="Yes", 0, speciated_chemicals_175[[#This Row],[Weight Percent]]*(unique_components_174[[#Totals],[Controlled
tpy]]+standard_components_173[[#Totals],[Controlled
tpy]]))</f>
        <v>0</v>
      </c>
    </row>
    <row r="172" spans="1:10" x14ac:dyDescent="0.2">
      <c r="A172" s="103"/>
      <c r="B172" s="51" t="str">
        <f>IFERROR(VLOOKUP(speciated_chemicals_175[[#This Row],[CAS '#]],species[],MATCH("Substance", species[#Headers], 0),FALSE),"No CAS Number Entered")</f>
        <v>No CAS Number Entered</v>
      </c>
      <c r="C172" s="102"/>
      <c r="D172" s="102" t="s">
        <v>12666</v>
      </c>
      <c r="E172" s="102" t="s">
        <v>12666</v>
      </c>
      <c r="F172" s="102" t="s">
        <v>12666</v>
      </c>
      <c r="G172" s="102" t="s">
        <v>12666</v>
      </c>
      <c r="H172" s="164"/>
      <c r="I172" s="51">
        <f>IF(speciated_chemicals_175[[#This Row],[Inert / Not a Contaminant?]]="Yes", 0, speciated_chemicals_175[[#This Row],[Weight Percent]]*(unique_components_174[[#Totals],[Controlled lb/hr]]+standard_components_173[[#Totals],[Controlled
lb/hr]]))</f>
        <v>0</v>
      </c>
      <c r="J172" s="51">
        <f>IF(speciated_chemicals_175[[#This Row],[Inert / Not a Contaminant?]]="Yes", 0, speciated_chemicals_175[[#This Row],[Weight Percent]]*(unique_components_174[[#Totals],[Controlled
tpy]]+standard_components_173[[#Totals],[Controlled
tpy]]))</f>
        <v>0</v>
      </c>
    </row>
    <row r="173" spans="1:10" x14ac:dyDescent="0.2">
      <c r="A173" s="103"/>
      <c r="B173" s="51" t="str">
        <f>IFERROR(VLOOKUP(speciated_chemicals_175[[#This Row],[CAS '#]],species[],MATCH("Substance", species[#Headers], 0),FALSE),"No CAS Number Entered")</f>
        <v>No CAS Number Entered</v>
      </c>
      <c r="C173" s="102"/>
      <c r="D173" s="102" t="s">
        <v>12666</v>
      </c>
      <c r="E173" s="102" t="s">
        <v>12666</v>
      </c>
      <c r="F173" s="102" t="s">
        <v>12666</v>
      </c>
      <c r="G173" s="102" t="s">
        <v>12666</v>
      </c>
      <c r="H173" s="164"/>
      <c r="I173" s="51">
        <f>IF(speciated_chemicals_175[[#This Row],[Inert / Not a Contaminant?]]="Yes", 0, speciated_chemicals_175[[#This Row],[Weight Percent]]*(unique_components_174[[#Totals],[Controlled lb/hr]]+standard_components_173[[#Totals],[Controlled
lb/hr]]))</f>
        <v>0</v>
      </c>
      <c r="J173" s="51">
        <f>IF(speciated_chemicals_175[[#This Row],[Inert / Not a Contaminant?]]="Yes", 0, speciated_chemicals_175[[#This Row],[Weight Percent]]*(unique_components_174[[#Totals],[Controlled
tpy]]+standard_components_173[[#Totals],[Controlled
tpy]]))</f>
        <v>0</v>
      </c>
    </row>
    <row r="174" spans="1:10" x14ac:dyDescent="0.2">
      <c r="A174" s="103"/>
      <c r="B174" s="51" t="str">
        <f>IFERROR(VLOOKUP(speciated_chemicals_175[[#This Row],[CAS '#]],species[],MATCH("Substance", species[#Headers], 0),FALSE),"No CAS Number Entered")</f>
        <v>No CAS Number Entered</v>
      </c>
      <c r="C174" s="102"/>
      <c r="D174" s="102" t="s">
        <v>12666</v>
      </c>
      <c r="E174" s="102" t="s">
        <v>12666</v>
      </c>
      <c r="F174" s="102" t="s">
        <v>12666</v>
      </c>
      <c r="G174" s="102" t="s">
        <v>12666</v>
      </c>
      <c r="H174" s="164"/>
      <c r="I174" s="51">
        <f>IF(speciated_chemicals_175[[#This Row],[Inert / Not a Contaminant?]]="Yes", 0, speciated_chemicals_175[[#This Row],[Weight Percent]]*(unique_components_174[[#Totals],[Controlled lb/hr]]+standard_components_173[[#Totals],[Controlled
lb/hr]]))</f>
        <v>0</v>
      </c>
      <c r="J174" s="51">
        <f>IF(speciated_chemicals_175[[#This Row],[Inert / Not a Contaminant?]]="Yes", 0, speciated_chemicals_175[[#This Row],[Weight Percent]]*(unique_components_174[[#Totals],[Controlled
tpy]]+standard_components_173[[#Totals],[Controlled
tpy]]))</f>
        <v>0</v>
      </c>
    </row>
    <row r="175" spans="1:10" x14ac:dyDescent="0.2">
      <c r="A175" s="103"/>
      <c r="B175" s="51" t="str">
        <f>IFERROR(VLOOKUP(speciated_chemicals_175[[#This Row],[CAS '#]],species[],MATCH("Substance", species[#Headers], 0),FALSE),"No CAS Number Entered")</f>
        <v>No CAS Number Entered</v>
      </c>
      <c r="C175" s="102"/>
      <c r="D175" s="102" t="s">
        <v>12666</v>
      </c>
      <c r="E175" s="102" t="s">
        <v>12666</v>
      </c>
      <c r="F175" s="102" t="s">
        <v>12666</v>
      </c>
      <c r="G175" s="102" t="s">
        <v>12666</v>
      </c>
      <c r="H175" s="164"/>
      <c r="I175" s="51">
        <f>IF(speciated_chemicals_175[[#This Row],[Inert / Not a Contaminant?]]="Yes", 0, speciated_chemicals_175[[#This Row],[Weight Percent]]*(unique_components_174[[#Totals],[Controlled lb/hr]]+standard_components_173[[#Totals],[Controlled
lb/hr]]))</f>
        <v>0</v>
      </c>
      <c r="J175" s="51">
        <f>IF(speciated_chemicals_175[[#This Row],[Inert / Not a Contaminant?]]="Yes", 0, speciated_chemicals_175[[#This Row],[Weight Percent]]*(unique_components_174[[#Totals],[Controlled
tpy]]+standard_components_173[[#Totals],[Controlled
tpy]]))</f>
        <v>0</v>
      </c>
    </row>
    <row r="176" spans="1:10" x14ac:dyDescent="0.2">
      <c r="A176" s="165"/>
      <c r="B176" s="51" t="str">
        <f>IFERROR(VLOOKUP(speciated_chemicals_175[[#This Row],[CAS '#]],species[],MATCH("Substance", species[#Headers], 0),FALSE),"No CAS Number Entered")</f>
        <v>No CAS Number Entered</v>
      </c>
      <c r="C176" s="102"/>
      <c r="D176" s="102" t="s">
        <v>12666</v>
      </c>
      <c r="E176" s="102" t="s">
        <v>12666</v>
      </c>
      <c r="F176" s="102" t="s">
        <v>12666</v>
      </c>
      <c r="G176" s="102" t="s">
        <v>12666</v>
      </c>
      <c r="H176" s="164"/>
      <c r="I176" s="51">
        <f>IF(speciated_chemicals_175[[#This Row],[Inert / Not a Contaminant?]]="Yes", 0, speciated_chemicals_175[[#This Row],[Weight Percent]]*(unique_components_174[[#Totals],[Controlled lb/hr]]+standard_components_173[[#Totals],[Controlled
lb/hr]]))</f>
        <v>0</v>
      </c>
      <c r="J176" s="51">
        <f>IF(speciated_chemicals_175[[#This Row],[Inert / Not a Contaminant?]]="Yes", 0, speciated_chemicals_175[[#This Row],[Weight Percent]]*(unique_components_174[[#Totals],[Controlled
tpy]]+standard_components_173[[#Totals],[Controlled
tpy]]))</f>
        <v>0</v>
      </c>
    </row>
    <row r="177" spans="1:10" x14ac:dyDescent="0.2">
      <c r="A177" s="103"/>
      <c r="B177" s="51" t="str">
        <f>IFERROR(VLOOKUP(speciated_chemicals_175[[#This Row],[CAS '#]],species[],MATCH("Substance", species[#Headers], 0),FALSE),"No CAS Number Entered")</f>
        <v>No CAS Number Entered</v>
      </c>
      <c r="C177" s="102"/>
      <c r="D177" s="102" t="s">
        <v>12666</v>
      </c>
      <c r="E177" s="102" t="s">
        <v>12666</v>
      </c>
      <c r="F177" s="102" t="s">
        <v>12666</v>
      </c>
      <c r="G177" s="102" t="s">
        <v>12666</v>
      </c>
      <c r="H177" s="164"/>
      <c r="I177" s="51">
        <f>IF(speciated_chemicals_175[[#This Row],[Inert / Not a Contaminant?]]="Yes", 0, speciated_chemicals_175[[#This Row],[Weight Percent]]*(unique_components_174[[#Totals],[Controlled lb/hr]]+standard_components_173[[#Totals],[Controlled
lb/hr]]))</f>
        <v>0</v>
      </c>
      <c r="J177" s="51">
        <f>IF(speciated_chemicals_175[[#This Row],[Inert / Not a Contaminant?]]="Yes", 0, speciated_chemicals_175[[#This Row],[Weight Percent]]*(unique_components_174[[#Totals],[Controlled
tpy]]+standard_components_173[[#Totals],[Controlled
tpy]]))</f>
        <v>0</v>
      </c>
    </row>
    <row r="178" spans="1:10" x14ac:dyDescent="0.2">
      <c r="A178" s="103"/>
      <c r="B178" s="51" t="str">
        <f>IFERROR(VLOOKUP(speciated_chemicals_175[[#This Row],[CAS '#]],species[],MATCH("Substance", species[#Headers], 0),FALSE),"No CAS Number Entered")</f>
        <v>No CAS Number Entered</v>
      </c>
      <c r="C178" s="102"/>
      <c r="D178" s="102" t="s">
        <v>12666</v>
      </c>
      <c r="E178" s="102" t="s">
        <v>12666</v>
      </c>
      <c r="F178" s="102" t="s">
        <v>12666</v>
      </c>
      <c r="G178" s="102" t="s">
        <v>12666</v>
      </c>
      <c r="H178" s="164"/>
      <c r="I178" s="51">
        <f>IF(speciated_chemicals_175[[#This Row],[Inert / Not a Contaminant?]]="Yes", 0, speciated_chemicals_175[[#This Row],[Weight Percent]]*(unique_components_174[[#Totals],[Controlled lb/hr]]+standard_components_173[[#Totals],[Controlled
lb/hr]]))</f>
        <v>0</v>
      </c>
      <c r="J178" s="51">
        <f>IF(speciated_chemicals_175[[#This Row],[Inert / Not a Contaminant?]]="Yes", 0, speciated_chemicals_175[[#This Row],[Weight Percent]]*(unique_components_174[[#Totals],[Controlled
tpy]]+standard_components_173[[#Totals],[Controlled
tpy]]))</f>
        <v>0</v>
      </c>
    </row>
    <row r="179" spans="1:10" x14ac:dyDescent="0.2">
      <c r="A179" s="103"/>
      <c r="B179" s="51" t="str">
        <f>IFERROR(VLOOKUP(speciated_chemicals_175[[#This Row],[CAS '#]],species[],MATCH("Substance", species[#Headers], 0),FALSE),"No CAS Number Entered")</f>
        <v>No CAS Number Entered</v>
      </c>
      <c r="C179" s="102"/>
      <c r="D179" s="102" t="s">
        <v>12666</v>
      </c>
      <c r="E179" s="102" t="s">
        <v>12666</v>
      </c>
      <c r="F179" s="102" t="s">
        <v>12666</v>
      </c>
      <c r="G179" s="102" t="s">
        <v>12666</v>
      </c>
      <c r="H179" s="164"/>
      <c r="I179" s="51">
        <f>IF(speciated_chemicals_175[[#This Row],[Inert / Not a Contaminant?]]="Yes", 0, speciated_chemicals_175[[#This Row],[Weight Percent]]*(unique_components_174[[#Totals],[Controlled lb/hr]]+standard_components_173[[#Totals],[Controlled
lb/hr]]))</f>
        <v>0</v>
      </c>
      <c r="J179" s="51">
        <f>IF(speciated_chemicals_175[[#This Row],[Inert / Not a Contaminant?]]="Yes", 0, speciated_chemicals_175[[#This Row],[Weight Percent]]*(unique_components_174[[#Totals],[Controlled
tpy]]+standard_components_173[[#Totals],[Controlled
tpy]]))</f>
        <v>0</v>
      </c>
    </row>
    <row r="180" spans="1:10" x14ac:dyDescent="0.2">
      <c r="A180" s="103"/>
      <c r="B180" s="51" t="str">
        <f>IFERROR(VLOOKUP(speciated_chemicals_175[[#This Row],[CAS '#]],species[],MATCH("Substance", species[#Headers], 0),FALSE),"No CAS Number Entered")</f>
        <v>No CAS Number Entered</v>
      </c>
      <c r="C180" s="102"/>
      <c r="D180" s="102" t="s">
        <v>12666</v>
      </c>
      <c r="E180" s="102" t="s">
        <v>12666</v>
      </c>
      <c r="F180" s="102" t="s">
        <v>12666</v>
      </c>
      <c r="G180" s="102" t="s">
        <v>12666</v>
      </c>
      <c r="H180" s="164"/>
      <c r="I180" s="51">
        <f>IF(speciated_chemicals_175[[#This Row],[Inert / Not a Contaminant?]]="Yes", 0, speciated_chemicals_175[[#This Row],[Weight Percent]]*(unique_components_174[[#Totals],[Controlled lb/hr]]+standard_components_173[[#Totals],[Controlled
lb/hr]]))</f>
        <v>0</v>
      </c>
      <c r="J180" s="51">
        <f>IF(speciated_chemicals_175[[#This Row],[Inert / Not a Contaminant?]]="Yes", 0, speciated_chemicals_175[[#This Row],[Weight Percent]]*(unique_components_174[[#Totals],[Controlled
tpy]]+standard_components_173[[#Totals],[Controlled
tpy]]))</f>
        <v>0</v>
      </c>
    </row>
    <row r="181" spans="1:10" ht="30" x14ac:dyDescent="0.2">
      <c r="A181" s="184" t="s">
        <v>12705</v>
      </c>
      <c r="B181" s="52"/>
      <c r="C181" s="53"/>
      <c r="D181" s="52"/>
      <c r="E181" s="52"/>
      <c r="F181" s="52"/>
      <c r="G181" s="52"/>
      <c r="H181" s="166">
        <f>SUBTOTAL(109,speciated_chemicals_175[Weight Percent])</f>
        <v>0</v>
      </c>
      <c r="I181" s="167">
        <f>SUBTOTAL(109,speciated_chemicals_175[lb/hr])</f>
        <v>0</v>
      </c>
      <c r="J181" s="167">
        <f>SUBTOTAL(109,speciated_chemicals_175[tpy])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MATCH(speciated_ghg_176[[#This Row],[CAS '#]], gwp_table[CAS No.], 0), MATCH("Name", gwp_table[#Headers], 0)),"No CAS Number Entered")</f>
        <v>No CAS Number Entered</v>
      </c>
      <c r="C185" s="79" t="str">
        <f>IFERROR(INDEX(gwp_table[], MATCH(speciated_ghg_176[[#This Row],[CAS '#]], gwp_table[CAS No.], 0), MATCH("Global warming potential", gwp_table[#Headers], 0)),"No CAS Number Entered")</f>
        <v>No CAS Number Entered</v>
      </c>
      <c r="D185" s="219"/>
      <c r="E185" s="79">
        <f>IFERROR(speciated_ghg_176[[#This Row],[Weight Percent]]*(unique_components_174[[#Totals],[Controlled
tpy]]+standard_components_173[[#Totals],[Controlled
tpy]]), "-")</f>
        <v>0</v>
      </c>
      <c r="F185" s="81" t="str">
        <f>IFERROR(speciated_ghg_176[[#This Row],[Mass Emissions (U.S. tons per year)]]*speciated_ghg_176[[#This Row],[Global Warming Potential (GWP)]], "-")</f>
        <v>-</v>
      </c>
      <c r="G185" s="30"/>
      <c r="H185" s="168"/>
      <c r="I185" s="168"/>
    </row>
    <row r="186" spans="1:10" x14ac:dyDescent="0.2">
      <c r="A186" s="210"/>
      <c r="B186" s="79" t="str">
        <f>IFERROR(INDEX(gwp_table[], MATCH(speciated_ghg_176[[#This Row],[CAS '#]], gwp_table[CAS No.], 0), MATCH("Name", gwp_table[#Headers], 0)),"No CAS Number Entered")</f>
        <v>No CAS Number Entered</v>
      </c>
      <c r="C186" s="79" t="str">
        <f>IFERROR(INDEX(gwp_table[], MATCH(speciated_ghg_176[[#This Row],[CAS '#]], gwp_table[CAS No.], 0), MATCH("Global warming potential", gwp_table[#Headers], 0)),"No CAS Number Entered")</f>
        <v>No CAS Number Entered</v>
      </c>
      <c r="D186" s="219"/>
      <c r="E186" s="79">
        <f>IFERROR(speciated_ghg_176[[#This Row],[Weight Percent]]*(unique_components_174[[#Totals],[Controlled
tpy]]+standard_components_173[[#Totals],[Controlled
tpy]]), "-")</f>
        <v>0</v>
      </c>
      <c r="F186" s="81" t="str">
        <f>IFERROR(speciated_ghg_176[[#This Row],[Mass Emissions (U.S. tons per year)]]*speciated_ghg_176[[#This Row],[Global Warming Potential (GWP)]], "-")</f>
        <v>-</v>
      </c>
      <c r="G186" s="30"/>
      <c r="H186" s="168"/>
      <c r="I186" s="168"/>
    </row>
    <row r="187" spans="1:10" x14ac:dyDescent="0.2">
      <c r="A187" s="210"/>
      <c r="B187" s="79" t="str">
        <f>IFERROR(INDEX(gwp_table[], MATCH(speciated_ghg_176[[#This Row],[CAS '#]], gwp_table[CAS No.], 0), MATCH("Name", gwp_table[#Headers], 0)),"No CAS Number Entered")</f>
        <v>No CAS Number Entered</v>
      </c>
      <c r="C187" s="79" t="str">
        <f>IFERROR(INDEX(gwp_table[], MATCH(speciated_ghg_176[[#This Row],[CAS '#]], gwp_table[CAS No.], 0), MATCH("Global warming potential", gwp_table[#Headers], 0)),"No CAS Number Entered")</f>
        <v>No CAS Number Entered</v>
      </c>
      <c r="D187" s="219"/>
      <c r="E187" s="79">
        <f>IFERROR(speciated_ghg_176[[#This Row],[Weight Percent]]*(unique_components_174[[#Totals],[Controlled
tpy]]+standard_components_173[[#Totals],[Controlled
tpy]]), "-")</f>
        <v>0</v>
      </c>
      <c r="F187" s="81" t="str">
        <f>IFERROR(speciated_ghg_176[[#This Row],[Mass Emissions (U.S. tons per year)]]*speciated_ghg_176[[#This Row],[Global Warming Potential (GWP)]], "-")</f>
        <v>-</v>
      </c>
      <c r="G187" s="30"/>
      <c r="H187" s="168"/>
      <c r="I187" s="168"/>
    </row>
    <row r="188" spans="1:10" x14ac:dyDescent="0.2">
      <c r="A188" s="210"/>
      <c r="B188" s="79" t="str">
        <f>IFERROR(INDEX(gwp_table[], MATCH(speciated_ghg_176[[#This Row],[CAS '#]], gwp_table[CAS No.], 0), MATCH("Name", gwp_table[#Headers], 0)),"No CAS Number Entered")</f>
        <v>No CAS Number Entered</v>
      </c>
      <c r="C188" s="79" t="str">
        <f>IFERROR(INDEX(gwp_table[], MATCH(speciated_ghg_176[[#This Row],[CAS '#]], gwp_table[CAS No.], 0), MATCH("Global warming potential", gwp_table[#Headers], 0)),"No CAS Number Entered")</f>
        <v>No CAS Number Entered</v>
      </c>
      <c r="D188" s="219"/>
      <c r="E188" s="79">
        <f>IFERROR(speciated_ghg_176[[#This Row],[Weight Percent]]*(unique_components_174[[#Totals],[Controlled
tpy]]+standard_components_173[[#Totals],[Controlled
tpy]]), "-")</f>
        <v>0</v>
      </c>
      <c r="F188" s="81" t="str">
        <f>IFERROR(speciated_ghg_176[[#This Row],[Mass Emissions (U.S. tons per year)]]*speciated_ghg_176[[#This Row],[Global Warming Potential (GWP)]], "-")</f>
        <v>-</v>
      </c>
      <c r="G188" s="30"/>
      <c r="H188" s="168"/>
      <c r="I188" s="168"/>
    </row>
    <row r="189" spans="1:10" x14ac:dyDescent="0.2">
      <c r="A189" s="210"/>
      <c r="B189" s="79" t="str">
        <f>IFERROR(INDEX(gwp_table[], MATCH(speciated_ghg_176[[#This Row],[CAS '#]], gwp_table[CAS No.], 0), MATCH("Name", gwp_table[#Headers], 0)),"No CAS Number Entered")</f>
        <v>No CAS Number Entered</v>
      </c>
      <c r="C189" s="79" t="str">
        <f>IFERROR(INDEX(gwp_table[], MATCH(speciated_ghg_176[[#This Row],[CAS '#]], gwp_table[CAS No.], 0), MATCH("Global warming potential", gwp_table[#Headers], 0)),"No CAS Number Entered")</f>
        <v>No CAS Number Entered</v>
      </c>
      <c r="D189" s="219"/>
      <c r="E189" s="79">
        <f>IFERROR(speciated_ghg_176[[#This Row],[Weight Percent]]*(unique_components_174[[#Totals],[Controlled
tpy]]+standard_components_173[[#Totals],[Controlled
tpy]]), "-")</f>
        <v>0</v>
      </c>
      <c r="F189" s="81" t="str">
        <f>IFERROR(speciated_ghg_176[[#This Row],[Mass Emissions (U.S. tons per year)]]*speciated_ghg_176[[#This Row],[Global Warming Potential (GWP)]], "-")</f>
        <v>-</v>
      </c>
      <c r="G189" s="30"/>
      <c r="H189" s="168"/>
      <c r="I189" s="168"/>
    </row>
    <row r="190" spans="1:10" x14ac:dyDescent="0.2">
      <c r="A190" s="210"/>
      <c r="B190" s="79" t="str">
        <f>IFERROR(INDEX(gwp_table[], MATCH(speciated_ghg_176[[#This Row],[CAS '#]], gwp_table[CAS No.], 0), MATCH("Name", gwp_table[#Headers], 0)),"No CAS Number Entered")</f>
        <v>No CAS Number Entered</v>
      </c>
      <c r="C190" s="79" t="str">
        <f>IFERROR(INDEX(gwp_table[], MATCH(speciated_ghg_176[[#This Row],[CAS '#]], gwp_table[CAS No.], 0), MATCH("Global warming potential", gwp_table[#Headers], 0)),"No CAS Number Entered")</f>
        <v>No CAS Number Entered</v>
      </c>
      <c r="D190" s="219"/>
      <c r="E190" s="79">
        <f>IFERROR(speciated_ghg_176[[#This Row],[Weight Percent]]*(unique_components_174[[#Totals],[Controlled
tpy]]+standard_components_173[[#Totals],[Controlled
tpy]]), "-")</f>
        <v>0</v>
      </c>
      <c r="F190" s="81" t="str">
        <f>IFERROR(speciated_ghg_176[[#This Row],[Mass Emissions (U.S. tons per year)]]*speciated_ghg_176[[#This Row],[Global Warming Potential (GWP)]], "-")</f>
        <v>-</v>
      </c>
      <c r="G190" s="30"/>
      <c r="H190" s="168"/>
      <c r="I190" s="168"/>
    </row>
    <row r="191" spans="1:10" x14ac:dyDescent="0.2">
      <c r="A191" s="210"/>
      <c r="B191" s="79" t="str">
        <f>IFERROR(INDEX(gwp_table[], MATCH(speciated_ghg_176[[#This Row],[CAS '#]], gwp_table[CAS No.], 0), MATCH("Name", gwp_table[#Headers], 0)),"No CAS Number Entered")</f>
        <v>No CAS Number Entered</v>
      </c>
      <c r="C191" s="79" t="str">
        <f>IFERROR(INDEX(gwp_table[], MATCH(speciated_ghg_176[[#This Row],[CAS '#]], gwp_table[CAS No.], 0), MATCH("Global warming potential", gwp_table[#Headers], 0)),"No CAS Number Entered")</f>
        <v>No CAS Number Entered</v>
      </c>
      <c r="D191" s="219"/>
      <c r="E191" s="79">
        <f>IFERROR(speciated_ghg_176[[#This Row],[Weight Percent]]*(unique_components_174[[#Totals],[Controlled
tpy]]+standard_components_173[[#Totals],[Controlled
tpy]]), "-")</f>
        <v>0</v>
      </c>
      <c r="F191" s="81" t="str">
        <f>IFERROR(speciated_ghg_176[[#This Row],[Mass Emissions (U.S. tons per year)]]*speciated_ghg_176[[#This Row],[Global Warming Potential (GWP)]], "-")</f>
        <v>-</v>
      </c>
      <c r="G191" s="17"/>
    </row>
    <row r="192" spans="1:10" ht="15" x14ac:dyDescent="0.25">
      <c r="A192" s="210"/>
      <c r="B192" s="79" t="str">
        <f>IFERROR(INDEX(gwp_table[], MATCH(speciated_ghg_176[[#This Row],[CAS '#]], gwp_table[CAS No.], 0), MATCH("Name", gwp_table[#Headers], 0)),"No CAS Number Entered")</f>
        <v>No CAS Number Entered</v>
      </c>
      <c r="C192" s="79" t="str">
        <f>IFERROR(INDEX(gwp_table[], MATCH(speciated_ghg_176[[#This Row],[CAS '#]], gwp_table[CAS No.], 0), MATCH("Global warming potential", gwp_table[#Headers], 0)),"No CAS Number Entered")</f>
        <v>No CAS Number Entered</v>
      </c>
      <c r="D192" s="219"/>
      <c r="E192" s="79">
        <f>IFERROR(speciated_ghg_176[[#This Row],[Weight Percent]]*(unique_components_174[[#Totals],[Controlled
tpy]]+standard_components_173[[#Totals],[Controlled
tpy]]), "-")</f>
        <v>0</v>
      </c>
      <c r="F192" s="81" t="str">
        <f>IFERROR(speciated_ghg_176[[#This Row],[Mass Emissions (U.S. tons per year)]]*speciated_ghg_176[[#This Row],[Global Warming Potential (GWP)]], "-")</f>
        <v>-</v>
      </c>
      <c r="G192" s="134"/>
      <c r="H192" s="169"/>
    </row>
    <row r="193" spans="1:9" ht="15" x14ac:dyDescent="0.25">
      <c r="A193" s="210"/>
      <c r="B193" s="79" t="str">
        <f>IFERROR(INDEX(gwp_table[], MATCH(speciated_ghg_176[[#This Row],[CAS '#]], gwp_table[CAS No.], 0), MATCH("Name", gwp_table[#Headers], 0)),"No CAS Number Entered")</f>
        <v>No CAS Number Entered</v>
      </c>
      <c r="C193" s="79" t="str">
        <f>IFERROR(INDEX(gwp_table[], MATCH(speciated_ghg_176[[#This Row],[CAS '#]], gwp_table[CAS No.], 0), MATCH("Global warming potential", gwp_table[#Headers], 0)),"No CAS Number Entered")</f>
        <v>No CAS Number Entered</v>
      </c>
      <c r="D193" s="219"/>
      <c r="E193" s="79">
        <f>IFERROR(speciated_ghg_176[[#This Row],[Weight Percent]]*(unique_components_174[[#Totals],[Controlled
tpy]]+standard_components_173[[#Totals],[Controlled
tpy]]), "-")</f>
        <v>0</v>
      </c>
      <c r="F193" s="81" t="str">
        <f>IFERROR(speciated_ghg_176[[#This Row],[Mass Emissions (U.S. tons per year)]]*speciated_ghg_176[[#This Row],[Global Warming Potential (GWP)]], "-")</f>
        <v>-</v>
      </c>
      <c r="G193" s="134"/>
      <c r="H193" s="169"/>
    </row>
    <row r="194" spans="1:9" ht="15" x14ac:dyDescent="0.25">
      <c r="A194" s="210"/>
      <c r="B194" s="79" t="str">
        <f>IFERROR(INDEX(gwp_table[], MATCH(speciated_ghg_176[[#This Row],[CAS '#]], gwp_table[CAS No.], 0), MATCH("Name", gwp_table[#Headers], 0)),"No CAS Number Entered")</f>
        <v>No CAS Number Entered</v>
      </c>
      <c r="C194" s="79" t="str">
        <f>IFERROR(INDEX(gwp_table[], MATCH(speciated_ghg_176[[#This Row],[CAS '#]], gwp_table[CAS No.], 0), MATCH("Global warming potential", gwp_table[#Headers], 0)),"No CAS Number Entered")</f>
        <v>No CAS Number Entered</v>
      </c>
      <c r="D194" s="219"/>
      <c r="E194" s="79">
        <f>IFERROR(speciated_ghg_176[[#This Row],[Weight Percent]]*(unique_components_174[[#Totals],[Controlled
tpy]]+standard_components_173[[#Totals],[Controlled
tpy]]), "-")</f>
        <v>0</v>
      </c>
      <c r="F194" s="81" t="str">
        <f>IFERROR(speciated_ghg_176[[#This Row],[Mass Emissions (U.S. tons per year)]]*speciated_ghg_176[[#This Row],[Global Warming Potential (GWP)]], "-")</f>
        <v>-</v>
      </c>
      <c r="G194" s="134"/>
      <c r="H194" s="169"/>
    </row>
    <row r="195" spans="1:9" x14ac:dyDescent="0.2">
      <c r="A195" s="210"/>
      <c r="B195" s="79" t="str">
        <f>IFERROR(INDEX(gwp_table[], MATCH(speciated_ghg_176[[#This Row],[CAS '#]], gwp_table[CAS No.], 0), MATCH("Name", gwp_table[#Headers], 0)),"No CAS Number Entered")</f>
        <v>No CAS Number Entered</v>
      </c>
      <c r="C195" s="79" t="str">
        <f>IFERROR(INDEX(gwp_table[], MATCH(speciated_ghg_176[[#This Row],[CAS '#]], gwp_table[CAS No.], 0), MATCH("Global warming potential", gwp_table[#Headers], 0)),"No CAS Number Entered")</f>
        <v>No CAS Number Entered</v>
      </c>
      <c r="D195" s="219"/>
      <c r="E195" s="79">
        <f>IFERROR(speciated_ghg_176[[#This Row],[Weight Percent]]*(unique_components_174[[#Totals],[Controlled
tpy]]+standard_components_173[[#Totals],[Controlled
tpy]]), "-")</f>
        <v>0</v>
      </c>
      <c r="F195" s="81" t="str">
        <f>IFERROR(speciated_ghg_176[[#This Row],[Mass Emissions (U.S. tons per year)]]*speciated_ghg_176[[#This Row],[Global Warming Potential (GWP)]], "-")</f>
        <v>-</v>
      </c>
      <c r="G195" s="69"/>
      <c r="H195" s="169"/>
    </row>
    <row r="196" spans="1:9" x14ac:dyDescent="0.2">
      <c r="A196" s="210"/>
      <c r="B196" s="79" t="str">
        <f>IFERROR(INDEX(gwp_table[], MATCH(speciated_ghg_176[[#This Row],[CAS '#]], gwp_table[CAS No.], 0), MATCH("Name", gwp_table[#Headers], 0)),"No CAS Number Entered")</f>
        <v>No CAS Number Entered</v>
      </c>
      <c r="C196" s="79" t="str">
        <f>IFERROR(INDEX(gwp_table[], MATCH(speciated_ghg_176[[#This Row],[CAS '#]], gwp_table[CAS No.], 0), MATCH("Global warming potential", gwp_table[#Headers], 0)),"No CAS Number Entered")</f>
        <v>No CAS Number Entered</v>
      </c>
      <c r="D196" s="219"/>
      <c r="E196" s="79">
        <f>IFERROR(speciated_ghg_176[[#This Row],[Weight Percent]]*(unique_components_174[[#Totals],[Controlled
tpy]]+standard_components_173[[#Totals],[Controlled
tpy]]), "-")</f>
        <v>0</v>
      </c>
      <c r="F196" s="81" t="str">
        <f>IFERROR(speciated_ghg_176[[#This Row],[Mass Emissions (U.S. tons per year)]]*speciated_ghg_176[[#This Row],[Global Warming Potential (GWP)]], "-")</f>
        <v>-</v>
      </c>
      <c r="G196" s="29"/>
      <c r="H196" s="169"/>
    </row>
    <row r="197" spans="1:9" x14ac:dyDescent="0.2">
      <c r="A197" s="210"/>
      <c r="B197" s="79" t="str">
        <f>IFERROR(INDEX(gwp_table[], MATCH(speciated_ghg_176[[#This Row],[CAS '#]], gwp_table[CAS No.], 0), MATCH("Name", gwp_table[#Headers], 0)),"No CAS Number Entered")</f>
        <v>No CAS Number Entered</v>
      </c>
      <c r="C197" s="79" t="str">
        <f>IFERROR(INDEX(gwp_table[], MATCH(speciated_ghg_176[[#This Row],[CAS '#]], gwp_table[CAS No.], 0), MATCH("Global warming potential", gwp_table[#Headers], 0)),"No CAS Number Entered")</f>
        <v>No CAS Number Entered</v>
      </c>
      <c r="D197" s="219"/>
      <c r="E197" s="79">
        <f>IFERROR(speciated_ghg_176[[#This Row],[Weight Percent]]*(unique_components_174[[#Totals],[Controlled
tpy]]+standard_components_173[[#Totals],[Controlled
tpy]]), "-")</f>
        <v>0</v>
      </c>
      <c r="F197" s="81" t="str">
        <f>IFERROR(speciated_ghg_176[[#This Row],[Mass Emissions (U.S. tons per year)]]*speciated_ghg_176[[#This Row],[Global Warming Potential (GWP)]], "-")</f>
        <v>-</v>
      </c>
      <c r="G197" s="29"/>
      <c r="H197" s="29"/>
      <c r="I197" s="169"/>
    </row>
    <row r="198" spans="1:9" x14ac:dyDescent="0.2">
      <c r="A198" s="210"/>
      <c r="B198" s="79" t="str">
        <f>IFERROR(INDEX(gwp_table[], MATCH(speciated_ghg_176[[#This Row],[CAS '#]], gwp_table[CAS No.], 0), MATCH("Name", gwp_table[#Headers], 0)),"No CAS Number Entered")</f>
        <v>No CAS Number Entered</v>
      </c>
      <c r="C198" s="79" t="str">
        <f>IFERROR(INDEX(gwp_table[], MATCH(speciated_ghg_176[[#This Row],[CAS '#]], gwp_table[CAS No.], 0), MATCH("Global warming potential", gwp_table[#Headers], 0)),"No CAS Number Entered")</f>
        <v>No CAS Number Entered</v>
      </c>
      <c r="D198" s="219"/>
      <c r="E198" s="79">
        <f>IFERROR(speciated_ghg_176[[#This Row],[Weight Percent]]*(unique_components_174[[#Totals],[Controlled
tpy]]+standard_components_173[[#Totals],[Controlled
tpy]]), "-")</f>
        <v>0</v>
      </c>
      <c r="F198" s="81" t="str">
        <f>IFERROR(speciated_ghg_176[[#This Row],[Mass Emissions (U.S. tons per year)]]*speciated_ghg_176[[#This Row],[Global Warming Potential (GWP)]], "-")</f>
        <v>-</v>
      </c>
      <c r="G198" s="29"/>
      <c r="H198" s="29"/>
      <c r="I198" s="169"/>
    </row>
    <row r="199" spans="1:9" x14ac:dyDescent="0.2">
      <c r="A199" s="210"/>
      <c r="B199" s="79" t="str">
        <f>IFERROR(INDEX(gwp_table[], MATCH(speciated_ghg_176[[#This Row],[CAS '#]], gwp_table[CAS No.], 0), MATCH("Name", gwp_table[#Headers], 0)),"No CAS Number Entered")</f>
        <v>No CAS Number Entered</v>
      </c>
      <c r="C199" s="79" t="str">
        <f>IFERROR(INDEX(gwp_table[], MATCH(speciated_ghg_176[[#This Row],[CAS '#]], gwp_table[CAS No.], 0), MATCH("Global warming potential", gwp_table[#Headers], 0)),"No CAS Number Entered")</f>
        <v>No CAS Number Entered</v>
      </c>
      <c r="D199" s="219"/>
      <c r="E199" s="79">
        <f>IFERROR(speciated_ghg_176[[#This Row],[Weight Percent]]*(unique_components_174[[#Totals],[Controlled
tpy]]+standard_components_173[[#Totals],[Controlled
tpy]]), "-")</f>
        <v>0</v>
      </c>
      <c r="F199" s="81" t="str">
        <f>IFERROR(speciated_ghg_176[[#This Row],[Mass Emissions (U.S. tons per year)]]*speciated_ghg_176[[#This Row],[Global Warming Potential (GWP)]], "-")</f>
        <v>-</v>
      </c>
      <c r="G199" s="29"/>
      <c r="H199" s="29"/>
      <c r="I199" s="169"/>
    </row>
    <row r="200" spans="1:9" x14ac:dyDescent="0.2">
      <c r="A200" s="210"/>
      <c r="B200" s="79" t="str">
        <f>IFERROR(INDEX(gwp_table[], MATCH(speciated_ghg_176[[#This Row],[CAS '#]], gwp_table[CAS No.], 0), MATCH("Name", gwp_table[#Headers], 0)),"No CAS Number Entered")</f>
        <v>No CAS Number Entered</v>
      </c>
      <c r="C200" s="79" t="str">
        <f>IFERROR(INDEX(gwp_table[], MATCH(speciated_ghg_176[[#This Row],[CAS '#]], gwp_table[CAS No.], 0), MATCH("Global warming potential", gwp_table[#Headers], 0)),"No CAS Number Entered")</f>
        <v>No CAS Number Entered</v>
      </c>
      <c r="D200" s="219"/>
      <c r="E200" s="79">
        <f>IFERROR(speciated_ghg_176[[#This Row],[Weight Percent]]*(unique_components_174[[#Totals],[Controlled
tpy]]+standard_components_173[[#Totals],[Controlled
tpy]]), "-")</f>
        <v>0</v>
      </c>
      <c r="F200" s="81" t="str">
        <f>IFERROR(speciated_ghg_176[[#This Row],[Mass Emissions (U.S. tons per year)]]*speciated_ghg_176[[#This Row],[Global Warming Potential (GWP)]], "-")</f>
        <v>-</v>
      </c>
      <c r="G200" s="29"/>
      <c r="H200" s="29"/>
      <c r="I200" s="169"/>
    </row>
    <row r="201" spans="1:9" x14ac:dyDescent="0.2">
      <c r="A201" s="210"/>
      <c r="B201" s="79" t="str">
        <f>IFERROR(INDEX(gwp_table[], MATCH(speciated_ghg_176[[#This Row],[CAS '#]], gwp_table[CAS No.], 0), MATCH("Name", gwp_table[#Headers], 0)),"No CAS Number Entered")</f>
        <v>No CAS Number Entered</v>
      </c>
      <c r="C201" s="79" t="str">
        <f>IFERROR(INDEX(gwp_table[], MATCH(speciated_ghg_176[[#This Row],[CAS '#]], gwp_table[CAS No.], 0), MATCH("Global warming potential", gwp_table[#Headers], 0)),"No CAS Number Entered")</f>
        <v>No CAS Number Entered</v>
      </c>
      <c r="D201" s="219"/>
      <c r="E201" s="79">
        <f>IFERROR(speciated_ghg_176[[#This Row],[Weight Percent]]*(unique_components_174[[#Totals],[Controlled
tpy]]+standard_components_173[[#Totals],[Controlled
tpy]]), "-")</f>
        <v>0</v>
      </c>
      <c r="F201" s="81" t="str">
        <f>IFERROR(speciated_ghg_176[[#This Row],[Mass Emissions (U.S. tons per year)]]*speciated_ghg_176[[#This Row],[Global Warming Potential (GWP)]], "-")</f>
        <v>-</v>
      </c>
      <c r="G201" s="169"/>
      <c r="H201" s="169"/>
      <c r="I201" s="169"/>
    </row>
    <row r="202" spans="1:9" x14ac:dyDescent="0.2">
      <c r="A202" s="210"/>
      <c r="B202" s="79" t="str">
        <f>IFERROR(INDEX(gwp_table[], MATCH(speciated_ghg_176[[#This Row],[CAS '#]], gwp_table[CAS No.], 0), MATCH("Name", gwp_table[#Headers], 0)),"No CAS Number Entered")</f>
        <v>No CAS Number Entered</v>
      </c>
      <c r="C202" s="79" t="str">
        <f>IFERROR(INDEX(gwp_table[], MATCH(speciated_ghg_176[[#This Row],[CAS '#]], gwp_table[CAS No.], 0), MATCH("Global warming potential", gwp_table[#Headers], 0)),"No CAS Number Entered")</f>
        <v>No CAS Number Entered</v>
      </c>
      <c r="D202" s="219"/>
      <c r="E202" s="79">
        <f>IFERROR(speciated_ghg_176[[#This Row],[Weight Percent]]*(unique_components_174[[#Totals],[Controlled
tpy]]+standard_components_173[[#Totals],[Controlled
tpy]]), "-")</f>
        <v>0</v>
      </c>
      <c r="F202" s="81" t="str">
        <f>IFERROR(speciated_ghg_176[[#This Row],[Mass Emissions (U.S. tons per year)]]*speciated_ghg_176[[#This Row],[Global Warming Potential (GWP)]], "-")</f>
        <v>-</v>
      </c>
      <c r="G202" s="169"/>
      <c r="H202" s="169"/>
      <c r="I202" s="169"/>
    </row>
    <row r="203" spans="1:9" x14ac:dyDescent="0.2">
      <c r="A203" s="210"/>
      <c r="B203" s="79" t="str">
        <f>IFERROR(INDEX(gwp_table[], MATCH(speciated_ghg_176[[#This Row],[CAS '#]], gwp_table[CAS No.], 0), MATCH("Name", gwp_table[#Headers], 0)),"No CAS Number Entered")</f>
        <v>No CAS Number Entered</v>
      </c>
      <c r="C203" s="79" t="str">
        <f>IFERROR(INDEX(gwp_table[], MATCH(speciated_ghg_176[[#This Row],[CAS '#]], gwp_table[CAS No.], 0), MATCH("Global warming potential", gwp_table[#Headers], 0)),"No CAS Number Entered")</f>
        <v>No CAS Number Entered</v>
      </c>
      <c r="D203" s="219"/>
      <c r="E203" s="79">
        <f>IFERROR(speciated_ghg_176[[#This Row],[Weight Percent]]*(unique_components_174[[#Totals],[Controlled
tpy]]+standard_components_173[[#Totals],[Controlled
tpy]]), "-")</f>
        <v>0</v>
      </c>
      <c r="F203" s="81" t="str">
        <f>IFERROR(speciated_ghg_176[[#This Row],[Mass Emissions (U.S. tons per year)]]*speciated_ghg_176[[#This Row],[Global Warming Potential (GWP)]], "-")</f>
        <v>-</v>
      </c>
      <c r="G203" s="169"/>
      <c r="H203" s="169"/>
      <c r="I203" s="169"/>
    </row>
    <row r="204" spans="1:9" ht="30" x14ac:dyDescent="0.25">
      <c r="A204" s="185" t="s">
        <v>13321</v>
      </c>
      <c r="B204" s="77"/>
      <c r="C204" s="77"/>
      <c r="D204" s="77"/>
      <c r="E204" s="80">
        <f>SUBTOTAL(109,speciated_ghg_176[Mass Emissions (U.S. tons per year)])</f>
        <v>0</v>
      </c>
      <c r="F204" s="82">
        <f>SUBTOTAL(109,speciated_ghg_176[CO2e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speciated_chemicals_175[[#Totals],[lb/hr]]</f>
        <v>0</v>
      </c>
      <c r="C207" s="134"/>
      <c r="D207" s="134"/>
      <c r="E207" s="134"/>
      <c r="F207" s="134"/>
      <c r="G207" s="169"/>
      <c r="H207" s="169"/>
    </row>
    <row r="208" spans="1:9" ht="29.25" x14ac:dyDescent="0.25">
      <c r="A208" s="174" t="s">
        <v>13320</v>
      </c>
      <c r="B208" s="175">
        <f>speciated_chemicals_175[[#Totals],[tpy]]</f>
        <v>0</v>
      </c>
      <c r="C208" s="134"/>
      <c r="D208" s="134"/>
      <c r="E208" s="134"/>
      <c r="F208" s="134"/>
      <c r="G208" s="169"/>
      <c r="H208" s="169"/>
    </row>
    <row r="209" spans="1:8" ht="15" x14ac:dyDescent="0.25">
      <c r="A209" s="126" t="s">
        <v>13277</v>
      </c>
      <c r="B209" s="128">
        <f>SUMIF(speciated_chemicals_175[VOC?],"Yes",speciated_chemicals_175[lb/hr])</f>
        <v>0</v>
      </c>
      <c r="C209" s="134"/>
      <c r="D209" s="29"/>
      <c r="E209" s="29"/>
      <c r="F209" s="29"/>
      <c r="G209" s="169"/>
      <c r="H209" s="169"/>
    </row>
    <row r="210" spans="1:8" ht="15" x14ac:dyDescent="0.25">
      <c r="A210" s="126" t="s">
        <v>12669</v>
      </c>
      <c r="B210" s="128">
        <f>SUMIF(speciated_chemicals_175[VOC?],"Yes",speciated_chemicals_175[tpy])</f>
        <v>0</v>
      </c>
      <c r="C210" s="134"/>
      <c r="D210" s="29"/>
      <c r="E210" s="29"/>
      <c r="F210" s="29"/>
      <c r="G210" s="169"/>
      <c r="H210" s="169"/>
    </row>
    <row r="211" spans="1:8" ht="15" x14ac:dyDescent="0.25">
      <c r="A211" s="126" t="s">
        <v>12775</v>
      </c>
      <c r="B211" s="128">
        <f>SUMIF(speciated_chemicals_175[Inorganic?],"Yes",speciated_chemicals_175[lb/hr])</f>
        <v>0</v>
      </c>
      <c r="C211" s="134"/>
      <c r="D211" s="29"/>
      <c r="E211" s="29"/>
      <c r="F211" s="29"/>
      <c r="G211" s="169"/>
      <c r="H211" s="169"/>
    </row>
    <row r="212" spans="1:8" ht="15" x14ac:dyDescent="0.25">
      <c r="A212" s="126" t="s">
        <v>12770</v>
      </c>
      <c r="B212" s="128">
        <f>SUMIF(speciated_chemicals_175[Inorganic?],"Yes",speciated_chemicals_175[tpy])</f>
        <v>0</v>
      </c>
      <c r="C212" s="134"/>
      <c r="D212" s="29"/>
      <c r="E212" s="29"/>
      <c r="F212" s="29"/>
      <c r="G212" s="169"/>
      <c r="H212" s="169"/>
    </row>
    <row r="213" spans="1:8" ht="15" x14ac:dyDescent="0.25">
      <c r="A213" s="126" t="s">
        <v>13276</v>
      </c>
      <c r="B213" s="128">
        <f>SUMIF(speciated_chemicals_175[VOC-Exempt Solvent?],"Yes",speciated_chemicals_175[lb/hr])</f>
        <v>0</v>
      </c>
      <c r="C213" s="134"/>
      <c r="D213" s="29"/>
      <c r="E213" s="29"/>
      <c r="F213" s="29"/>
      <c r="G213" s="169"/>
      <c r="H213" s="169"/>
    </row>
    <row r="214" spans="1:8" ht="15" x14ac:dyDescent="0.25">
      <c r="A214" s="126" t="s">
        <v>13278</v>
      </c>
      <c r="B214" s="128">
        <f>SUMIF(speciated_chemicals_175[VOC-Exempt Solvent?],"Yes",speciated_chemicals_175[tpy])</f>
        <v>0</v>
      </c>
      <c r="C214" s="134"/>
      <c r="D214" s="29"/>
      <c r="E214" s="29"/>
      <c r="F214" s="29"/>
      <c r="G214" s="169"/>
      <c r="H214" s="169"/>
    </row>
    <row r="215" spans="1:8" ht="15" x14ac:dyDescent="0.25">
      <c r="A215" s="127" t="s">
        <v>13280</v>
      </c>
      <c r="B215" s="176">
        <f>speciated_ghg_176[[#Totals],[Mass Emissions (U.S. tons per year)]]</f>
        <v>0</v>
      </c>
      <c r="C215" s="134"/>
      <c r="D215" s="29"/>
      <c r="E215" s="29"/>
      <c r="F215" s="29"/>
      <c r="G215" s="169"/>
      <c r="H215" s="169"/>
    </row>
    <row r="216" spans="1:8" ht="18.75" x14ac:dyDescent="0.35">
      <c r="A216" s="127" t="s">
        <v>13281</v>
      </c>
      <c r="B216" s="176">
        <f>speciated_ghg_176[[#Totals],[CO2e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qh9/8/77/v2JmuVAVNZurot4LXOscU1ZMDVaVVfEUG50avmqKT4Nvx521IokWeuVyvf6qo4PMVby7MDQgn+1PQ==" saltValue="p1P8/fqSz0jypowUM5GwmA==" spinCount="100000" sheet="1" objects="1" scenarios="1" formatColumns="0" formatRows="0" autoFilter="0"/>
  <conditionalFormatting sqref="A21:H21">
    <cfRule type="expression" dxfId="1048" priority="5">
      <formula>$F$19="No"</formula>
    </cfRule>
  </conditionalFormatting>
  <conditionalFormatting sqref="A105:E106 F106:G126">
    <cfRule type="expression" dxfId="1047" priority="4">
      <formula>$E$104="no"</formula>
    </cfRule>
  </conditionalFormatting>
  <conditionalFormatting sqref="C131:C180">
    <cfRule type="expression" dxfId="1046" priority="3">
      <formula>NOT(B131="Other (Please specify):")</formula>
    </cfRule>
  </conditionalFormatting>
  <conditionalFormatting sqref="A107:E126">
    <cfRule type="expression" dxfId="1045" priority="2">
      <formula>$A$58="No"</formula>
    </cfRule>
  </conditionalFormatting>
  <conditionalFormatting sqref="A107:E126 A206:B214 A215:A216">
    <cfRule type="expression" dxfId="1044"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EEC30136-2B21-4087-BF00-171901607F16}"/>
    <dataValidation type="list" allowBlank="1" showInputMessage="1" showErrorMessage="1" sqref="E104:H104 B10" xr:uid="{17C902B2-3E36-4EE6-A607-9E07C7CA85A6}">
      <formula1>"Yes,No"</formula1>
    </dataValidation>
    <dataValidation type="list" allowBlank="1" showInputMessage="1" showErrorMessage="1" sqref="F19:H20" xr:uid="{EE821B05-F17C-4D1D-A9F5-CEC90C60B8B4}">
      <formula1>"No,Yes - 75%,Yes - 95%"</formula1>
    </dataValidation>
    <dataValidation type="list" allowBlank="1" showInputMessage="1" showErrorMessage="1" sqref="F18" xr:uid="{38CAE8FA-9700-4BF6-B0DD-6A55F723E8F9}">
      <formula1>IF(#REF!="SOCMI Non-leaker",ListNone,ListInspection)</formula1>
    </dataValidation>
    <dataValidation type="list" allowBlank="1" showInputMessage="1" showErrorMessage="1" sqref="F16:F17" xr:uid="{1C7CC26B-3CF0-4584-8ACD-5E62439D9447}">
      <formula1>IF(#REF!="SOCMI Non-Leaker",ListNone,ListInstrument)</formula1>
    </dataValidation>
    <dataValidation type="list" allowBlank="1" showInputMessage="1" prompt="Please specify whether the substance is a volatile organic compound (VOC); methane and ethane are not classifed as VOCs" sqref="D132:D180" xr:uid="{DAC526C2-705B-4B29-97E6-55D83DB3A21A}">
      <formula1>"Yes,No"</formula1>
    </dataValidation>
    <dataValidation allowBlank="1" showInputMessage="1" showErrorMessage="1" prompt="Enter the weight percent of the substance" sqref="H178:H180 H132:H176" xr:uid="{2B58429F-2C5D-47D6-8752-A89F73F79926}"/>
    <dataValidation type="list" allowBlank="1" showInputMessage="1" showErrorMessage="1" prompt="Enter or select Chemical Abstracts Service number; select &quot;N/A&quot; if a CAS # is not applicable" sqref="A131:A175 A177:A180" xr:uid="{EA5E1E13-B1CD-4F15-B1EC-1BBAAA9E480F}">
      <formula1>SpeciesList</formula1>
    </dataValidation>
    <dataValidation type="list" allowBlank="1" showInputMessage="1" prompt="Select other species from dropdown" sqref="C131:C180" xr:uid="{D3B48593-8630-4917-82DD-3D98481530BC}">
      <formula1>NoCASList</formula1>
    </dataValidation>
    <dataValidation allowBlank="1" showInputMessage="1" showErrorMessage="1" prompt="Proposed control efficiency (0-1)" sqref="E107:E126" xr:uid="{3A8D8850-3A39-4BE1-88F7-C8EF7A9E595E}"/>
    <dataValidation allowBlank="1" showInputMessage="1" showErrorMessage="1" prompt="Count of unique component" sqref="C107:C126" xr:uid="{4F1EF006-F99E-435A-9EFC-E80622FE0BB9}"/>
    <dataValidation allowBlank="1" showInputMessage="1" showErrorMessage="1" prompt="Type of service (e.g. gas, vapor, or liquid)" sqref="B107:B126" xr:uid="{4FCCF05F-E070-483B-81A3-56D2CC6F40D5}"/>
    <dataValidation allowBlank="1" showInputMessage="1" showErrorMessage="1" prompt="Name of unique component" sqref="A107:A126" xr:uid="{AA613747-AC6B-440C-8DCF-693B2F78CACF}"/>
    <dataValidation type="list" allowBlank="1" showInputMessage="1" showErrorMessage="1" sqref="B13" xr:uid="{F1E4232D-1C98-4740-834F-917F0CB11635}">
      <formula1>industry_names</formula1>
    </dataValidation>
    <dataValidation type="list" allowBlank="1" showInputMessage="1" showErrorMessage="1" sqref="B19" xr:uid="{F9A4E009-DE45-4F57-8D85-350770A74E5E}">
      <formula1>yes_no_list</formula1>
    </dataValidation>
    <dataValidation type="list" allowBlank="1" showInputMessage="1" showErrorMessage="1" sqref="B20" xr:uid="{3C391B7B-AEAB-44C8-928D-14057D1B85AE}">
      <formula1>process_drains_effs</formula1>
    </dataValidation>
    <dataValidation allowBlank="1" showInputMessage="1" showErrorMessage="1" prompt="Proposed emission factor" sqref="D107:D126" xr:uid="{2A0F17D6-3EBE-4640-A9AE-372EDAC63C8F}"/>
    <dataValidation type="list" allowBlank="1" showInputMessage="1" prompt="Please specify if the substance is an inert substance or is not considered a contaminant (e.g. steam)" sqref="G131:G180" xr:uid="{0B701760-BE5D-4A2E-9D75-17718ACD5F34}">
      <formula1>"Yes,No"</formula1>
    </dataValidation>
    <dataValidation type="list" allowBlank="1" showInputMessage="1" showErrorMessage="1" prompt="Please select from the dropdown" sqref="B104" xr:uid="{74684681-C633-4C54-9867-30CDC7ADB03F}">
      <formula1>yes_no_list</formula1>
    </dataValidation>
    <dataValidation allowBlank="1" showInputMessage="1" showErrorMessage="1" prompt="Provide justification" sqref="B105" xr:uid="{7B8E3FBB-8035-4A9A-BF46-A23579BD5A92}"/>
    <dataValidation type="list" showInputMessage="1" prompt="Please specify whether the substance is a volatile organic compound (VOC); methane and ethane are not classifed as VOCs" sqref="D131" xr:uid="{346A46B6-3DA4-4E83-982B-55E29EFF5698}">
      <formula1>"Yes,No"</formula1>
    </dataValidation>
    <dataValidation type="list" showInputMessage="1" prompt="Please specify whether the substance is an inorganic contaminant (e.g. ammonia or chlorine gas)" sqref="E131:E180" xr:uid="{A3EF0F9B-11D3-4231-981E-8F570801E7D8}">
      <formula1>"Yes,No"</formula1>
    </dataValidation>
    <dataValidation type="list" allowBlank="1" showInputMessage="1" prompt="Please specify whether the substance is an VOC-exempt solvent." sqref="F131:F180" xr:uid="{7F84FA32-F03B-4A18-B4E2-FFCEDF43DED7}">
      <formula1>"Yes,No"</formula1>
    </dataValidation>
    <dataValidation type="list" allowBlank="1" showInputMessage="1" showErrorMessage="1" prompt="Enter or select Chemical Abstracts Service number; select &quot;N/A&quot; if a CAS # is not applicable" sqref="A185:A203 A176" xr:uid="{1C81DA55-763B-46DC-9DD9-E81D6D86638D}">
      <formula1>gwp_table_cas</formula1>
    </dataValidation>
    <dataValidation type="decimal" allowBlank="1" showInputMessage="1" showErrorMessage="1" prompt="Enter the weight percent of the substance" sqref="H177" xr:uid="{94757721-12DC-4574-B10B-758F58381125}">
      <formula1>0</formula1>
      <formula2>1</formula2>
    </dataValidation>
    <dataValidation type="decimal" operator="greaterThan" allowBlank="1" showInputMessage="1" showErrorMessage="1" prompt="Enter the weight percent of the substance" sqref="H131 D185:D203" xr:uid="{A712ECA2-5065-4E99-B4A1-74404DA83C65}">
      <formula1>0</formula1>
    </dataValidation>
    <dataValidation type="list" allowBlank="1" showInputMessage="1" showErrorMessage="1" sqref="B18" xr:uid="{F0FFB9C1-DE6F-4434-9A99-C7442E87FA55}">
      <formula1>inspection_ldar_list</formula1>
    </dataValidation>
    <dataValidation type="list" allowBlank="1" showInputMessage="1" showErrorMessage="1" sqref="B17" xr:uid="{50BDD06E-FD8B-4BF5-AEBB-66E1E0DDE59D}">
      <formula1>connector_ldar_list</formula1>
    </dataValidation>
    <dataValidation type="list" allowBlank="1" showInputMessage="1" showErrorMessage="1" sqref="B16" xr:uid="{331F04B2-9244-42F9-BB82-6B4C3670A27E}">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75A7C-4E92-4306-B252-E89E87A72909}">
  <sheetPr codeName="Sheet22">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INDEX((standard_components_177[[#This Row],[Component]]=factor_eff_table[Component])*(standard_components_177[[#This Row],[Service]]=factor_eff_table[Service]), 0, 1), 0)),
 "-")</f>
        <v>-</v>
      </c>
      <c r="E25" s="145" t="str" cm="1">
        <f t="array" ref="E2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25" s="145" t="str" cm="1">
        <f t="array" ref="F2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25" s="145" t="str" cm="1">
        <f t="array" ref="G2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2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2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INDEX((standard_components_177[[#This Row],[Component]]=factor_eff_table[Component])*(standard_components_177[[#This Row],[Service]]=factor_eff_table[Service]), 0, 1), 0)),
 "-")</f>
        <v>-</v>
      </c>
      <c r="E26" s="145" t="str" cm="1">
        <f t="array" ref="E2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26" s="145" t="str" cm="1">
        <f t="array" ref="F2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26" s="145" t="str" cm="1">
        <f t="array" ref="G2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2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2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INDEX((standard_components_177[[#This Row],[Component]]=factor_eff_table[Component])*(standard_components_177[[#This Row],[Service]]=factor_eff_table[Service]), 0, 1), 0)),
 "-")</f>
        <v>-</v>
      </c>
      <c r="E27" s="145" t="str" cm="1">
        <f t="array" ref="E2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27" s="145" t="str" cm="1">
        <f t="array" ref="F2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27" s="145" t="str" cm="1">
        <f t="array" ref="G2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2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2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INDEX((standard_components_177[[#This Row],[Component]]=factor_eff_table[Component])*(standard_components_177[[#This Row],[Service]]=factor_eff_table[Service]), 0, 1), 0)),
 "-")</f>
        <v>-</v>
      </c>
      <c r="E28" s="145" t="str" cm="1">
        <f t="array" ref="E2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28" s="145" t="str" cm="1">
        <f t="array" ref="F2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28" s="145" t="str" cm="1">
        <f t="array" ref="G2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2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2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INDEX((standard_components_177[[#This Row],[Component]]=factor_eff_table[Component])*(standard_components_177[[#This Row],[Service]]=factor_eff_table[Service]), 0, 1), 0)),
 "-")</f>
        <v>-</v>
      </c>
      <c r="E29" s="145" t="str" cm="1">
        <f t="array" ref="E2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29" s="145" t="str" cm="1">
        <f t="array" ref="F2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29" s="145" t="str" cm="1">
        <f t="array" ref="G2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2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2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INDEX((standard_components_177[[#This Row],[Component]]=factor_eff_table[Component])*(standard_components_177[[#This Row],[Service]]=factor_eff_table[Service]), 0, 1), 0)),
 "-")</f>
        <v>-</v>
      </c>
      <c r="E30" s="145" t="str" cm="1">
        <f t="array" ref="E3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0" s="145" t="str" cm="1">
        <f t="array" ref="F3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0" s="145" t="str" cm="1">
        <f t="array" ref="G3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INDEX((standard_components_177[[#This Row],[Component]]=factor_eff_table[Component])*(standard_components_177[[#This Row],[Service]]=factor_eff_table[Service]), 0, 1), 0)),
 "-")</f>
        <v>-</v>
      </c>
      <c r="E31" s="145" t="str" cm="1">
        <f t="array" ref="E3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1" s="145" t="str" cm="1">
        <f t="array" ref="F3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1" s="145" t="str" cm="1">
        <f t="array" ref="G3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INDEX((standard_components_177[[#This Row],[Component]]=factor_eff_table[Component])*(standard_components_177[[#This Row],[Service]]=factor_eff_table[Service]), 0, 1), 0)),
 "-")</f>
        <v>-</v>
      </c>
      <c r="E32" s="145" t="str" cm="1">
        <f t="array" ref="E3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2" s="145" t="str" cm="1">
        <f t="array" ref="F3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2" s="145" t="str" cm="1">
        <f t="array" ref="G3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INDEX((standard_components_177[[#This Row],[Component]]=factor_eff_table[Component])*(standard_components_177[[#This Row],[Service]]=factor_eff_table[Service]), 0, 1), 0)),
 "-")</f>
        <v>-</v>
      </c>
      <c r="E33" s="145" t="str" cm="1">
        <f t="array" ref="E3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3" s="145" t="str" cm="1">
        <f t="array" ref="F3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3" s="145" t="str" cm="1">
        <f t="array" ref="G3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INDEX((standard_components_177[[#This Row],[Component]]=factor_eff_table[Component])*(standard_components_177[[#This Row],[Service]]=factor_eff_table[Service]), 0, 1), 0)),
 "-")</f>
        <v>-</v>
      </c>
      <c r="E34" s="145" t="str" cm="1">
        <f t="array" ref="E3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4" s="145" t="str" cm="1">
        <f t="array" ref="F3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4" s="145" t="str" cm="1">
        <f t="array" ref="G3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INDEX((standard_components_177[[#This Row],[Component]]=factor_eff_table[Component])*(standard_components_177[[#This Row],[Service]]=factor_eff_table[Service]), 0, 1), 0)),
 "-")</f>
        <v>-</v>
      </c>
      <c r="E35" s="145" t="str" cm="1">
        <f t="array" ref="E3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5" s="145" t="str" cm="1">
        <f t="array" ref="F3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5" s="145" t="str" cm="1">
        <f t="array" ref="G3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INDEX((standard_components_177[[#This Row],[Component]]=factor_eff_table[Component])*(standard_components_177[[#This Row],[Service]]=factor_eff_table[Service]), 0, 1), 0)),
 "-")</f>
        <v>-</v>
      </c>
      <c r="E36" s="145" t="str" cm="1">
        <f t="array" ref="E3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6" s="145" t="str" cm="1">
        <f t="array" ref="F3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6" s="145" t="str" cm="1">
        <f t="array" ref="G3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INDEX((standard_components_177[[#This Row],[Component]]=factor_eff_table[Component])*(standard_components_177[[#This Row],[Service]]=factor_eff_table[Service]), 0, 1), 0)),
 "-")</f>
        <v>-</v>
      </c>
      <c r="E37" s="145" t="str" cm="1">
        <f t="array" ref="E3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7" s="145" t="str" cm="1">
        <f t="array" ref="F3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7" s="145" t="str" cm="1">
        <f t="array" ref="G3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INDEX((standard_components_177[[#This Row],[Component]]=factor_eff_table[Component])*(standard_components_177[[#This Row],[Service]]=factor_eff_table[Service]), 0, 1), 0)),
 "-")</f>
        <v>-</v>
      </c>
      <c r="E38" s="145" t="str" cm="1">
        <f t="array" ref="E3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8" s="145" t="str" cm="1">
        <f t="array" ref="F3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8" s="145" t="str" cm="1">
        <f t="array" ref="G3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INDEX((standard_components_177[[#This Row],[Component]]=factor_eff_table[Component])*(standard_components_177[[#This Row],[Service]]=factor_eff_table[Service]), 0, 1), 0)),
 "-")</f>
        <v>-</v>
      </c>
      <c r="E39" s="145" t="str" cm="1">
        <f t="array" ref="E3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39" s="145" t="str" cm="1">
        <f t="array" ref="F3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39" s="145" t="str" cm="1">
        <f t="array" ref="G3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3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3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INDEX((standard_components_177[[#This Row],[Component]]=factor_eff_table[Component])*(standard_components_177[[#This Row],[Service]]=factor_eff_table[Service]), 0, 1), 0)),
 "-")</f>
        <v>-</v>
      </c>
      <c r="E40" s="145" t="str" cm="1">
        <f t="array" ref="E4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0" s="145" t="str" cm="1">
        <f t="array" ref="F4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0" s="145" t="str" cm="1">
        <f t="array" ref="G4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INDEX((standard_components_177[[#This Row],[Component]]=factor_eff_table[Component])*(standard_components_177[[#This Row],[Service]]=factor_eff_table[Service]), 0, 1), 0)),
 "-")</f>
        <v>-</v>
      </c>
      <c r="E41" s="145" t="str" cm="1">
        <f t="array" ref="E4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1" s="145" t="str" cm="1">
        <f t="array" ref="F4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1" s="145" t="str" cm="1">
        <f t="array" ref="G4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INDEX((standard_components_177[[#This Row],[Component]]=factor_eff_table[Component])*(standard_components_177[[#This Row],[Service]]=factor_eff_table[Service]), 0, 1), 0)),
 "-")</f>
        <v>-</v>
      </c>
      <c r="E42" s="145" t="str" cm="1">
        <f t="array" ref="E4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2" s="145" t="str" cm="1">
        <f t="array" ref="F4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2" s="145" t="str" cm="1">
        <f t="array" ref="G4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INDEX((standard_components_177[[#This Row],[Component]]=factor_eff_table[Component])*(standard_components_177[[#This Row],[Service]]=factor_eff_table[Service]), 0, 1), 0)),
 "-")</f>
        <v>-</v>
      </c>
      <c r="E43" s="145" t="str" cm="1">
        <f t="array" ref="E4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3" s="145" t="str" cm="1">
        <f t="array" ref="F4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3" s="145" t="str" cm="1">
        <f t="array" ref="G4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INDEX((standard_components_177[[#This Row],[Component]]=factor_eff_table[Component])*(standard_components_177[[#This Row],[Service]]=factor_eff_table[Service]), 0, 1), 0)),
 "-")</f>
        <v>-</v>
      </c>
      <c r="E44" s="145" t="str" cm="1">
        <f t="array" ref="E4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4" s="145" t="str" cm="1">
        <f t="array" ref="F4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4" s="145" t="str" cm="1">
        <f t="array" ref="G4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INDEX((standard_components_177[[#This Row],[Component]]=factor_eff_table[Component])*(standard_components_177[[#This Row],[Service]]=factor_eff_table[Service]), 0, 1), 0)),
 "-")</f>
        <v>-</v>
      </c>
      <c r="E45" s="145" t="str" cm="1">
        <f t="array" ref="E4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5" s="145" t="str" cm="1">
        <f t="array" ref="F4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5" s="145" t="str" cm="1">
        <f t="array" ref="G4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INDEX((standard_components_177[[#This Row],[Component]]=factor_eff_table[Component])*(standard_components_177[[#This Row],[Service]]=factor_eff_table[Service]), 0, 1), 0)),
 "-")</f>
        <v>-</v>
      </c>
      <c r="E46" s="145" t="str" cm="1">
        <f t="array" ref="E4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6" s="145" t="str" cm="1">
        <f t="array" ref="F4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6" s="145" t="str" cm="1">
        <f t="array" ref="G4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INDEX((standard_components_177[[#This Row],[Component]]=factor_eff_table[Component])*(standard_components_177[[#This Row],[Service]]=factor_eff_table[Service]), 0, 1), 0)),
 "-")</f>
        <v>-</v>
      </c>
      <c r="E47" s="145" t="str" cm="1">
        <f t="array" ref="E4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7" s="145" t="str" cm="1">
        <f t="array" ref="F4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7" s="145" t="str" cm="1">
        <f t="array" ref="G4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INDEX((standard_components_177[[#This Row],[Component]]=factor_eff_table[Component])*(standard_components_177[[#This Row],[Service]]=factor_eff_table[Service]), 0, 1), 0)),
 "-")</f>
        <v>-</v>
      </c>
      <c r="E48" s="145" t="str" cm="1">
        <f t="array" ref="E4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8" s="145" t="str" cm="1">
        <f t="array" ref="F4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8" s="145" t="str" cm="1">
        <f t="array" ref="G4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INDEX((standard_components_177[[#This Row],[Component]]=factor_eff_table[Component])*(standard_components_177[[#This Row],[Service]]=factor_eff_table[Service]), 0, 1), 0)),
 "-")</f>
        <v>-</v>
      </c>
      <c r="E49" s="145" t="str" cm="1">
        <f t="array" ref="E4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49" s="145" t="str" cm="1">
        <f t="array" ref="F4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49" s="145" t="str" cm="1">
        <f t="array" ref="G4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4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4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INDEX((standard_components_177[[#This Row],[Component]]=factor_eff_table[Component])*(standard_components_177[[#This Row],[Service]]=factor_eff_table[Service]), 0, 1), 0)),
 "-")</f>
        <v>-</v>
      </c>
      <c r="E50" s="145" t="str" cm="1">
        <f t="array" ref="E5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0" s="145" t="str" cm="1">
        <f t="array" ref="F5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0" s="145" t="str" cm="1">
        <f t="array" ref="G5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INDEX((standard_components_177[[#This Row],[Component]]=factor_eff_table[Component])*(standard_components_177[[#This Row],[Service]]=factor_eff_table[Service]), 0, 1), 0)),
 "-")</f>
        <v>-</v>
      </c>
      <c r="E51" s="145" t="str" cm="1">
        <f t="array" ref="E5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1" s="145" t="str" cm="1">
        <f t="array" ref="F5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1" s="145" t="str" cm="1">
        <f t="array" ref="G5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INDEX((standard_components_177[[#This Row],[Component]]=factor_eff_table[Component])*(standard_components_177[[#This Row],[Service]]=factor_eff_table[Service]), 0, 1), 0)),
 "-")</f>
        <v>-</v>
      </c>
      <c r="E52" s="145" t="str" cm="1">
        <f t="array" ref="E5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2" s="145" t="str" cm="1">
        <f t="array" ref="F5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2" s="145" t="str" cm="1">
        <f t="array" ref="G5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INDEX((standard_components_177[[#This Row],[Component]]=factor_eff_table[Component])*(standard_components_177[[#This Row],[Service]]=factor_eff_table[Service]), 0, 1), 0)),
 "-")</f>
        <v>-</v>
      </c>
      <c r="E53" s="145" t="str" cm="1">
        <f t="array" ref="E5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3" s="145" t="str" cm="1">
        <f t="array" ref="F5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3" s="145" t="str" cm="1">
        <f t="array" ref="G5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INDEX((standard_components_177[[#This Row],[Component]]=factor_eff_table[Component])*(standard_components_177[[#This Row],[Service]]=factor_eff_table[Service]), 0, 1), 0)),
 "-")</f>
        <v>-</v>
      </c>
      <c r="E54" s="145" t="str" cm="1">
        <f t="array" ref="E5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4" s="145" t="str" cm="1">
        <f t="array" ref="F5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4" s="145" t="str" cm="1">
        <f t="array" ref="G5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INDEX((standard_components_177[[#This Row],[Component]]=factor_eff_table[Component])*(standard_components_177[[#This Row],[Service]]=factor_eff_table[Service]), 0, 1), 0)),
 "-")</f>
        <v>-</v>
      </c>
      <c r="E55" s="145" t="str" cm="1">
        <f t="array" ref="E5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5" s="145" t="str" cm="1">
        <f t="array" ref="F5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5" s="145" t="str" cm="1">
        <f t="array" ref="G5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INDEX((standard_components_177[[#This Row],[Component]]=factor_eff_table[Component])*(standard_components_177[[#This Row],[Service]]=factor_eff_table[Service]), 0, 1), 0)),
 "-")</f>
        <v>-</v>
      </c>
      <c r="E56" s="145" t="str" cm="1">
        <f t="array" ref="E5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6" s="145" t="str" cm="1">
        <f t="array" ref="F5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6" s="145" t="str" cm="1">
        <f t="array" ref="G5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INDEX((standard_components_177[[#This Row],[Component]]=factor_eff_table[Component])*(standard_components_177[[#This Row],[Service]]=factor_eff_table[Service]), 0, 1), 0)),
 "-")</f>
        <v>-</v>
      </c>
      <c r="E57" s="145" t="str" cm="1">
        <f t="array" ref="E5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7" s="145" t="str" cm="1">
        <f t="array" ref="F5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7" s="145" t="str" cm="1">
        <f t="array" ref="G5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INDEX((standard_components_177[[#This Row],[Component]]=factor_eff_table[Component])*(standard_components_177[[#This Row],[Service]]=factor_eff_table[Service]), 0, 1), 0)),
 "-")</f>
        <v>-</v>
      </c>
      <c r="E58" s="145" t="str" cm="1">
        <f t="array" ref="E5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8" s="145" t="str" cm="1">
        <f t="array" ref="F5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8" s="145" t="str" cm="1">
        <f t="array" ref="G5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INDEX((standard_components_177[[#This Row],[Component]]=factor_eff_table[Component])*(standard_components_177[[#This Row],[Service]]=factor_eff_table[Service]), 0, 1), 0)),
 "-")</f>
        <v>-</v>
      </c>
      <c r="E59" s="145" t="str" cm="1">
        <f t="array" ref="E5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59" s="145" t="str" cm="1">
        <f t="array" ref="F5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59" s="145" t="str" cm="1">
        <f t="array" ref="G5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5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5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INDEX((standard_components_177[[#This Row],[Component]]=factor_eff_table[Component])*(standard_components_177[[#This Row],[Service]]=factor_eff_table[Service]), 0, 1), 0)),
 "-")</f>
        <v>-</v>
      </c>
      <c r="E60" s="145" t="str" cm="1">
        <f t="array" ref="E6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0" s="145" t="str" cm="1">
        <f t="array" ref="F6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0" s="145" t="str" cm="1">
        <f t="array" ref="G6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INDEX((standard_components_177[[#This Row],[Component]]=factor_eff_table[Component])*(standard_components_177[[#This Row],[Service]]=factor_eff_table[Service]), 0, 1), 0)),
 "-")</f>
        <v>-</v>
      </c>
      <c r="E61" s="145" t="str" cm="1">
        <f t="array" ref="E6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1" s="145" t="str" cm="1">
        <f t="array" ref="F6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1" s="145" t="str" cm="1">
        <f t="array" ref="G6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INDEX((standard_components_177[[#This Row],[Component]]=factor_eff_table[Component])*(standard_components_177[[#This Row],[Service]]=factor_eff_table[Service]), 0, 1), 0)),
 "-")</f>
        <v>-</v>
      </c>
      <c r="E62" s="145" t="str" cm="1">
        <f t="array" ref="E6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2" s="145" t="str" cm="1">
        <f t="array" ref="F6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2" s="145" t="str" cm="1">
        <f t="array" ref="G6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INDEX((standard_components_177[[#This Row],[Component]]=factor_eff_table[Component])*(standard_components_177[[#This Row],[Service]]=factor_eff_table[Service]), 0, 1), 0)),
 "-")</f>
        <v>-</v>
      </c>
      <c r="E63" s="145" t="str" cm="1">
        <f t="array" ref="E6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3" s="145" t="str" cm="1">
        <f t="array" ref="F6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3" s="145" t="str" cm="1">
        <f t="array" ref="G6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INDEX((standard_components_177[[#This Row],[Component]]=factor_eff_table[Component])*(standard_components_177[[#This Row],[Service]]=factor_eff_table[Service]), 0, 1), 0)),
 "-")</f>
        <v>-</v>
      </c>
      <c r="E64" s="145" t="str" cm="1">
        <f t="array" ref="E6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4" s="145" t="str" cm="1">
        <f t="array" ref="F6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4" s="145" t="str" cm="1">
        <f t="array" ref="G6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INDEX((standard_components_177[[#This Row],[Component]]=factor_eff_table[Component])*(standard_components_177[[#This Row],[Service]]=factor_eff_table[Service]), 0, 1), 0)),
 "-")</f>
        <v>-</v>
      </c>
      <c r="E65" s="145" t="str" cm="1">
        <f t="array" ref="E6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5" s="145" t="str" cm="1">
        <f t="array" ref="F6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5" s="145" t="str" cm="1">
        <f t="array" ref="G6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INDEX((standard_components_177[[#This Row],[Component]]=factor_eff_table[Component])*(standard_components_177[[#This Row],[Service]]=factor_eff_table[Service]), 0, 1), 0)),
 "-")</f>
        <v>-</v>
      </c>
      <c r="E66" s="145" t="str" cm="1">
        <f t="array" ref="E6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6" s="145" t="str" cm="1">
        <f t="array" ref="F6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6" s="145" t="str" cm="1">
        <f t="array" ref="G6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INDEX((standard_components_177[[#This Row],[Component]]=factor_eff_table[Component])*(standard_components_177[[#This Row],[Service]]=factor_eff_table[Service]), 0, 1), 0)),
 "-")</f>
        <v>-</v>
      </c>
      <c r="E67" s="145" t="str" cm="1">
        <f t="array" ref="E6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7" s="145" t="str" cm="1">
        <f t="array" ref="F6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7" s="145" t="str" cm="1">
        <f t="array" ref="G6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INDEX((standard_components_177[[#This Row],[Component]]=factor_eff_table[Component])*(standard_components_177[[#This Row],[Service]]=factor_eff_table[Service]), 0, 1), 0)),
 "-")</f>
        <v>-</v>
      </c>
      <c r="E68" s="145" t="str" cm="1">
        <f t="array" ref="E6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8" s="145" t="str" cm="1">
        <f t="array" ref="F6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8" s="145" t="str" cm="1">
        <f t="array" ref="G6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INDEX((standard_components_177[[#This Row],[Component]]=factor_eff_table[Component])*(standard_components_177[[#This Row],[Service]]=factor_eff_table[Service]), 0, 1), 0)),
 "-")</f>
        <v>-</v>
      </c>
      <c r="E69" s="145" t="str" cm="1">
        <f t="array" ref="E6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69" s="145" t="str" cm="1">
        <f t="array" ref="F6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69" s="145" t="str" cm="1">
        <f t="array" ref="G6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6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6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INDEX((standard_components_177[[#This Row],[Component]]=factor_eff_table[Component])*(standard_components_177[[#This Row],[Service]]=factor_eff_table[Service]), 0, 1), 0)),
 "-")</f>
        <v>-</v>
      </c>
      <c r="E70" s="145" t="str" cm="1">
        <f t="array" ref="E7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0" s="145" t="str" cm="1">
        <f t="array" ref="F7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0" s="145" t="str" cm="1">
        <f t="array" ref="G7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INDEX((standard_components_177[[#This Row],[Component]]=factor_eff_table[Component])*(standard_components_177[[#This Row],[Service]]=factor_eff_table[Service]), 0, 1), 0)),
 "-")</f>
        <v>-</v>
      </c>
      <c r="E71" s="145" t="str" cm="1">
        <f t="array" ref="E7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1" s="145" t="str" cm="1">
        <f t="array" ref="F7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1" s="145" t="str" cm="1">
        <f t="array" ref="G7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INDEX((standard_components_177[[#This Row],[Component]]=factor_eff_table[Component])*(standard_components_177[[#This Row],[Service]]=factor_eff_table[Service]), 0, 1), 0)),
 "-")</f>
        <v>-</v>
      </c>
      <c r="E72" s="145" t="str" cm="1">
        <f t="array" ref="E7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2" s="145" t="str" cm="1">
        <f t="array" ref="F7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2" s="145" t="str" cm="1">
        <f t="array" ref="G7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INDEX((standard_components_177[[#This Row],[Component]]=factor_eff_table[Component])*(standard_components_177[[#This Row],[Service]]=factor_eff_table[Service]), 0, 1), 0)),
 "-")</f>
        <v>-</v>
      </c>
      <c r="E73" s="145" t="str" cm="1">
        <f t="array" ref="E7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3" s="145" t="str" cm="1">
        <f t="array" ref="F7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3" s="145" t="str" cm="1">
        <f t="array" ref="G7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INDEX((standard_components_177[[#This Row],[Component]]=factor_eff_table[Component])*(standard_components_177[[#This Row],[Service]]=factor_eff_table[Service]), 0, 1), 0)),
 "-")</f>
        <v>-</v>
      </c>
      <c r="E74" s="145" t="str" cm="1">
        <f t="array" ref="E7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4" s="145" t="str" cm="1">
        <f t="array" ref="F7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4" s="145" t="str" cm="1">
        <f t="array" ref="G7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INDEX((standard_components_177[[#This Row],[Component]]=factor_eff_table[Component])*(standard_components_177[[#This Row],[Service]]=factor_eff_table[Service]), 0, 1), 0)),
 "-")</f>
        <v>-</v>
      </c>
      <c r="E75" s="145" t="str" cm="1">
        <f t="array" ref="E7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5" s="145" t="str" cm="1">
        <f t="array" ref="F7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5" s="145" t="str" cm="1">
        <f t="array" ref="G7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INDEX((standard_components_177[[#This Row],[Component]]=factor_eff_table[Component])*(standard_components_177[[#This Row],[Service]]=factor_eff_table[Service]), 0, 1), 0)),
 "-")</f>
        <v>-</v>
      </c>
      <c r="E76" s="145" t="str" cm="1">
        <f t="array" ref="E7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6" s="145" t="str" cm="1">
        <f t="array" ref="F7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6" s="145" t="str" cm="1">
        <f t="array" ref="G7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INDEX((standard_components_177[[#This Row],[Component]]=factor_eff_table[Component])*(standard_components_177[[#This Row],[Service]]=factor_eff_table[Service]), 0, 1), 0)),
 "-")</f>
        <v>-</v>
      </c>
      <c r="E77" s="145" t="str" cm="1">
        <f t="array" ref="E7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7" s="145" t="str" cm="1">
        <f t="array" ref="F7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7" s="145" t="str" cm="1">
        <f t="array" ref="G7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INDEX((standard_components_177[[#This Row],[Component]]=factor_eff_table[Component])*(standard_components_177[[#This Row],[Service]]=factor_eff_table[Service]), 0, 1), 0)),
 "-")</f>
        <v>-</v>
      </c>
      <c r="E78" s="145" t="str" cm="1">
        <f t="array" ref="E7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8" s="145" t="str" cm="1">
        <f t="array" ref="F7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8" s="145" t="str" cm="1">
        <f t="array" ref="G7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INDEX((standard_components_177[[#This Row],[Component]]=factor_eff_table[Component])*(standard_components_177[[#This Row],[Service]]=factor_eff_table[Service]), 0, 1), 0)),
 "-")</f>
        <v>-</v>
      </c>
      <c r="E79" s="145" t="str" cm="1">
        <f t="array" ref="E7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79" s="145" t="str" cm="1">
        <f t="array" ref="F7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79" s="145" t="str" cm="1">
        <f t="array" ref="G7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7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7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INDEX((standard_components_177[[#This Row],[Component]]=factor_eff_table[Component])*(standard_components_177[[#This Row],[Service]]=factor_eff_table[Service]), 0, 1), 0)),
 "-")</f>
        <v>-</v>
      </c>
      <c r="E80" s="145" t="str" cm="1">
        <f t="array" ref="E8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0" s="145" t="str" cm="1">
        <f t="array" ref="F8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0" s="145" t="str" cm="1">
        <f t="array" ref="G8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INDEX((standard_components_177[[#This Row],[Component]]=factor_eff_table[Component])*(standard_components_177[[#This Row],[Service]]=factor_eff_table[Service]), 0, 1), 0)),
 "-")</f>
        <v>-</v>
      </c>
      <c r="E81" s="145" t="str" cm="1">
        <f t="array" ref="E8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1" s="145" t="str" cm="1">
        <f t="array" ref="F8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1" s="145" t="str" cm="1">
        <f t="array" ref="G8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INDEX((standard_components_177[[#This Row],[Component]]=factor_eff_table[Component])*(standard_components_177[[#This Row],[Service]]=factor_eff_table[Service]), 0, 1), 0)),
 "-")</f>
        <v>-</v>
      </c>
      <c r="E82" s="145" t="str" cm="1">
        <f t="array" ref="E8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2" s="145" t="str" cm="1">
        <f t="array" ref="F8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2" s="145" t="str" cm="1">
        <f t="array" ref="G8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INDEX((standard_components_177[[#This Row],[Component]]=factor_eff_table[Component])*(standard_components_177[[#This Row],[Service]]=factor_eff_table[Service]), 0, 1), 0)),
 "-")</f>
        <v>-</v>
      </c>
      <c r="E83" s="145" t="str" cm="1">
        <f t="array" ref="E8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3" s="145" t="str" cm="1">
        <f t="array" ref="F8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3" s="145" t="str" cm="1">
        <f t="array" ref="G8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INDEX((standard_components_177[[#This Row],[Component]]=factor_eff_table[Component])*(standard_components_177[[#This Row],[Service]]=factor_eff_table[Service]), 0, 1), 0)),
 "-")</f>
        <v>-</v>
      </c>
      <c r="E84" s="145" t="str" cm="1">
        <f t="array" ref="E8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4" s="145" t="str" cm="1">
        <f t="array" ref="F8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4" s="145" t="str" cm="1">
        <f t="array" ref="G8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INDEX((standard_components_177[[#This Row],[Component]]=factor_eff_table[Component])*(standard_components_177[[#This Row],[Service]]=factor_eff_table[Service]), 0, 1), 0)),
 "-")</f>
        <v>-</v>
      </c>
      <c r="E85" s="145" t="str" cm="1">
        <f t="array" ref="E8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5" s="145" t="str" cm="1">
        <f t="array" ref="F8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5" s="145" t="str" cm="1">
        <f t="array" ref="G8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INDEX((standard_components_177[[#This Row],[Component]]=factor_eff_table[Component])*(standard_components_177[[#This Row],[Service]]=factor_eff_table[Service]), 0, 1), 0)),
 "-")</f>
        <v>-</v>
      </c>
      <c r="E86" s="145" t="str" cm="1">
        <f t="array" ref="E8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6" s="145" t="str" cm="1">
        <f t="array" ref="F8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6" s="145" t="str" cm="1">
        <f t="array" ref="G8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INDEX((standard_components_177[[#This Row],[Component]]=factor_eff_table[Component])*(standard_components_177[[#This Row],[Service]]=factor_eff_table[Service]), 0, 1), 0)),
 "-")</f>
        <v>-</v>
      </c>
      <c r="E87" s="145" t="str" cm="1">
        <f t="array" ref="E8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7" s="145" t="str" cm="1">
        <f t="array" ref="F8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7" s="145" t="str" cm="1">
        <f t="array" ref="G8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INDEX((standard_components_177[[#This Row],[Component]]=factor_eff_table[Component])*(standard_components_177[[#This Row],[Service]]=factor_eff_table[Service]), 0, 1), 0)),
 "-")</f>
        <v>-</v>
      </c>
      <c r="E88" s="145" t="str" cm="1">
        <f t="array" ref="E8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8" s="145" t="str" cm="1">
        <f t="array" ref="F8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8" s="145" t="str" cm="1">
        <f t="array" ref="G8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INDEX((standard_components_177[[#This Row],[Component]]=factor_eff_table[Component])*(standard_components_177[[#This Row],[Service]]=factor_eff_table[Service]), 0, 1), 0)),
 "-")</f>
        <v>-</v>
      </c>
      <c r="E89" s="145" t="str" cm="1">
        <f t="array" ref="E8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89" s="145" t="str" cm="1">
        <f t="array" ref="F8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89" s="145" t="str" cm="1">
        <f t="array" ref="G8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8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8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INDEX((standard_components_177[[#This Row],[Component]]=factor_eff_table[Component])*(standard_components_177[[#This Row],[Service]]=factor_eff_table[Service]), 0, 1), 0)),
 "-")</f>
        <v>-</v>
      </c>
      <c r="E90" s="145" t="str" cm="1">
        <f t="array" ref="E9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0" s="145" t="str" cm="1">
        <f t="array" ref="F9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0" s="145" t="str" cm="1">
        <f t="array" ref="G9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INDEX((standard_components_177[[#This Row],[Component]]=factor_eff_table[Component])*(standard_components_177[[#This Row],[Service]]=factor_eff_table[Service]), 0, 1), 0)),
 "-")</f>
        <v>-</v>
      </c>
      <c r="E91" s="145" t="str" cm="1">
        <f t="array" ref="E91">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1" s="145" t="str" cm="1">
        <f t="array" ref="F91">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1" s="145" t="str" cm="1">
        <f t="array" ref="G91">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1"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1"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INDEX((standard_components_177[[#This Row],[Component]]=factor_eff_table[Component])*(standard_components_177[[#This Row],[Service]]=factor_eff_table[Service]), 0, 1), 0)),
 "-")</f>
        <v>-</v>
      </c>
      <c r="E92" s="145" t="str" cm="1">
        <f t="array" ref="E92">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2" s="145" t="str" cm="1">
        <f t="array" ref="F92">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2" s="145" t="str" cm="1">
        <f t="array" ref="G92">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2"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2"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INDEX((standard_components_177[[#This Row],[Component]]=factor_eff_table[Component])*(standard_components_177[[#This Row],[Service]]=factor_eff_table[Service]), 0, 1), 0)),
 "-")</f>
        <v>-</v>
      </c>
      <c r="E93" s="145" t="str" cm="1">
        <f t="array" ref="E93">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3" s="145" t="str" cm="1">
        <f t="array" ref="F93">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3" s="145" t="str" cm="1">
        <f t="array" ref="G93">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3"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3"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INDEX((standard_components_177[[#This Row],[Component]]=factor_eff_table[Component])*(standard_components_177[[#This Row],[Service]]=factor_eff_table[Service]), 0, 1), 0)),
 "-")</f>
        <v>-</v>
      </c>
      <c r="E94" s="145" t="str" cm="1">
        <f t="array" ref="E94">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4" s="145" t="str" cm="1">
        <f t="array" ref="F94">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4" s="145" t="str" cm="1">
        <f t="array" ref="G94">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4"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4"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INDEX((standard_components_177[[#This Row],[Component]]=factor_eff_table[Component])*(standard_components_177[[#This Row],[Service]]=factor_eff_table[Service]), 0, 1), 0)),
 "-")</f>
        <v>-</v>
      </c>
      <c r="E95" s="145" t="str" cm="1">
        <f t="array" ref="E95">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5" s="145" t="str" cm="1">
        <f t="array" ref="F95">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5" s="145" t="str" cm="1">
        <f t="array" ref="G95">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5"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5"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INDEX((standard_components_177[[#This Row],[Component]]=factor_eff_table[Component])*(standard_components_177[[#This Row],[Service]]=factor_eff_table[Service]), 0, 1), 0)),
 "-")</f>
        <v>-</v>
      </c>
      <c r="E96" s="145" t="str" cm="1">
        <f t="array" ref="E96">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6" s="145" t="str" cm="1">
        <f t="array" ref="F96">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6" s="145" t="str" cm="1">
        <f t="array" ref="G96">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6"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6"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INDEX((standard_components_177[[#This Row],[Component]]=factor_eff_table[Component])*(standard_components_177[[#This Row],[Service]]=factor_eff_table[Service]), 0, 1), 0)),
 "-")</f>
        <v>-</v>
      </c>
      <c r="E97" s="145" t="str" cm="1">
        <f t="array" ref="E97">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7" s="145" t="str" cm="1">
        <f t="array" ref="F97">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7" s="145" t="str" cm="1">
        <f t="array" ref="G97">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7"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7"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INDEX((standard_components_177[[#This Row],[Component]]=factor_eff_table[Component])*(standard_components_177[[#This Row],[Service]]=factor_eff_table[Service]), 0, 1), 0)),
 "-")</f>
        <v>-</v>
      </c>
      <c r="E98" s="145" t="str" cm="1">
        <f t="array" ref="E98">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8" s="145" t="str" cm="1">
        <f t="array" ref="F98">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8" s="145" t="str" cm="1">
        <f t="array" ref="G98">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8"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8"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INDEX((standard_components_177[[#This Row],[Component]]=factor_eff_table[Component])*(standard_components_177[[#This Row],[Service]]=factor_eff_table[Service]), 0, 1), 0)),
 "-")</f>
        <v>-</v>
      </c>
      <c r="E99" s="145" t="str" cm="1">
        <f t="array" ref="E99">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99" s="145" t="str" cm="1">
        <f t="array" ref="F99">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99" s="145" t="str" cm="1">
        <f t="array" ref="G99">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99"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99"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INDEX((standard_components_177[[#This Row],[Component]]=factor_eff_table[Component])*(standard_components_177[[#This Row],[Service]]=factor_eff_table[Service]), 0, 1), 0)),
 "-")</f>
        <v>-</v>
      </c>
      <c r="E100" s="145" t="str" cm="1">
        <f t="array" ref="E100">IF(AND(process_drain_bool="Yes",LEFT(standard_components_177[[#This Row],[Component]], LEN("Process drains"))="Process Drains", ISBLANK(instrument_ldar)=FALSE), process_drain_eff,
IFERROR(
INDEX(
INDEX(factor_eff_table[], , MATCH(instrument_ldar, factor_eff_table[#Headers], 0)),
MATCH(1, INDEX((standard_components_177[[#This Row],[Component]]=factor_eff_table[Component])*(standard_components_177[[#This Row],[Service]]=factor_eff_table[Service]), 0, 1), 0)),
 "-"))</f>
        <v>-</v>
      </c>
      <c r="F100" s="145" t="str" cm="1">
        <f t="array" ref="F100">IF(AND(process_drain_bool="Yes",LEFT(standard_components_177[[#This Row],[Component]], LEN("Process drains"))="Process Drains", ISBLANK(connector_ldar)=FALSE), process_drain_eff,
IFERROR(
INDEX(
INDEX(factor_eff_table[], , MATCH(connector_ldar, factor_eff_table[#Headers], 0)),
MATCH(1, INDEX((standard_components_177[[#This Row],[Component]]=factor_eff_table[Component])*(standard_components_177[[#This Row],[Service]]=factor_eff_table[Service]), 0, 1), 0)),
 "-"))</f>
        <v>-</v>
      </c>
      <c r="G100" s="145" t="str" cm="1">
        <f t="array" ref="G100">IF(AND(process_drain_bool="Yes",LEFT(standard_components_177[[#This Row],[Component]], LEN("Process Drains"))="Process Drains", ISBLANK(inspection_ldar)=FALSE), process_drain_eff,
IFERROR(
INDEX(
INDEX(factor_eff_table[], , MATCH(inspection_ldar, factor_eff_table[#Headers], 0)),
MATCH(1, INDEX((standard_components_177[[#This Row],[Component]]=factor_eff_table[Component])*(standard_components_177[[#This Row],[Service]]=factor_eff_table[Service]), 0, 1), 0)),
 "-"))</f>
        <v>-</v>
      </c>
      <c r="H100" s="146" t="str">
        <f>IF(standard_components_177[[#This Row],[Component]]="Sampling Connections (annual) [2]", "N/A",
 IF(standard_components_177[[#This Row],[Component]]="Sampling Connections (hourly) [1]", standard_components_177[[#This Row],[Count]]*standard_components_177[[#This Row],[Industry Emission Factor]],
IFERROR(standard_components_177[[#This Row],[Count]]*standard_components_177[[#This Row],[Industry Emission Factor]]*MIN(1-standard_components_177[[#This Row],[Instrument Monitoring LDAR Control Efficiency]], 1-standard_components_177[[#This Row],[Physical Inspection LDAR Control Efficiency]], 1-standard_components_177[[#This Row],[Connector Monitoring LDAR Control Efficiency]]), "-")))</f>
        <v>-</v>
      </c>
      <c r="I100" s="146" t="str">
        <f>IF(standard_components_177[[#This Row],[Component]]="Sampling Connections (hourly) [1]", "N/A",
 IF(standard_components_177[[#This Row],[Component]]="Sampling Connections (annual) [2]", standard_components_177[[#This Row],[Count]]*standard_components_177[[#This Row],[Industry Emission Factor]]/stons_to_lbs,
 IFERROR(years_to_hrs/stons_to_lbs*standard_components_177[[#This Row],[Controlled
lb/hr]], "-")))</f>
        <v>-</v>
      </c>
    </row>
    <row r="101" spans="1:9" ht="15" x14ac:dyDescent="0.25">
      <c r="A101" s="147" t="s">
        <v>12776</v>
      </c>
      <c r="B101" s="148"/>
      <c r="C101" s="149">
        <f>SUBTOTAL(109,standard_components_177[Count])</f>
        <v>0</v>
      </c>
      <c r="D101" s="150"/>
      <c r="E101" s="150"/>
      <c r="F101" s="150"/>
      <c r="G101" s="150"/>
      <c r="H101" s="151">
        <f>SUBTOTAL(109,standard_components_177[Controlled
lb/hr])</f>
        <v>0</v>
      </c>
      <c r="I101" s="151">
        <f>SUBTOTAL(109,standard_components_177[Controlled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unique_components_178[[#This Row],[Count]]*unique_components_178[[#This Row],[Proposed Emission Factor]]*(1-unique_components_178[[#This Row],[Proposed Control Efficiency]])</f>
        <v>0</v>
      </c>
      <c r="G107" s="155">
        <f>IFERROR(unique_components_178[[#This Row],[Controlled lb/hr]]*4.38,"")</f>
        <v>0</v>
      </c>
    </row>
    <row r="108" spans="1:9" x14ac:dyDescent="0.2">
      <c r="A108" s="103"/>
      <c r="B108" s="104"/>
      <c r="C108" s="153"/>
      <c r="D108" s="154"/>
      <c r="E108" s="154"/>
      <c r="F108" s="146">
        <f>unique_components_178[[#This Row],[Count]]*unique_components_178[[#This Row],[Proposed Emission Factor]]*(1-unique_components_178[[#This Row],[Proposed Control Efficiency]])</f>
        <v>0</v>
      </c>
      <c r="G108" s="155">
        <f>IFERROR(unique_components_178[[#This Row],[Controlled lb/hr]]*4.38,"")</f>
        <v>0</v>
      </c>
    </row>
    <row r="109" spans="1:9" x14ac:dyDescent="0.2">
      <c r="A109" s="103"/>
      <c r="B109" s="104"/>
      <c r="C109" s="153"/>
      <c r="D109" s="154"/>
      <c r="E109" s="154"/>
      <c r="F109" s="146">
        <f>unique_components_178[[#This Row],[Count]]*unique_components_178[[#This Row],[Proposed Emission Factor]]*(1-unique_components_178[[#This Row],[Proposed Control Efficiency]])</f>
        <v>0</v>
      </c>
      <c r="G109" s="155">
        <f>IFERROR(unique_components_178[[#This Row],[Controlled lb/hr]]*4.38,"")</f>
        <v>0</v>
      </c>
    </row>
    <row r="110" spans="1:9" x14ac:dyDescent="0.2">
      <c r="A110" s="103"/>
      <c r="B110" s="104"/>
      <c r="C110" s="153"/>
      <c r="D110" s="154"/>
      <c r="E110" s="154"/>
      <c r="F110" s="146">
        <f>unique_components_178[[#This Row],[Count]]*unique_components_178[[#This Row],[Proposed Emission Factor]]*(1-unique_components_178[[#This Row],[Proposed Control Efficiency]])</f>
        <v>0</v>
      </c>
      <c r="G110" s="155">
        <f>IFERROR(unique_components_178[[#This Row],[Controlled lb/hr]]*4.38,"")</f>
        <v>0</v>
      </c>
    </row>
    <row r="111" spans="1:9" x14ac:dyDescent="0.2">
      <c r="A111" s="103"/>
      <c r="B111" s="104"/>
      <c r="C111" s="153"/>
      <c r="D111" s="154"/>
      <c r="E111" s="154"/>
      <c r="F111" s="146">
        <f>unique_components_178[[#This Row],[Count]]*unique_components_178[[#This Row],[Proposed Emission Factor]]*(1-unique_components_178[[#This Row],[Proposed Control Efficiency]])</f>
        <v>0</v>
      </c>
      <c r="G111" s="155">
        <f>IFERROR(unique_components_178[[#This Row],[Controlled lb/hr]]*4.38,"")</f>
        <v>0</v>
      </c>
    </row>
    <row r="112" spans="1:9" x14ac:dyDescent="0.2">
      <c r="A112" s="103"/>
      <c r="B112" s="104"/>
      <c r="C112" s="153"/>
      <c r="D112" s="154"/>
      <c r="E112" s="154"/>
      <c r="F112" s="146">
        <f>unique_components_178[[#This Row],[Count]]*unique_components_178[[#This Row],[Proposed Emission Factor]]*(1-unique_components_178[[#This Row],[Proposed Control Efficiency]])</f>
        <v>0</v>
      </c>
      <c r="G112" s="155">
        <f>IFERROR(unique_components_178[[#This Row],[Controlled lb/hr]]*4.38,"")</f>
        <v>0</v>
      </c>
    </row>
    <row r="113" spans="1:8" x14ac:dyDescent="0.2">
      <c r="A113" s="103"/>
      <c r="B113" s="104"/>
      <c r="C113" s="153"/>
      <c r="D113" s="154"/>
      <c r="E113" s="154"/>
      <c r="F113" s="146">
        <f>unique_components_178[[#This Row],[Count]]*unique_components_178[[#This Row],[Proposed Emission Factor]]*(1-unique_components_178[[#This Row],[Proposed Control Efficiency]])</f>
        <v>0</v>
      </c>
      <c r="G113" s="155">
        <f>IFERROR(unique_components_178[[#This Row],[Controlled lb/hr]]*4.38,"")</f>
        <v>0</v>
      </c>
    </row>
    <row r="114" spans="1:8" x14ac:dyDescent="0.2">
      <c r="A114" s="103"/>
      <c r="B114" s="104"/>
      <c r="C114" s="153"/>
      <c r="D114" s="154"/>
      <c r="E114" s="154"/>
      <c r="F114" s="146">
        <f>unique_components_178[[#This Row],[Count]]*unique_components_178[[#This Row],[Proposed Emission Factor]]*(1-unique_components_178[[#This Row],[Proposed Control Efficiency]])</f>
        <v>0</v>
      </c>
      <c r="G114" s="155">
        <f>IFERROR(unique_components_178[[#This Row],[Controlled lb/hr]]*4.38,"")</f>
        <v>0</v>
      </c>
    </row>
    <row r="115" spans="1:8" x14ac:dyDescent="0.2">
      <c r="A115" s="103"/>
      <c r="B115" s="104"/>
      <c r="C115" s="153"/>
      <c r="D115" s="154"/>
      <c r="E115" s="154"/>
      <c r="F115" s="146">
        <f>unique_components_178[[#This Row],[Count]]*unique_components_178[[#This Row],[Proposed Emission Factor]]*(1-unique_components_178[[#This Row],[Proposed Control Efficiency]])</f>
        <v>0</v>
      </c>
      <c r="G115" s="155">
        <f>IFERROR(unique_components_178[[#This Row],[Controlled lb/hr]]*4.38,"")</f>
        <v>0</v>
      </c>
    </row>
    <row r="116" spans="1:8" x14ac:dyDescent="0.2">
      <c r="A116" s="103"/>
      <c r="B116" s="104"/>
      <c r="C116" s="153"/>
      <c r="D116" s="154"/>
      <c r="E116" s="154"/>
      <c r="F116" s="146">
        <f>unique_components_178[[#This Row],[Count]]*unique_components_178[[#This Row],[Proposed Emission Factor]]*(1-unique_components_178[[#This Row],[Proposed Control Efficiency]])</f>
        <v>0</v>
      </c>
      <c r="G116" s="155">
        <f>IFERROR(unique_components_178[[#This Row],[Controlled lb/hr]]*4.38,"")</f>
        <v>0</v>
      </c>
    </row>
    <row r="117" spans="1:8" x14ac:dyDescent="0.2">
      <c r="A117" s="103"/>
      <c r="B117" s="104"/>
      <c r="C117" s="153"/>
      <c r="D117" s="154"/>
      <c r="E117" s="154"/>
      <c r="F117" s="146">
        <f>unique_components_178[[#This Row],[Count]]*unique_components_178[[#This Row],[Proposed Emission Factor]]*(1-unique_components_178[[#This Row],[Proposed Control Efficiency]])</f>
        <v>0</v>
      </c>
      <c r="G117" s="155">
        <f>IFERROR(unique_components_178[[#This Row],[Controlled lb/hr]]*4.38,"")</f>
        <v>0</v>
      </c>
    </row>
    <row r="118" spans="1:8" x14ac:dyDescent="0.2">
      <c r="A118" s="103"/>
      <c r="B118" s="104"/>
      <c r="C118" s="153"/>
      <c r="D118" s="154"/>
      <c r="E118" s="154"/>
      <c r="F118" s="146">
        <f>unique_components_178[[#This Row],[Count]]*unique_components_178[[#This Row],[Proposed Emission Factor]]*(1-unique_components_178[[#This Row],[Proposed Control Efficiency]])</f>
        <v>0</v>
      </c>
      <c r="G118" s="155">
        <f>IFERROR(unique_components_178[[#This Row],[Controlled lb/hr]]*4.38,"")</f>
        <v>0</v>
      </c>
    </row>
    <row r="119" spans="1:8" x14ac:dyDescent="0.2">
      <c r="A119" s="103"/>
      <c r="B119" s="104"/>
      <c r="C119" s="153"/>
      <c r="D119" s="154"/>
      <c r="E119" s="154"/>
      <c r="F119" s="146">
        <f>unique_components_178[[#This Row],[Count]]*unique_components_178[[#This Row],[Proposed Emission Factor]]*(1-unique_components_178[[#This Row],[Proposed Control Efficiency]])</f>
        <v>0</v>
      </c>
      <c r="G119" s="155">
        <f>IFERROR(unique_components_178[[#This Row],[Controlled lb/hr]]*4.38,"")</f>
        <v>0</v>
      </c>
    </row>
    <row r="120" spans="1:8" x14ac:dyDescent="0.2">
      <c r="A120" s="103"/>
      <c r="B120" s="104"/>
      <c r="C120" s="153"/>
      <c r="D120" s="154"/>
      <c r="E120" s="154"/>
      <c r="F120" s="146">
        <f>unique_components_178[[#This Row],[Count]]*unique_components_178[[#This Row],[Proposed Emission Factor]]*(1-unique_components_178[[#This Row],[Proposed Control Efficiency]])</f>
        <v>0</v>
      </c>
      <c r="G120" s="155">
        <f>IFERROR(unique_components_178[[#This Row],[Controlled lb/hr]]*4.38,"")</f>
        <v>0</v>
      </c>
    </row>
    <row r="121" spans="1:8" x14ac:dyDescent="0.2">
      <c r="A121" s="103"/>
      <c r="B121" s="104"/>
      <c r="C121" s="153"/>
      <c r="D121" s="154"/>
      <c r="E121" s="154"/>
      <c r="F121" s="146">
        <f>unique_components_178[[#This Row],[Count]]*unique_components_178[[#This Row],[Proposed Emission Factor]]*(1-unique_components_178[[#This Row],[Proposed Control Efficiency]])</f>
        <v>0</v>
      </c>
      <c r="G121" s="155">
        <f>IFERROR(unique_components_178[[#This Row],[Controlled lb/hr]]*4.38,"")</f>
        <v>0</v>
      </c>
    </row>
    <row r="122" spans="1:8" x14ac:dyDescent="0.2">
      <c r="A122" s="103"/>
      <c r="B122" s="104"/>
      <c r="C122" s="153"/>
      <c r="D122" s="154"/>
      <c r="E122" s="154"/>
      <c r="F122" s="146">
        <f>unique_components_178[[#This Row],[Count]]*unique_components_178[[#This Row],[Proposed Emission Factor]]*(1-unique_components_178[[#This Row],[Proposed Control Efficiency]])</f>
        <v>0</v>
      </c>
      <c r="G122" s="155">
        <f>IFERROR(unique_components_178[[#This Row],[Controlled lb/hr]]*4.38,"")</f>
        <v>0</v>
      </c>
    </row>
    <row r="123" spans="1:8" x14ac:dyDescent="0.2">
      <c r="A123" s="103"/>
      <c r="B123" s="104"/>
      <c r="C123" s="153"/>
      <c r="D123" s="154"/>
      <c r="E123" s="154"/>
      <c r="F123" s="146">
        <f>unique_components_178[[#This Row],[Count]]*unique_components_178[[#This Row],[Proposed Emission Factor]]*(1-unique_components_178[[#This Row],[Proposed Control Efficiency]])</f>
        <v>0</v>
      </c>
      <c r="G123" s="155">
        <f>IFERROR(unique_components_178[[#This Row],[Controlled lb/hr]]*4.38,"")</f>
        <v>0</v>
      </c>
    </row>
    <row r="124" spans="1:8" x14ac:dyDescent="0.2">
      <c r="A124" s="103"/>
      <c r="B124" s="104"/>
      <c r="C124" s="153"/>
      <c r="D124" s="154"/>
      <c r="E124" s="154"/>
      <c r="F124" s="146">
        <f>unique_components_178[[#This Row],[Count]]*unique_components_178[[#This Row],[Proposed Emission Factor]]*(1-unique_components_178[[#This Row],[Proposed Control Efficiency]])</f>
        <v>0</v>
      </c>
      <c r="G124" s="155">
        <f>IFERROR(unique_components_178[[#This Row],[Controlled lb/hr]]*4.38,"")</f>
        <v>0</v>
      </c>
    </row>
    <row r="125" spans="1:8" x14ac:dyDescent="0.2">
      <c r="A125" s="103"/>
      <c r="B125" s="104"/>
      <c r="C125" s="153"/>
      <c r="D125" s="154"/>
      <c r="E125" s="154"/>
      <c r="F125" s="146">
        <f>unique_components_178[[#This Row],[Count]]*unique_components_178[[#This Row],[Proposed Emission Factor]]*(1-unique_components_178[[#This Row],[Proposed Control Efficiency]])</f>
        <v>0</v>
      </c>
      <c r="G125" s="155">
        <f>IFERROR(unique_components_178[[#This Row],[Controlled lb/hr]]*4.38,"")</f>
        <v>0</v>
      </c>
    </row>
    <row r="126" spans="1:8" x14ac:dyDescent="0.2">
      <c r="A126" s="105"/>
      <c r="B126" s="106"/>
      <c r="C126" s="156"/>
      <c r="D126" s="154"/>
      <c r="E126" s="157"/>
      <c r="F126" s="158">
        <f>unique_components_178[[#This Row],[Count]]*unique_components_178[[#This Row],[Proposed Emission Factor]]*(1-unique_components_178[[#This Row],[Proposed Control Efficiency]])</f>
        <v>0</v>
      </c>
      <c r="G126" s="159">
        <f>IFERROR(unique_components_178[[#This Row],[Controlled lb/hr]]*4.38,"")</f>
        <v>0</v>
      </c>
    </row>
    <row r="127" spans="1:8" ht="30" x14ac:dyDescent="0.2">
      <c r="A127" s="57" t="s">
        <v>13297</v>
      </c>
      <c r="B127" s="54"/>
      <c r="C127" s="160">
        <f>SUBTOTAL(109,unique_components_178[Count])</f>
        <v>0</v>
      </c>
      <c r="D127" s="161"/>
      <c r="E127" s="161"/>
      <c r="F127" s="162">
        <f>SUBTOTAL(109,unique_components_178[Controlled lb/hr])</f>
        <v>0</v>
      </c>
      <c r="G127" s="162">
        <f>SUBTOTAL(109,unique_components_178[Controlled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IFERROR(VLOOKUP(speciated_chemicals_179[[#This Row],[CAS '#]],species[],MATCH("Substance", species[#Headers], 0),FALSE),"No CAS Number Entered")</f>
        <v>No CAS Number Entered</v>
      </c>
      <c r="C131" s="102"/>
      <c r="D131" s="102" t="s">
        <v>12666</v>
      </c>
      <c r="E131" s="102" t="s">
        <v>12666</v>
      </c>
      <c r="F131" s="102" t="s">
        <v>12666</v>
      </c>
      <c r="G131" s="102" t="s">
        <v>12666</v>
      </c>
      <c r="H131" s="164"/>
      <c r="I131" s="51">
        <f>IF(speciated_chemicals_179[[#This Row],[Inert / Not a Contaminant?]]="Yes", 0, speciated_chemicals_179[[#This Row],[Weight Percent]]*(unique_components_178[[#Totals],[Controlled lb/hr]]+standard_components_177[[#Totals],[Controlled
lb/hr]]))</f>
        <v>0</v>
      </c>
      <c r="J131" s="51">
        <f>IF(speciated_chemicals_179[[#This Row],[Inert / Not a Contaminant?]]="Yes", 0, speciated_chemicals_179[[#This Row],[Weight Percent]]*(unique_components_178[[#Totals],[Controlled
tpy]]+standard_components_177[[#Totals],[Controlled
tpy]]))</f>
        <v>0</v>
      </c>
    </row>
    <row r="132" spans="1:10" x14ac:dyDescent="0.2">
      <c r="A132" s="103"/>
      <c r="B132" s="51" t="str">
        <f>IFERROR(VLOOKUP(speciated_chemicals_179[[#This Row],[CAS '#]],species[],MATCH("Substance", species[#Headers], 0),FALSE),"No CAS Number Entered")</f>
        <v>No CAS Number Entered</v>
      </c>
      <c r="C132" s="102"/>
      <c r="D132" s="102" t="s">
        <v>12666</v>
      </c>
      <c r="E132" s="102" t="s">
        <v>12666</v>
      </c>
      <c r="F132" s="102" t="s">
        <v>12666</v>
      </c>
      <c r="G132" s="102" t="s">
        <v>12666</v>
      </c>
      <c r="H132" s="164"/>
      <c r="I132" s="51">
        <f>IF(speciated_chemicals_179[[#This Row],[Inert / Not a Contaminant?]]="Yes", 0, speciated_chemicals_179[[#This Row],[Weight Percent]]*(unique_components_178[[#Totals],[Controlled lb/hr]]+standard_components_177[[#Totals],[Controlled
lb/hr]]))</f>
        <v>0</v>
      </c>
      <c r="J132" s="51">
        <f>IF(speciated_chemicals_179[[#This Row],[Inert / Not a Contaminant?]]="Yes", 0, speciated_chemicals_179[[#This Row],[Weight Percent]]*(unique_components_178[[#Totals],[Controlled
tpy]]+standard_components_177[[#Totals],[Controlled
tpy]]))</f>
        <v>0</v>
      </c>
    </row>
    <row r="133" spans="1:10" x14ac:dyDescent="0.2">
      <c r="A133" s="103"/>
      <c r="B133" s="51" t="str">
        <f>IFERROR(VLOOKUP(speciated_chemicals_179[[#This Row],[CAS '#]],species[],MATCH("Substance", species[#Headers], 0),FALSE),"No CAS Number Entered")</f>
        <v>No CAS Number Entered</v>
      </c>
      <c r="C133" s="102"/>
      <c r="D133" s="102" t="s">
        <v>12666</v>
      </c>
      <c r="E133" s="102" t="s">
        <v>12666</v>
      </c>
      <c r="F133" s="102" t="s">
        <v>12666</v>
      </c>
      <c r="G133" s="102" t="s">
        <v>12666</v>
      </c>
      <c r="H133" s="164"/>
      <c r="I133" s="51">
        <f>IF(speciated_chemicals_179[[#This Row],[Inert / Not a Contaminant?]]="Yes", 0, speciated_chemicals_179[[#This Row],[Weight Percent]]*(unique_components_178[[#Totals],[Controlled lb/hr]]+standard_components_177[[#Totals],[Controlled
lb/hr]]))</f>
        <v>0</v>
      </c>
      <c r="J133" s="51">
        <f>IF(speciated_chemicals_179[[#This Row],[Inert / Not a Contaminant?]]="Yes", 0, speciated_chemicals_179[[#This Row],[Weight Percent]]*(unique_components_178[[#Totals],[Controlled
tpy]]+standard_components_177[[#Totals],[Controlled
tpy]]))</f>
        <v>0</v>
      </c>
    </row>
    <row r="134" spans="1:10" x14ac:dyDescent="0.2">
      <c r="A134" s="103"/>
      <c r="B134" s="51" t="str">
        <f>IFERROR(VLOOKUP(speciated_chemicals_179[[#This Row],[CAS '#]],species[],MATCH("Substance", species[#Headers], 0),FALSE),"No CAS Number Entered")</f>
        <v>No CAS Number Entered</v>
      </c>
      <c r="C134" s="102"/>
      <c r="D134" s="102" t="s">
        <v>12666</v>
      </c>
      <c r="E134" s="102" t="s">
        <v>12666</v>
      </c>
      <c r="F134" s="102" t="s">
        <v>12666</v>
      </c>
      <c r="G134" s="102" t="s">
        <v>12666</v>
      </c>
      <c r="H134" s="164"/>
      <c r="I134" s="51">
        <f>IF(speciated_chemicals_179[[#This Row],[Inert / Not a Contaminant?]]="Yes", 0, speciated_chemicals_179[[#This Row],[Weight Percent]]*(unique_components_178[[#Totals],[Controlled lb/hr]]+standard_components_177[[#Totals],[Controlled
lb/hr]]))</f>
        <v>0</v>
      </c>
      <c r="J134" s="51">
        <f>IF(speciated_chemicals_179[[#This Row],[Inert / Not a Contaminant?]]="Yes", 0, speciated_chemicals_179[[#This Row],[Weight Percent]]*(unique_components_178[[#Totals],[Controlled
tpy]]+standard_components_177[[#Totals],[Controlled
tpy]]))</f>
        <v>0</v>
      </c>
    </row>
    <row r="135" spans="1:10" x14ac:dyDescent="0.2">
      <c r="A135" s="103"/>
      <c r="B135" s="51" t="str">
        <f>IFERROR(VLOOKUP(speciated_chemicals_179[[#This Row],[CAS '#]],species[],MATCH("Substance", species[#Headers], 0),FALSE),"No CAS Number Entered")</f>
        <v>No CAS Number Entered</v>
      </c>
      <c r="C135" s="102"/>
      <c r="D135" s="102" t="s">
        <v>12666</v>
      </c>
      <c r="E135" s="102" t="s">
        <v>12666</v>
      </c>
      <c r="F135" s="102" t="s">
        <v>12666</v>
      </c>
      <c r="G135" s="102" t="s">
        <v>12666</v>
      </c>
      <c r="H135" s="164"/>
      <c r="I135" s="51">
        <f>IF(speciated_chemicals_179[[#This Row],[Inert / Not a Contaminant?]]="Yes", 0, speciated_chemicals_179[[#This Row],[Weight Percent]]*(unique_components_178[[#Totals],[Controlled lb/hr]]+standard_components_177[[#Totals],[Controlled
lb/hr]]))</f>
        <v>0</v>
      </c>
      <c r="J135" s="51">
        <f>IF(speciated_chemicals_179[[#This Row],[Inert / Not a Contaminant?]]="Yes", 0, speciated_chemicals_179[[#This Row],[Weight Percent]]*(unique_components_178[[#Totals],[Controlled
tpy]]+standard_components_177[[#Totals],[Controlled
tpy]]))</f>
        <v>0</v>
      </c>
    </row>
    <row r="136" spans="1:10" x14ac:dyDescent="0.2">
      <c r="A136" s="103"/>
      <c r="B136" s="51" t="str">
        <f>IFERROR(VLOOKUP(speciated_chemicals_179[[#This Row],[CAS '#]],species[],MATCH("Substance", species[#Headers], 0),FALSE),"No CAS Number Entered")</f>
        <v>No CAS Number Entered</v>
      </c>
      <c r="C136" s="102"/>
      <c r="D136" s="102" t="s">
        <v>12666</v>
      </c>
      <c r="E136" s="102" t="s">
        <v>12666</v>
      </c>
      <c r="F136" s="102" t="s">
        <v>12666</v>
      </c>
      <c r="G136" s="102" t="s">
        <v>12666</v>
      </c>
      <c r="H136" s="164"/>
      <c r="I136" s="51">
        <f>IF(speciated_chemicals_179[[#This Row],[Inert / Not a Contaminant?]]="Yes", 0, speciated_chemicals_179[[#This Row],[Weight Percent]]*(unique_components_178[[#Totals],[Controlled lb/hr]]+standard_components_177[[#Totals],[Controlled
lb/hr]]))</f>
        <v>0</v>
      </c>
      <c r="J136" s="51">
        <f>IF(speciated_chemicals_179[[#This Row],[Inert / Not a Contaminant?]]="Yes", 0, speciated_chemicals_179[[#This Row],[Weight Percent]]*(unique_components_178[[#Totals],[Controlled
tpy]]+standard_components_177[[#Totals],[Controlled
tpy]]))</f>
        <v>0</v>
      </c>
    </row>
    <row r="137" spans="1:10" x14ac:dyDescent="0.2">
      <c r="A137" s="103"/>
      <c r="B137" s="51" t="str">
        <f>IFERROR(VLOOKUP(speciated_chemicals_179[[#This Row],[CAS '#]],species[],MATCH("Substance", species[#Headers], 0),FALSE),"No CAS Number Entered")</f>
        <v>No CAS Number Entered</v>
      </c>
      <c r="C137" s="102"/>
      <c r="D137" s="102" t="s">
        <v>12666</v>
      </c>
      <c r="E137" s="102" t="s">
        <v>12666</v>
      </c>
      <c r="F137" s="102" t="s">
        <v>12666</v>
      </c>
      <c r="G137" s="102" t="s">
        <v>12666</v>
      </c>
      <c r="H137" s="164"/>
      <c r="I137" s="51">
        <f>IF(speciated_chemicals_179[[#This Row],[Inert / Not a Contaminant?]]="Yes", 0, speciated_chemicals_179[[#This Row],[Weight Percent]]*(unique_components_178[[#Totals],[Controlled lb/hr]]+standard_components_177[[#Totals],[Controlled
lb/hr]]))</f>
        <v>0</v>
      </c>
      <c r="J137" s="51">
        <f>IF(speciated_chemicals_179[[#This Row],[Inert / Not a Contaminant?]]="Yes", 0, speciated_chemicals_179[[#This Row],[Weight Percent]]*(unique_components_178[[#Totals],[Controlled
tpy]]+standard_components_177[[#Totals],[Controlled
tpy]]))</f>
        <v>0</v>
      </c>
    </row>
    <row r="138" spans="1:10" x14ac:dyDescent="0.2">
      <c r="A138" s="103"/>
      <c r="B138" s="51" t="str">
        <f>IFERROR(VLOOKUP(speciated_chemicals_179[[#This Row],[CAS '#]],species[],MATCH("Substance", species[#Headers], 0),FALSE),"No CAS Number Entered")</f>
        <v>No CAS Number Entered</v>
      </c>
      <c r="C138" s="102"/>
      <c r="D138" s="102" t="s">
        <v>12666</v>
      </c>
      <c r="E138" s="102" t="s">
        <v>12666</v>
      </c>
      <c r="F138" s="102" t="s">
        <v>12666</v>
      </c>
      <c r="G138" s="102" t="s">
        <v>12666</v>
      </c>
      <c r="H138" s="164"/>
      <c r="I138" s="51">
        <f>IF(speciated_chemicals_179[[#This Row],[Inert / Not a Contaminant?]]="Yes", 0, speciated_chemicals_179[[#This Row],[Weight Percent]]*(unique_components_178[[#Totals],[Controlled lb/hr]]+standard_components_177[[#Totals],[Controlled
lb/hr]]))</f>
        <v>0</v>
      </c>
      <c r="J138" s="51">
        <f>IF(speciated_chemicals_179[[#This Row],[Inert / Not a Contaminant?]]="Yes", 0, speciated_chemicals_179[[#This Row],[Weight Percent]]*(unique_components_178[[#Totals],[Controlled
tpy]]+standard_components_177[[#Totals],[Controlled
tpy]]))</f>
        <v>0</v>
      </c>
    </row>
    <row r="139" spans="1:10" x14ac:dyDescent="0.2">
      <c r="A139" s="103"/>
      <c r="B139" s="51" t="str">
        <f>IFERROR(VLOOKUP(speciated_chemicals_179[[#This Row],[CAS '#]],species[],MATCH("Substance", species[#Headers], 0),FALSE),"No CAS Number Entered")</f>
        <v>No CAS Number Entered</v>
      </c>
      <c r="C139" s="102"/>
      <c r="D139" s="102" t="s">
        <v>12666</v>
      </c>
      <c r="E139" s="102" t="s">
        <v>12666</v>
      </c>
      <c r="F139" s="102" t="s">
        <v>12666</v>
      </c>
      <c r="G139" s="102" t="s">
        <v>12666</v>
      </c>
      <c r="H139" s="164"/>
      <c r="I139" s="51">
        <f>IF(speciated_chemicals_179[[#This Row],[Inert / Not a Contaminant?]]="Yes", 0, speciated_chemicals_179[[#This Row],[Weight Percent]]*(unique_components_178[[#Totals],[Controlled lb/hr]]+standard_components_177[[#Totals],[Controlled
lb/hr]]))</f>
        <v>0</v>
      </c>
      <c r="J139" s="51">
        <f>IF(speciated_chemicals_179[[#This Row],[Inert / Not a Contaminant?]]="Yes", 0, speciated_chemicals_179[[#This Row],[Weight Percent]]*(unique_components_178[[#Totals],[Controlled
tpy]]+standard_components_177[[#Totals],[Controlled
tpy]]))</f>
        <v>0</v>
      </c>
    </row>
    <row r="140" spans="1:10" x14ac:dyDescent="0.2">
      <c r="A140" s="103"/>
      <c r="B140" s="51" t="str">
        <f>IFERROR(VLOOKUP(speciated_chemicals_179[[#This Row],[CAS '#]],species[],MATCH("Substance", species[#Headers], 0),FALSE),"No CAS Number Entered")</f>
        <v>No CAS Number Entered</v>
      </c>
      <c r="C140" s="102"/>
      <c r="D140" s="102" t="s">
        <v>12666</v>
      </c>
      <c r="E140" s="102" t="s">
        <v>12666</v>
      </c>
      <c r="F140" s="102" t="s">
        <v>12666</v>
      </c>
      <c r="G140" s="102" t="s">
        <v>12666</v>
      </c>
      <c r="H140" s="164"/>
      <c r="I140" s="51">
        <f>IF(speciated_chemicals_179[[#This Row],[Inert / Not a Contaminant?]]="Yes", 0, speciated_chemicals_179[[#This Row],[Weight Percent]]*(unique_components_178[[#Totals],[Controlled lb/hr]]+standard_components_177[[#Totals],[Controlled
lb/hr]]))</f>
        <v>0</v>
      </c>
      <c r="J140" s="51">
        <f>IF(speciated_chemicals_179[[#This Row],[Inert / Not a Contaminant?]]="Yes", 0, speciated_chemicals_179[[#This Row],[Weight Percent]]*(unique_components_178[[#Totals],[Controlled
tpy]]+standard_components_177[[#Totals],[Controlled
tpy]]))</f>
        <v>0</v>
      </c>
    </row>
    <row r="141" spans="1:10" x14ac:dyDescent="0.2">
      <c r="A141" s="103"/>
      <c r="B141" s="51" t="str">
        <f>IFERROR(VLOOKUP(speciated_chemicals_179[[#This Row],[CAS '#]],species[],MATCH("Substance", species[#Headers], 0),FALSE),"No CAS Number Entered")</f>
        <v>No CAS Number Entered</v>
      </c>
      <c r="C141" s="102"/>
      <c r="D141" s="102" t="s">
        <v>12666</v>
      </c>
      <c r="E141" s="102" t="s">
        <v>12666</v>
      </c>
      <c r="F141" s="102" t="s">
        <v>12666</v>
      </c>
      <c r="G141" s="102" t="s">
        <v>12666</v>
      </c>
      <c r="H141" s="164"/>
      <c r="I141" s="51">
        <f>IF(speciated_chemicals_179[[#This Row],[Inert / Not a Contaminant?]]="Yes", 0, speciated_chemicals_179[[#This Row],[Weight Percent]]*(unique_components_178[[#Totals],[Controlled lb/hr]]+standard_components_177[[#Totals],[Controlled
lb/hr]]))</f>
        <v>0</v>
      </c>
      <c r="J141" s="51">
        <f>IF(speciated_chemicals_179[[#This Row],[Inert / Not a Contaminant?]]="Yes", 0, speciated_chemicals_179[[#This Row],[Weight Percent]]*(unique_components_178[[#Totals],[Controlled
tpy]]+standard_components_177[[#Totals],[Controlled
tpy]]))</f>
        <v>0</v>
      </c>
    </row>
    <row r="142" spans="1:10" x14ac:dyDescent="0.2">
      <c r="A142" s="103"/>
      <c r="B142" s="51" t="str">
        <f>IFERROR(VLOOKUP(speciated_chemicals_179[[#This Row],[CAS '#]],species[],MATCH("Substance", species[#Headers], 0),FALSE),"No CAS Number Entered")</f>
        <v>No CAS Number Entered</v>
      </c>
      <c r="C142" s="102"/>
      <c r="D142" s="102" t="s">
        <v>12666</v>
      </c>
      <c r="E142" s="102" t="s">
        <v>12666</v>
      </c>
      <c r="F142" s="102" t="s">
        <v>12666</v>
      </c>
      <c r="G142" s="102" t="s">
        <v>12666</v>
      </c>
      <c r="H142" s="164"/>
      <c r="I142" s="51">
        <f>IF(speciated_chemicals_179[[#This Row],[Inert / Not a Contaminant?]]="Yes", 0, speciated_chemicals_179[[#This Row],[Weight Percent]]*(unique_components_178[[#Totals],[Controlled lb/hr]]+standard_components_177[[#Totals],[Controlled
lb/hr]]))</f>
        <v>0</v>
      </c>
      <c r="J142" s="51">
        <f>IF(speciated_chemicals_179[[#This Row],[Inert / Not a Contaminant?]]="Yes", 0, speciated_chemicals_179[[#This Row],[Weight Percent]]*(unique_components_178[[#Totals],[Controlled
tpy]]+standard_components_177[[#Totals],[Controlled
tpy]]))</f>
        <v>0</v>
      </c>
    </row>
    <row r="143" spans="1:10" x14ac:dyDescent="0.2">
      <c r="A143" s="103"/>
      <c r="B143" s="51" t="str">
        <f>IFERROR(VLOOKUP(speciated_chemicals_179[[#This Row],[CAS '#]],species[],MATCH("Substance", species[#Headers], 0),FALSE),"No CAS Number Entered")</f>
        <v>No CAS Number Entered</v>
      </c>
      <c r="C143" s="102"/>
      <c r="D143" s="102" t="s">
        <v>12666</v>
      </c>
      <c r="E143" s="102" t="s">
        <v>12666</v>
      </c>
      <c r="F143" s="102" t="s">
        <v>12666</v>
      </c>
      <c r="G143" s="102" t="s">
        <v>12666</v>
      </c>
      <c r="H143" s="164"/>
      <c r="I143" s="51">
        <f>IF(speciated_chemicals_179[[#This Row],[Inert / Not a Contaminant?]]="Yes", 0, speciated_chemicals_179[[#This Row],[Weight Percent]]*(unique_components_178[[#Totals],[Controlled lb/hr]]+standard_components_177[[#Totals],[Controlled
lb/hr]]))</f>
        <v>0</v>
      </c>
      <c r="J143" s="51">
        <f>IF(speciated_chemicals_179[[#This Row],[Inert / Not a Contaminant?]]="Yes", 0, speciated_chemicals_179[[#This Row],[Weight Percent]]*(unique_components_178[[#Totals],[Controlled
tpy]]+standard_components_177[[#Totals],[Controlled
tpy]]))</f>
        <v>0</v>
      </c>
    </row>
    <row r="144" spans="1:10" x14ac:dyDescent="0.2">
      <c r="A144" s="103"/>
      <c r="B144" s="51" t="str">
        <f>IFERROR(VLOOKUP(speciated_chemicals_179[[#This Row],[CAS '#]],species[],MATCH("Substance", species[#Headers], 0),FALSE),"No CAS Number Entered")</f>
        <v>No CAS Number Entered</v>
      </c>
      <c r="C144" s="102"/>
      <c r="D144" s="102" t="s">
        <v>12666</v>
      </c>
      <c r="E144" s="102" t="s">
        <v>12666</v>
      </c>
      <c r="F144" s="102" t="s">
        <v>12666</v>
      </c>
      <c r="G144" s="102" t="s">
        <v>12666</v>
      </c>
      <c r="H144" s="164"/>
      <c r="I144" s="51">
        <f>IF(speciated_chemicals_179[[#This Row],[Inert / Not a Contaminant?]]="Yes", 0, speciated_chemicals_179[[#This Row],[Weight Percent]]*(unique_components_178[[#Totals],[Controlled lb/hr]]+standard_components_177[[#Totals],[Controlled
lb/hr]]))</f>
        <v>0</v>
      </c>
      <c r="J144" s="51">
        <f>IF(speciated_chemicals_179[[#This Row],[Inert / Not a Contaminant?]]="Yes", 0, speciated_chemicals_179[[#This Row],[Weight Percent]]*(unique_components_178[[#Totals],[Controlled
tpy]]+standard_components_177[[#Totals],[Controlled
tpy]]))</f>
        <v>0</v>
      </c>
    </row>
    <row r="145" spans="1:10" x14ac:dyDescent="0.2">
      <c r="A145" s="103"/>
      <c r="B145" s="51" t="str">
        <f>IFERROR(VLOOKUP(speciated_chemicals_179[[#This Row],[CAS '#]],species[],MATCH("Substance", species[#Headers], 0),FALSE),"No CAS Number Entered")</f>
        <v>No CAS Number Entered</v>
      </c>
      <c r="C145" s="102"/>
      <c r="D145" s="102" t="s">
        <v>12666</v>
      </c>
      <c r="E145" s="102" t="s">
        <v>12666</v>
      </c>
      <c r="F145" s="102" t="s">
        <v>12666</v>
      </c>
      <c r="G145" s="102" t="s">
        <v>12666</v>
      </c>
      <c r="H145" s="164"/>
      <c r="I145" s="51">
        <f>IF(speciated_chemicals_179[[#This Row],[Inert / Not a Contaminant?]]="Yes", 0, speciated_chemicals_179[[#This Row],[Weight Percent]]*(unique_components_178[[#Totals],[Controlled lb/hr]]+standard_components_177[[#Totals],[Controlled
lb/hr]]))</f>
        <v>0</v>
      </c>
      <c r="J145" s="51">
        <f>IF(speciated_chemicals_179[[#This Row],[Inert / Not a Contaminant?]]="Yes", 0, speciated_chemicals_179[[#This Row],[Weight Percent]]*(unique_components_178[[#Totals],[Controlled
tpy]]+standard_components_177[[#Totals],[Controlled
tpy]]))</f>
        <v>0</v>
      </c>
    </row>
    <row r="146" spans="1:10" x14ac:dyDescent="0.2">
      <c r="A146" s="103"/>
      <c r="B146" s="51" t="str">
        <f>IFERROR(VLOOKUP(speciated_chemicals_179[[#This Row],[CAS '#]],species[],MATCH("Substance", species[#Headers], 0),FALSE),"No CAS Number Entered")</f>
        <v>No CAS Number Entered</v>
      </c>
      <c r="C146" s="102"/>
      <c r="D146" s="102" t="s">
        <v>12666</v>
      </c>
      <c r="E146" s="102" t="s">
        <v>12666</v>
      </c>
      <c r="F146" s="102" t="s">
        <v>12666</v>
      </c>
      <c r="G146" s="102" t="s">
        <v>12666</v>
      </c>
      <c r="H146" s="164"/>
      <c r="I146" s="51">
        <f>IF(speciated_chemicals_179[[#This Row],[Inert / Not a Contaminant?]]="Yes", 0, speciated_chemicals_179[[#This Row],[Weight Percent]]*(unique_components_178[[#Totals],[Controlled lb/hr]]+standard_components_177[[#Totals],[Controlled
lb/hr]]))</f>
        <v>0</v>
      </c>
      <c r="J146" s="51">
        <f>IF(speciated_chemicals_179[[#This Row],[Inert / Not a Contaminant?]]="Yes", 0, speciated_chemicals_179[[#This Row],[Weight Percent]]*(unique_components_178[[#Totals],[Controlled
tpy]]+standard_components_177[[#Totals],[Controlled
tpy]]))</f>
        <v>0</v>
      </c>
    </row>
    <row r="147" spans="1:10" x14ac:dyDescent="0.2">
      <c r="A147" s="103"/>
      <c r="B147" s="51" t="str">
        <f>IFERROR(VLOOKUP(speciated_chemicals_179[[#This Row],[CAS '#]],species[],MATCH("Substance", species[#Headers], 0),FALSE),"No CAS Number Entered")</f>
        <v>No CAS Number Entered</v>
      </c>
      <c r="C147" s="102"/>
      <c r="D147" s="102" t="s">
        <v>12666</v>
      </c>
      <c r="E147" s="102" t="s">
        <v>12666</v>
      </c>
      <c r="F147" s="102" t="s">
        <v>12666</v>
      </c>
      <c r="G147" s="102" t="s">
        <v>12666</v>
      </c>
      <c r="H147" s="164"/>
      <c r="I147" s="51">
        <f>IF(speciated_chemicals_179[[#This Row],[Inert / Not a Contaminant?]]="Yes", 0, speciated_chemicals_179[[#This Row],[Weight Percent]]*(unique_components_178[[#Totals],[Controlled lb/hr]]+standard_components_177[[#Totals],[Controlled
lb/hr]]))</f>
        <v>0</v>
      </c>
      <c r="J147" s="51">
        <f>IF(speciated_chemicals_179[[#This Row],[Inert / Not a Contaminant?]]="Yes", 0, speciated_chemicals_179[[#This Row],[Weight Percent]]*(unique_components_178[[#Totals],[Controlled
tpy]]+standard_components_177[[#Totals],[Controlled
tpy]]))</f>
        <v>0</v>
      </c>
    </row>
    <row r="148" spans="1:10" x14ac:dyDescent="0.2">
      <c r="A148" s="103"/>
      <c r="B148" s="51" t="str">
        <f>IFERROR(VLOOKUP(speciated_chemicals_179[[#This Row],[CAS '#]],species[],MATCH("Substance", species[#Headers], 0),FALSE),"No CAS Number Entered")</f>
        <v>No CAS Number Entered</v>
      </c>
      <c r="C148" s="102"/>
      <c r="D148" s="102" t="s">
        <v>12666</v>
      </c>
      <c r="E148" s="102" t="s">
        <v>12666</v>
      </c>
      <c r="F148" s="102" t="s">
        <v>12666</v>
      </c>
      <c r="G148" s="102" t="s">
        <v>12666</v>
      </c>
      <c r="H148" s="164"/>
      <c r="I148" s="51">
        <f>IF(speciated_chemicals_179[[#This Row],[Inert / Not a Contaminant?]]="Yes", 0, speciated_chemicals_179[[#This Row],[Weight Percent]]*(unique_components_178[[#Totals],[Controlled lb/hr]]+standard_components_177[[#Totals],[Controlled
lb/hr]]))</f>
        <v>0</v>
      </c>
      <c r="J148" s="51">
        <f>IF(speciated_chemicals_179[[#This Row],[Inert / Not a Contaminant?]]="Yes", 0, speciated_chemicals_179[[#This Row],[Weight Percent]]*(unique_components_178[[#Totals],[Controlled
tpy]]+standard_components_177[[#Totals],[Controlled
tpy]]))</f>
        <v>0</v>
      </c>
    </row>
    <row r="149" spans="1:10" x14ac:dyDescent="0.2">
      <c r="A149" s="103"/>
      <c r="B149" s="51" t="str">
        <f>IFERROR(VLOOKUP(speciated_chemicals_179[[#This Row],[CAS '#]],species[],MATCH("Substance", species[#Headers], 0),FALSE),"No CAS Number Entered")</f>
        <v>No CAS Number Entered</v>
      </c>
      <c r="C149" s="102"/>
      <c r="D149" s="102" t="s">
        <v>12666</v>
      </c>
      <c r="E149" s="102" t="s">
        <v>12666</v>
      </c>
      <c r="F149" s="102" t="s">
        <v>12666</v>
      </c>
      <c r="G149" s="102" t="s">
        <v>12666</v>
      </c>
      <c r="H149" s="164"/>
      <c r="I149" s="51">
        <f>IF(speciated_chemicals_179[[#This Row],[Inert / Not a Contaminant?]]="Yes", 0, speciated_chemicals_179[[#This Row],[Weight Percent]]*(unique_components_178[[#Totals],[Controlled lb/hr]]+standard_components_177[[#Totals],[Controlled
lb/hr]]))</f>
        <v>0</v>
      </c>
      <c r="J149" s="51">
        <f>IF(speciated_chemicals_179[[#This Row],[Inert / Not a Contaminant?]]="Yes", 0, speciated_chemicals_179[[#This Row],[Weight Percent]]*(unique_components_178[[#Totals],[Controlled
tpy]]+standard_components_177[[#Totals],[Controlled
tpy]]))</f>
        <v>0</v>
      </c>
    </row>
    <row r="150" spans="1:10" x14ac:dyDescent="0.2">
      <c r="A150" s="103"/>
      <c r="B150" s="51" t="str">
        <f>IFERROR(VLOOKUP(speciated_chemicals_179[[#This Row],[CAS '#]],species[],MATCH("Substance", species[#Headers], 0),FALSE),"No CAS Number Entered")</f>
        <v>No CAS Number Entered</v>
      </c>
      <c r="C150" s="102"/>
      <c r="D150" s="102" t="s">
        <v>12666</v>
      </c>
      <c r="E150" s="102" t="s">
        <v>12666</v>
      </c>
      <c r="F150" s="102" t="s">
        <v>12666</v>
      </c>
      <c r="G150" s="102" t="s">
        <v>12666</v>
      </c>
      <c r="H150" s="164"/>
      <c r="I150" s="51">
        <f>IF(speciated_chemicals_179[[#This Row],[Inert / Not a Contaminant?]]="Yes", 0, speciated_chemicals_179[[#This Row],[Weight Percent]]*(unique_components_178[[#Totals],[Controlled lb/hr]]+standard_components_177[[#Totals],[Controlled
lb/hr]]))</f>
        <v>0</v>
      </c>
      <c r="J150" s="51">
        <f>IF(speciated_chemicals_179[[#This Row],[Inert / Not a Contaminant?]]="Yes", 0, speciated_chemicals_179[[#This Row],[Weight Percent]]*(unique_components_178[[#Totals],[Controlled
tpy]]+standard_components_177[[#Totals],[Controlled
tpy]]))</f>
        <v>0</v>
      </c>
    </row>
    <row r="151" spans="1:10" x14ac:dyDescent="0.2">
      <c r="A151" s="103"/>
      <c r="B151" s="51" t="str">
        <f>IFERROR(VLOOKUP(speciated_chemicals_179[[#This Row],[CAS '#]],species[],MATCH("Substance", species[#Headers], 0),FALSE),"No CAS Number Entered")</f>
        <v>No CAS Number Entered</v>
      </c>
      <c r="C151" s="102"/>
      <c r="D151" s="102" t="s">
        <v>12666</v>
      </c>
      <c r="E151" s="102" t="s">
        <v>12666</v>
      </c>
      <c r="F151" s="102" t="s">
        <v>12666</v>
      </c>
      <c r="G151" s="102" t="s">
        <v>12666</v>
      </c>
      <c r="H151" s="164"/>
      <c r="I151" s="51">
        <f>IF(speciated_chemicals_179[[#This Row],[Inert / Not a Contaminant?]]="Yes", 0, speciated_chemicals_179[[#This Row],[Weight Percent]]*(unique_components_178[[#Totals],[Controlled lb/hr]]+standard_components_177[[#Totals],[Controlled
lb/hr]]))</f>
        <v>0</v>
      </c>
      <c r="J151" s="51">
        <f>IF(speciated_chemicals_179[[#This Row],[Inert / Not a Contaminant?]]="Yes", 0, speciated_chemicals_179[[#This Row],[Weight Percent]]*(unique_components_178[[#Totals],[Controlled
tpy]]+standard_components_177[[#Totals],[Controlled
tpy]]))</f>
        <v>0</v>
      </c>
    </row>
    <row r="152" spans="1:10" x14ac:dyDescent="0.2">
      <c r="A152" s="103"/>
      <c r="B152" s="51" t="str">
        <f>IFERROR(VLOOKUP(speciated_chemicals_179[[#This Row],[CAS '#]],species[],MATCH("Substance", species[#Headers], 0),FALSE),"No CAS Number Entered")</f>
        <v>No CAS Number Entered</v>
      </c>
      <c r="C152" s="102"/>
      <c r="D152" s="102" t="s">
        <v>12666</v>
      </c>
      <c r="E152" s="102" t="s">
        <v>12666</v>
      </c>
      <c r="F152" s="102" t="s">
        <v>12666</v>
      </c>
      <c r="G152" s="102" t="s">
        <v>12666</v>
      </c>
      <c r="H152" s="164"/>
      <c r="I152" s="51">
        <f>IF(speciated_chemicals_179[[#This Row],[Inert / Not a Contaminant?]]="Yes", 0, speciated_chemicals_179[[#This Row],[Weight Percent]]*(unique_components_178[[#Totals],[Controlled lb/hr]]+standard_components_177[[#Totals],[Controlled
lb/hr]]))</f>
        <v>0</v>
      </c>
      <c r="J152" s="51">
        <f>IF(speciated_chemicals_179[[#This Row],[Inert / Not a Contaminant?]]="Yes", 0, speciated_chemicals_179[[#This Row],[Weight Percent]]*(unique_components_178[[#Totals],[Controlled
tpy]]+standard_components_177[[#Totals],[Controlled
tpy]]))</f>
        <v>0</v>
      </c>
    </row>
    <row r="153" spans="1:10" x14ac:dyDescent="0.2">
      <c r="A153" s="103"/>
      <c r="B153" s="51" t="str">
        <f>IFERROR(VLOOKUP(speciated_chemicals_179[[#This Row],[CAS '#]],species[],MATCH("Substance", species[#Headers], 0),FALSE),"No CAS Number Entered")</f>
        <v>No CAS Number Entered</v>
      </c>
      <c r="C153" s="102"/>
      <c r="D153" s="102" t="s">
        <v>12666</v>
      </c>
      <c r="E153" s="102" t="s">
        <v>12666</v>
      </c>
      <c r="F153" s="102" t="s">
        <v>12666</v>
      </c>
      <c r="G153" s="102" t="s">
        <v>12666</v>
      </c>
      <c r="H153" s="164"/>
      <c r="I153" s="51">
        <f>IF(speciated_chemicals_179[[#This Row],[Inert / Not a Contaminant?]]="Yes", 0, speciated_chemicals_179[[#This Row],[Weight Percent]]*(unique_components_178[[#Totals],[Controlled lb/hr]]+standard_components_177[[#Totals],[Controlled
lb/hr]]))</f>
        <v>0</v>
      </c>
      <c r="J153" s="51">
        <f>IF(speciated_chemicals_179[[#This Row],[Inert / Not a Contaminant?]]="Yes", 0, speciated_chemicals_179[[#This Row],[Weight Percent]]*(unique_components_178[[#Totals],[Controlled
tpy]]+standard_components_177[[#Totals],[Controlled
tpy]]))</f>
        <v>0</v>
      </c>
    </row>
    <row r="154" spans="1:10" x14ac:dyDescent="0.2">
      <c r="A154" s="103"/>
      <c r="B154" s="51" t="str">
        <f>IFERROR(VLOOKUP(speciated_chemicals_179[[#This Row],[CAS '#]],species[],MATCH("Substance", species[#Headers], 0),FALSE),"No CAS Number Entered")</f>
        <v>No CAS Number Entered</v>
      </c>
      <c r="C154" s="102"/>
      <c r="D154" s="102" t="s">
        <v>12666</v>
      </c>
      <c r="E154" s="102" t="s">
        <v>12666</v>
      </c>
      <c r="F154" s="102" t="s">
        <v>12666</v>
      </c>
      <c r="G154" s="102" t="s">
        <v>12666</v>
      </c>
      <c r="H154" s="164"/>
      <c r="I154" s="51">
        <f>IF(speciated_chemicals_179[[#This Row],[Inert / Not a Contaminant?]]="Yes", 0, speciated_chemicals_179[[#This Row],[Weight Percent]]*(unique_components_178[[#Totals],[Controlled lb/hr]]+standard_components_177[[#Totals],[Controlled
lb/hr]]))</f>
        <v>0</v>
      </c>
      <c r="J154" s="51">
        <f>IF(speciated_chemicals_179[[#This Row],[Inert / Not a Contaminant?]]="Yes", 0, speciated_chemicals_179[[#This Row],[Weight Percent]]*(unique_components_178[[#Totals],[Controlled
tpy]]+standard_components_177[[#Totals],[Controlled
tpy]]))</f>
        <v>0</v>
      </c>
    </row>
    <row r="155" spans="1:10" x14ac:dyDescent="0.2">
      <c r="A155" s="103"/>
      <c r="B155" s="51" t="str">
        <f>IFERROR(VLOOKUP(speciated_chemicals_179[[#This Row],[CAS '#]],species[],MATCH("Substance", species[#Headers], 0),FALSE),"No CAS Number Entered")</f>
        <v>No CAS Number Entered</v>
      </c>
      <c r="C155" s="102"/>
      <c r="D155" s="102" t="s">
        <v>12666</v>
      </c>
      <c r="E155" s="102" t="s">
        <v>12666</v>
      </c>
      <c r="F155" s="102" t="s">
        <v>12666</v>
      </c>
      <c r="G155" s="102" t="s">
        <v>12666</v>
      </c>
      <c r="H155" s="164"/>
      <c r="I155" s="51">
        <f>IF(speciated_chemicals_179[[#This Row],[Inert / Not a Contaminant?]]="Yes", 0, speciated_chemicals_179[[#This Row],[Weight Percent]]*(unique_components_178[[#Totals],[Controlled lb/hr]]+standard_components_177[[#Totals],[Controlled
lb/hr]]))</f>
        <v>0</v>
      </c>
      <c r="J155" s="51">
        <f>IF(speciated_chemicals_179[[#This Row],[Inert / Not a Contaminant?]]="Yes", 0, speciated_chemicals_179[[#This Row],[Weight Percent]]*(unique_components_178[[#Totals],[Controlled
tpy]]+standard_components_177[[#Totals],[Controlled
tpy]]))</f>
        <v>0</v>
      </c>
    </row>
    <row r="156" spans="1:10" x14ac:dyDescent="0.2">
      <c r="A156" s="103"/>
      <c r="B156" s="51" t="str">
        <f>IFERROR(VLOOKUP(speciated_chemicals_179[[#This Row],[CAS '#]],species[],MATCH("Substance", species[#Headers], 0),FALSE),"No CAS Number Entered")</f>
        <v>No CAS Number Entered</v>
      </c>
      <c r="C156" s="102"/>
      <c r="D156" s="102" t="s">
        <v>12666</v>
      </c>
      <c r="E156" s="102" t="s">
        <v>12666</v>
      </c>
      <c r="F156" s="102" t="s">
        <v>12666</v>
      </c>
      <c r="G156" s="102" t="s">
        <v>12666</v>
      </c>
      <c r="H156" s="164"/>
      <c r="I156" s="51">
        <f>IF(speciated_chemicals_179[[#This Row],[Inert / Not a Contaminant?]]="Yes", 0, speciated_chemicals_179[[#This Row],[Weight Percent]]*(unique_components_178[[#Totals],[Controlled lb/hr]]+standard_components_177[[#Totals],[Controlled
lb/hr]]))</f>
        <v>0</v>
      </c>
      <c r="J156" s="51">
        <f>IF(speciated_chemicals_179[[#This Row],[Inert / Not a Contaminant?]]="Yes", 0, speciated_chemicals_179[[#This Row],[Weight Percent]]*(unique_components_178[[#Totals],[Controlled
tpy]]+standard_components_177[[#Totals],[Controlled
tpy]]))</f>
        <v>0</v>
      </c>
    </row>
    <row r="157" spans="1:10" x14ac:dyDescent="0.2">
      <c r="A157" s="103"/>
      <c r="B157" s="51" t="str">
        <f>IFERROR(VLOOKUP(speciated_chemicals_179[[#This Row],[CAS '#]],species[],MATCH("Substance", species[#Headers], 0),FALSE),"No CAS Number Entered")</f>
        <v>No CAS Number Entered</v>
      </c>
      <c r="C157" s="102"/>
      <c r="D157" s="102" t="s">
        <v>12666</v>
      </c>
      <c r="E157" s="102" t="s">
        <v>12666</v>
      </c>
      <c r="F157" s="102" t="s">
        <v>12666</v>
      </c>
      <c r="G157" s="102" t="s">
        <v>12666</v>
      </c>
      <c r="H157" s="164"/>
      <c r="I157" s="51">
        <f>IF(speciated_chemicals_179[[#This Row],[Inert / Not a Contaminant?]]="Yes", 0, speciated_chemicals_179[[#This Row],[Weight Percent]]*(unique_components_178[[#Totals],[Controlled lb/hr]]+standard_components_177[[#Totals],[Controlled
lb/hr]]))</f>
        <v>0</v>
      </c>
      <c r="J157" s="51">
        <f>IF(speciated_chemicals_179[[#This Row],[Inert / Not a Contaminant?]]="Yes", 0, speciated_chemicals_179[[#This Row],[Weight Percent]]*(unique_components_178[[#Totals],[Controlled
tpy]]+standard_components_177[[#Totals],[Controlled
tpy]]))</f>
        <v>0</v>
      </c>
    </row>
    <row r="158" spans="1:10" x14ac:dyDescent="0.2">
      <c r="A158" s="103"/>
      <c r="B158" s="51" t="str">
        <f>IFERROR(VLOOKUP(speciated_chemicals_179[[#This Row],[CAS '#]],species[],MATCH("Substance", species[#Headers], 0),FALSE),"No CAS Number Entered")</f>
        <v>No CAS Number Entered</v>
      </c>
      <c r="C158" s="102"/>
      <c r="D158" s="102" t="s">
        <v>12666</v>
      </c>
      <c r="E158" s="102" t="s">
        <v>12666</v>
      </c>
      <c r="F158" s="102" t="s">
        <v>12666</v>
      </c>
      <c r="G158" s="102" t="s">
        <v>12666</v>
      </c>
      <c r="H158" s="164"/>
      <c r="I158" s="51">
        <f>IF(speciated_chemicals_179[[#This Row],[Inert / Not a Contaminant?]]="Yes", 0, speciated_chemicals_179[[#This Row],[Weight Percent]]*(unique_components_178[[#Totals],[Controlled lb/hr]]+standard_components_177[[#Totals],[Controlled
lb/hr]]))</f>
        <v>0</v>
      </c>
      <c r="J158" s="51">
        <f>IF(speciated_chemicals_179[[#This Row],[Inert / Not a Contaminant?]]="Yes", 0, speciated_chemicals_179[[#This Row],[Weight Percent]]*(unique_components_178[[#Totals],[Controlled
tpy]]+standard_components_177[[#Totals],[Controlled
tpy]]))</f>
        <v>0</v>
      </c>
    </row>
    <row r="159" spans="1:10" x14ac:dyDescent="0.2">
      <c r="A159" s="103"/>
      <c r="B159" s="51" t="str">
        <f>IFERROR(VLOOKUP(speciated_chemicals_179[[#This Row],[CAS '#]],species[],MATCH("Substance", species[#Headers], 0),FALSE),"No CAS Number Entered")</f>
        <v>No CAS Number Entered</v>
      </c>
      <c r="C159" s="102"/>
      <c r="D159" s="102" t="s">
        <v>12666</v>
      </c>
      <c r="E159" s="102" t="s">
        <v>12666</v>
      </c>
      <c r="F159" s="102" t="s">
        <v>12666</v>
      </c>
      <c r="G159" s="102" t="s">
        <v>12666</v>
      </c>
      <c r="H159" s="164"/>
      <c r="I159" s="51">
        <f>IF(speciated_chemicals_179[[#This Row],[Inert / Not a Contaminant?]]="Yes", 0, speciated_chemicals_179[[#This Row],[Weight Percent]]*(unique_components_178[[#Totals],[Controlled lb/hr]]+standard_components_177[[#Totals],[Controlled
lb/hr]]))</f>
        <v>0</v>
      </c>
      <c r="J159" s="51">
        <f>IF(speciated_chemicals_179[[#This Row],[Inert / Not a Contaminant?]]="Yes", 0, speciated_chemicals_179[[#This Row],[Weight Percent]]*(unique_components_178[[#Totals],[Controlled
tpy]]+standard_components_177[[#Totals],[Controlled
tpy]]))</f>
        <v>0</v>
      </c>
    </row>
    <row r="160" spans="1:10" x14ac:dyDescent="0.2">
      <c r="A160" s="103"/>
      <c r="B160" s="51" t="str">
        <f>IFERROR(VLOOKUP(speciated_chemicals_179[[#This Row],[CAS '#]],species[],MATCH("Substance", species[#Headers], 0),FALSE),"No CAS Number Entered")</f>
        <v>No CAS Number Entered</v>
      </c>
      <c r="C160" s="102"/>
      <c r="D160" s="102" t="s">
        <v>12666</v>
      </c>
      <c r="E160" s="102" t="s">
        <v>12666</v>
      </c>
      <c r="F160" s="102" t="s">
        <v>12666</v>
      </c>
      <c r="G160" s="102" t="s">
        <v>12666</v>
      </c>
      <c r="H160" s="164"/>
      <c r="I160" s="51">
        <f>IF(speciated_chemicals_179[[#This Row],[Inert / Not a Contaminant?]]="Yes", 0, speciated_chemicals_179[[#This Row],[Weight Percent]]*(unique_components_178[[#Totals],[Controlled lb/hr]]+standard_components_177[[#Totals],[Controlled
lb/hr]]))</f>
        <v>0</v>
      </c>
      <c r="J160" s="51">
        <f>IF(speciated_chemicals_179[[#This Row],[Inert / Not a Contaminant?]]="Yes", 0, speciated_chemicals_179[[#This Row],[Weight Percent]]*(unique_components_178[[#Totals],[Controlled
tpy]]+standard_components_177[[#Totals],[Controlled
tpy]]))</f>
        <v>0</v>
      </c>
    </row>
    <row r="161" spans="1:10" x14ac:dyDescent="0.2">
      <c r="A161" s="103"/>
      <c r="B161" s="51" t="str">
        <f>IFERROR(VLOOKUP(speciated_chemicals_179[[#This Row],[CAS '#]],species[],MATCH("Substance", species[#Headers], 0),FALSE),"No CAS Number Entered")</f>
        <v>No CAS Number Entered</v>
      </c>
      <c r="C161" s="102"/>
      <c r="D161" s="102" t="s">
        <v>12666</v>
      </c>
      <c r="E161" s="102" t="s">
        <v>12666</v>
      </c>
      <c r="F161" s="102" t="s">
        <v>12666</v>
      </c>
      <c r="G161" s="102" t="s">
        <v>12666</v>
      </c>
      <c r="H161" s="164"/>
      <c r="I161" s="51">
        <f>IF(speciated_chemicals_179[[#This Row],[Inert / Not a Contaminant?]]="Yes", 0, speciated_chemicals_179[[#This Row],[Weight Percent]]*(unique_components_178[[#Totals],[Controlled lb/hr]]+standard_components_177[[#Totals],[Controlled
lb/hr]]))</f>
        <v>0</v>
      </c>
      <c r="J161" s="51">
        <f>IF(speciated_chemicals_179[[#This Row],[Inert / Not a Contaminant?]]="Yes", 0, speciated_chemicals_179[[#This Row],[Weight Percent]]*(unique_components_178[[#Totals],[Controlled
tpy]]+standard_components_177[[#Totals],[Controlled
tpy]]))</f>
        <v>0</v>
      </c>
    </row>
    <row r="162" spans="1:10" x14ac:dyDescent="0.2">
      <c r="A162" s="103"/>
      <c r="B162" s="51" t="str">
        <f>IFERROR(VLOOKUP(speciated_chemicals_179[[#This Row],[CAS '#]],species[],MATCH("Substance", species[#Headers], 0),FALSE),"No CAS Number Entered")</f>
        <v>No CAS Number Entered</v>
      </c>
      <c r="C162" s="102"/>
      <c r="D162" s="102" t="s">
        <v>12666</v>
      </c>
      <c r="E162" s="102" t="s">
        <v>12666</v>
      </c>
      <c r="F162" s="102" t="s">
        <v>12666</v>
      </c>
      <c r="G162" s="102" t="s">
        <v>12666</v>
      </c>
      <c r="H162" s="164"/>
      <c r="I162" s="51">
        <f>IF(speciated_chemicals_179[[#This Row],[Inert / Not a Contaminant?]]="Yes", 0, speciated_chemicals_179[[#This Row],[Weight Percent]]*(unique_components_178[[#Totals],[Controlled lb/hr]]+standard_components_177[[#Totals],[Controlled
lb/hr]]))</f>
        <v>0</v>
      </c>
      <c r="J162" s="51">
        <f>IF(speciated_chemicals_179[[#This Row],[Inert / Not a Contaminant?]]="Yes", 0, speciated_chemicals_179[[#This Row],[Weight Percent]]*(unique_components_178[[#Totals],[Controlled
tpy]]+standard_components_177[[#Totals],[Controlled
tpy]]))</f>
        <v>0</v>
      </c>
    </row>
    <row r="163" spans="1:10" x14ac:dyDescent="0.2">
      <c r="A163" s="103"/>
      <c r="B163" s="51" t="str">
        <f>IFERROR(VLOOKUP(speciated_chemicals_179[[#This Row],[CAS '#]],species[],MATCH("Substance", species[#Headers], 0),FALSE),"No CAS Number Entered")</f>
        <v>No CAS Number Entered</v>
      </c>
      <c r="C163" s="102"/>
      <c r="D163" s="102" t="s">
        <v>12666</v>
      </c>
      <c r="E163" s="102" t="s">
        <v>12666</v>
      </c>
      <c r="F163" s="102" t="s">
        <v>12666</v>
      </c>
      <c r="G163" s="102" t="s">
        <v>12666</v>
      </c>
      <c r="H163" s="164"/>
      <c r="I163" s="51">
        <f>IF(speciated_chemicals_179[[#This Row],[Inert / Not a Contaminant?]]="Yes", 0, speciated_chemicals_179[[#This Row],[Weight Percent]]*(unique_components_178[[#Totals],[Controlled lb/hr]]+standard_components_177[[#Totals],[Controlled
lb/hr]]))</f>
        <v>0</v>
      </c>
      <c r="J163" s="51">
        <f>IF(speciated_chemicals_179[[#This Row],[Inert / Not a Contaminant?]]="Yes", 0, speciated_chemicals_179[[#This Row],[Weight Percent]]*(unique_components_178[[#Totals],[Controlled
tpy]]+standard_components_177[[#Totals],[Controlled
tpy]]))</f>
        <v>0</v>
      </c>
    </row>
    <row r="164" spans="1:10" x14ac:dyDescent="0.2">
      <c r="A164" s="103"/>
      <c r="B164" s="51" t="str">
        <f>IFERROR(VLOOKUP(speciated_chemicals_179[[#This Row],[CAS '#]],species[],MATCH("Substance", species[#Headers], 0),FALSE),"No CAS Number Entered")</f>
        <v>No CAS Number Entered</v>
      </c>
      <c r="C164" s="102"/>
      <c r="D164" s="102" t="s">
        <v>12666</v>
      </c>
      <c r="E164" s="102" t="s">
        <v>12666</v>
      </c>
      <c r="F164" s="102" t="s">
        <v>12666</v>
      </c>
      <c r="G164" s="102" t="s">
        <v>12666</v>
      </c>
      <c r="H164" s="164"/>
      <c r="I164" s="51">
        <f>IF(speciated_chemicals_179[[#This Row],[Inert / Not a Contaminant?]]="Yes", 0, speciated_chemicals_179[[#This Row],[Weight Percent]]*(unique_components_178[[#Totals],[Controlled lb/hr]]+standard_components_177[[#Totals],[Controlled
lb/hr]]))</f>
        <v>0</v>
      </c>
      <c r="J164" s="51">
        <f>IF(speciated_chemicals_179[[#This Row],[Inert / Not a Contaminant?]]="Yes", 0, speciated_chemicals_179[[#This Row],[Weight Percent]]*(unique_components_178[[#Totals],[Controlled
tpy]]+standard_components_177[[#Totals],[Controlled
tpy]]))</f>
        <v>0</v>
      </c>
    </row>
    <row r="165" spans="1:10" x14ac:dyDescent="0.2">
      <c r="A165" s="103"/>
      <c r="B165" s="51" t="str">
        <f>IFERROR(VLOOKUP(speciated_chemicals_179[[#This Row],[CAS '#]],species[],MATCH("Substance", species[#Headers], 0),FALSE),"No CAS Number Entered")</f>
        <v>No CAS Number Entered</v>
      </c>
      <c r="C165" s="102"/>
      <c r="D165" s="102" t="s">
        <v>12666</v>
      </c>
      <c r="E165" s="102" t="s">
        <v>12666</v>
      </c>
      <c r="F165" s="102" t="s">
        <v>12666</v>
      </c>
      <c r="G165" s="102" t="s">
        <v>12666</v>
      </c>
      <c r="H165" s="164"/>
      <c r="I165" s="51">
        <f>IF(speciated_chemicals_179[[#This Row],[Inert / Not a Contaminant?]]="Yes", 0, speciated_chemicals_179[[#This Row],[Weight Percent]]*(unique_components_178[[#Totals],[Controlled lb/hr]]+standard_components_177[[#Totals],[Controlled
lb/hr]]))</f>
        <v>0</v>
      </c>
      <c r="J165" s="51">
        <f>IF(speciated_chemicals_179[[#This Row],[Inert / Not a Contaminant?]]="Yes", 0, speciated_chemicals_179[[#This Row],[Weight Percent]]*(unique_components_178[[#Totals],[Controlled
tpy]]+standard_components_177[[#Totals],[Controlled
tpy]]))</f>
        <v>0</v>
      </c>
    </row>
    <row r="166" spans="1:10" x14ac:dyDescent="0.2">
      <c r="A166" s="103"/>
      <c r="B166" s="51" t="str">
        <f>IFERROR(VLOOKUP(speciated_chemicals_179[[#This Row],[CAS '#]],species[],MATCH("Substance", species[#Headers], 0),FALSE),"No CAS Number Entered")</f>
        <v>No CAS Number Entered</v>
      </c>
      <c r="C166" s="102"/>
      <c r="D166" s="102" t="s">
        <v>12666</v>
      </c>
      <c r="E166" s="102" t="s">
        <v>12666</v>
      </c>
      <c r="F166" s="102" t="s">
        <v>12666</v>
      </c>
      <c r="G166" s="102" t="s">
        <v>12666</v>
      </c>
      <c r="H166" s="164"/>
      <c r="I166" s="51">
        <f>IF(speciated_chemicals_179[[#This Row],[Inert / Not a Contaminant?]]="Yes", 0, speciated_chemicals_179[[#This Row],[Weight Percent]]*(unique_components_178[[#Totals],[Controlled lb/hr]]+standard_components_177[[#Totals],[Controlled
lb/hr]]))</f>
        <v>0</v>
      </c>
      <c r="J166" s="51">
        <f>IF(speciated_chemicals_179[[#This Row],[Inert / Not a Contaminant?]]="Yes", 0, speciated_chemicals_179[[#This Row],[Weight Percent]]*(unique_components_178[[#Totals],[Controlled
tpy]]+standard_components_177[[#Totals],[Controlled
tpy]]))</f>
        <v>0</v>
      </c>
    </row>
    <row r="167" spans="1:10" x14ac:dyDescent="0.2">
      <c r="A167" s="103"/>
      <c r="B167" s="51" t="str">
        <f>IFERROR(VLOOKUP(speciated_chemicals_179[[#This Row],[CAS '#]],species[],MATCH("Substance", species[#Headers], 0),FALSE),"No CAS Number Entered")</f>
        <v>No CAS Number Entered</v>
      </c>
      <c r="C167" s="102"/>
      <c r="D167" s="102" t="s">
        <v>12666</v>
      </c>
      <c r="E167" s="102" t="s">
        <v>12666</v>
      </c>
      <c r="F167" s="102" t="s">
        <v>12666</v>
      </c>
      <c r="G167" s="102" t="s">
        <v>12666</v>
      </c>
      <c r="H167" s="164"/>
      <c r="I167" s="51">
        <f>IF(speciated_chemicals_179[[#This Row],[Inert / Not a Contaminant?]]="Yes", 0, speciated_chemicals_179[[#This Row],[Weight Percent]]*(unique_components_178[[#Totals],[Controlled lb/hr]]+standard_components_177[[#Totals],[Controlled
lb/hr]]))</f>
        <v>0</v>
      </c>
      <c r="J167" s="51">
        <f>IF(speciated_chemicals_179[[#This Row],[Inert / Not a Contaminant?]]="Yes", 0, speciated_chemicals_179[[#This Row],[Weight Percent]]*(unique_components_178[[#Totals],[Controlled
tpy]]+standard_components_177[[#Totals],[Controlled
tpy]]))</f>
        <v>0</v>
      </c>
    </row>
    <row r="168" spans="1:10" x14ac:dyDescent="0.2">
      <c r="A168" s="103"/>
      <c r="B168" s="51" t="str">
        <f>IFERROR(VLOOKUP(speciated_chemicals_179[[#This Row],[CAS '#]],species[],MATCH("Substance", species[#Headers], 0),FALSE),"No CAS Number Entered")</f>
        <v>No CAS Number Entered</v>
      </c>
      <c r="C168" s="102"/>
      <c r="D168" s="102" t="s">
        <v>12666</v>
      </c>
      <c r="E168" s="102" t="s">
        <v>12666</v>
      </c>
      <c r="F168" s="102" t="s">
        <v>12666</v>
      </c>
      <c r="G168" s="102" t="s">
        <v>12666</v>
      </c>
      <c r="H168" s="164"/>
      <c r="I168" s="51">
        <f>IF(speciated_chemicals_179[[#This Row],[Inert / Not a Contaminant?]]="Yes", 0, speciated_chemicals_179[[#This Row],[Weight Percent]]*(unique_components_178[[#Totals],[Controlled lb/hr]]+standard_components_177[[#Totals],[Controlled
lb/hr]]))</f>
        <v>0</v>
      </c>
      <c r="J168" s="51">
        <f>IF(speciated_chemicals_179[[#This Row],[Inert / Not a Contaminant?]]="Yes", 0, speciated_chemicals_179[[#This Row],[Weight Percent]]*(unique_components_178[[#Totals],[Controlled
tpy]]+standard_components_177[[#Totals],[Controlled
tpy]]))</f>
        <v>0</v>
      </c>
    </row>
    <row r="169" spans="1:10" x14ac:dyDescent="0.2">
      <c r="A169" s="103"/>
      <c r="B169" s="51" t="str">
        <f>IFERROR(VLOOKUP(speciated_chemicals_179[[#This Row],[CAS '#]],species[],MATCH("Substance", species[#Headers], 0),FALSE),"No CAS Number Entered")</f>
        <v>No CAS Number Entered</v>
      </c>
      <c r="C169" s="102"/>
      <c r="D169" s="102" t="s">
        <v>12666</v>
      </c>
      <c r="E169" s="102" t="s">
        <v>12666</v>
      </c>
      <c r="F169" s="102" t="s">
        <v>12666</v>
      </c>
      <c r="G169" s="102" t="s">
        <v>12666</v>
      </c>
      <c r="H169" s="164"/>
      <c r="I169" s="51">
        <f>IF(speciated_chemicals_179[[#This Row],[Inert / Not a Contaminant?]]="Yes", 0, speciated_chemicals_179[[#This Row],[Weight Percent]]*(unique_components_178[[#Totals],[Controlled lb/hr]]+standard_components_177[[#Totals],[Controlled
lb/hr]]))</f>
        <v>0</v>
      </c>
      <c r="J169" s="51">
        <f>IF(speciated_chemicals_179[[#This Row],[Inert / Not a Contaminant?]]="Yes", 0, speciated_chemicals_179[[#This Row],[Weight Percent]]*(unique_components_178[[#Totals],[Controlled
tpy]]+standard_components_177[[#Totals],[Controlled
tpy]]))</f>
        <v>0</v>
      </c>
    </row>
    <row r="170" spans="1:10" x14ac:dyDescent="0.2">
      <c r="A170" s="103"/>
      <c r="B170" s="51" t="str">
        <f>IFERROR(VLOOKUP(speciated_chemicals_179[[#This Row],[CAS '#]],species[],MATCH("Substance", species[#Headers], 0),FALSE),"No CAS Number Entered")</f>
        <v>No CAS Number Entered</v>
      </c>
      <c r="C170" s="102"/>
      <c r="D170" s="102" t="s">
        <v>12666</v>
      </c>
      <c r="E170" s="102" t="s">
        <v>12666</v>
      </c>
      <c r="F170" s="102" t="s">
        <v>12666</v>
      </c>
      <c r="G170" s="102" t="s">
        <v>12666</v>
      </c>
      <c r="H170" s="164"/>
      <c r="I170" s="51">
        <f>IF(speciated_chemicals_179[[#This Row],[Inert / Not a Contaminant?]]="Yes", 0, speciated_chemicals_179[[#This Row],[Weight Percent]]*(unique_components_178[[#Totals],[Controlled lb/hr]]+standard_components_177[[#Totals],[Controlled
lb/hr]]))</f>
        <v>0</v>
      </c>
      <c r="J170" s="51">
        <f>IF(speciated_chemicals_179[[#This Row],[Inert / Not a Contaminant?]]="Yes", 0, speciated_chemicals_179[[#This Row],[Weight Percent]]*(unique_components_178[[#Totals],[Controlled
tpy]]+standard_components_177[[#Totals],[Controlled
tpy]]))</f>
        <v>0</v>
      </c>
    </row>
    <row r="171" spans="1:10" x14ac:dyDescent="0.2">
      <c r="A171" s="103"/>
      <c r="B171" s="51" t="str">
        <f>IFERROR(VLOOKUP(speciated_chemicals_179[[#This Row],[CAS '#]],species[],MATCH("Substance", species[#Headers], 0),FALSE),"No CAS Number Entered")</f>
        <v>No CAS Number Entered</v>
      </c>
      <c r="C171" s="102"/>
      <c r="D171" s="102" t="s">
        <v>12666</v>
      </c>
      <c r="E171" s="102" t="s">
        <v>12666</v>
      </c>
      <c r="F171" s="102" t="s">
        <v>12666</v>
      </c>
      <c r="G171" s="102" t="s">
        <v>12666</v>
      </c>
      <c r="H171" s="164"/>
      <c r="I171" s="51">
        <f>IF(speciated_chemicals_179[[#This Row],[Inert / Not a Contaminant?]]="Yes", 0, speciated_chemicals_179[[#This Row],[Weight Percent]]*(unique_components_178[[#Totals],[Controlled lb/hr]]+standard_components_177[[#Totals],[Controlled
lb/hr]]))</f>
        <v>0</v>
      </c>
      <c r="J171" s="51">
        <f>IF(speciated_chemicals_179[[#This Row],[Inert / Not a Contaminant?]]="Yes", 0, speciated_chemicals_179[[#This Row],[Weight Percent]]*(unique_components_178[[#Totals],[Controlled
tpy]]+standard_components_177[[#Totals],[Controlled
tpy]]))</f>
        <v>0</v>
      </c>
    </row>
    <row r="172" spans="1:10" x14ac:dyDescent="0.2">
      <c r="A172" s="103"/>
      <c r="B172" s="51" t="str">
        <f>IFERROR(VLOOKUP(speciated_chemicals_179[[#This Row],[CAS '#]],species[],MATCH("Substance", species[#Headers], 0),FALSE),"No CAS Number Entered")</f>
        <v>No CAS Number Entered</v>
      </c>
      <c r="C172" s="102"/>
      <c r="D172" s="102" t="s">
        <v>12666</v>
      </c>
      <c r="E172" s="102" t="s">
        <v>12666</v>
      </c>
      <c r="F172" s="102" t="s">
        <v>12666</v>
      </c>
      <c r="G172" s="102" t="s">
        <v>12666</v>
      </c>
      <c r="H172" s="164"/>
      <c r="I172" s="51">
        <f>IF(speciated_chemicals_179[[#This Row],[Inert / Not a Contaminant?]]="Yes", 0, speciated_chemicals_179[[#This Row],[Weight Percent]]*(unique_components_178[[#Totals],[Controlled lb/hr]]+standard_components_177[[#Totals],[Controlled
lb/hr]]))</f>
        <v>0</v>
      </c>
      <c r="J172" s="51">
        <f>IF(speciated_chemicals_179[[#This Row],[Inert / Not a Contaminant?]]="Yes", 0, speciated_chemicals_179[[#This Row],[Weight Percent]]*(unique_components_178[[#Totals],[Controlled
tpy]]+standard_components_177[[#Totals],[Controlled
tpy]]))</f>
        <v>0</v>
      </c>
    </row>
    <row r="173" spans="1:10" x14ac:dyDescent="0.2">
      <c r="A173" s="103"/>
      <c r="B173" s="51" t="str">
        <f>IFERROR(VLOOKUP(speciated_chemicals_179[[#This Row],[CAS '#]],species[],MATCH("Substance", species[#Headers], 0),FALSE),"No CAS Number Entered")</f>
        <v>No CAS Number Entered</v>
      </c>
      <c r="C173" s="102"/>
      <c r="D173" s="102" t="s">
        <v>12666</v>
      </c>
      <c r="E173" s="102" t="s">
        <v>12666</v>
      </c>
      <c r="F173" s="102" t="s">
        <v>12666</v>
      </c>
      <c r="G173" s="102" t="s">
        <v>12666</v>
      </c>
      <c r="H173" s="164"/>
      <c r="I173" s="51">
        <f>IF(speciated_chemicals_179[[#This Row],[Inert / Not a Contaminant?]]="Yes", 0, speciated_chemicals_179[[#This Row],[Weight Percent]]*(unique_components_178[[#Totals],[Controlled lb/hr]]+standard_components_177[[#Totals],[Controlled
lb/hr]]))</f>
        <v>0</v>
      </c>
      <c r="J173" s="51">
        <f>IF(speciated_chemicals_179[[#This Row],[Inert / Not a Contaminant?]]="Yes", 0, speciated_chemicals_179[[#This Row],[Weight Percent]]*(unique_components_178[[#Totals],[Controlled
tpy]]+standard_components_177[[#Totals],[Controlled
tpy]]))</f>
        <v>0</v>
      </c>
    </row>
    <row r="174" spans="1:10" x14ac:dyDescent="0.2">
      <c r="A174" s="103"/>
      <c r="B174" s="51" t="str">
        <f>IFERROR(VLOOKUP(speciated_chemicals_179[[#This Row],[CAS '#]],species[],MATCH("Substance", species[#Headers], 0),FALSE),"No CAS Number Entered")</f>
        <v>No CAS Number Entered</v>
      </c>
      <c r="C174" s="102"/>
      <c r="D174" s="102" t="s">
        <v>12666</v>
      </c>
      <c r="E174" s="102" t="s">
        <v>12666</v>
      </c>
      <c r="F174" s="102" t="s">
        <v>12666</v>
      </c>
      <c r="G174" s="102" t="s">
        <v>12666</v>
      </c>
      <c r="H174" s="164"/>
      <c r="I174" s="51">
        <f>IF(speciated_chemicals_179[[#This Row],[Inert / Not a Contaminant?]]="Yes", 0, speciated_chemicals_179[[#This Row],[Weight Percent]]*(unique_components_178[[#Totals],[Controlled lb/hr]]+standard_components_177[[#Totals],[Controlled
lb/hr]]))</f>
        <v>0</v>
      </c>
      <c r="J174" s="51">
        <f>IF(speciated_chemicals_179[[#This Row],[Inert / Not a Contaminant?]]="Yes", 0, speciated_chemicals_179[[#This Row],[Weight Percent]]*(unique_components_178[[#Totals],[Controlled
tpy]]+standard_components_177[[#Totals],[Controlled
tpy]]))</f>
        <v>0</v>
      </c>
    </row>
    <row r="175" spans="1:10" x14ac:dyDescent="0.2">
      <c r="A175" s="103"/>
      <c r="B175" s="51" t="str">
        <f>IFERROR(VLOOKUP(speciated_chemicals_179[[#This Row],[CAS '#]],species[],MATCH("Substance", species[#Headers], 0),FALSE),"No CAS Number Entered")</f>
        <v>No CAS Number Entered</v>
      </c>
      <c r="C175" s="102"/>
      <c r="D175" s="102" t="s">
        <v>12666</v>
      </c>
      <c r="E175" s="102" t="s">
        <v>12666</v>
      </c>
      <c r="F175" s="102" t="s">
        <v>12666</v>
      </c>
      <c r="G175" s="102" t="s">
        <v>12666</v>
      </c>
      <c r="H175" s="164"/>
      <c r="I175" s="51">
        <f>IF(speciated_chemicals_179[[#This Row],[Inert / Not a Contaminant?]]="Yes", 0, speciated_chemicals_179[[#This Row],[Weight Percent]]*(unique_components_178[[#Totals],[Controlled lb/hr]]+standard_components_177[[#Totals],[Controlled
lb/hr]]))</f>
        <v>0</v>
      </c>
      <c r="J175" s="51">
        <f>IF(speciated_chemicals_179[[#This Row],[Inert / Not a Contaminant?]]="Yes", 0, speciated_chemicals_179[[#This Row],[Weight Percent]]*(unique_components_178[[#Totals],[Controlled
tpy]]+standard_components_177[[#Totals],[Controlled
tpy]]))</f>
        <v>0</v>
      </c>
    </row>
    <row r="176" spans="1:10" x14ac:dyDescent="0.2">
      <c r="A176" s="165"/>
      <c r="B176" s="51" t="str">
        <f>IFERROR(VLOOKUP(speciated_chemicals_179[[#This Row],[CAS '#]],species[],MATCH("Substance", species[#Headers], 0),FALSE),"No CAS Number Entered")</f>
        <v>No CAS Number Entered</v>
      </c>
      <c r="C176" s="102"/>
      <c r="D176" s="102" t="s">
        <v>12666</v>
      </c>
      <c r="E176" s="102" t="s">
        <v>12666</v>
      </c>
      <c r="F176" s="102" t="s">
        <v>12666</v>
      </c>
      <c r="G176" s="102" t="s">
        <v>12666</v>
      </c>
      <c r="H176" s="164"/>
      <c r="I176" s="51">
        <f>IF(speciated_chemicals_179[[#This Row],[Inert / Not a Contaminant?]]="Yes", 0, speciated_chemicals_179[[#This Row],[Weight Percent]]*(unique_components_178[[#Totals],[Controlled lb/hr]]+standard_components_177[[#Totals],[Controlled
lb/hr]]))</f>
        <v>0</v>
      </c>
      <c r="J176" s="51">
        <f>IF(speciated_chemicals_179[[#This Row],[Inert / Not a Contaminant?]]="Yes", 0, speciated_chemicals_179[[#This Row],[Weight Percent]]*(unique_components_178[[#Totals],[Controlled
tpy]]+standard_components_177[[#Totals],[Controlled
tpy]]))</f>
        <v>0</v>
      </c>
    </row>
    <row r="177" spans="1:10" x14ac:dyDescent="0.2">
      <c r="A177" s="103"/>
      <c r="B177" s="51" t="str">
        <f>IFERROR(VLOOKUP(speciated_chemicals_179[[#This Row],[CAS '#]],species[],MATCH("Substance", species[#Headers], 0),FALSE),"No CAS Number Entered")</f>
        <v>No CAS Number Entered</v>
      </c>
      <c r="C177" s="102"/>
      <c r="D177" s="102" t="s">
        <v>12666</v>
      </c>
      <c r="E177" s="102" t="s">
        <v>12666</v>
      </c>
      <c r="F177" s="102" t="s">
        <v>12666</v>
      </c>
      <c r="G177" s="102" t="s">
        <v>12666</v>
      </c>
      <c r="H177" s="164"/>
      <c r="I177" s="51">
        <f>IF(speciated_chemicals_179[[#This Row],[Inert / Not a Contaminant?]]="Yes", 0, speciated_chemicals_179[[#This Row],[Weight Percent]]*(unique_components_178[[#Totals],[Controlled lb/hr]]+standard_components_177[[#Totals],[Controlled
lb/hr]]))</f>
        <v>0</v>
      </c>
      <c r="J177" s="51">
        <f>IF(speciated_chemicals_179[[#This Row],[Inert / Not a Contaminant?]]="Yes", 0, speciated_chemicals_179[[#This Row],[Weight Percent]]*(unique_components_178[[#Totals],[Controlled
tpy]]+standard_components_177[[#Totals],[Controlled
tpy]]))</f>
        <v>0</v>
      </c>
    </row>
    <row r="178" spans="1:10" x14ac:dyDescent="0.2">
      <c r="A178" s="103"/>
      <c r="B178" s="51" t="str">
        <f>IFERROR(VLOOKUP(speciated_chemicals_179[[#This Row],[CAS '#]],species[],MATCH("Substance", species[#Headers], 0),FALSE),"No CAS Number Entered")</f>
        <v>No CAS Number Entered</v>
      </c>
      <c r="C178" s="102"/>
      <c r="D178" s="102" t="s">
        <v>12666</v>
      </c>
      <c r="E178" s="102" t="s">
        <v>12666</v>
      </c>
      <c r="F178" s="102" t="s">
        <v>12666</v>
      </c>
      <c r="G178" s="102" t="s">
        <v>12666</v>
      </c>
      <c r="H178" s="164"/>
      <c r="I178" s="51">
        <f>IF(speciated_chemicals_179[[#This Row],[Inert / Not a Contaminant?]]="Yes", 0, speciated_chemicals_179[[#This Row],[Weight Percent]]*(unique_components_178[[#Totals],[Controlled lb/hr]]+standard_components_177[[#Totals],[Controlled
lb/hr]]))</f>
        <v>0</v>
      </c>
      <c r="J178" s="51">
        <f>IF(speciated_chemicals_179[[#This Row],[Inert / Not a Contaminant?]]="Yes", 0, speciated_chemicals_179[[#This Row],[Weight Percent]]*(unique_components_178[[#Totals],[Controlled
tpy]]+standard_components_177[[#Totals],[Controlled
tpy]]))</f>
        <v>0</v>
      </c>
    </row>
    <row r="179" spans="1:10" x14ac:dyDescent="0.2">
      <c r="A179" s="103"/>
      <c r="B179" s="51" t="str">
        <f>IFERROR(VLOOKUP(speciated_chemicals_179[[#This Row],[CAS '#]],species[],MATCH("Substance", species[#Headers], 0),FALSE),"No CAS Number Entered")</f>
        <v>No CAS Number Entered</v>
      </c>
      <c r="C179" s="102"/>
      <c r="D179" s="102" t="s">
        <v>12666</v>
      </c>
      <c r="E179" s="102" t="s">
        <v>12666</v>
      </c>
      <c r="F179" s="102" t="s">
        <v>12666</v>
      </c>
      <c r="G179" s="102" t="s">
        <v>12666</v>
      </c>
      <c r="H179" s="164"/>
      <c r="I179" s="51">
        <f>IF(speciated_chemicals_179[[#This Row],[Inert / Not a Contaminant?]]="Yes", 0, speciated_chemicals_179[[#This Row],[Weight Percent]]*(unique_components_178[[#Totals],[Controlled lb/hr]]+standard_components_177[[#Totals],[Controlled
lb/hr]]))</f>
        <v>0</v>
      </c>
      <c r="J179" s="51">
        <f>IF(speciated_chemicals_179[[#This Row],[Inert / Not a Contaminant?]]="Yes", 0, speciated_chemicals_179[[#This Row],[Weight Percent]]*(unique_components_178[[#Totals],[Controlled
tpy]]+standard_components_177[[#Totals],[Controlled
tpy]]))</f>
        <v>0</v>
      </c>
    </row>
    <row r="180" spans="1:10" x14ac:dyDescent="0.2">
      <c r="A180" s="103"/>
      <c r="B180" s="51" t="str">
        <f>IFERROR(VLOOKUP(speciated_chemicals_179[[#This Row],[CAS '#]],species[],MATCH("Substance", species[#Headers], 0),FALSE),"No CAS Number Entered")</f>
        <v>No CAS Number Entered</v>
      </c>
      <c r="C180" s="102"/>
      <c r="D180" s="102" t="s">
        <v>12666</v>
      </c>
      <c r="E180" s="102" t="s">
        <v>12666</v>
      </c>
      <c r="F180" s="102" t="s">
        <v>12666</v>
      </c>
      <c r="G180" s="102" t="s">
        <v>12666</v>
      </c>
      <c r="H180" s="164"/>
      <c r="I180" s="51">
        <f>IF(speciated_chemicals_179[[#This Row],[Inert / Not a Contaminant?]]="Yes", 0, speciated_chemicals_179[[#This Row],[Weight Percent]]*(unique_components_178[[#Totals],[Controlled lb/hr]]+standard_components_177[[#Totals],[Controlled
lb/hr]]))</f>
        <v>0</v>
      </c>
      <c r="J180" s="51">
        <f>IF(speciated_chemicals_179[[#This Row],[Inert / Not a Contaminant?]]="Yes", 0, speciated_chemicals_179[[#This Row],[Weight Percent]]*(unique_components_178[[#Totals],[Controlled
tpy]]+standard_components_177[[#Totals],[Controlled
tpy]]))</f>
        <v>0</v>
      </c>
    </row>
    <row r="181" spans="1:10" ht="30" x14ac:dyDescent="0.2">
      <c r="A181" s="184" t="s">
        <v>12705</v>
      </c>
      <c r="B181" s="52"/>
      <c r="C181" s="53"/>
      <c r="D181" s="52"/>
      <c r="E181" s="52"/>
      <c r="F181" s="52"/>
      <c r="G181" s="52"/>
      <c r="H181" s="166">
        <f>SUBTOTAL(109,speciated_chemicals_179[Weight Percent])</f>
        <v>0</v>
      </c>
      <c r="I181" s="167">
        <f>SUBTOTAL(109,speciated_chemicals_179[lb/hr])</f>
        <v>0</v>
      </c>
      <c r="J181" s="167">
        <f>SUBTOTAL(109,speciated_chemicals_179[tpy])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MATCH(speciated_ghg_180[[#This Row],[CAS '#]], gwp_table[CAS No.], 0), MATCH("Name", gwp_table[#Headers], 0)),"No CAS Number Entered")</f>
        <v>No CAS Number Entered</v>
      </c>
      <c r="C185" s="79" t="str">
        <f>IFERROR(INDEX(gwp_table[], MATCH(speciated_ghg_180[[#This Row],[CAS '#]], gwp_table[CAS No.], 0), MATCH("Global warming potential", gwp_table[#Headers], 0)),"No CAS Number Entered")</f>
        <v>No CAS Number Entered</v>
      </c>
      <c r="D185" s="219"/>
      <c r="E185" s="79">
        <f>IFERROR(speciated_ghg_180[[#This Row],[Weight Percent]]*(unique_components_178[[#Totals],[Controlled
tpy]]+standard_components_177[[#Totals],[Controlled
tpy]]), "-")</f>
        <v>0</v>
      </c>
      <c r="F185" s="81" t="str">
        <f>IFERROR(speciated_ghg_180[[#This Row],[Mass Emissions (U.S. tons per year)]]*speciated_ghg_180[[#This Row],[Global Warming Potential (GWP)]], "-")</f>
        <v>-</v>
      </c>
      <c r="G185" s="30"/>
      <c r="H185" s="168"/>
      <c r="I185" s="168"/>
    </row>
    <row r="186" spans="1:10" x14ac:dyDescent="0.2">
      <c r="A186" s="210"/>
      <c r="B186" s="79" t="str">
        <f>IFERROR(INDEX(gwp_table[], MATCH(speciated_ghg_180[[#This Row],[CAS '#]], gwp_table[CAS No.], 0), MATCH("Name", gwp_table[#Headers], 0)),"No CAS Number Entered")</f>
        <v>No CAS Number Entered</v>
      </c>
      <c r="C186" s="79" t="str">
        <f>IFERROR(INDEX(gwp_table[], MATCH(speciated_ghg_180[[#This Row],[CAS '#]], gwp_table[CAS No.], 0), MATCH("Global warming potential", gwp_table[#Headers], 0)),"No CAS Number Entered")</f>
        <v>No CAS Number Entered</v>
      </c>
      <c r="D186" s="219"/>
      <c r="E186" s="79">
        <f>IFERROR(speciated_ghg_180[[#This Row],[Weight Percent]]*(unique_components_178[[#Totals],[Controlled
tpy]]+standard_components_177[[#Totals],[Controlled
tpy]]), "-")</f>
        <v>0</v>
      </c>
      <c r="F186" s="81" t="str">
        <f>IFERROR(speciated_ghg_180[[#This Row],[Mass Emissions (U.S. tons per year)]]*speciated_ghg_180[[#This Row],[Global Warming Potential (GWP)]], "-")</f>
        <v>-</v>
      </c>
      <c r="G186" s="30"/>
      <c r="H186" s="168"/>
      <c r="I186" s="168"/>
    </row>
    <row r="187" spans="1:10" x14ac:dyDescent="0.2">
      <c r="A187" s="210"/>
      <c r="B187" s="79" t="str">
        <f>IFERROR(INDEX(gwp_table[], MATCH(speciated_ghg_180[[#This Row],[CAS '#]], gwp_table[CAS No.], 0), MATCH("Name", gwp_table[#Headers], 0)),"No CAS Number Entered")</f>
        <v>No CAS Number Entered</v>
      </c>
      <c r="C187" s="79" t="str">
        <f>IFERROR(INDEX(gwp_table[], MATCH(speciated_ghg_180[[#This Row],[CAS '#]], gwp_table[CAS No.], 0), MATCH("Global warming potential", gwp_table[#Headers], 0)),"No CAS Number Entered")</f>
        <v>No CAS Number Entered</v>
      </c>
      <c r="D187" s="219"/>
      <c r="E187" s="79">
        <f>IFERROR(speciated_ghg_180[[#This Row],[Weight Percent]]*(unique_components_178[[#Totals],[Controlled
tpy]]+standard_components_177[[#Totals],[Controlled
tpy]]), "-")</f>
        <v>0</v>
      </c>
      <c r="F187" s="81" t="str">
        <f>IFERROR(speciated_ghg_180[[#This Row],[Mass Emissions (U.S. tons per year)]]*speciated_ghg_180[[#This Row],[Global Warming Potential (GWP)]], "-")</f>
        <v>-</v>
      </c>
      <c r="G187" s="30"/>
      <c r="H187" s="168"/>
      <c r="I187" s="168"/>
    </row>
    <row r="188" spans="1:10" x14ac:dyDescent="0.2">
      <c r="A188" s="210"/>
      <c r="B188" s="79" t="str">
        <f>IFERROR(INDEX(gwp_table[], MATCH(speciated_ghg_180[[#This Row],[CAS '#]], gwp_table[CAS No.], 0), MATCH("Name", gwp_table[#Headers], 0)),"No CAS Number Entered")</f>
        <v>No CAS Number Entered</v>
      </c>
      <c r="C188" s="79" t="str">
        <f>IFERROR(INDEX(gwp_table[], MATCH(speciated_ghg_180[[#This Row],[CAS '#]], gwp_table[CAS No.], 0), MATCH("Global warming potential", gwp_table[#Headers], 0)),"No CAS Number Entered")</f>
        <v>No CAS Number Entered</v>
      </c>
      <c r="D188" s="219"/>
      <c r="E188" s="79">
        <f>IFERROR(speciated_ghg_180[[#This Row],[Weight Percent]]*(unique_components_178[[#Totals],[Controlled
tpy]]+standard_components_177[[#Totals],[Controlled
tpy]]), "-")</f>
        <v>0</v>
      </c>
      <c r="F188" s="81" t="str">
        <f>IFERROR(speciated_ghg_180[[#This Row],[Mass Emissions (U.S. tons per year)]]*speciated_ghg_180[[#This Row],[Global Warming Potential (GWP)]], "-")</f>
        <v>-</v>
      </c>
      <c r="G188" s="30"/>
      <c r="H188" s="168"/>
      <c r="I188" s="168"/>
    </row>
    <row r="189" spans="1:10" x14ac:dyDescent="0.2">
      <c r="A189" s="210"/>
      <c r="B189" s="79" t="str">
        <f>IFERROR(INDEX(gwp_table[], MATCH(speciated_ghg_180[[#This Row],[CAS '#]], gwp_table[CAS No.], 0), MATCH("Name", gwp_table[#Headers], 0)),"No CAS Number Entered")</f>
        <v>No CAS Number Entered</v>
      </c>
      <c r="C189" s="79" t="str">
        <f>IFERROR(INDEX(gwp_table[], MATCH(speciated_ghg_180[[#This Row],[CAS '#]], gwp_table[CAS No.], 0), MATCH("Global warming potential", gwp_table[#Headers], 0)),"No CAS Number Entered")</f>
        <v>No CAS Number Entered</v>
      </c>
      <c r="D189" s="219"/>
      <c r="E189" s="79">
        <f>IFERROR(speciated_ghg_180[[#This Row],[Weight Percent]]*(unique_components_178[[#Totals],[Controlled
tpy]]+standard_components_177[[#Totals],[Controlled
tpy]]), "-")</f>
        <v>0</v>
      </c>
      <c r="F189" s="81" t="str">
        <f>IFERROR(speciated_ghg_180[[#This Row],[Mass Emissions (U.S. tons per year)]]*speciated_ghg_180[[#This Row],[Global Warming Potential (GWP)]], "-")</f>
        <v>-</v>
      </c>
      <c r="G189" s="30"/>
      <c r="H189" s="168"/>
      <c r="I189" s="168"/>
    </row>
    <row r="190" spans="1:10" x14ac:dyDescent="0.2">
      <c r="A190" s="210"/>
      <c r="B190" s="79" t="str">
        <f>IFERROR(INDEX(gwp_table[], MATCH(speciated_ghg_180[[#This Row],[CAS '#]], gwp_table[CAS No.], 0), MATCH("Name", gwp_table[#Headers], 0)),"No CAS Number Entered")</f>
        <v>No CAS Number Entered</v>
      </c>
      <c r="C190" s="79" t="str">
        <f>IFERROR(INDEX(gwp_table[], MATCH(speciated_ghg_180[[#This Row],[CAS '#]], gwp_table[CAS No.], 0), MATCH("Global warming potential", gwp_table[#Headers], 0)),"No CAS Number Entered")</f>
        <v>No CAS Number Entered</v>
      </c>
      <c r="D190" s="219"/>
      <c r="E190" s="79">
        <f>IFERROR(speciated_ghg_180[[#This Row],[Weight Percent]]*(unique_components_178[[#Totals],[Controlled
tpy]]+standard_components_177[[#Totals],[Controlled
tpy]]), "-")</f>
        <v>0</v>
      </c>
      <c r="F190" s="81" t="str">
        <f>IFERROR(speciated_ghg_180[[#This Row],[Mass Emissions (U.S. tons per year)]]*speciated_ghg_180[[#This Row],[Global Warming Potential (GWP)]], "-")</f>
        <v>-</v>
      </c>
      <c r="G190" s="30"/>
      <c r="H190" s="168"/>
      <c r="I190" s="168"/>
    </row>
    <row r="191" spans="1:10" x14ac:dyDescent="0.2">
      <c r="A191" s="210"/>
      <c r="B191" s="79" t="str">
        <f>IFERROR(INDEX(gwp_table[], MATCH(speciated_ghg_180[[#This Row],[CAS '#]], gwp_table[CAS No.], 0), MATCH("Name", gwp_table[#Headers], 0)),"No CAS Number Entered")</f>
        <v>No CAS Number Entered</v>
      </c>
      <c r="C191" s="79" t="str">
        <f>IFERROR(INDEX(gwp_table[], MATCH(speciated_ghg_180[[#This Row],[CAS '#]], gwp_table[CAS No.], 0), MATCH("Global warming potential", gwp_table[#Headers], 0)),"No CAS Number Entered")</f>
        <v>No CAS Number Entered</v>
      </c>
      <c r="D191" s="219"/>
      <c r="E191" s="79">
        <f>IFERROR(speciated_ghg_180[[#This Row],[Weight Percent]]*(unique_components_178[[#Totals],[Controlled
tpy]]+standard_components_177[[#Totals],[Controlled
tpy]]), "-")</f>
        <v>0</v>
      </c>
      <c r="F191" s="81" t="str">
        <f>IFERROR(speciated_ghg_180[[#This Row],[Mass Emissions (U.S. tons per year)]]*speciated_ghg_180[[#This Row],[Global Warming Potential (GWP)]], "-")</f>
        <v>-</v>
      </c>
      <c r="G191" s="17"/>
    </row>
    <row r="192" spans="1:10" ht="15" x14ac:dyDescent="0.25">
      <c r="A192" s="210"/>
      <c r="B192" s="79" t="str">
        <f>IFERROR(INDEX(gwp_table[], MATCH(speciated_ghg_180[[#This Row],[CAS '#]], gwp_table[CAS No.], 0), MATCH("Name", gwp_table[#Headers], 0)),"No CAS Number Entered")</f>
        <v>No CAS Number Entered</v>
      </c>
      <c r="C192" s="79" t="str">
        <f>IFERROR(INDEX(gwp_table[], MATCH(speciated_ghg_180[[#This Row],[CAS '#]], gwp_table[CAS No.], 0), MATCH("Global warming potential", gwp_table[#Headers], 0)),"No CAS Number Entered")</f>
        <v>No CAS Number Entered</v>
      </c>
      <c r="D192" s="219"/>
      <c r="E192" s="79">
        <f>IFERROR(speciated_ghg_180[[#This Row],[Weight Percent]]*(unique_components_178[[#Totals],[Controlled
tpy]]+standard_components_177[[#Totals],[Controlled
tpy]]), "-")</f>
        <v>0</v>
      </c>
      <c r="F192" s="81" t="str">
        <f>IFERROR(speciated_ghg_180[[#This Row],[Mass Emissions (U.S. tons per year)]]*speciated_ghg_180[[#This Row],[Global Warming Potential (GWP)]], "-")</f>
        <v>-</v>
      </c>
      <c r="G192" s="134"/>
      <c r="H192" s="169"/>
    </row>
    <row r="193" spans="1:9" ht="15" x14ac:dyDescent="0.25">
      <c r="A193" s="210"/>
      <c r="B193" s="79" t="str">
        <f>IFERROR(INDEX(gwp_table[], MATCH(speciated_ghg_180[[#This Row],[CAS '#]], gwp_table[CAS No.], 0), MATCH("Name", gwp_table[#Headers], 0)),"No CAS Number Entered")</f>
        <v>No CAS Number Entered</v>
      </c>
      <c r="C193" s="79" t="str">
        <f>IFERROR(INDEX(gwp_table[], MATCH(speciated_ghg_180[[#This Row],[CAS '#]], gwp_table[CAS No.], 0), MATCH("Global warming potential", gwp_table[#Headers], 0)),"No CAS Number Entered")</f>
        <v>No CAS Number Entered</v>
      </c>
      <c r="D193" s="219"/>
      <c r="E193" s="79">
        <f>IFERROR(speciated_ghg_180[[#This Row],[Weight Percent]]*(unique_components_178[[#Totals],[Controlled
tpy]]+standard_components_177[[#Totals],[Controlled
tpy]]), "-")</f>
        <v>0</v>
      </c>
      <c r="F193" s="81" t="str">
        <f>IFERROR(speciated_ghg_180[[#This Row],[Mass Emissions (U.S. tons per year)]]*speciated_ghg_180[[#This Row],[Global Warming Potential (GWP)]], "-")</f>
        <v>-</v>
      </c>
      <c r="G193" s="134"/>
      <c r="H193" s="169"/>
    </row>
    <row r="194" spans="1:9" ht="15" x14ac:dyDescent="0.25">
      <c r="A194" s="210"/>
      <c r="B194" s="79" t="str">
        <f>IFERROR(INDEX(gwp_table[], MATCH(speciated_ghg_180[[#This Row],[CAS '#]], gwp_table[CAS No.], 0), MATCH("Name", gwp_table[#Headers], 0)),"No CAS Number Entered")</f>
        <v>No CAS Number Entered</v>
      </c>
      <c r="C194" s="79" t="str">
        <f>IFERROR(INDEX(gwp_table[], MATCH(speciated_ghg_180[[#This Row],[CAS '#]], gwp_table[CAS No.], 0), MATCH("Global warming potential", gwp_table[#Headers], 0)),"No CAS Number Entered")</f>
        <v>No CAS Number Entered</v>
      </c>
      <c r="D194" s="219"/>
      <c r="E194" s="79">
        <f>IFERROR(speciated_ghg_180[[#This Row],[Weight Percent]]*(unique_components_178[[#Totals],[Controlled
tpy]]+standard_components_177[[#Totals],[Controlled
tpy]]), "-")</f>
        <v>0</v>
      </c>
      <c r="F194" s="81" t="str">
        <f>IFERROR(speciated_ghg_180[[#This Row],[Mass Emissions (U.S. tons per year)]]*speciated_ghg_180[[#This Row],[Global Warming Potential (GWP)]], "-")</f>
        <v>-</v>
      </c>
      <c r="G194" s="134"/>
      <c r="H194" s="169"/>
    </row>
    <row r="195" spans="1:9" x14ac:dyDescent="0.2">
      <c r="A195" s="210"/>
      <c r="B195" s="79" t="str">
        <f>IFERROR(INDEX(gwp_table[], MATCH(speciated_ghg_180[[#This Row],[CAS '#]], gwp_table[CAS No.], 0), MATCH("Name", gwp_table[#Headers], 0)),"No CAS Number Entered")</f>
        <v>No CAS Number Entered</v>
      </c>
      <c r="C195" s="79" t="str">
        <f>IFERROR(INDEX(gwp_table[], MATCH(speciated_ghg_180[[#This Row],[CAS '#]], gwp_table[CAS No.], 0), MATCH("Global warming potential", gwp_table[#Headers], 0)),"No CAS Number Entered")</f>
        <v>No CAS Number Entered</v>
      </c>
      <c r="D195" s="219"/>
      <c r="E195" s="79">
        <f>IFERROR(speciated_ghg_180[[#This Row],[Weight Percent]]*(unique_components_178[[#Totals],[Controlled
tpy]]+standard_components_177[[#Totals],[Controlled
tpy]]), "-")</f>
        <v>0</v>
      </c>
      <c r="F195" s="81" t="str">
        <f>IFERROR(speciated_ghg_180[[#This Row],[Mass Emissions (U.S. tons per year)]]*speciated_ghg_180[[#This Row],[Global Warming Potential (GWP)]], "-")</f>
        <v>-</v>
      </c>
      <c r="G195" s="69"/>
      <c r="H195" s="169"/>
    </row>
    <row r="196" spans="1:9" x14ac:dyDescent="0.2">
      <c r="A196" s="210"/>
      <c r="B196" s="79" t="str">
        <f>IFERROR(INDEX(gwp_table[], MATCH(speciated_ghg_180[[#This Row],[CAS '#]], gwp_table[CAS No.], 0), MATCH("Name", gwp_table[#Headers], 0)),"No CAS Number Entered")</f>
        <v>No CAS Number Entered</v>
      </c>
      <c r="C196" s="79" t="str">
        <f>IFERROR(INDEX(gwp_table[], MATCH(speciated_ghg_180[[#This Row],[CAS '#]], gwp_table[CAS No.], 0), MATCH("Global warming potential", gwp_table[#Headers], 0)),"No CAS Number Entered")</f>
        <v>No CAS Number Entered</v>
      </c>
      <c r="D196" s="219"/>
      <c r="E196" s="79">
        <f>IFERROR(speciated_ghg_180[[#This Row],[Weight Percent]]*(unique_components_178[[#Totals],[Controlled
tpy]]+standard_components_177[[#Totals],[Controlled
tpy]]), "-")</f>
        <v>0</v>
      </c>
      <c r="F196" s="81" t="str">
        <f>IFERROR(speciated_ghg_180[[#This Row],[Mass Emissions (U.S. tons per year)]]*speciated_ghg_180[[#This Row],[Global Warming Potential (GWP)]], "-")</f>
        <v>-</v>
      </c>
      <c r="G196" s="29"/>
      <c r="H196" s="169"/>
    </row>
    <row r="197" spans="1:9" x14ac:dyDescent="0.2">
      <c r="A197" s="210"/>
      <c r="B197" s="79" t="str">
        <f>IFERROR(INDEX(gwp_table[], MATCH(speciated_ghg_180[[#This Row],[CAS '#]], gwp_table[CAS No.], 0), MATCH("Name", gwp_table[#Headers], 0)),"No CAS Number Entered")</f>
        <v>No CAS Number Entered</v>
      </c>
      <c r="C197" s="79" t="str">
        <f>IFERROR(INDEX(gwp_table[], MATCH(speciated_ghg_180[[#This Row],[CAS '#]], gwp_table[CAS No.], 0), MATCH("Global warming potential", gwp_table[#Headers], 0)),"No CAS Number Entered")</f>
        <v>No CAS Number Entered</v>
      </c>
      <c r="D197" s="219"/>
      <c r="E197" s="79">
        <f>IFERROR(speciated_ghg_180[[#This Row],[Weight Percent]]*(unique_components_178[[#Totals],[Controlled
tpy]]+standard_components_177[[#Totals],[Controlled
tpy]]), "-")</f>
        <v>0</v>
      </c>
      <c r="F197" s="81" t="str">
        <f>IFERROR(speciated_ghg_180[[#This Row],[Mass Emissions (U.S. tons per year)]]*speciated_ghg_180[[#This Row],[Global Warming Potential (GWP)]], "-")</f>
        <v>-</v>
      </c>
      <c r="G197" s="29"/>
      <c r="H197" s="29"/>
      <c r="I197" s="169"/>
    </row>
    <row r="198" spans="1:9" x14ac:dyDescent="0.2">
      <c r="A198" s="210"/>
      <c r="B198" s="79" t="str">
        <f>IFERROR(INDEX(gwp_table[], MATCH(speciated_ghg_180[[#This Row],[CAS '#]], gwp_table[CAS No.], 0), MATCH("Name", gwp_table[#Headers], 0)),"No CAS Number Entered")</f>
        <v>No CAS Number Entered</v>
      </c>
      <c r="C198" s="79" t="str">
        <f>IFERROR(INDEX(gwp_table[], MATCH(speciated_ghg_180[[#This Row],[CAS '#]], gwp_table[CAS No.], 0), MATCH("Global warming potential", gwp_table[#Headers], 0)),"No CAS Number Entered")</f>
        <v>No CAS Number Entered</v>
      </c>
      <c r="D198" s="219"/>
      <c r="E198" s="79">
        <f>IFERROR(speciated_ghg_180[[#This Row],[Weight Percent]]*(unique_components_178[[#Totals],[Controlled
tpy]]+standard_components_177[[#Totals],[Controlled
tpy]]), "-")</f>
        <v>0</v>
      </c>
      <c r="F198" s="81" t="str">
        <f>IFERROR(speciated_ghg_180[[#This Row],[Mass Emissions (U.S. tons per year)]]*speciated_ghg_180[[#This Row],[Global Warming Potential (GWP)]], "-")</f>
        <v>-</v>
      </c>
      <c r="G198" s="29"/>
      <c r="H198" s="29"/>
      <c r="I198" s="169"/>
    </row>
    <row r="199" spans="1:9" x14ac:dyDescent="0.2">
      <c r="A199" s="210"/>
      <c r="B199" s="79" t="str">
        <f>IFERROR(INDEX(gwp_table[], MATCH(speciated_ghg_180[[#This Row],[CAS '#]], gwp_table[CAS No.], 0), MATCH("Name", gwp_table[#Headers], 0)),"No CAS Number Entered")</f>
        <v>No CAS Number Entered</v>
      </c>
      <c r="C199" s="79" t="str">
        <f>IFERROR(INDEX(gwp_table[], MATCH(speciated_ghg_180[[#This Row],[CAS '#]], gwp_table[CAS No.], 0), MATCH("Global warming potential", gwp_table[#Headers], 0)),"No CAS Number Entered")</f>
        <v>No CAS Number Entered</v>
      </c>
      <c r="D199" s="219"/>
      <c r="E199" s="79">
        <f>IFERROR(speciated_ghg_180[[#This Row],[Weight Percent]]*(unique_components_178[[#Totals],[Controlled
tpy]]+standard_components_177[[#Totals],[Controlled
tpy]]), "-")</f>
        <v>0</v>
      </c>
      <c r="F199" s="81" t="str">
        <f>IFERROR(speciated_ghg_180[[#This Row],[Mass Emissions (U.S. tons per year)]]*speciated_ghg_180[[#This Row],[Global Warming Potential (GWP)]], "-")</f>
        <v>-</v>
      </c>
      <c r="G199" s="29"/>
      <c r="H199" s="29"/>
      <c r="I199" s="169"/>
    </row>
    <row r="200" spans="1:9" x14ac:dyDescent="0.2">
      <c r="A200" s="210"/>
      <c r="B200" s="79" t="str">
        <f>IFERROR(INDEX(gwp_table[], MATCH(speciated_ghg_180[[#This Row],[CAS '#]], gwp_table[CAS No.], 0), MATCH("Name", gwp_table[#Headers], 0)),"No CAS Number Entered")</f>
        <v>No CAS Number Entered</v>
      </c>
      <c r="C200" s="79" t="str">
        <f>IFERROR(INDEX(gwp_table[], MATCH(speciated_ghg_180[[#This Row],[CAS '#]], gwp_table[CAS No.], 0), MATCH("Global warming potential", gwp_table[#Headers], 0)),"No CAS Number Entered")</f>
        <v>No CAS Number Entered</v>
      </c>
      <c r="D200" s="219"/>
      <c r="E200" s="79">
        <f>IFERROR(speciated_ghg_180[[#This Row],[Weight Percent]]*(unique_components_178[[#Totals],[Controlled
tpy]]+standard_components_177[[#Totals],[Controlled
tpy]]), "-")</f>
        <v>0</v>
      </c>
      <c r="F200" s="81" t="str">
        <f>IFERROR(speciated_ghg_180[[#This Row],[Mass Emissions (U.S. tons per year)]]*speciated_ghg_180[[#This Row],[Global Warming Potential (GWP)]], "-")</f>
        <v>-</v>
      </c>
      <c r="G200" s="29"/>
      <c r="H200" s="29"/>
      <c r="I200" s="169"/>
    </row>
    <row r="201" spans="1:9" x14ac:dyDescent="0.2">
      <c r="A201" s="210"/>
      <c r="B201" s="79" t="str">
        <f>IFERROR(INDEX(gwp_table[], MATCH(speciated_ghg_180[[#This Row],[CAS '#]], gwp_table[CAS No.], 0), MATCH("Name", gwp_table[#Headers], 0)),"No CAS Number Entered")</f>
        <v>No CAS Number Entered</v>
      </c>
      <c r="C201" s="79" t="str">
        <f>IFERROR(INDEX(gwp_table[], MATCH(speciated_ghg_180[[#This Row],[CAS '#]], gwp_table[CAS No.], 0), MATCH("Global warming potential", gwp_table[#Headers], 0)),"No CAS Number Entered")</f>
        <v>No CAS Number Entered</v>
      </c>
      <c r="D201" s="219"/>
      <c r="E201" s="79">
        <f>IFERROR(speciated_ghg_180[[#This Row],[Weight Percent]]*(unique_components_178[[#Totals],[Controlled
tpy]]+standard_components_177[[#Totals],[Controlled
tpy]]), "-")</f>
        <v>0</v>
      </c>
      <c r="F201" s="81" t="str">
        <f>IFERROR(speciated_ghg_180[[#This Row],[Mass Emissions (U.S. tons per year)]]*speciated_ghg_180[[#This Row],[Global Warming Potential (GWP)]], "-")</f>
        <v>-</v>
      </c>
      <c r="G201" s="169"/>
      <c r="H201" s="169"/>
      <c r="I201" s="169"/>
    </row>
    <row r="202" spans="1:9" x14ac:dyDescent="0.2">
      <c r="A202" s="210"/>
      <c r="B202" s="79" t="str">
        <f>IFERROR(INDEX(gwp_table[], MATCH(speciated_ghg_180[[#This Row],[CAS '#]], gwp_table[CAS No.], 0), MATCH("Name", gwp_table[#Headers], 0)),"No CAS Number Entered")</f>
        <v>No CAS Number Entered</v>
      </c>
      <c r="C202" s="79" t="str">
        <f>IFERROR(INDEX(gwp_table[], MATCH(speciated_ghg_180[[#This Row],[CAS '#]], gwp_table[CAS No.], 0), MATCH("Global warming potential", gwp_table[#Headers], 0)),"No CAS Number Entered")</f>
        <v>No CAS Number Entered</v>
      </c>
      <c r="D202" s="219"/>
      <c r="E202" s="79">
        <f>IFERROR(speciated_ghg_180[[#This Row],[Weight Percent]]*(unique_components_178[[#Totals],[Controlled
tpy]]+standard_components_177[[#Totals],[Controlled
tpy]]), "-")</f>
        <v>0</v>
      </c>
      <c r="F202" s="81" t="str">
        <f>IFERROR(speciated_ghg_180[[#This Row],[Mass Emissions (U.S. tons per year)]]*speciated_ghg_180[[#This Row],[Global Warming Potential (GWP)]], "-")</f>
        <v>-</v>
      </c>
      <c r="G202" s="169"/>
      <c r="H202" s="169"/>
      <c r="I202" s="169"/>
    </row>
    <row r="203" spans="1:9" x14ac:dyDescent="0.2">
      <c r="A203" s="210"/>
      <c r="B203" s="79" t="str">
        <f>IFERROR(INDEX(gwp_table[], MATCH(speciated_ghg_180[[#This Row],[CAS '#]], gwp_table[CAS No.], 0), MATCH("Name", gwp_table[#Headers], 0)),"No CAS Number Entered")</f>
        <v>No CAS Number Entered</v>
      </c>
      <c r="C203" s="79" t="str">
        <f>IFERROR(INDEX(gwp_table[], MATCH(speciated_ghg_180[[#This Row],[CAS '#]], gwp_table[CAS No.], 0), MATCH("Global warming potential", gwp_table[#Headers], 0)),"No CAS Number Entered")</f>
        <v>No CAS Number Entered</v>
      </c>
      <c r="D203" s="219"/>
      <c r="E203" s="79">
        <f>IFERROR(speciated_ghg_180[[#This Row],[Weight Percent]]*(unique_components_178[[#Totals],[Controlled
tpy]]+standard_components_177[[#Totals],[Controlled
tpy]]), "-")</f>
        <v>0</v>
      </c>
      <c r="F203" s="81" t="str">
        <f>IFERROR(speciated_ghg_180[[#This Row],[Mass Emissions (U.S. tons per year)]]*speciated_ghg_180[[#This Row],[Global Warming Potential (GWP)]], "-")</f>
        <v>-</v>
      </c>
      <c r="G203" s="169"/>
      <c r="H203" s="169"/>
      <c r="I203" s="169"/>
    </row>
    <row r="204" spans="1:9" ht="30" x14ac:dyDescent="0.25">
      <c r="A204" s="185" t="s">
        <v>13321</v>
      </c>
      <c r="B204" s="77"/>
      <c r="C204" s="77"/>
      <c r="D204" s="77"/>
      <c r="E204" s="80">
        <f>SUBTOTAL(109,speciated_ghg_180[Mass Emissions (U.S. tons per year)])</f>
        <v>0</v>
      </c>
      <c r="F204" s="82">
        <f>SUBTOTAL(109,speciated_ghg_180[CO2e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speciated_chemicals_179[[#Totals],[lb/hr]]</f>
        <v>0</v>
      </c>
      <c r="C207" s="134"/>
      <c r="D207" s="134"/>
      <c r="E207" s="134"/>
      <c r="F207" s="134"/>
      <c r="G207" s="169"/>
      <c r="H207" s="169"/>
    </row>
    <row r="208" spans="1:9" ht="29.25" x14ac:dyDescent="0.25">
      <c r="A208" s="174" t="s">
        <v>13320</v>
      </c>
      <c r="B208" s="175">
        <f>speciated_chemicals_179[[#Totals],[tpy]]</f>
        <v>0</v>
      </c>
      <c r="C208" s="134"/>
      <c r="D208" s="134"/>
      <c r="E208" s="134"/>
      <c r="F208" s="134"/>
      <c r="G208" s="169"/>
      <c r="H208" s="169"/>
    </row>
    <row r="209" spans="1:8" ht="15" x14ac:dyDescent="0.25">
      <c r="A209" s="126" t="s">
        <v>13277</v>
      </c>
      <c r="B209" s="128">
        <f>SUMIF(speciated_chemicals_179[VOC?],"Yes",speciated_chemicals_179[lb/hr])</f>
        <v>0</v>
      </c>
      <c r="C209" s="134"/>
      <c r="D209" s="29"/>
      <c r="E209" s="29"/>
      <c r="F209" s="29"/>
      <c r="G209" s="169"/>
      <c r="H209" s="169"/>
    </row>
    <row r="210" spans="1:8" ht="15" x14ac:dyDescent="0.25">
      <c r="A210" s="126" t="s">
        <v>12669</v>
      </c>
      <c r="B210" s="128">
        <f>SUMIF(speciated_chemicals_179[VOC?],"Yes",speciated_chemicals_179[tpy])</f>
        <v>0</v>
      </c>
      <c r="C210" s="134"/>
      <c r="D210" s="29"/>
      <c r="E210" s="29"/>
      <c r="F210" s="29"/>
      <c r="G210" s="169"/>
      <c r="H210" s="169"/>
    </row>
    <row r="211" spans="1:8" ht="15" x14ac:dyDescent="0.25">
      <c r="A211" s="126" t="s">
        <v>12775</v>
      </c>
      <c r="B211" s="128">
        <f>SUMIF(speciated_chemicals_179[Inorganic?],"Yes",speciated_chemicals_179[lb/hr])</f>
        <v>0</v>
      </c>
      <c r="C211" s="134"/>
      <c r="D211" s="29"/>
      <c r="E211" s="29"/>
      <c r="F211" s="29"/>
      <c r="G211" s="169"/>
      <c r="H211" s="169"/>
    </row>
    <row r="212" spans="1:8" ht="15" x14ac:dyDescent="0.25">
      <c r="A212" s="126" t="s">
        <v>12770</v>
      </c>
      <c r="B212" s="128">
        <f>SUMIF(speciated_chemicals_179[Inorganic?],"Yes",speciated_chemicals_179[tpy])</f>
        <v>0</v>
      </c>
      <c r="C212" s="134"/>
      <c r="D212" s="29"/>
      <c r="E212" s="29"/>
      <c r="F212" s="29"/>
      <c r="G212" s="169"/>
      <c r="H212" s="169"/>
    </row>
    <row r="213" spans="1:8" ht="15" x14ac:dyDescent="0.25">
      <c r="A213" s="126" t="s">
        <v>13276</v>
      </c>
      <c r="B213" s="128">
        <f>SUMIF(speciated_chemicals_179[VOC-Exempt Solvent?],"Yes",speciated_chemicals_179[lb/hr])</f>
        <v>0</v>
      </c>
      <c r="C213" s="134"/>
      <c r="D213" s="29"/>
      <c r="E213" s="29"/>
      <c r="F213" s="29"/>
      <c r="G213" s="169"/>
      <c r="H213" s="169"/>
    </row>
    <row r="214" spans="1:8" ht="15" x14ac:dyDescent="0.25">
      <c r="A214" s="126" t="s">
        <v>13278</v>
      </c>
      <c r="B214" s="128">
        <f>SUMIF(speciated_chemicals_179[VOC-Exempt Solvent?],"Yes",speciated_chemicals_179[tpy])</f>
        <v>0</v>
      </c>
      <c r="C214" s="134"/>
      <c r="D214" s="29"/>
      <c r="E214" s="29"/>
      <c r="F214" s="29"/>
      <c r="G214" s="169"/>
      <c r="H214" s="169"/>
    </row>
    <row r="215" spans="1:8" ht="15" x14ac:dyDescent="0.25">
      <c r="A215" s="127" t="s">
        <v>13280</v>
      </c>
      <c r="B215" s="176">
        <f>speciated_ghg_180[[#Totals],[Mass Emissions (U.S. tons per year)]]</f>
        <v>0</v>
      </c>
      <c r="C215" s="134"/>
      <c r="D215" s="29"/>
      <c r="E215" s="29"/>
      <c r="F215" s="29"/>
      <c r="G215" s="169"/>
      <c r="H215" s="169"/>
    </row>
    <row r="216" spans="1:8" ht="18.75" x14ac:dyDescent="0.35">
      <c r="A216" s="127" t="s">
        <v>13281</v>
      </c>
      <c r="B216" s="176">
        <f>speciated_ghg_180[[#Totals],[CO2e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ZtuBLah9UwMMfTChMjOlHva0k12xQaBdYU+eBB8ssN0AgmqHb/fznVaxYwne9H8WbSNuJIAqP1y2Ag/B8SWOww==" saltValue="oP1fB7Kq2KJsB50TfWKwAg==" spinCount="100000" sheet="1" objects="1" scenarios="1" formatColumns="0" formatRows="0" autoFilter="0"/>
  <conditionalFormatting sqref="A21:H21">
    <cfRule type="expression" dxfId="955" priority="5">
      <formula>$F$19="No"</formula>
    </cfRule>
  </conditionalFormatting>
  <conditionalFormatting sqref="A105:E106 F106:G126">
    <cfRule type="expression" dxfId="954" priority="4">
      <formula>$E$104="no"</formula>
    </cfRule>
  </conditionalFormatting>
  <conditionalFormatting sqref="C131:C180">
    <cfRule type="expression" dxfId="953" priority="3">
      <formula>NOT(B131="Other (Please specify):")</formula>
    </cfRule>
  </conditionalFormatting>
  <conditionalFormatting sqref="A107:E126">
    <cfRule type="expression" dxfId="952" priority="2">
      <formula>$A$58="No"</formula>
    </cfRule>
  </conditionalFormatting>
  <conditionalFormatting sqref="A107:E126 A206:B214 A215:A216">
    <cfRule type="expression" dxfId="951"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1F7EB27F-EF80-46AB-9233-CB9E03739EA6}"/>
    <dataValidation type="list" allowBlank="1" showInputMessage="1" showErrorMessage="1" sqref="E104:H104 B10" xr:uid="{A2372B5D-E4EE-4157-93E6-C0705D9D4103}">
      <formula1>"Yes,No"</formula1>
    </dataValidation>
    <dataValidation type="list" allowBlank="1" showInputMessage="1" showErrorMessage="1" sqref="F19:H20" xr:uid="{6248E420-F9D6-42C9-9190-6EA6CFB4CFC7}">
      <formula1>"No,Yes - 75%,Yes - 95%"</formula1>
    </dataValidation>
    <dataValidation type="list" allowBlank="1" showInputMessage="1" showErrorMessage="1" sqref="F18" xr:uid="{AB8B9228-E3AE-4875-805E-37C370857118}">
      <formula1>IF(#REF!="SOCMI Non-leaker",ListNone,ListInspection)</formula1>
    </dataValidation>
    <dataValidation type="list" allowBlank="1" showInputMessage="1" showErrorMessage="1" sqref="F16:F17" xr:uid="{BCCF3C88-1E9B-4107-B9E9-CCEAAAAF4269}">
      <formula1>IF(#REF!="SOCMI Non-Leaker",ListNone,ListInstrument)</formula1>
    </dataValidation>
    <dataValidation type="list" allowBlank="1" showInputMessage="1" prompt="Please specify whether the substance is a volatile organic compound (VOC); methane and ethane are not classifed as VOCs" sqref="D132:D180" xr:uid="{A2E12567-84E8-4F2E-95AF-55E172BC8EFB}">
      <formula1>"Yes,No"</formula1>
    </dataValidation>
    <dataValidation allowBlank="1" showInputMessage="1" showErrorMessage="1" prompt="Enter the weight percent of the substance" sqref="H178:H180 H132:H176" xr:uid="{D64185F7-5B60-481A-8D93-76C48ADF94FA}"/>
    <dataValidation type="list" allowBlank="1" showInputMessage="1" showErrorMessage="1" prompt="Enter or select Chemical Abstracts Service number; select &quot;N/A&quot; if a CAS # is not applicable" sqref="A131:A175 A177:A180" xr:uid="{BCC1A84C-A4E6-4B91-BA5B-2C326FF41268}">
      <formula1>SpeciesList</formula1>
    </dataValidation>
    <dataValidation type="list" allowBlank="1" showInputMessage="1" prompt="Select other species from dropdown" sqref="C131:C180" xr:uid="{420ED91E-7456-459C-BA78-0885035E6298}">
      <formula1>NoCASList</formula1>
    </dataValidation>
    <dataValidation allowBlank="1" showInputMessage="1" showErrorMessage="1" prompt="Proposed control efficiency (0-1)" sqref="E107:E126" xr:uid="{1D3F7562-171F-424F-98F0-5A3659AFA1BF}"/>
    <dataValidation allowBlank="1" showInputMessage="1" showErrorMessage="1" prompt="Count of unique component" sqref="C107:C126" xr:uid="{C2FA8CEC-7CF2-4680-B6D2-A77EFB893290}"/>
    <dataValidation allowBlank="1" showInputMessage="1" showErrorMessage="1" prompt="Type of service (e.g. gas, vapor, or liquid)" sqref="B107:B126" xr:uid="{BEC5BF1A-7A75-4CE6-8B09-9F606AD3188B}"/>
    <dataValidation allowBlank="1" showInputMessage="1" showErrorMessage="1" prompt="Name of unique component" sqref="A107:A126" xr:uid="{EEDCB2CE-5BE0-45E4-B700-5B89882E56BA}"/>
    <dataValidation type="list" allowBlank="1" showInputMessage="1" showErrorMessage="1" sqref="B13" xr:uid="{88ACAD6C-4EF4-47A0-8F15-A649FB60F961}">
      <formula1>industry_names</formula1>
    </dataValidation>
    <dataValidation type="list" allowBlank="1" showInputMessage="1" showErrorMessage="1" sqref="B19" xr:uid="{D263F259-044D-46B8-83BE-9AC5F575F5AE}">
      <formula1>yes_no_list</formula1>
    </dataValidation>
    <dataValidation type="list" allowBlank="1" showInputMessage="1" showErrorMessage="1" sqref="B20" xr:uid="{5AE793C7-EBE7-4829-9753-879D8E574D62}">
      <formula1>process_drains_effs</formula1>
    </dataValidation>
    <dataValidation allowBlank="1" showInputMessage="1" showErrorMessage="1" prompt="Proposed emission factor" sqref="D107:D126" xr:uid="{1A52F11E-6482-4E2A-B449-85509C3EB7EC}"/>
    <dataValidation type="list" allowBlank="1" showInputMessage="1" prompt="Please specify if the substance is an inert substance or is not considered a contaminant (e.g. steam)" sqref="G131:G180" xr:uid="{750D6E37-4611-44D1-B03A-9E8E752BE81C}">
      <formula1>"Yes,No"</formula1>
    </dataValidation>
    <dataValidation type="list" allowBlank="1" showInputMessage="1" showErrorMessage="1" prompt="Please select from the dropdown" sqref="B104" xr:uid="{BCFC9CD5-C627-4D49-9B9D-BE2DACA48793}">
      <formula1>yes_no_list</formula1>
    </dataValidation>
    <dataValidation allowBlank="1" showInputMessage="1" showErrorMessage="1" prompt="Provide justification" sqref="B105" xr:uid="{A4CB5F3F-7624-4C1B-B57E-0405663DD842}"/>
    <dataValidation type="list" showInputMessage="1" prompt="Please specify whether the substance is a volatile organic compound (VOC); methane and ethane are not classifed as VOCs" sqref="D131" xr:uid="{D936FF08-27D9-411B-95A5-CFB2D52EE7F8}">
      <formula1>"Yes,No"</formula1>
    </dataValidation>
    <dataValidation type="list" showInputMessage="1" prompt="Please specify whether the substance is an inorganic contaminant (e.g. ammonia or chlorine gas)" sqref="E131:E180" xr:uid="{9A69C129-F3BE-4B7C-87AF-1FB783217127}">
      <formula1>"Yes,No"</formula1>
    </dataValidation>
    <dataValidation type="list" allowBlank="1" showInputMessage="1" prompt="Please specify whether the substance is an VOC-exempt solvent." sqref="F131:F180" xr:uid="{9A0C0AC9-FEC9-4B62-A510-06B8ACD1050E}">
      <formula1>"Yes,No"</formula1>
    </dataValidation>
    <dataValidation type="list" allowBlank="1" showInputMessage="1" showErrorMessage="1" prompt="Enter or select Chemical Abstracts Service number; select &quot;N/A&quot; if a CAS # is not applicable" sqref="A185:A203 A176" xr:uid="{8986AEBD-0A67-4CC4-9D5A-0FE81B697348}">
      <formula1>gwp_table_cas</formula1>
    </dataValidation>
    <dataValidation type="decimal" allowBlank="1" showInputMessage="1" showErrorMessage="1" prompt="Enter the weight percent of the substance" sqref="H177" xr:uid="{A1837B99-5EC8-475A-B8C8-62ECB8FEC746}">
      <formula1>0</formula1>
      <formula2>1</formula2>
    </dataValidation>
    <dataValidation type="decimal" operator="greaterThan" allowBlank="1" showInputMessage="1" showErrorMessage="1" prompt="Enter the weight percent of the substance" sqref="H131 D185:D203" xr:uid="{B12F8B15-8C40-4BD4-8881-F3E58F439AF8}">
      <formula1>0</formula1>
    </dataValidation>
    <dataValidation type="list" allowBlank="1" showInputMessage="1" showErrorMessage="1" sqref="B18" xr:uid="{3A495D0B-2717-464E-9A93-FA25F5AA1FAE}">
      <formula1>inspection_ldar_list</formula1>
    </dataValidation>
    <dataValidation type="list" allowBlank="1" showInputMessage="1" showErrorMessage="1" sqref="B17" xr:uid="{F86A7070-4FCB-4811-9645-9A7A2371C6BD}">
      <formula1>connector_ldar_list</formula1>
    </dataValidation>
    <dataValidation type="list" allowBlank="1" showInputMessage="1" showErrorMessage="1" sqref="B16" xr:uid="{C98F0E88-9046-432E-8C0B-C5984985FCAE}">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694A1-707F-4CE4-8AD0-EBAAD690A2E0}">
  <sheetPr codeName="Sheet31">
    <tabColor rgb="FFFFFFCC"/>
    <pageSetUpPr fitToPage="1"/>
  </sheetPr>
  <dimension ref="A1:L29"/>
  <sheetViews>
    <sheetView showGridLines="0" zoomScaleNormal="100" workbookViewId="0"/>
  </sheetViews>
  <sheetFormatPr defaultColWidth="0" defaultRowHeight="14.25" zeroHeight="1" x14ac:dyDescent="0.2"/>
  <cols>
    <col min="1" max="1" width="40.625" customWidth="1"/>
    <col min="2" max="11" width="20.625" customWidth="1"/>
    <col min="12" max="12" width="24.5" customWidth="1"/>
    <col min="13" max="16384" width="9" hidden="1"/>
  </cols>
  <sheetData>
    <row r="1" spans="1:12" ht="18.75" thickBot="1" x14ac:dyDescent="0.25">
      <c r="A1" s="44" t="s">
        <v>12738</v>
      </c>
    </row>
    <row r="2" spans="1:12" ht="86.25" thickBot="1" x14ac:dyDescent="0.25">
      <c r="A2" s="45" t="s">
        <v>12767</v>
      </c>
      <c r="C2" s="14"/>
      <c r="D2" s="14"/>
      <c r="E2" s="14"/>
      <c r="F2" s="14"/>
      <c r="G2" s="14"/>
      <c r="H2" s="14"/>
      <c r="I2" s="14"/>
      <c r="J2" s="14"/>
      <c r="K2" s="14"/>
      <c r="L2" s="14"/>
    </row>
    <row r="3" spans="1:12" ht="57" x14ac:dyDescent="0.2">
      <c r="A3" s="186" t="s">
        <v>12739</v>
      </c>
      <c r="B3" s="186" t="s">
        <v>12768</v>
      </c>
      <c r="C3" s="187" t="s">
        <v>13323</v>
      </c>
      <c r="D3" s="187" t="s">
        <v>13322</v>
      </c>
      <c r="E3" s="187" t="s">
        <v>13311</v>
      </c>
      <c r="F3" s="187" t="s">
        <v>13312</v>
      </c>
      <c r="G3" s="187" t="s">
        <v>13313</v>
      </c>
      <c r="H3" s="187" t="s">
        <v>13314</v>
      </c>
      <c r="I3" s="187" t="s">
        <v>13315</v>
      </c>
      <c r="J3" s="187" t="s">
        <v>13316</v>
      </c>
      <c r="K3" s="188" t="s">
        <v>13317</v>
      </c>
      <c r="L3" s="188" t="s">
        <v>13318</v>
      </c>
    </row>
    <row r="4" spans="1:12" x14ac:dyDescent="0.2">
      <c r="A4" t="str">
        <f>"Fug (" &amp; TEXT(ROW(A1), "0") &amp; ")"</f>
        <v>Fug (1)</v>
      </c>
      <c r="B4" s="189">
        <f>'Fug (1)'!EPN</f>
        <v>0</v>
      </c>
      <c r="C4" s="72">
        <f>'Fug (1)'!total_hourly</f>
        <v>0</v>
      </c>
      <c r="D4" s="72">
        <f>'Fug (1)'!total_annual</f>
        <v>0</v>
      </c>
      <c r="E4" s="72">
        <f>'Fug (1)'!total_voc_hourly</f>
        <v>0</v>
      </c>
      <c r="F4" s="72">
        <f>'Fug (1)'!total_voc_annual</f>
        <v>0</v>
      </c>
      <c r="G4" s="72">
        <f>'Fug (1)'!total_inorganic_hourly</f>
        <v>0</v>
      </c>
      <c r="H4" s="72">
        <f>'Fug (1)'!total_inorganic_annual</f>
        <v>0</v>
      </c>
      <c r="I4" s="72">
        <f>'Fug (1)'!total_exempt_hourly</f>
        <v>0</v>
      </c>
      <c r="J4" s="72">
        <f>'Fug (1)'!total_exempt_annual</f>
        <v>0</v>
      </c>
      <c r="K4" s="72">
        <f>[0]!total_ghg_mass</f>
        <v>0</v>
      </c>
      <c r="L4" s="72">
        <f>[0]!total_ghg_co2e</f>
        <v>0</v>
      </c>
    </row>
    <row r="5" spans="1:12" x14ac:dyDescent="0.2">
      <c r="A5" s="14" t="str">
        <f t="shared" ref="A5:A28" si="0">"Fug (" &amp; TEXT(ROW(A2), "0") &amp; ")"</f>
        <v>Fug (2)</v>
      </c>
      <c r="B5" s="189">
        <f>'Fug (2)'!EPN</f>
        <v>0</v>
      </c>
      <c r="C5" s="72">
        <f>'Fug (2)'!total_hourly</f>
        <v>0</v>
      </c>
      <c r="D5" s="72">
        <f>'Fug (2)'!total_annual</f>
        <v>0</v>
      </c>
      <c r="E5" s="72">
        <f>'Fug (2)'!total_voc_hourly</f>
        <v>0</v>
      </c>
      <c r="F5" s="72">
        <f>'Fug (2)'!total_voc_annual</f>
        <v>0</v>
      </c>
      <c r="G5" s="72">
        <f>'Fug (2)'!total_inorganic_hourly</f>
        <v>0</v>
      </c>
      <c r="H5" s="72">
        <f>'Fug (2)'!total_inorganic_annual</f>
        <v>0</v>
      </c>
      <c r="I5" s="72">
        <f>'Fug (2)'!total_exempt_hourly</f>
        <v>0</v>
      </c>
      <c r="J5" s="72">
        <f>'Fug (2)'!total_exempt_annual</f>
        <v>0</v>
      </c>
      <c r="K5" s="72">
        <f>'Fug (2)'!total_ghg_mass</f>
        <v>0</v>
      </c>
      <c r="L5" s="72">
        <f>'Fug (2)'!total_ghg_co2e</f>
        <v>0</v>
      </c>
    </row>
    <row r="6" spans="1:12" x14ac:dyDescent="0.2">
      <c r="A6" s="14" t="str">
        <f t="shared" si="0"/>
        <v>Fug (3)</v>
      </c>
      <c r="B6" s="189">
        <f>'Fug (3)'!EPN</f>
        <v>0</v>
      </c>
      <c r="C6" s="72">
        <f>'Fug (3)'!total_hourly</f>
        <v>0</v>
      </c>
      <c r="D6" s="72">
        <f>'Fug (3)'!total_annual</f>
        <v>0</v>
      </c>
      <c r="E6" s="72">
        <f>'Fug (3)'!total_voc_hourly</f>
        <v>0</v>
      </c>
      <c r="F6" s="72">
        <f>'Fug (3)'!total_voc_annual</f>
        <v>0</v>
      </c>
      <c r="G6" s="72">
        <f>'Fug (3)'!total_inorganic_hourly</f>
        <v>0</v>
      </c>
      <c r="H6" s="72">
        <f>'Fug (3)'!total_inorganic_annual</f>
        <v>0</v>
      </c>
      <c r="I6" s="72">
        <f>'Fug (3)'!total_exempt_hourly</f>
        <v>0</v>
      </c>
      <c r="J6" s="72">
        <f>'Fug (3)'!total_exempt_annual</f>
        <v>0</v>
      </c>
      <c r="K6" s="72">
        <f>'Fug (3)'!total_ghg_mass</f>
        <v>0</v>
      </c>
      <c r="L6" s="72">
        <f>'Fug (3)'!total_ghg_co2e</f>
        <v>0</v>
      </c>
    </row>
    <row r="7" spans="1:12" x14ac:dyDescent="0.2">
      <c r="A7" s="14" t="str">
        <f t="shared" si="0"/>
        <v>Fug (4)</v>
      </c>
      <c r="B7" s="189">
        <f>'Fug (4)'!EPN</f>
        <v>0</v>
      </c>
      <c r="C7" s="72">
        <f>'Fug (4)'!total_hourly</f>
        <v>0</v>
      </c>
      <c r="D7" s="72">
        <f>'Fug (4)'!total_annual</f>
        <v>0</v>
      </c>
      <c r="E7" s="72">
        <f>'Fug (4)'!total_voc_hourly</f>
        <v>0</v>
      </c>
      <c r="F7" s="72">
        <f>'Fug (4)'!total_voc_annual</f>
        <v>0</v>
      </c>
      <c r="G7" s="72">
        <f>'Fug (4)'!total_inorganic_hourly</f>
        <v>0</v>
      </c>
      <c r="H7" s="72">
        <f>'Fug (4)'!total_inorganic_annual</f>
        <v>0</v>
      </c>
      <c r="I7" s="72">
        <f>'Fug (4)'!total_exempt_hourly</f>
        <v>0</v>
      </c>
      <c r="J7" s="72">
        <f>'Fug (4)'!total_exempt_annual</f>
        <v>0</v>
      </c>
      <c r="K7" s="72">
        <f>'Fug (4)'!total_ghg_mass</f>
        <v>0</v>
      </c>
      <c r="L7" s="72">
        <f>'Fug (4)'!total_ghg_co2e</f>
        <v>0</v>
      </c>
    </row>
    <row r="8" spans="1:12" x14ac:dyDescent="0.2">
      <c r="A8" s="14" t="str">
        <f t="shared" si="0"/>
        <v>Fug (5)</v>
      </c>
      <c r="B8" s="189">
        <f>'Fug (5)'!EPN</f>
        <v>0</v>
      </c>
      <c r="C8" s="72">
        <f>'Fug (5)'!total_hourly</f>
        <v>0</v>
      </c>
      <c r="D8" s="72">
        <f>'Fug (5)'!total_annual</f>
        <v>0</v>
      </c>
      <c r="E8" s="72">
        <f>'Fug (5)'!total_voc_hourly</f>
        <v>0</v>
      </c>
      <c r="F8" s="72">
        <f>'Fug (5)'!total_voc_annual</f>
        <v>0</v>
      </c>
      <c r="G8" s="72">
        <f>'Fug (5)'!total_inorganic_hourly</f>
        <v>0</v>
      </c>
      <c r="H8" s="72">
        <f>'Fug (5)'!total_inorganic_annual</f>
        <v>0</v>
      </c>
      <c r="I8" s="72">
        <f>'Fug (5)'!total_exempt_hourly</f>
        <v>0</v>
      </c>
      <c r="J8" s="72">
        <f>'Fug (5)'!total_exempt_annual</f>
        <v>0</v>
      </c>
      <c r="K8" s="72">
        <f>'Fug (5)'!total_ghg_mass</f>
        <v>0</v>
      </c>
      <c r="L8" s="72">
        <f>'Fug (5)'!total_ghg_co2e</f>
        <v>0</v>
      </c>
    </row>
    <row r="9" spans="1:12" x14ac:dyDescent="0.2">
      <c r="A9" s="14" t="str">
        <f t="shared" si="0"/>
        <v>Fug (6)</v>
      </c>
      <c r="B9" s="189">
        <f>'Fug (6)'!EPN</f>
        <v>0</v>
      </c>
      <c r="C9" s="72">
        <f>'Fug (6)'!total_hourly</f>
        <v>0</v>
      </c>
      <c r="D9" s="72">
        <f>'Fug (6)'!total_annual</f>
        <v>0</v>
      </c>
      <c r="E9" s="72">
        <f>'Fug (6)'!total_voc_hourly</f>
        <v>0</v>
      </c>
      <c r="F9" s="72">
        <f>'Fug (6)'!total_voc_annual</f>
        <v>0</v>
      </c>
      <c r="G9" s="72">
        <f>'Fug (6)'!total_inorganic_hourly</f>
        <v>0</v>
      </c>
      <c r="H9" s="72">
        <f>'Fug (6)'!total_inorganic_annual</f>
        <v>0</v>
      </c>
      <c r="I9" s="72">
        <f>'Fug (6)'!total_exempt_hourly</f>
        <v>0</v>
      </c>
      <c r="J9" s="72">
        <f>'Fug (6)'!total_exempt_annual</f>
        <v>0</v>
      </c>
      <c r="K9" s="72">
        <f>'Fug (6)'!total_ghg_mass</f>
        <v>0</v>
      </c>
      <c r="L9" s="72">
        <f>'Fug (6)'!total_ghg_co2e</f>
        <v>0</v>
      </c>
    </row>
    <row r="10" spans="1:12" x14ac:dyDescent="0.2">
      <c r="A10" s="14" t="str">
        <f t="shared" si="0"/>
        <v>Fug (7)</v>
      </c>
      <c r="B10" s="189">
        <f>'Fug (7)'!EPN</f>
        <v>0</v>
      </c>
      <c r="C10" s="72">
        <f>'Fug (7)'!total_hourly</f>
        <v>0</v>
      </c>
      <c r="D10" s="72">
        <f>'Fug (7)'!total_annual</f>
        <v>0</v>
      </c>
      <c r="E10" s="72">
        <f>'Fug (7)'!total_voc_hourly</f>
        <v>0</v>
      </c>
      <c r="F10" s="72">
        <f>'Fug (7)'!total_voc_annual</f>
        <v>0</v>
      </c>
      <c r="G10" s="72">
        <f>'Fug (7)'!total_inorganic_hourly</f>
        <v>0</v>
      </c>
      <c r="H10" s="72">
        <f>'Fug (7)'!total_inorganic_annual</f>
        <v>0</v>
      </c>
      <c r="I10" s="72">
        <f>'Fug (7)'!total_exempt_hourly</f>
        <v>0</v>
      </c>
      <c r="J10" s="72">
        <f>'Fug (7)'!total_exempt_annual</f>
        <v>0</v>
      </c>
      <c r="K10" s="72">
        <f>'Fug (7)'!total_ghg_mass</f>
        <v>0</v>
      </c>
      <c r="L10" s="72">
        <f>'Fug (7)'!total_ghg_co2e</f>
        <v>0</v>
      </c>
    </row>
    <row r="11" spans="1:12" x14ac:dyDescent="0.2">
      <c r="A11" s="14" t="str">
        <f t="shared" si="0"/>
        <v>Fug (8)</v>
      </c>
      <c r="B11" s="189">
        <f>'Fug (8)'!EPN</f>
        <v>0</v>
      </c>
      <c r="C11" s="72">
        <f>'Fug (8)'!total_hourly</f>
        <v>0</v>
      </c>
      <c r="D11" s="72">
        <f>'Fug (8)'!total_annual</f>
        <v>0</v>
      </c>
      <c r="E11" s="72">
        <f>'Fug (8)'!total_voc_hourly</f>
        <v>0</v>
      </c>
      <c r="F11" s="72">
        <f>'Fug (8)'!total_voc_annual</f>
        <v>0</v>
      </c>
      <c r="G11" s="72">
        <f>'Fug (8)'!total_inorganic_hourly</f>
        <v>0</v>
      </c>
      <c r="H11" s="72">
        <f>'Fug (8)'!total_inorganic_annual</f>
        <v>0</v>
      </c>
      <c r="I11" s="72">
        <f>'Fug (8)'!total_exempt_hourly</f>
        <v>0</v>
      </c>
      <c r="J11" s="72">
        <f>'Fug (8)'!total_exempt_annual</f>
        <v>0</v>
      </c>
      <c r="K11" s="72">
        <f>'Fug (8)'!total_ghg_mass</f>
        <v>0</v>
      </c>
      <c r="L11" s="72">
        <f>'Fug (8)'!total_ghg_co2e</f>
        <v>0</v>
      </c>
    </row>
    <row r="12" spans="1:12" x14ac:dyDescent="0.2">
      <c r="A12" s="14" t="str">
        <f t="shared" si="0"/>
        <v>Fug (9)</v>
      </c>
      <c r="B12" s="189">
        <f>'Fug (9)'!EPN</f>
        <v>0</v>
      </c>
      <c r="C12" s="72">
        <f>'Fug (9)'!total_hourly</f>
        <v>0</v>
      </c>
      <c r="D12" s="72">
        <f>'Fug (9)'!total_annual</f>
        <v>0</v>
      </c>
      <c r="E12" s="72">
        <f>'Fug (9)'!total_voc_hourly</f>
        <v>0</v>
      </c>
      <c r="F12" s="72">
        <f>'Fug (9)'!total_voc_annual</f>
        <v>0</v>
      </c>
      <c r="G12" s="72">
        <f>'Fug (9)'!total_inorganic_hourly</f>
        <v>0</v>
      </c>
      <c r="H12" s="72">
        <f>'Fug (9)'!total_inorganic_annual</f>
        <v>0</v>
      </c>
      <c r="I12" s="72">
        <f>'Fug (9)'!total_exempt_hourly</f>
        <v>0</v>
      </c>
      <c r="J12" s="72">
        <f>'Fug (9)'!total_exempt_annual</f>
        <v>0</v>
      </c>
      <c r="K12" s="72">
        <f>'Fug (9)'!total_ghg_mass</f>
        <v>0</v>
      </c>
      <c r="L12" s="72">
        <f>'Fug (9)'!total_ghg_co2e</f>
        <v>0</v>
      </c>
    </row>
    <row r="13" spans="1:12" x14ac:dyDescent="0.2">
      <c r="A13" s="14" t="str">
        <f t="shared" si="0"/>
        <v>Fug (10)</v>
      </c>
      <c r="B13" s="189">
        <f>'Fug (10)'!EPN</f>
        <v>0</v>
      </c>
      <c r="C13" s="72">
        <f>'Fug (10)'!total_hourly</f>
        <v>0</v>
      </c>
      <c r="D13" s="72">
        <f>'Fug (10)'!total_annual</f>
        <v>0</v>
      </c>
      <c r="E13" s="72">
        <f>'Fug (10)'!total_voc_hourly</f>
        <v>0</v>
      </c>
      <c r="F13" s="72">
        <f>'Fug (10)'!total_voc_annual</f>
        <v>0</v>
      </c>
      <c r="G13" s="72">
        <f>'Fug (10)'!total_inorganic_hourly</f>
        <v>0</v>
      </c>
      <c r="H13" s="72">
        <f>'Fug (10)'!total_inorganic_annual</f>
        <v>0</v>
      </c>
      <c r="I13" s="72">
        <f>'Fug (10)'!total_exempt_hourly</f>
        <v>0</v>
      </c>
      <c r="J13" s="72">
        <f>'Fug (10)'!total_exempt_annual</f>
        <v>0</v>
      </c>
      <c r="K13" s="72">
        <f>'Fug (10)'!total_ghg_mass</f>
        <v>0</v>
      </c>
      <c r="L13" s="72">
        <f>'Fug (10)'!total_ghg_co2e</f>
        <v>0</v>
      </c>
    </row>
    <row r="14" spans="1:12" x14ac:dyDescent="0.2">
      <c r="A14" s="14" t="str">
        <f t="shared" si="0"/>
        <v>Fug (11)</v>
      </c>
      <c r="B14" s="189">
        <f>'Fug (11)'!EPN</f>
        <v>0</v>
      </c>
      <c r="C14" s="72">
        <f>'Fug (11)'!total_hourly</f>
        <v>0</v>
      </c>
      <c r="D14" s="72">
        <f>'Fug (11)'!total_annual</f>
        <v>0</v>
      </c>
      <c r="E14" s="72">
        <f>'Fug (11)'!total_voc_hourly</f>
        <v>0</v>
      </c>
      <c r="F14" s="72">
        <f>'Fug (11)'!total_voc_annual</f>
        <v>0</v>
      </c>
      <c r="G14" s="72">
        <f>'Fug (11)'!total_inorganic_hourly</f>
        <v>0</v>
      </c>
      <c r="H14" s="72">
        <f>'Fug (11)'!total_inorganic_annual</f>
        <v>0</v>
      </c>
      <c r="I14" s="72">
        <f>'Fug (11)'!total_exempt_hourly</f>
        <v>0</v>
      </c>
      <c r="J14" s="72">
        <f>'Fug (11)'!total_exempt_annual</f>
        <v>0</v>
      </c>
      <c r="K14" s="72">
        <f>'Fug (11)'!total_ghg_mass</f>
        <v>0</v>
      </c>
      <c r="L14" s="72">
        <f>'Fug (11)'!total_ghg_co2e</f>
        <v>0</v>
      </c>
    </row>
    <row r="15" spans="1:12" x14ac:dyDescent="0.2">
      <c r="A15" s="14" t="str">
        <f>"Fug (" &amp; TEXT(ROW(A12), "0") &amp; ")"</f>
        <v>Fug (12)</v>
      </c>
      <c r="B15" s="189">
        <f>'Fug (12)'!EPN</f>
        <v>0</v>
      </c>
      <c r="C15" s="72">
        <f>'Fug (12)'!total_hourly</f>
        <v>0</v>
      </c>
      <c r="D15" s="72">
        <f>'Fug (12)'!total_annual</f>
        <v>0</v>
      </c>
      <c r="E15" s="72">
        <f>'Fug (12)'!total_voc_hourly</f>
        <v>0</v>
      </c>
      <c r="F15" s="72">
        <f>'Fug (12)'!total_voc_annual</f>
        <v>0</v>
      </c>
      <c r="G15" s="72">
        <f>'Fug (12)'!total_inorganic_hourly</f>
        <v>0</v>
      </c>
      <c r="H15" s="72">
        <f>'Fug (12)'!total_inorganic_annual</f>
        <v>0</v>
      </c>
      <c r="I15" s="72">
        <f>'Fug (12)'!total_exempt_hourly</f>
        <v>0</v>
      </c>
      <c r="J15" s="72">
        <f>'Fug (12)'!total_exempt_annual</f>
        <v>0</v>
      </c>
      <c r="K15" s="72">
        <f>'Fug (12)'!total_ghg_mass</f>
        <v>0</v>
      </c>
      <c r="L15" s="72">
        <f>'Fug (12)'!total_ghg_co2e</f>
        <v>0</v>
      </c>
    </row>
    <row r="16" spans="1:12" x14ac:dyDescent="0.2">
      <c r="A16" s="14" t="str">
        <f t="shared" si="0"/>
        <v>Fug (13)</v>
      </c>
      <c r="B16" s="189">
        <f>'Fug (13)'!EPN</f>
        <v>0</v>
      </c>
      <c r="C16" s="72">
        <f>'Fug (13)'!total_hourly</f>
        <v>0</v>
      </c>
      <c r="D16" s="72">
        <f>'Fug (13)'!total_annual</f>
        <v>0</v>
      </c>
      <c r="E16" s="72">
        <f>'Fug (13)'!total_voc_hourly</f>
        <v>0</v>
      </c>
      <c r="F16" s="72">
        <f>'Fug (13)'!total_voc_annual</f>
        <v>0</v>
      </c>
      <c r="G16" s="72">
        <f>'Fug (13)'!total_inorganic_hourly</f>
        <v>0</v>
      </c>
      <c r="H16" s="72">
        <f>'Fug (13)'!total_inorganic_annual</f>
        <v>0</v>
      </c>
      <c r="I16" s="72">
        <f>'Fug (13)'!total_exempt_hourly</f>
        <v>0</v>
      </c>
      <c r="J16" s="72">
        <f>'Fug (13)'!total_exempt_annual</f>
        <v>0</v>
      </c>
      <c r="K16" s="72">
        <f>'Fug (13)'!total_ghg_mass</f>
        <v>0</v>
      </c>
      <c r="L16" s="72">
        <f>'Fug (13)'!total_ghg_co2e</f>
        <v>0</v>
      </c>
    </row>
    <row r="17" spans="1:12" x14ac:dyDescent="0.2">
      <c r="A17" s="14" t="str">
        <f t="shared" si="0"/>
        <v>Fug (14)</v>
      </c>
      <c r="B17" s="189">
        <f>'Fug (14)'!EPN</f>
        <v>0</v>
      </c>
      <c r="C17" s="72">
        <f>'Fug (14)'!total_hourly</f>
        <v>0</v>
      </c>
      <c r="D17" s="72">
        <f>'Fug (14)'!total_annual</f>
        <v>0</v>
      </c>
      <c r="E17" s="72">
        <f>'Fug (14)'!total_voc_hourly</f>
        <v>0</v>
      </c>
      <c r="F17" s="72">
        <f>'Fug (14)'!total_voc_annual</f>
        <v>0</v>
      </c>
      <c r="G17" s="72">
        <f>'Fug (14)'!total_inorganic_hourly</f>
        <v>0</v>
      </c>
      <c r="H17" s="72">
        <f>'Fug (14)'!total_inorganic_annual</f>
        <v>0</v>
      </c>
      <c r="I17" s="72">
        <f>'Fug (14)'!total_exempt_hourly</f>
        <v>0</v>
      </c>
      <c r="J17" s="72">
        <f>'Fug (14)'!total_exempt_annual</f>
        <v>0</v>
      </c>
      <c r="K17" s="72">
        <f>'Fug (14)'!total_ghg_mass</f>
        <v>0</v>
      </c>
      <c r="L17" s="72">
        <f>'Fug (14)'!total_ghg_co2e</f>
        <v>0</v>
      </c>
    </row>
    <row r="18" spans="1:12" x14ac:dyDescent="0.2">
      <c r="A18" s="14" t="str">
        <f t="shared" si="0"/>
        <v>Fug (15)</v>
      </c>
      <c r="B18" s="189">
        <f>'Fug (15)'!EPN</f>
        <v>0</v>
      </c>
      <c r="C18" s="72">
        <f>'Fug (15)'!total_hourly</f>
        <v>0</v>
      </c>
      <c r="D18" s="72">
        <f>'Fug (15)'!total_annual</f>
        <v>0</v>
      </c>
      <c r="E18" s="72">
        <f>'Fug (15)'!total_voc_hourly</f>
        <v>0</v>
      </c>
      <c r="F18" s="72">
        <f>'Fug (15)'!total_voc_annual</f>
        <v>0</v>
      </c>
      <c r="G18" s="72">
        <f>'Fug (15)'!total_inorganic_hourly</f>
        <v>0</v>
      </c>
      <c r="H18" s="72">
        <f>'Fug (15)'!total_inorganic_annual</f>
        <v>0</v>
      </c>
      <c r="I18" s="72">
        <f>'Fug (15)'!total_exempt_hourly</f>
        <v>0</v>
      </c>
      <c r="J18" s="72">
        <f>'Fug (15)'!total_exempt_annual</f>
        <v>0</v>
      </c>
      <c r="K18" s="72">
        <f>'Fug (15)'!total_ghg_mass</f>
        <v>0</v>
      </c>
      <c r="L18" s="72">
        <f>'Fug (15)'!total_ghg_co2e</f>
        <v>0</v>
      </c>
    </row>
    <row r="19" spans="1:12" x14ac:dyDescent="0.2">
      <c r="A19" s="14" t="str">
        <f t="shared" si="0"/>
        <v>Fug (16)</v>
      </c>
      <c r="B19" s="189">
        <f>'Fug (16)'!EPN</f>
        <v>0</v>
      </c>
      <c r="C19" s="72">
        <f>'Fug (16)'!total_hourly</f>
        <v>0</v>
      </c>
      <c r="D19" s="72">
        <f>'Fug (16)'!total_annual</f>
        <v>0</v>
      </c>
      <c r="E19" s="72">
        <f>'Fug (16)'!total_voc_hourly</f>
        <v>0</v>
      </c>
      <c r="F19" s="72">
        <f>'Fug (16)'!total_voc_annual</f>
        <v>0</v>
      </c>
      <c r="G19" s="72">
        <f>'Fug (16)'!total_inorganic_hourly</f>
        <v>0</v>
      </c>
      <c r="H19" s="72">
        <f>'Fug (16)'!total_inorganic_annual</f>
        <v>0</v>
      </c>
      <c r="I19" s="72">
        <f>'Fug (16)'!total_exempt_hourly</f>
        <v>0</v>
      </c>
      <c r="J19" s="72">
        <f>'Fug (16)'!total_exempt_annual</f>
        <v>0</v>
      </c>
      <c r="K19" s="72">
        <f>'Fug (16)'!total_ghg_mass</f>
        <v>0</v>
      </c>
      <c r="L19" s="72">
        <f>'Fug (16)'!total_ghg_co2e</f>
        <v>0</v>
      </c>
    </row>
    <row r="20" spans="1:12" x14ac:dyDescent="0.2">
      <c r="A20" s="14" t="str">
        <f>"Fug (" &amp; TEXT(ROW(A17), "0") &amp; ")"</f>
        <v>Fug (17)</v>
      </c>
      <c r="B20" s="189">
        <f>'Fug (17)'!EPN</f>
        <v>0</v>
      </c>
      <c r="C20" s="72">
        <f>'Fug (17)'!total_hourly</f>
        <v>0</v>
      </c>
      <c r="D20" s="72">
        <f>'Fug (17)'!total_annual</f>
        <v>0</v>
      </c>
      <c r="E20" s="72">
        <f>'Fug (17)'!total_voc_hourly</f>
        <v>0</v>
      </c>
      <c r="F20" s="72">
        <f>'Fug (17)'!total_voc_annual</f>
        <v>0</v>
      </c>
      <c r="G20" s="72">
        <f>'Fug (17)'!total_inorganic_hourly</f>
        <v>0</v>
      </c>
      <c r="H20" s="72">
        <f>'Fug (17)'!total_inorganic_annual</f>
        <v>0</v>
      </c>
      <c r="I20" s="72">
        <f>'Fug (17)'!total_exempt_hourly</f>
        <v>0</v>
      </c>
      <c r="J20" s="72">
        <f>'Fug (17)'!total_exempt_annual</f>
        <v>0</v>
      </c>
      <c r="K20" s="72">
        <f>'Fug (17)'!total_ghg_mass</f>
        <v>0</v>
      </c>
      <c r="L20" s="72">
        <f>'Fug (17)'!total_ghg_co2e</f>
        <v>0</v>
      </c>
    </row>
    <row r="21" spans="1:12" x14ac:dyDescent="0.2">
      <c r="A21" s="14" t="str">
        <f t="shared" si="0"/>
        <v>Fug (18)</v>
      </c>
      <c r="B21" s="189">
        <f>'Fug (18)'!EPN</f>
        <v>0</v>
      </c>
      <c r="C21" s="72">
        <f>'Fug (18)'!total_hourly</f>
        <v>0</v>
      </c>
      <c r="D21" s="72">
        <f>'Fug (18)'!total_annual</f>
        <v>0</v>
      </c>
      <c r="E21" s="72">
        <f>'Fug (18)'!total_voc_hourly</f>
        <v>0</v>
      </c>
      <c r="F21" s="72">
        <f>'Fug (18)'!total_voc_annual</f>
        <v>0</v>
      </c>
      <c r="G21" s="72">
        <f>'Fug (18)'!total_inorganic_hourly</f>
        <v>0</v>
      </c>
      <c r="H21" s="72">
        <f>'Fug (18)'!total_inorganic_annual</f>
        <v>0</v>
      </c>
      <c r="I21" s="72">
        <f>'Fug (18)'!total_exempt_hourly</f>
        <v>0</v>
      </c>
      <c r="J21" s="72">
        <f>'Fug (18)'!total_exempt_annual</f>
        <v>0</v>
      </c>
      <c r="K21" s="72">
        <f>'Fug (18)'!total_ghg_mass</f>
        <v>0</v>
      </c>
      <c r="L21" s="72">
        <f>'Fug (18)'!total_ghg_co2e</f>
        <v>0</v>
      </c>
    </row>
    <row r="22" spans="1:12" x14ac:dyDescent="0.2">
      <c r="A22" s="14" t="str">
        <f t="shared" si="0"/>
        <v>Fug (19)</v>
      </c>
      <c r="B22" s="189">
        <f>'Fug (19)'!EPN</f>
        <v>0</v>
      </c>
      <c r="C22" s="72">
        <f>'Fug (19)'!total_hourly</f>
        <v>0</v>
      </c>
      <c r="D22" s="72">
        <f>'Fug (19)'!total_annual</f>
        <v>0</v>
      </c>
      <c r="E22" s="72">
        <f>'Fug (19)'!total_voc_hourly</f>
        <v>0</v>
      </c>
      <c r="F22" s="72">
        <f>'Fug (19)'!total_voc_annual</f>
        <v>0</v>
      </c>
      <c r="G22" s="72">
        <f>'Fug (19)'!total_inorganic_hourly</f>
        <v>0</v>
      </c>
      <c r="H22" s="72">
        <f>'Fug (19)'!total_inorganic_annual</f>
        <v>0</v>
      </c>
      <c r="I22" s="72">
        <f>'Fug (19)'!total_exempt_hourly</f>
        <v>0</v>
      </c>
      <c r="J22" s="72">
        <f>'Fug (19)'!total_exempt_annual</f>
        <v>0</v>
      </c>
      <c r="K22" s="72">
        <f>'Fug (19)'!total_ghg_mass</f>
        <v>0</v>
      </c>
      <c r="L22" s="72">
        <f>'Fug (19)'!total_ghg_co2e</f>
        <v>0</v>
      </c>
    </row>
    <row r="23" spans="1:12" x14ac:dyDescent="0.2">
      <c r="A23" s="14" t="str">
        <f t="shared" si="0"/>
        <v>Fug (20)</v>
      </c>
      <c r="B23" s="189">
        <f>'Fug (20)'!EPN</f>
        <v>0</v>
      </c>
      <c r="C23" s="72">
        <f>'Fug (20)'!total_hourly</f>
        <v>0</v>
      </c>
      <c r="D23" s="72">
        <f>'Fug (20)'!total_annual</f>
        <v>0</v>
      </c>
      <c r="E23" s="72">
        <f>'Fug (20)'!total_voc_hourly</f>
        <v>0</v>
      </c>
      <c r="F23" s="72">
        <f>'Fug (20)'!total_voc_annual</f>
        <v>0</v>
      </c>
      <c r="G23" s="72">
        <f>'Fug (20)'!total_inorganic_hourly</f>
        <v>0</v>
      </c>
      <c r="H23" s="72">
        <f>'Fug (20)'!total_inorganic_annual</f>
        <v>0</v>
      </c>
      <c r="I23" s="72">
        <f>'Fug (20)'!total_exempt_hourly</f>
        <v>0</v>
      </c>
      <c r="J23" s="72">
        <f>'Fug (20)'!total_exempt_annual</f>
        <v>0</v>
      </c>
      <c r="K23" s="72">
        <f>'Fug (20)'!total_ghg_mass</f>
        <v>0</v>
      </c>
      <c r="L23" s="72">
        <f>'Fug (20)'!total_ghg_co2e</f>
        <v>0</v>
      </c>
    </row>
    <row r="24" spans="1:12" x14ac:dyDescent="0.2">
      <c r="A24" s="14" t="str">
        <f t="shared" si="0"/>
        <v>Fug (21)</v>
      </c>
      <c r="B24" s="189">
        <f>'Fug (21)'!EPN</f>
        <v>0</v>
      </c>
      <c r="C24" s="72">
        <f>'Fug (21)'!total_hourly</f>
        <v>0</v>
      </c>
      <c r="D24" s="72">
        <f>'Fug (21)'!total_annual</f>
        <v>0</v>
      </c>
      <c r="E24" s="72">
        <f>'Fug (21)'!total_voc_hourly</f>
        <v>0</v>
      </c>
      <c r="F24" s="72">
        <f>'Fug (21)'!total_voc_annual</f>
        <v>0</v>
      </c>
      <c r="G24" s="72">
        <f>'Fug (21)'!total_inorganic_hourly</f>
        <v>0</v>
      </c>
      <c r="H24" s="72">
        <f>'Fug (21)'!total_inorganic_annual</f>
        <v>0</v>
      </c>
      <c r="I24" s="72">
        <f>'Fug (21)'!total_exempt_hourly</f>
        <v>0</v>
      </c>
      <c r="J24" s="72">
        <f>'Fug (21)'!total_exempt_annual</f>
        <v>0</v>
      </c>
      <c r="K24" s="72">
        <f>'Fug (21)'!total_ghg_mass</f>
        <v>0</v>
      </c>
      <c r="L24" s="72">
        <f>'Fug (21)'!total_ghg_co2e</f>
        <v>0</v>
      </c>
    </row>
    <row r="25" spans="1:12" x14ac:dyDescent="0.2">
      <c r="A25" s="14" t="str">
        <f t="shared" si="0"/>
        <v>Fug (22)</v>
      </c>
      <c r="B25" s="189">
        <f>'Fug (22)'!EPN</f>
        <v>0</v>
      </c>
      <c r="C25" s="72">
        <f>'Fug (22)'!total_hourly</f>
        <v>0</v>
      </c>
      <c r="D25" s="72">
        <f>'Fug (22)'!total_annual</f>
        <v>0</v>
      </c>
      <c r="E25" s="72">
        <f>'Fug (22)'!total_voc_hourly</f>
        <v>0</v>
      </c>
      <c r="F25" s="72">
        <f>'Fug (22)'!total_voc_annual</f>
        <v>0</v>
      </c>
      <c r="G25" s="72">
        <f>'Fug (22)'!total_inorganic_hourly</f>
        <v>0</v>
      </c>
      <c r="H25" s="72">
        <f>'Fug (22)'!total_inorganic_annual</f>
        <v>0</v>
      </c>
      <c r="I25" s="72">
        <f>'Fug (22)'!total_exempt_hourly</f>
        <v>0</v>
      </c>
      <c r="J25" s="72">
        <f>'Fug (22)'!total_exempt_annual</f>
        <v>0</v>
      </c>
      <c r="K25" s="72">
        <f>'Fug (22)'!total_ghg_mass</f>
        <v>0</v>
      </c>
      <c r="L25" s="72">
        <f>'Fug (22)'!total_ghg_co2e</f>
        <v>0</v>
      </c>
    </row>
    <row r="26" spans="1:12" x14ac:dyDescent="0.2">
      <c r="A26" s="14" t="str">
        <f t="shared" si="0"/>
        <v>Fug (23)</v>
      </c>
      <c r="B26" s="189">
        <f>'Fug (23)'!EPN</f>
        <v>0</v>
      </c>
      <c r="C26" s="72">
        <f>'Fug (23)'!total_hourly</f>
        <v>0</v>
      </c>
      <c r="D26" s="72">
        <f>'Fug (23)'!total_annual</f>
        <v>0</v>
      </c>
      <c r="E26" s="72">
        <f>'Fug (23)'!total_voc_hourly</f>
        <v>0</v>
      </c>
      <c r="F26" s="72">
        <f>'Fug (23)'!total_voc_annual</f>
        <v>0</v>
      </c>
      <c r="G26" s="72">
        <f>'Fug (23)'!total_inorganic_hourly</f>
        <v>0</v>
      </c>
      <c r="H26" s="72">
        <f>'Fug (23)'!total_inorganic_annual</f>
        <v>0</v>
      </c>
      <c r="I26" s="72">
        <f>'Fug (23)'!total_exempt_hourly</f>
        <v>0</v>
      </c>
      <c r="J26" s="72">
        <f>'Fug (23)'!total_exempt_annual</f>
        <v>0</v>
      </c>
      <c r="K26" s="72">
        <f>'Fug (23)'!total_ghg_mass</f>
        <v>0</v>
      </c>
      <c r="L26" s="72">
        <f>'Fug (23)'!total_ghg_co2e</f>
        <v>0</v>
      </c>
    </row>
    <row r="27" spans="1:12" x14ac:dyDescent="0.2">
      <c r="A27" s="14" t="str">
        <f>"Fug (" &amp; TEXT(ROW(A24), "0") &amp; ")"</f>
        <v>Fug (24)</v>
      </c>
      <c r="B27" s="189">
        <f>'Fug (24)'!EPN</f>
        <v>0</v>
      </c>
      <c r="C27" s="72">
        <f>'Fug (24)'!total_hourly</f>
        <v>0</v>
      </c>
      <c r="D27" s="72">
        <f>'Fug (24)'!total_annual</f>
        <v>0</v>
      </c>
      <c r="E27" s="72">
        <f>'Fug (24)'!total_voc_hourly</f>
        <v>0</v>
      </c>
      <c r="F27" s="72">
        <f>'Fug (24)'!total_voc_annual</f>
        <v>0</v>
      </c>
      <c r="G27" s="72">
        <f>'Fug (24)'!total_inorganic_hourly</f>
        <v>0</v>
      </c>
      <c r="H27" s="72">
        <f>'Fug (24)'!total_inorganic_annual</f>
        <v>0</v>
      </c>
      <c r="I27" s="72">
        <f>'Fug (24)'!total_exempt_hourly</f>
        <v>0</v>
      </c>
      <c r="J27" s="72">
        <f>'Fug (24)'!total_exempt_annual</f>
        <v>0</v>
      </c>
      <c r="K27" s="72">
        <f>'Fug (24)'!total_ghg_mass</f>
        <v>0</v>
      </c>
      <c r="L27" s="72">
        <f>'Fug (24)'!total_ghg_co2e</f>
        <v>0</v>
      </c>
    </row>
    <row r="28" spans="1:12" x14ac:dyDescent="0.2">
      <c r="A28" s="14" t="str">
        <f t="shared" si="0"/>
        <v>Fug (25)</v>
      </c>
      <c r="B28" s="189">
        <f>'Fug (25)'!EPN</f>
        <v>0</v>
      </c>
      <c r="C28" s="72">
        <f>'Fug (25)'!total_hourly</f>
        <v>0</v>
      </c>
      <c r="D28" s="72">
        <f>'Fug (25)'!total_annual</f>
        <v>0</v>
      </c>
      <c r="E28" s="72">
        <f>'Fug (25)'!total_voc_hourly</f>
        <v>0</v>
      </c>
      <c r="F28" s="72">
        <f>'Fug (25)'!total_voc_annual</f>
        <v>0</v>
      </c>
      <c r="G28" s="72">
        <f>'Fug (25)'!total_inorganic_hourly</f>
        <v>0</v>
      </c>
      <c r="H28" s="72">
        <f>'Fug (25)'!total_inorganic_annual</f>
        <v>0</v>
      </c>
      <c r="I28" s="72">
        <f>'Fug (25)'!total_exempt_hourly</f>
        <v>0</v>
      </c>
      <c r="J28" s="72">
        <f>'Fug (25)'!total_exempt_annual</f>
        <v>0</v>
      </c>
      <c r="K28" s="72">
        <f>'Fug (25)'!total_ghg_mass</f>
        <v>0</v>
      </c>
      <c r="L28" s="72">
        <f>'Fug (25)'!total_ghg_co2e</f>
        <v>0</v>
      </c>
    </row>
    <row r="29" spans="1:12" x14ac:dyDescent="0.2">
      <c r="A29" s="14" t="s">
        <v>12766</v>
      </c>
      <c r="B29" s="14"/>
      <c r="C29" s="72">
        <f>SUBTOTAL(109,summary[Total Emission
Rate (hourly lbs/hr) (excluding GHG / Inert / Not a Contaminant)])</f>
        <v>0</v>
      </c>
      <c r="D29" s="72">
        <f>SUBTOTAL(109,summary[Total Emission
Rate (annual, tpy) (excluding GHG / Inert / Not a Contaminant)])</f>
        <v>0</v>
      </c>
      <c r="E29" s="72">
        <f>SUBTOTAL(109,summary[Total VOC
Emission Rate (hourly, lbs/hr)])</f>
        <v>0</v>
      </c>
      <c r="F29" s="72">
        <f>SUBTOTAL(109,summary[Total VOC
Emission Rate (annual, tpy)])</f>
        <v>0</v>
      </c>
      <c r="G29" s="72">
        <f>SUBTOTAL(109,summary[Total Inorganic
Emission Rate (hourly, lbs/hr)])</f>
        <v>0</v>
      </c>
      <c r="H29" s="72">
        <f>SUBTOTAL(109,summary[Total Inorganic
Emission Rate (annual, tpy)])</f>
        <v>0</v>
      </c>
      <c r="I29" s="72">
        <f>SUBTOTAL(109,summary[Total Exempt Solvent
Emission Rate (hourly, lbs/hr)])</f>
        <v>0</v>
      </c>
      <c r="J29" s="72">
        <f>SUBTOTAL(109,summary[Total Exempt Solvent
Emission Rate (annual, tpy)])</f>
        <v>0</v>
      </c>
      <c r="K29" s="72">
        <f>SUBTOTAL(109,summary[Total GHG Emission Rate (tpy, mass basis)])</f>
        <v>0</v>
      </c>
      <c r="L29" s="72">
        <f>SUBTOTAL(109,summary[Total GHG Emission Rate (tpy, CO2e)])</f>
        <v>0</v>
      </c>
    </row>
  </sheetData>
  <sheetProtection algorithmName="SHA-512" hashValue="DqVYDr2DM4eSWkHzpC+Cmxffp3qFc/WE7h4nFw5EMu/1lWrBSYyZDaDcYiufAPhc3kwgQZk6dISAbxQQElqSlg==" saltValue="3VFrPVKD3o4J1JXQLHY44Q==" spinCount="100000" sheet="1" objects="1" scenarios="1" formatColumns="0" formatRows="0" autoFilter="0"/>
  <phoneticPr fontId="17" type="noConversion"/>
  <pageMargins left="0.7" right="0.7" top="0.75" bottom="0.75" header="0.3" footer="0.3"/>
  <pageSetup scale="41" fitToHeight="0" orientation="landscape" r:id="rId1"/>
  <headerFooter>
    <oddHeader>&amp;CFugitive Calculation Workbook: Summary</oddHeader>
  </headerFooter>
  <ignoredErrors>
    <ignoredError sqref="B4:J28" calculatedColumn="1"/>
  </ignoredErrors>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F32A-2269-4EB4-9649-6FC3D1AD397B}">
  <sheetPr codeName="Sheet23">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INDEX((standard_components_181[[#This Row],[Component]]=factor_eff_table[Component])*(standard_components_181[[#This Row],[Service]]=factor_eff_table[Service]), 0, 1), 0)),
 "-")</f>
        <v>-</v>
      </c>
      <c r="E25" s="145" t="str" cm="1">
        <f t="array" ref="E2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25" s="145" t="str" cm="1">
        <f t="array" ref="F2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25" s="145" t="str" cm="1">
        <f t="array" ref="G2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2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2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INDEX((standard_components_181[[#This Row],[Component]]=factor_eff_table[Component])*(standard_components_181[[#This Row],[Service]]=factor_eff_table[Service]), 0, 1), 0)),
 "-")</f>
        <v>-</v>
      </c>
      <c r="E26" s="145" t="str" cm="1">
        <f t="array" ref="E2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26" s="145" t="str" cm="1">
        <f t="array" ref="F2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26" s="145" t="str" cm="1">
        <f t="array" ref="G2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2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2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INDEX((standard_components_181[[#This Row],[Component]]=factor_eff_table[Component])*(standard_components_181[[#This Row],[Service]]=factor_eff_table[Service]), 0, 1), 0)),
 "-")</f>
        <v>-</v>
      </c>
      <c r="E27" s="145" t="str" cm="1">
        <f t="array" ref="E2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27" s="145" t="str" cm="1">
        <f t="array" ref="F2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27" s="145" t="str" cm="1">
        <f t="array" ref="G2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2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2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INDEX((standard_components_181[[#This Row],[Component]]=factor_eff_table[Component])*(standard_components_181[[#This Row],[Service]]=factor_eff_table[Service]), 0, 1), 0)),
 "-")</f>
        <v>-</v>
      </c>
      <c r="E28" s="145" t="str" cm="1">
        <f t="array" ref="E2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28" s="145" t="str" cm="1">
        <f t="array" ref="F2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28" s="145" t="str" cm="1">
        <f t="array" ref="G2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2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2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INDEX((standard_components_181[[#This Row],[Component]]=factor_eff_table[Component])*(standard_components_181[[#This Row],[Service]]=factor_eff_table[Service]), 0, 1), 0)),
 "-")</f>
        <v>-</v>
      </c>
      <c r="E29" s="145" t="str" cm="1">
        <f t="array" ref="E2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29" s="145" t="str" cm="1">
        <f t="array" ref="F2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29" s="145" t="str" cm="1">
        <f t="array" ref="G2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2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2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INDEX((standard_components_181[[#This Row],[Component]]=factor_eff_table[Component])*(standard_components_181[[#This Row],[Service]]=factor_eff_table[Service]), 0, 1), 0)),
 "-")</f>
        <v>-</v>
      </c>
      <c r="E30" s="145" t="str" cm="1">
        <f t="array" ref="E3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0" s="145" t="str" cm="1">
        <f t="array" ref="F3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0" s="145" t="str" cm="1">
        <f t="array" ref="G3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INDEX((standard_components_181[[#This Row],[Component]]=factor_eff_table[Component])*(standard_components_181[[#This Row],[Service]]=factor_eff_table[Service]), 0, 1), 0)),
 "-")</f>
        <v>-</v>
      </c>
      <c r="E31" s="145" t="str" cm="1">
        <f t="array" ref="E3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1" s="145" t="str" cm="1">
        <f t="array" ref="F3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1" s="145" t="str" cm="1">
        <f t="array" ref="G3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INDEX((standard_components_181[[#This Row],[Component]]=factor_eff_table[Component])*(standard_components_181[[#This Row],[Service]]=factor_eff_table[Service]), 0, 1), 0)),
 "-")</f>
        <v>-</v>
      </c>
      <c r="E32" s="145" t="str" cm="1">
        <f t="array" ref="E3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2" s="145" t="str" cm="1">
        <f t="array" ref="F3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2" s="145" t="str" cm="1">
        <f t="array" ref="G3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INDEX((standard_components_181[[#This Row],[Component]]=factor_eff_table[Component])*(standard_components_181[[#This Row],[Service]]=factor_eff_table[Service]), 0, 1), 0)),
 "-")</f>
        <v>-</v>
      </c>
      <c r="E33" s="145" t="str" cm="1">
        <f t="array" ref="E3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3" s="145" t="str" cm="1">
        <f t="array" ref="F3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3" s="145" t="str" cm="1">
        <f t="array" ref="G3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INDEX((standard_components_181[[#This Row],[Component]]=factor_eff_table[Component])*(standard_components_181[[#This Row],[Service]]=factor_eff_table[Service]), 0, 1), 0)),
 "-")</f>
        <v>-</v>
      </c>
      <c r="E34" s="145" t="str" cm="1">
        <f t="array" ref="E3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4" s="145" t="str" cm="1">
        <f t="array" ref="F3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4" s="145" t="str" cm="1">
        <f t="array" ref="G3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INDEX((standard_components_181[[#This Row],[Component]]=factor_eff_table[Component])*(standard_components_181[[#This Row],[Service]]=factor_eff_table[Service]), 0, 1), 0)),
 "-")</f>
        <v>-</v>
      </c>
      <c r="E35" s="145" t="str" cm="1">
        <f t="array" ref="E3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5" s="145" t="str" cm="1">
        <f t="array" ref="F3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5" s="145" t="str" cm="1">
        <f t="array" ref="G3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INDEX((standard_components_181[[#This Row],[Component]]=factor_eff_table[Component])*(standard_components_181[[#This Row],[Service]]=factor_eff_table[Service]), 0, 1), 0)),
 "-")</f>
        <v>-</v>
      </c>
      <c r="E36" s="145" t="str" cm="1">
        <f t="array" ref="E3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6" s="145" t="str" cm="1">
        <f t="array" ref="F3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6" s="145" t="str" cm="1">
        <f t="array" ref="G3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INDEX((standard_components_181[[#This Row],[Component]]=factor_eff_table[Component])*(standard_components_181[[#This Row],[Service]]=factor_eff_table[Service]), 0, 1), 0)),
 "-")</f>
        <v>-</v>
      </c>
      <c r="E37" s="145" t="str" cm="1">
        <f t="array" ref="E3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7" s="145" t="str" cm="1">
        <f t="array" ref="F3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7" s="145" t="str" cm="1">
        <f t="array" ref="G3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INDEX((standard_components_181[[#This Row],[Component]]=factor_eff_table[Component])*(standard_components_181[[#This Row],[Service]]=factor_eff_table[Service]), 0, 1), 0)),
 "-")</f>
        <v>-</v>
      </c>
      <c r="E38" s="145" t="str" cm="1">
        <f t="array" ref="E3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8" s="145" t="str" cm="1">
        <f t="array" ref="F3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8" s="145" t="str" cm="1">
        <f t="array" ref="G3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INDEX((standard_components_181[[#This Row],[Component]]=factor_eff_table[Component])*(standard_components_181[[#This Row],[Service]]=factor_eff_table[Service]), 0, 1), 0)),
 "-")</f>
        <v>-</v>
      </c>
      <c r="E39" s="145" t="str" cm="1">
        <f t="array" ref="E3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39" s="145" t="str" cm="1">
        <f t="array" ref="F3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39" s="145" t="str" cm="1">
        <f t="array" ref="G3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3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3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INDEX((standard_components_181[[#This Row],[Component]]=factor_eff_table[Component])*(standard_components_181[[#This Row],[Service]]=factor_eff_table[Service]), 0, 1), 0)),
 "-")</f>
        <v>-</v>
      </c>
      <c r="E40" s="145" t="str" cm="1">
        <f t="array" ref="E4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0" s="145" t="str" cm="1">
        <f t="array" ref="F4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0" s="145" t="str" cm="1">
        <f t="array" ref="G4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INDEX((standard_components_181[[#This Row],[Component]]=factor_eff_table[Component])*(standard_components_181[[#This Row],[Service]]=factor_eff_table[Service]), 0, 1), 0)),
 "-")</f>
        <v>-</v>
      </c>
      <c r="E41" s="145" t="str" cm="1">
        <f t="array" ref="E4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1" s="145" t="str" cm="1">
        <f t="array" ref="F4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1" s="145" t="str" cm="1">
        <f t="array" ref="G4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INDEX((standard_components_181[[#This Row],[Component]]=factor_eff_table[Component])*(standard_components_181[[#This Row],[Service]]=factor_eff_table[Service]), 0, 1), 0)),
 "-")</f>
        <v>-</v>
      </c>
      <c r="E42" s="145" t="str" cm="1">
        <f t="array" ref="E4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2" s="145" t="str" cm="1">
        <f t="array" ref="F4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2" s="145" t="str" cm="1">
        <f t="array" ref="G4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INDEX((standard_components_181[[#This Row],[Component]]=factor_eff_table[Component])*(standard_components_181[[#This Row],[Service]]=factor_eff_table[Service]), 0, 1), 0)),
 "-")</f>
        <v>-</v>
      </c>
      <c r="E43" s="145" t="str" cm="1">
        <f t="array" ref="E4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3" s="145" t="str" cm="1">
        <f t="array" ref="F4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3" s="145" t="str" cm="1">
        <f t="array" ref="G4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INDEX((standard_components_181[[#This Row],[Component]]=factor_eff_table[Component])*(standard_components_181[[#This Row],[Service]]=factor_eff_table[Service]), 0, 1), 0)),
 "-")</f>
        <v>-</v>
      </c>
      <c r="E44" s="145" t="str" cm="1">
        <f t="array" ref="E4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4" s="145" t="str" cm="1">
        <f t="array" ref="F4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4" s="145" t="str" cm="1">
        <f t="array" ref="G4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INDEX((standard_components_181[[#This Row],[Component]]=factor_eff_table[Component])*(standard_components_181[[#This Row],[Service]]=factor_eff_table[Service]), 0, 1), 0)),
 "-")</f>
        <v>-</v>
      </c>
      <c r="E45" s="145" t="str" cm="1">
        <f t="array" ref="E4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5" s="145" t="str" cm="1">
        <f t="array" ref="F4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5" s="145" t="str" cm="1">
        <f t="array" ref="G4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INDEX((standard_components_181[[#This Row],[Component]]=factor_eff_table[Component])*(standard_components_181[[#This Row],[Service]]=factor_eff_table[Service]), 0, 1), 0)),
 "-")</f>
        <v>-</v>
      </c>
      <c r="E46" s="145" t="str" cm="1">
        <f t="array" ref="E4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6" s="145" t="str" cm="1">
        <f t="array" ref="F4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6" s="145" t="str" cm="1">
        <f t="array" ref="G4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INDEX((standard_components_181[[#This Row],[Component]]=factor_eff_table[Component])*(standard_components_181[[#This Row],[Service]]=factor_eff_table[Service]), 0, 1), 0)),
 "-")</f>
        <v>-</v>
      </c>
      <c r="E47" s="145" t="str" cm="1">
        <f t="array" ref="E4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7" s="145" t="str" cm="1">
        <f t="array" ref="F4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7" s="145" t="str" cm="1">
        <f t="array" ref="G4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INDEX((standard_components_181[[#This Row],[Component]]=factor_eff_table[Component])*(standard_components_181[[#This Row],[Service]]=factor_eff_table[Service]), 0, 1), 0)),
 "-")</f>
        <v>-</v>
      </c>
      <c r="E48" s="145" t="str" cm="1">
        <f t="array" ref="E4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8" s="145" t="str" cm="1">
        <f t="array" ref="F4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8" s="145" t="str" cm="1">
        <f t="array" ref="G4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INDEX((standard_components_181[[#This Row],[Component]]=factor_eff_table[Component])*(standard_components_181[[#This Row],[Service]]=factor_eff_table[Service]), 0, 1), 0)),
 "-")</f>
        <v>-</v>
      </c>
      <c r="E49" s="145" t="str" cm="1">
        <f t="array" ref="E4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49" s="145" t="str" cm="1">
        <f t="array" ref="F4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49" s="145" t="str" cm="1">
        <f t="array" ref="G4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4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4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INDEX((standard_components_181[[#This Row],[Component]]=factor_eff_table[Component])*(standard_components_181[[#This Row],[Service]]=factor_eff_table[Service]), 0, 1), 0)),
 "-")</f>
        <v>-</v>
      </c>
      <c r="E50" s="145" t="str" cm="1">
        <f t="array" ref="E5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0" s="145" t="str" cm="1">
        <f t="array" ref="F5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0" s="145" t="str" cm="1">
        <f t="array" ref="G5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INDEX((standard_components_181[[#This Row],[Component]]=factor_eff_table[Component])*(standard_components_181[[#This Row],[Service]]=factor_eff_table[Service]), 0, 1), 0)),
 "-")</f>
        <v>-</v>
      </c>
      <c r="E51" s="145" t="str" cm="1">
        <f t="array" ref="E5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1" s="145" t="str" cm="1">
        <f t="array" ref="F5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1" s="145" t="str" cm="1">
        <f t="array" ref="G5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INDEX((standard_components_181[[#This Row],[Component]]=factor_eff_table[Component])*(standard_components_181[[#This Row],[Service]]=factor_eff_table[Service]), 0, 1), 0)),
 "-")</f>
        <v>-</v>
      </c>
      <c r="E52" s="145" t="str" cm="1">
        <f t="array" ref="E5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2" s="145" t="str" cm="1">
        <f t="array" ref="F5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2" s="145" t="str" cm="1">
        <f t="array" ref="G5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INDEX((standard_components_181[[#This Row],[Component]]=factor_eff_table[Component])*(standard_components_181[[#This Row],[Service]]=factor_eff_table[Service]), 0, 1), 0)),
 "-")</f>
        <v>-</v>
      </c>
      <c r="E53" s="145" t="str" cm="1">
        <f t="array" ref="E5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3" s="145" t="str" cm="1">
        <f t="array" ref="F5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3" s="145" t="str" cm="1">
        <f t="array" ref="G5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INDEX((standard_components_181[[#This Row],[Component]]=factor_eff_table[Component])*(standard_components_181[[#This Row],[Service]]=factor_eff_table[Service]), 0, 1), 0)),
 "-")</f>
        <v>-</v>
      </c>
      <c r="E54" s="145" t="str" cm="1">
        <f t="array" ref="E5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4" s="145" t="str" cm="1">
        <f t="array" ref="F5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4" s="145" t="str" cm="1">
        <f t="array" ref="G5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INDEX((standard_components_181[[#This Row],[Component]]=factor_eff_table[Component])*(standard_components_181[[#This Row],[Service]]=factor_eff_table[Service]), 0, 1), 0)),
 "-")</f>
        <v>-</v>
      </c>
      <c r="E55" s="145" t="str" cm="1">
        <f t="array" ref="E5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5" s="145" t="str" cm="1">
        <f t="array" ref="F5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5" s="145" t="str" cm="1">
        <f t="array" ref="G5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INDEX((standard_components_181[[#This Row],[Component]]=factor_eff_table[Component])*(standard_components_181[[#This Row],[Service]]=factor_eff_table[Service]), 0, 1), 0)),
 "-")</f>
        <v>-</v>
      </c>
      <c r="E56" s="145" t="str" cm="1">
        <f t="array" ref="E5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6" s="145" t="str" cm="1">
        <f t="array" ref="F5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6" s="145" t="str" cm="1">
        <f t="array" ref="G5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INDEX((standard_components_181[[#This Row],[Component]]=factor_eff_table[Component])*(standard_components_181[[#This Row],[Service]]=factor_eff_table[Service]), 0, 1), 0)),
 "-")</f>
        <v>-</v>
      </c>
      <c r="E57" s="145" t="str" cm="1">
        <f t="array" ref="E5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7" s="145" t="str" cm="1">
        <f t="array" ref="F5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7" s="145" t="str" cm="1">
        <f t="array" ref="G5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INDEX((standard_components_181[[#This Row],[Component]]=factor_eff_table[Component])*(standard_components_181[[#This Row],[Service]]=factor_eff_table[Service]), 0, 1), 0)),
 "-")</f>
        <v>-</v>
      </c>
      <c r="E58" s="145" t="str" cm="1">
        <f t="array" ref="E5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8" s="145" t="str" cm="1">
        <f t="array" ref="F5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8" s="145" t="str" cm="1">
        <f t="array" ref="G5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INDEX((standard_components_181[[#This Row],[Component]]=factor_eff_table[Component])*(standard_components_181[[#This Row],[Service]]=factor_eff_table[Service]), 0, 1), 0)),
 "-")</f>
        <v>-</v>
      </c>
      <c r="E59" s="145" t="str" cm="1">
        <f t="array" ref="E5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59" s="145" t="str" cm="1">
        <f t="array" ref="F5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59" s="145" t="str" cm="1">
        <f t="array" ref="G5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5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5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INDEX((standard_components_181[[#This Row],[Component]]=factor_eff_table[Component])*(standard_components_181[[#This Row],[Service]]=factor_eff_table[Service]), 0, 1), 0)),
 "-")</f>
        <v>-</v>
      </c>
      <c r="E60" s="145" t="str" cm="1">
        <f t="array" ref="E6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0" s="145" t="str" cm="1">
        <f t="array" ref="F6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0" s="145" t="str" cm="1">
        <f t="array" ref="G6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INDEX((standard_components_181[[#This Row],[Component]]=factor_eff_table[Component])*(standard_components_181[[#This Row],[Service]]=factor_eff_table[Service]), 0, 1), 0)),
 "-")</f>
        <v>-</v>
      </c>
      <c r="E61" s="145" t="str" cm="1">
        <f t="array" ref="E6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1" s="145" t="str" cm="1">
        <f t="array" ref="F6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1" s="145" t="str" cm="1">
        <f t="array" ref="G6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INDEX((standard_components_181[[#This Row],[Component]]=factor_eff_table[Component])*(standard_components_181[[#This Row],[Service]]=factor_eff_table[Service]), 0, 1), 0)),
 "-")</f>
        <v>-</v>
      </c>
      <c r="E62" s="145" t="str" cm="1">
        <f t="array" ref="E6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2" s="145" t="str" cm="1">
        <f t="array" ref="F6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2" s="145" t="str" cm="1">
        <f t="array" ref="G6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INDEX((standard_components_181[[#This Row],[Component]]=factor_eff_table[Component])*(standard_components_181[[#This Row],[Service]]=factor_eff_table[Service]), 0, 1), 0)),
 "-")</f>
        <v>-</v>
      </c>
      <c r="E63" s="145" t="str" cm="1">
        <f t="array" ref="E6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3" s="145" t="str" cm="1">
        <f t="array" ref="F6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3" s="145" t="str" cm="1">
        <f t="array" ref="G6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INDEX((standard_components_181[[#This Row],[Component]]=factor_eff_table[Component])*(standard_components_181[[#This Row],[Service]]=factor_eff_table[Service]), 0, 1), 0)),
 "-")</f>
        <v>-</v>
      </c>
      <c r="E64" s="145" t="str" cm="1">
        <f t="array" ref="E6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4" s="145" t="str" cm="1">
        <f t="array" ref="F6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4" s="145" t="str" cm="1">
        <f t="array" ref="G6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INDEX((standard_components_181[[#This Row],[Component]]=factor_eff_table[Component])*(standard_components_181[[#This Row],[Service]]=factor_eff_table[Service]), 0, 1), 0)),
 "-")</f>
        <v>-</v>
      </c>
      <c r="E65" s="145" t="str" cm="1">
        <f t="array" ref="E6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5" s="145" t="str" cm="1">
        <f t="array" ref="F6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5" s="145" t="str" cm="1">
        <f t="array" ref="G6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INDEX((standard_components_181[[#This Row],[Component]]=factor_eff_table[Component])*(standard_components_181[[#This Row],[Service]]=factor_eff_table[Service]), 0, 1), 0)),
 "-")</f>
        <v>-</v>
      </c>
      <c r="E66" s="145" t="str" cm="1">
        <f t="array" ref="E6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6" s="145" t="str" cm="1">
        <f t="array" ref="F6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6" s="145" t="str" cm="1">
        <f t="array" ref="G6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INDEX((standard_components_181[[#This Row],[Component]]=factor_eff_table[Component])*(standard_components_181[[#This Row],[Service]]=factor_eff_table[Service]), 0, 1), 0)),
 "-")</f>
        <v>-</v>
      </c>
      <c r="E67" s="145" t="str" cm="1">
        <f t="array" ref="E6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7" s="145" t="str" cm="1">
        <f t="array" ref="F6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7" s="145" t="str" cm="1">
        <f t="array" ref="G6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INDEX((standard_components_181[[#This Row],[Component]]=factor_eff_table[Component])*(standard_components_181[[#This Row],[Service]]=factor_eff_table[Service]), 0, 1), 0)),
 "-")</f>
        <v>-</v>
      </c>
      <c r="E68" s="145" t="str" cm="1">
        <f t="array" ref="E6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8" s="145" t="str" cm="1">
        <f t="array" ref="F6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8" s="145" t="str" cm="1">
        <f t="array" ref="G6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INDEX((standard_components_181[[#This Row],[Component]]=factor_eff_table[Component])*(standard_components_181[[#This Row],[Service]]=factor_eff_table[Service]), 0, 1), 0)),
 "-")</f>
        <v>-</v>
      </c>
      <c r="E69" s="145" t="str" cm="1">
        <f t="array" ref="E6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69" s="145" t="str" cm="1">
        <f t="array" ref="F6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69" s="145" t="str" cm="1">
        <f t="array" ref="G6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6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6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INDEX((standard_components_181[[#This Row],[Component]]=factor_eff_table[Component])*(standard_components_181[[#This Row],[Service]]=factor_eff_table[Service]), 0, 1), 0)),
 "-")</f>
        <v>-</v>
      </c>
      <c r="E70" s="145" t="str" cm="1">
        <f t="array" ref="E7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0" s="145" t="str" cm="1">
        <f t="array" ref="F7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0" s="145" t="str" cm="1">
        <f t="array" ref="G7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INDEX((standard_components_181[[#This Row],[Component]]=factor_eff_table[Component])*(standard_components_181[[#This Row],[Service]]=factor_eff_table[Service]), 0, 1), 0)),
 "-")</f>
        <v>-</v>
      </c>
      <c r="E71" s="145" t="str" cm="1">
        <f t="array" ref="E7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1" s="145" t="str" cm="1">
        <f t="array" ref="F7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1" s="145" t="str" cm="1">
        <f t="array" ref="G7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INDEX((standard_components_181[[#This Row],[Component]]=factor_eff_table[Component])*(standard_components_181[[#This Row],[Service]]=factor_eff_table[Service]), 0, 1), 0)),
 "-")</f>
        <v>-</v>
      </c>
      <c r="E72" s="145" t="str" cm="1">
        <f t="array" ref="E7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2" s="145" t="str" cm="1">
        <f t="array" ref="F7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2" s="145" t="str" cm="1">
        <f t="array" ref="G7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INDEX((standard_components_181[[#This Row],[Component]]=factor_eff_table[Component])*(standard_components_181[[#This Row],[Service]]=factor_eff_table[Service]), 0, 1), 0)),
 "-")</f>
        <v>-</v>
      </c>
      <c r="E73" s="145" t="str" cm="1">
        <f t="array" ref="E7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3" s="145" t="str" cm="1">
        <f t="array" ref="F7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3" s="145" t="str" cm="1">
        <f t="array" ref="G7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INDEX((standard_components_181[[#This Row],[Component]]=factor_eff_table[Component])*(standard_components_181[[#This Row],[Service]]=factor_eff_table[Service]), 0, 1), 0)),
 "-")</f>
        <v>-</v>
      </c>
      <c r="E74" s="145" t="str" cm="1">
        <f t="array" ref="E7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4" s="145" t="str" cm="1">
        <f t="array" ref="F7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4" s="145" t="str" cm="1">
        <f t="array" ref="G7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INDEX((standard_components_181[[#This Row],[Component]]=factor_eff_table[Component])*(standard_components_181[[#This Row],[Service]]=factor_eff_table[Service]), 0, 1), 0)),
 "-")</f>
        <v>-</v>
      </c>
      <c r="E75" s="145" t="str" cm="1">
        <f t="array" ref="E7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5" s="145" t="str" cm="1">
        <f t="array" ref="F7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5" s="145" t="str" cm="1">
        <f t="array" ref="G7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INDEX((standard_components_181[[#This Row],[Component]]=factor_eff_table[Component])*(standard_components_181[[#This Row],[Service]]=factor_eff_table[Service]), 0, 1), 0)),
 "-")</f>
        <v>-</v>
      </c>
      <c r="E76" s="145" t="str" cm="1">
        <f t="array" ref="E7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6" s="145" t="str" cm="1">
        <f t="array" ref="F7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6" s="145" t="str" cm="1">
        <f t="array" ref="G7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INDEX((standard_components_181[[#This Row],[Component]]=factor_eff_table[Component])*(standard_components_181[[#This Row],[Service]]=factor_eff_table[Service]), 0, 1), 0)),
 "-")</f>
        <v>-</v>
      </c>
      <c r="E77" s="145" t="str" cm="1">
        <f t="array" ref="E7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7" s="145" t="str" cm="1">
        <f t="array" ref="F7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7" s="145" t="str" cm="1">
        <f t="array" ref="G7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INDEX((standard_components_181[[#This Row],[Component]]=factor_eff_table[Component])*(standard_components_181[[#This Row],[Service]]=factor_eff_table[Service]), 0, 1), 0)),
 "-")</f>
        <v>-</v>
      </c>
      <c r="E78" s="145" t="str" cm="1">
        <f t="array" ref="E7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8" s="145" t="str" cm="1">
        <f t="array" ref="F7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8" s="145" t="str" cm="1">
        <f t="array" ref="G7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INDEX((standard_components_181[[#This Row],[Component]]=factor_eff_table[Component])*(standard_components_181[[#This Row],[Service]]=factor_eff_table[Service]), 0, 1), 0)),
 "-")</f>
        <v>-</v>
      </c>
      <c r="E79" s="145" t="str" cm="1">
        <f t="array" ref="E7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79" s="145" t="str" cm="1">
        <f t="array" ref="F7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79" s="145" t="str" cm="1">
        <f t="array" ref="G7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7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7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INDEX((standard_components_181[[#This Row],[Component]]=factor_eff_table[Component])*(standard_components_181[[#This Row],[Service]]=factor_eff_table[Service]), 0, 1), 0)),
 "-")</f>
        <v>-</v>
      </c>
      <c r="E80" s="145" t="str" cm="1">
        <f t="array" ref="E8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0" s="145" t="str" cm="1">
        <f t="array" ref="F8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0" s="145" t="str" cm="1">
        <f t="array" ref="G8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INDEX((standard_components_181[[#This Row],[Component]]=factor_eff_table[Component])*(standard_components_181[[#This Row],[Service]]=factor_eff_table[Service]), 0, 1), 0)),
 "-")</f>
        <v>-</v>
      </c>
      <c r="E81" s="145" t="str" cm="1">
        <f t="array" ref="E8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1" s="145" t="str" cm="1">
        <f t="array" ref="F8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1" s="145" t="str" cm="1">
        <f t="array" ref="G8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INDEX((standard_components_181[[#This Row],[Component]]=factor_eff_table[Component])*(standard_components_181[[#This Row],[Service]]=factor_eff_table[Service]), 0, 1), 0)),
 "-")</f>
        <v>-</v>
      </c>
      <c r="E82" s="145" t="str" cm="1">
        <f t="array" ref="E8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2" s="145" t="str" cm="1">
        <f t="array" ref="F8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2" s="145" t="str" cm="1">
        <f t="array" ref="G8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INDEX((standard_components_181[[#This Row],[Component]]=factor_eff_table[Component])*(standard_components_181[[#This Row],[Service]]=factor_eff_table[Service]), 0, 1), 0)),
 "-")</f>
        <v>-</v>
      </c>
      <c r="E83" s="145" t="str" cm="1">
        <f t="array" ref="E8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3" s="145" t="str" cm="1">
        <f t="array" ref="F8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3" s="145" t="str" cm="1">
        <f t="array" ref="G8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INDEX((standard_components_181[[#This Row],[Component]]=factor_eff_table[Component])*(standard_components_181[[#This Row],[Service]]=factor_eff_table[Service]), 0, 1), 0)),
 "-")</f>
        <v>-</v>
      </c>
      <c r="E84" s="145" t="str" cm="1">
        <f t="array" ref="E8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4" s="145" t="str" cm="1">
        <f t="array" ref="F8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4" s="145" t="str" cm="1">
        <f t="array" ref="G8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INDEX((standard_components_181[[#This Row],[Component]]=factor_eff_table[Component])*(standard_components_181[[#This Row],[Service]]=factor_eff_table[Service]), 0, 1), 0)),
 "-")</f>
        <v>-</v>
      </c>
      <c r="E85" s="145" t="str" cm="1">
        <f t="array" ref="E8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5" s="145" t="str" cm="1">
        <f t="array" ref="F8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5" s="145" t="str" cm="1">
        <f t="array" ref="G8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INDEX((standard_components_181[[#This Row],[Component]]=factor_eff_table[Component])*(standard_components_181[[#This Row],[Service]]=factor_eff_table[Service]), 0, 1), 0)),
 "-")</f>
        <v>-</v>
      </c>
      <c r="E86" s="145" t="str" cm="1">
        <f t="array" ref="E8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6" s="145" t="str" cm="1">
        <f t="array" ref="F8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6" s="145" t="str" cm="1">
        <f t="array" ref="G8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INDEX((standard_components_181[[#This Row],[Component]]=factor_eff_table[Component])*(standard_components_181[[#This Row],[Service]]=factor_eff_table[Service]), 0, 1), 0)),
 "-")</f>
        <v>-</v>
      </c>
      <c r="E87" s="145" t="str" cm="1">
        <f t="array" ref="E8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7" s="145" t="str" cm="1">
        <f t="array" ref="F8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7" s="145" t="str" cm="1">
        <f t="array" ref="G8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INDEX((standard_components_181[[#This Row],[Component]]=factor_eff_table[Component])*(standard_components_181[[#This Row],[Service]]=factor_eff_table[Service]), 0, 1), 0)),
 "-")</f>
        <v>-</v>
      </c>
      <c r="E88" s="145" t="str" cm="1">
        <f t="array" ref="E8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8" s="145" t="str" cm="1">
        <f t="array" ref="F8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8" s="145" t="str" cm="1">
        <f t="array" ref="G8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INDEX((standard_components_181[[#This Row],[Component]]=factor_eff_table[Component])*(standard_components_181[[#This Row],[Service]]=factor_eff_table[Service]), 0, 1), 0)),
 "-")</f>
        <v>-</v>
      </c>
      <c r="E89" s="145" t="str" cm="1">
        <f t="array" ref="E8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89" s="145" t="str" cm="1">
        <f t="array" ref="F8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89" s="145" t="str" cm="1">
        <f t="array" ref="G8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8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8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INDEX((standard_components_181[[#This Row],[Component]]=factor_eff_table[Component])*(standard_components_181[[#This Row],[Service]]=factor_eff_table[Service]), 0, 1), 0)),
 "-")</f>
        <v>-</v>
      </c>
      <c r="E90" s="145" t="str" cm="1">
        <f t="array" ref="E9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0" s="145" t="str" cm="1">
        <f t="array" ref="F9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0" s="145" t="str" cm="1">
        <f t="array" ref="G9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INDEX((standard_components_181[[#This Row],[Component]]=factor_eff_table[Component])*(standard_components_181[[#This Row],[Service]]=factor_eff_table[Service]), 0, 1), 0)),
 "-")</f>
        <v>-</v>
      </c>
      <c r="E91" s="145" t="str" cm="1">
        <f t="array" ref="E91">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1" s="145" t="str" cm="1">
        <f t="array" ref="F91">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1" s="145" t="str" cm="1">
        <f t="array" ref="G91">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1"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1"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INDEX((standard_components_181[[#This Row],[Component]]=factor_eff_table[Component])*(standard_components_181[[#This Row],[Service]]=factor_eff_table[Service]), 0, 1), 0)),
 "-")</f>
        <v>-</v>
      </c>
      <c r="E92" s="145" t="str" cm="1">
        <f t="array" ref="E92">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2" s="145" t="str" cm="1">
        <f t="array" ref="F92">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2" s="145" t="str" cm="1">
        <f t="array" ref="G92">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2"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2"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INDEX((standard_components_181[[#This Row],[Component]]=factor_eff_table[Component])*(standard_components_181[[#This Row],[Service]]=factor_eff_table[Service]), 0, 1), 0)),
 "-")</f>
        <v>-</v>
      </c>
      <c r="E93" s="145" t="str" cm="1">
        <f t="array" ref="E93">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3" s="145" t="str" cm="1">
        <f t="array" ref="F93">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3" s="145" t="str" cm="1">
        <f t="array" ref="G93">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3"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3"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INDEX((standard_components_181[[#This Row],[Component]]=factor_eff_table[Component])*(standard_components_181[[#This Row],[Service]]=factor_eff_table[Service]), 0, 1), 0)),
 "-")</f>
        <v>-</v>
      </c>
      <c r="E94" s="145" t="str" cm="1">
        <f t="array" ref="E94">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4" s="145" t="str" cm="1">
        <f t="array" ref="F94">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4" s="145" t="str" cm="1">
        <f t="array" ref="G94">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4"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4"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INDEX((standard_components_181[[#This Row],[Component]]=factor_eff_table[Component])*(standard_components_181[[#This Row],[Service]]=factor_eff_table[Service]), 0, 1), 0)),
 "-")</f>
        <v>-</v>
      </c>
      <c r="E95" s="145" t="str" cm="1">
        <f t="array" ref="E95">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5" s="145" t="str" cm="1">
        <f t="array" ref="F95">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5" s="145" t="str" cm="1">
        <f t="array" ref="G95">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5"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5"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INDEX((standard_components_181[[#This Row],[Component]]=factor_eff_table[Component])*(standard_components_181[[#This Row],[Service]]=factor_eff_table[Service]), 0, 1), 0)),
 "-")</f>
        <v>-</v>
      </c>
      <c r="E96" s="145" t="str" cm="1">
        <f t="array" ref="E96">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6" s="145" t="str" cm="1">
        <f t="array" ref="F96">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6" s="145" t="str" cm="1">
        <f t="array" ref="G96">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6"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6"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INDEX((standard_components_181[[#This Row],[Component]]=factor_eff_table[Component])*(standard_components_181[[#This Row],[Service]]=factor_eff_table[Service]), 0, 1), 0)),
 "-")</f>
        <v>-</v>
      </c>
      <c r="E97" s="145" t="str" cm="1">
        <f t="array" ref="E97">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7" s="145" t="str" cm="1">
        <f t="array" ref="F97">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7" s="145" t="str" cm="1">
        <f t="array" ref="G97">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7"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7"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INDEX((standard_components_181[[#This Row],[Component]]=factor_eff_table[Component])*(standard_components_181[[#This Row],[Service]]=factor_eff_table[Service]), 0, 1), 0)),
 "-")</f>
        <v>-</v>
      </c>
      <c r="E98" s="145" t="str" cm="1">
        <f t="array" ref="E98">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8" s="145" t="str" cm="1">
        <f t="array" ref="F98">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8" s="145" t="str" cm="1">
        <f t="array" ref="G98">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8"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8"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INDEX((standard_components_181[[#This Row],[Component]]=factor_eff_table[Component])*(standard_components_181[[#This Row],[Service]]=factor_eff_table[Service]), 0, 1), 0)),
 "-")</f>
        <v>-</v>
      </c>
      <c r="E99" s="145" t="str" cm="1">
        <f t="array" ref="E99">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99" s="145" t="str" cm="1">
        <f t="array" ref="F99">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99" s="145" t="str" cm="1">
        <f t="array" ref="G99">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99"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99"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INDEX((standard_components_181[[#This Row],[Component]]=factor_eff_table[Component])*(standard_components_181[[#This Row],[Service]]=factor_eff_table[Service]), 0, 1), 0)),
 "-")</f>
        <v>-</v>
      </c>
      <c r="E100" s="145" t="str" cm="1">
        <f t="array" ref="E100">IF(AND(process_drain_bool="Yes",LEFT(standard_components_181[[#This Row],[Component]], LEN("Process drains"))="Process Drains", ISBLANK(instrument_ldar)=FALSE), process_drain_eff,
IFERROR(
INDEX(
INDEX(factor_eff_table[], , MATCH(instrument_ldar, factor_eff_table[#Headers], 0)),
MATCH(1, INDEX((standard_components_181[[#This Row],[Component]]=factor_eff_table[Component])*(standard_components_181[[#This Row],[Service]]=factor_eff_table[Service]), 0, 1), 0)),
 "-"))</f>
        <v>-</v>
      </c>
      <c r="F100" s="145" t="str" cm="1">
        <f t="array" ref="F100">IF(AND(process_drain_bool="Yes",LEFT(standard_components_181[[#This Row],[Component]], LEN("Process drains"))="Process Drains", ISBLANK(connector_ldar)=FALSE), process_drain_eff,
IFERROR(
INDEX(
INDEX(factor_eff_table[], , MATCH(connector_ldar, factor_eff_table[#Headers], 0)),
MATCH(1, INDEX((standard_components_181[[#This Row],[Component]]=factor_eff_table[Component])*(standard_components_181[[#This Row],[Service]]=factor_eff_table[Service]), 0, 1), 0)),
 "-"))</f>
        <v>-</v>
      </c>
      <c r="G100" s="145" t="str" cm="1">
        <f t="array" ref="G100">IF(AND(process_drain_bool="Yes",LEFT(standard_components_181[[#This Row],[Component]], LEN("Process Drains"))="Process Drains", ISBLANK(inspection_ldar)=FALSE), process_drain_eff,
IFERROR(
INDEX(
INDEX(factor_eff_table[], , MATCH(inspection_ldar, factor_eff_table[#Headers], 0)),
MATCH(1, INDEX((standard_components_181[[#This Row],[Component]]=factor_eff_table[Component])*(standard_components_181[[#This Row],[Service]]=factor_eff_table[Service]), 0, 1), 0)),
 "-"))</f>
        <v>-</v>
      </c>
      <c r="H100" s="146" t="str">
        <f>IF(standard_components_181[[#This Row],[Component]]="Sampling Connections (annual) [2]", "N/A",
 IF(standard_components_181[[#This Row],[Component]]="Sampling Connections (hourly) [1]", standard_components_181[[#This Row],[Count]]*standard_components_181[[#This Row],[Industry Emission Factor]],
IFERROR(standard_components_181[[#This Row],[Count]]*standard_components_181[[#This Row],[Industry Emission Factor]]*MIN(1-standard_components_181[[#This Row],[Instrument Monitoring LDAR Control Efficiency]], 1-standard_components_181[[#This Row],[Physical Inspection LDAR Control Efficiency]], 1-standard_components_181[[#This Row],[Connector Monitoring LDAR Control Efficiency]]), "-")))</f>
        <v>-</v>
      </c>
      <c r="I100" s="146" t="str">
        <f>IF(standard_components_181[[#This Row],[Component]]="Sampling Connections (hourly) [1]", "N/A",
 IF(standard_components_181[[#This Row],[Component]]="Sampling Connections (annual) [2]", standard_components_181[[#This Row],[Count]]*standard_components_181[[#This Row],[Industry Emission Factor]]/stons_to_lbs,
 IFERROR(years_to_hrs/stons_to_lbs*standard_components_181[[#This Row],[Controlled
lb/hr]], "-")))</f>
        <v>-</v>
      </c>
    </row>
    <row r="101" spans="1:9" ht="15" x14ac:dyDescent="0.25">
      <c r="A101" s="147" t="s">
        <v>12776</v>
      </c>
      <c r="B101" s="148"/>
      <c r="C101" s="149">
        <f>SUBTOTAL(109,standard_components_181[Count])</f>
        <v>0</v>
      </c>
      <c r="D101" s="150"/>
      <c r="E101" s="150"/>
      <c r="F101" s="150"/>
      <c r="G101" s="150"/>
      <c r="H101" s="151">
        <f>SUBTOTAL(109,standard_components_181[Controlled
lb/hr])</f>
        <v>0</v>
      </c>
      <c r="I101" s="151">
        <f>SUBTOTAL(109,standard_components_181[Controlled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unique_components_182[[#This Row],[Count]]*unique_components_182[[#This Row],[Proposed Emission Factor]]*(1-unique_components_182[[#This Row],[Proposed Control Efficiency]])</f>
        <v>0</v>
      </c>
      <c r="G107" s="155">
        <f>IFERROR(unique_components_182[[#This Row],[Controlled lb/hr]]*4.38,"")</f>
        <v>0</v>
      </c>
    </row>
    <row r="108" spans="1:9" x14ac:dyDescent="0.2">
      <c r="A108" s="103"/>
      <c r="B108" s="104"/>
      <c r="C108" s="153"/>
      <c r="D108" s="154"/>
      <c r="E108" s="154"/>
      <c r="F108" s="146">
        <f>unique_components_182[[#This Row],[Count]]*unique_components_182[[#This Row],[Proposed Emission Factor]]*(1-unique_components_182[[#This Row],[Proposed Control Efficiency]])</f>
        <v>0</v>
      </c>
      <c r="G108" s="155">
        <f>IFERROR(unique_components_182[[#This Row],[Controlled lb/hr]]*4.38,"")</f>
        <v>0</v>
      </c>
    </row>
    <row r="109" spans="1:9" x14ac:dyDescent="0.2">
      <c r="A109" s="103"/>
      <c r="B109" s="104"/>
      <c r="C109" s="153"/>
      <c r="D109" s="154"/>
      <c r="E109" s="154"/>
      <c r="F109" s="146">
        <f>unique_components_182[[#This Row],[Count]]*unique_components_182[[#This Row],[Proposed Emission Factor]]*(1-unique_components_182[[#This Row],[Proposed Control Efficiency]])</f>
        <v>0</v>
      </c>
      <c r="G109" s="155">
        <f>IFERROR(unique_components_182[[#This Row],[Controlled lb/hr]]*4.38,"")</f>
        <v>0</v>
      </c>
    </row>
    <row r="110" spans="1:9" x14ac:dyDescent="0.2">
      <c r="A110" s="103"/>
      <c r="B110" s="104"/>
      <c r="C110" s="153"/>
      <c r="D110" s="154"/>
      <c r="E110" s="154"/>
      <c r="F110" s="146">
        <f>unique_components_182[[#This Row],[Count]]*unique_components_182[[#This Row],[Proposed Emission Factor]]*(1-unique_components_182[[#This Row],[Proposed Control Efficiency]])</f>
        <v>0</v>
      </c>
      <c r="G110" s="155">
        <f>IFERROR(unique_components_182[[#This Row],[Controlled lb/hr]]*4.38,"")</f>
        <v>0</v>
      </c>
    </row>
    <row r="111" spans="1:9" x14ac:dyDescent="0.2">
      <c r="A111" s="103"/>
      <c r="B111" s="104"/>
      <c r="C111" s="153"/>
      <c r="D111" s="154"/>
      <c r="E111" s="154"/>
      <c r="F111" s="146">
        <f>unique_components_182[[#This Row],[Count]]*unique_components_182[[#This Row],[Proposed Emission Factor]]*(1-unique_components_182[[#This Row],[Proposed Control Efficiency]])</f>
        <v>0</v>
      </c>
      <c r="G111" s="155">
        <f>IFERROR(unique_components_182[[#This Row],[Controlled lb/hr]]*4.38,"")</f>
        <v>0</v>
      </c>
    </row>
    <row r="112" spans="1:9" x14ac:dyDescent="0.2">
      <c r="A112" s="103"/>
      <c r="B112" s="104"/>
      <c r="C112" s="153"/>
      <c r="D112" s="154"/>
      <c r="E112" s="154"/>
      <c r="F112" s="146">
        <f>unique_components_182[[#This Row],[Count]]*unique_components_182[[#This Row],[Proposed Emission Factor]]*(1-unique_components_182[[#This Row],[Proposed Control Efficiency]])</f>
        <v>0</v>
      </c>
      <c r="G112" s="155">
        <f>IFERROR(unique_components_182[[#This Row],[Controlled lb/hr]]*4.38,"")</f>
        <v>0</v>
      </c>
    </row>
    <row r="113" spans="1:8" x14ac:dyDescent="0.2">
      <c r="A113" s="103"/>
      <c r="B113" s="104"/>
      <c r="C113" s="153"/>
      <c r="D113" s="154"/>
      <c r="E113" s="154"/>
      <c r="F113" s="146">
        <f>unique_components_182[[#This Row],[Count]]*unique_components_182[[#This Row],[Proposed Emission Factor]]*(1-unique_components_182[[#This Row],[Proposed Control Efficiency]])</f>
        <v>0</v>
      </c>
      <c r="G113" s="155">
        <f>IFERROR(unique_components_182[[#This Row],[Controlled lb/hr]]*4.38,"")</f>
        <v>0</v>
      </c>
    </row>
    <row r="114" spans="1:8" x14ac:dyDescent="0.2">
      <c r="A114" s="103"/>
      <c r="B114" s="104"/>
      <c r="C114" s="153"/>
      <c r="D114" s="154"/>
      <c r="E114" s="154"/>
      <c r="F114" s="146">
        <f>unique_components_182[[#This Row],[Count]]*unique_components_182[[#This Row],[Proposed Emission Factor]]*(1-unique_components_182[[#This Row],[Proposed Control Efficiency]])</f>
        <v>0</v>
      </c>
      <c r="G114" s="155">
        <f>IFERROR(unique_components_182[[#This Row],[Controlled lb/hr]]*4.38,"")</f>
        <v>0</v>
      </c>
    </row>
    <row r="115" spans="1:8" x14ac:dyDescent="0.2">
      <c r="A115" s="103"/>
      <c r="B115" s="104"/>
      <c r="C115" s="153"/>
      <c r="D115" s="154"/>
      <c r="E115" s="154"/>
      <c r="F115" s="146">
        <f>unique_components_182[[#This Row],[Count]]*unique_components_182[[#This Row],[Proposed Emission Factor]]*(1-unique_components_182[[#This Row],[Proposed Control Efficiency]])</f>
        <v>0</v>
      </c>
      <c r="G115" s="155">
        <f>IFERROR(unique_components_182[[#This Row],[Controlled lb/hr]]*4.38,"")</f>
        <v>0</v>
      </c>
    </row>
    <row r="116" spans="1:8" x14ac:dyDescent="0.2">
      <c r="A116" s="103"/>
      <c r="B116" s="104"/>
      <c r="C116" s="153"/>
      <c r="D116" s="154"/>
      <c r="E116" s="154"/>
      <c r="F116" s="146">
        <f>unique_components_182[[#This Row],[Count]]*unique_components_182[[#This Row],[Proposed Emission Factor]]*(1-unique_components_182[[#This Row],[Proposed Control Efficiency]])</f>
        <v>0</v>
      </c>
      <c r="G116" s="155">
        <f>IFERROR(unique_components_182[[#This Row],[Controlled lb/hr]]*4.38,"")</f>
        <v>0</v>
      </c>
    </row>
    <row r="117" spans="1:8" x14ac:dyDescent="0.2">
      <c r="A117" s="103"/>
      <c r="B117" s="104"/>
      <c r="C117" s="153"/>
      <c r="D117" s="154"/>
      <c r="E117" s="154"/>
      <c r="F117" s="146">
        <f>unique_components_182[[#This Row],[Count]]*unique_components_182[[#This Row],[Proposed Emission Factor]]*(1-unique_components_182[[#This Row],[Proposed Control Efficiency]])</f>
        <v>0</v>
      </c>
      <c r="G117" s="155">
        <f>IFERROR(unique_components_182[[#This Row],[Controlled lb/hr]]*4.38,"")</f>
        <v>0</v>
      </c>
    </row>
    <row r="118" spans="1:8" x14ac:dyDescent="0.2">
      <c r="A118" s="103"/>
      <c r="B118" s="104"/>
      <c r="C118" s="153"/>
      <c r="D118" s="154"/>
      <c r="E118" s="154"/>
      <c r="F118" s="146">
        <f>unique_components_182[[#This Row],[Count]]*unique_components_182[[#This Row],[Proposed Emission Factor]]*(1-unique_components_182[[#This Row],[Proposed Control Efficiency]])</f>
        <v>0</v>
      </c>
      <c r="G118" s="155">
        <f>IFERROR(unique_components_182[[#This Row],[Controlled lb/hr]]*4.38,"")</f>
        <v>0</v>
      </c>
    </row>
    <row r="119" spans="1:8" x14ac:dyDescent="0.2">
      <c r="A119" s="103"/>
      <c r="B119" s="104"/>
      <c r="C119" s="153"/>
      <c r="D119" s="154"/>
      <c r="E119" s="154"/>
      <c r="F119" s="146">
        <f>unique_components_182[[#This Row],[Count]]*unique_components_182[[#This Row],[Proposed Emission Factor]]*(1-unique_components_182[[#This Row],[Proposed Control Efficiency]])</f>
        <v>0</v>
      </c>
      <c r="G119" s="155">
        <f>IFERROR(unique_components_182[[#This Row],[Controlled lb/hr]]*4.38,"")</f>
        <v>0</v>
      </c>
    </row>
    <row r="120" spans="1:8" x14ac:dyDescent="0.2">
      <c r="A120" s="103"/>
      <c r="B120" s="104"/>
      <c r="C120" s="153"/>
      <c r="D120" s="154"/>
      <c r="E120" s="154"/>
      <c r="F120" s="146">
        <f>unique_components_182[[#This Row],[Count]]*unique_components_182[[#This Row],[Proposed Emission Factor]]*(1-unique_components_182[[#This Row],[Proposed Control Efficiency]])</f>
        <v>0</v>
      </c>
      <c r="G120" s="155">
        <f>IFERROR(unique_components_182[[#This Row],[Controlled lb/hr]]*4.38,"")</f>
        <v>0</v>
      </c>
    </row>
    <row r="121" spans="1:8" x14ac:dyDescent="0.2">
      <c r="A121" s="103"/>
      <c r="B121" s="104"/>
      <c r="C121" s="153"/>
      <c r="D121" s="154"/>
      <c r="E121" s="154"/>
      <c r="F121" s="146">
        <f>unique_components_182[[#This Row],[Count]]*unique_components_182[[#This Row],[Proposed Emission Factor]]*(1-unique_components_182[[#This Row],[Proposed Control Efficiency]])</f>
        <v>0</v>
      </c>
      <c r="G121" s="155">
        <f>IFERROR(unique_components_182[[#This Row],[Controlled lb/hr]]*4.38,"")</f>
        <v>0</v>
      </c>
    </row>
    <row r="122" spans="1:8" x14ac:dyDescent="0.2">
      <c r="A122" s="103"/>
      <c r="B122" s="104"/>
      <c r="C122" s="153"/>
      <c r="D122" s="154"/>
      <c r="E122" s="154"/>
      <c r="F122" s="146">
        <f>unique_components_182[[#This Row],[Count]]*unique_components_182[[#This Row],[Proposed Emission Factor]]*(1-unique_components_182[[#This Row],[Proposed Control Efficiency]])</f>
        <v>0</v>
      </c>
      <c r="G122" s="155">
        <f>IFERROR(unique_components_182[[#This Row],[Controlled lb/hr]]*4.38,"")</f>
        <v>0</v>
      </c>
    </row>
    <row r="123" spans="1:8" x14ac:dyDescent="0.2">
      <c r="A123" s="103"/>
      <c r="B123" s="104"/>
      <c r="C123" s="153"/>
      <c r="D123" s="154"/>
      <c r="E123" s="154"/>
      <c r="F123" s="146">
        <f>unique_components_182[[#This Row],[Count]]*unique_components_182[[#This Row],[Proposed Emission Factor]]*(1-unique_components_182[[#This Row],[Proposed Control Efficiency]])</f>
        <v>0</v>
      </c>
      <c r="G123" s="155">
        <f>IFERROR(unique_components_182[[#This Row],[Controlled lb/hr]]*4.38,"")</f>
        <v>0</v>
      </c>
    </row>
    <row r="124" spans="1:8" x14ac:dyDescent="0.2">
      <c r="A124" s="103"/>
      <c r="B124" s="104"/>
      <c r="C124" s="153"/>
      <c r="D124" s="154"/>
      <c r="E124" s="154"/>
      <c r="F124" s="146">
        <f>unique_components_182[[#This Row],[Count]]*unique_components_182[[#This Row],[Proposed Emission Factor]]*(1-unique_components_182[[#This Row],[Proposed Control Efficiency]])</f>
        <v>0</v>
      </c>
      <c r="G124" s="155">
        <f>IFERROR(unique_components_182[[#This Row],[Controlled lb/hr]]*4.38,"")</f>
        <v>0</v>
      </c>
    </row>
    <row r="125" spans="1:8" x14ac:dyDescent="0.2">
      <c r="A125" s="103"/>
      <c r="B125" s="104"/>
      <c r="C125" s="153"/>
      <c r="D125" s="154"/>
      <c r="E125" s="154"/>
      <c r="F125" s="146">
        <f>unique_components_182[[#This Row],[Count]]*unique_components_182[[#This Row],[Proposed Emission Factor]]*(1-unique_components_182[[#This Row],[Proposed Control Efficiency]])</f>
        <v>0</v>
      </c>
      <c r="G125" s="155">
        <f>IFERROR(unique_components_182[[#This Row],[Controlled lb/hr]]*4.38,"")</f>
        <v>0</v>
      </c>
    </row>
    <row r="126" spans="1:8" x14ac:dyDescent="0.2">
      <c r="A126" s="105"/>
      <c r="B126" s="106"/>
      <c r="C126" s="156"/>
      <c r="D126" s="154"/>
      <c r="E126" s="157"/>
      <c r="F126" s="158">
        <f>unique_components_182[[#This Row],[Count]]*unique_components_182[[#This Row],[Proposed Emission Factor]]*(1-unique_components_182[[#This Row],[Proposed Control Efficiency]])</f>
        <v>0</v>
      </c>
      <c r="G126" s="159">
        <f>IFERROR(unique_components_182[[#This Row],[Controlled lb/hr]]*4.38,"")</f>
        <v>0</v>
      </c>
    </row>
    <row r="127" spans="1:8" ht="30" x14ac:dyDescent="0.2">
      <c r="A127" s="57" t="s">
        <v>13297</v>
      </c>
      <c r="B127" s="54"/>
      <c r="C127" s="160">
        <f>SUBTOTAL(109,unique_components_182[Count])</f>
        <v>0</v>
      </c>
      <c r="D127" s="161"/>
      <c r="E127" s="161"/>
      <c r="F127" s="162">
        <f>SUBTOTAL(109,unique_components_182[Controlled lb/hr])</f>
        <v>0</v>
      </c>
      <c r="G127" s="162">
        <f>SUBTOTAL(109,unique_components_182[Controlled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IFERROR(VLOOKUP(speciated_chemicals_183[[#This Row],[CAS '#]],species[],MATCH("Substance", species[#Headers], 0),FALSE),"No CAS Number Entered")</f>
        <v>No CAS Number Entered</v>
      </c>
      <c r="C131" s="102"/>
      <c r="D131" s="102" t="s">
        <v>12666</v>
      </c>
      <c r="E131" s="102" t="s">
        <v>12666</v>
      </c>
      <c r="F131" s="102" t="s">
        <v>12666</v>
      </c>
      <c r="G131" s="102" t="s">
        <v>12666</v>
      </c>
      <c r="H131" s="164"/>
      <c r="I131" s="51">
        <f>IF(speciated_chemicals_183[[#This Row],[Inert / Not a Contaminant?]]="Yes", 0, speciated_chemicals_183[[#This Row],[Weight Percent]]*(unique_components_182[[#Totals],[Controlled lb/hr]]+standard_components_181[[#Totals],[Controlled
lb/hr]]))</f>
        <v>0</v>
      </c>
      <c r="J131" s="51">
        <f>IF(speciated_chemicals_183[[#This Row],[Inert / Not a Contaminant?]]="Yes", 0, speciated_chemicals_183[[#This Row],[Weight Percent]]*(unique_components_182[[#Totals],[Controlled
tpy]]+standard_components_181[[#Totals],[Controlled
tpy]]))</f>
        <v>0</v>
      </c>
    </row>
    <row r="132" spans="1:10" x14ac:dyDescent="0.2">
      <c r="A132" s="103"/>
      <c r="B132" s="51" t="str">
        <f>IFERROR(VLOOKUP(speciated_chemicals_183[[#This Row],[CAS '#]],species[],MATCH("Substance", species[#Headers], 0),FALSE),"No CAS Number Entered")</f>
        <v>No CAS Number Entered</v>
      </c>
      <c r="C132" s="102"/>
      <c r="D132" s="102" t="s">
        <v>12666</v>
      </c>
      <c r="E132" s="102" t="s">
        <v>12666</v>
      </c>
      <c r="F132" s="102" t="s">
        <v>12666</v>
      </c>
      <c r="G132" s="102" t="s">
        <v>12666</v>
      </c>
      <c r="H132" s="164"/>
      <c r="I132" s="51">
        <f>IF(speciated_chemicals_183[[#This Row],[Inert / Not a Contaminant?]]="Yes", 0, speciated_chemicals_183[[#This Row],[Weight Percent]]*(unique_components_182[[#Totals],[Controlled lb/hr]]+standard_components_181[[#Totals],[Controlled
lb/hr]]))</f>
        <v>0</v>
      </c>
      <c r="J132" s="51">
        <f>IF(speciated_chemicals_183[[#This Row],[Inert / Not a Contaminant?]]="Yes", 0, speciated_chemicals_183[[#This Row],[Weight Percent]]*(unique_components_182[[#Totals],[Controlled
tpy]]+standard_components_181[[#Totals],[Controlled
tpy]]))</f>
        <v>0</v>
      </c>
    </row>
    <row r="133" spans="1:10" x14ac:dyDescent="0.2">
      <c r="A133" s="103"/>
      <c r="B133" s="51" t="str">
        <f>IFERROR(VLOOKUP(speciated_chemicals_183[[#This Row],[CAS '#]],species[],MATCH("Substance", species[#Headers], 0),FALSE),"No CAS Number Entered")</f>
        <v>No CAS Number Entered</v>
      </c>
      <c r="C133" s="102"/>
      <c r="D133" s="102" t="s">
        <v>12666</v>
      </c>
      <c r="E133" s="102" t="s">
        <v>12666</v>
      </c>
      <c r="F133" s="102" t="s">
        <v>12666</v>
      </c>
      <c r="G133" s="102" t="s">
        <v>12666</v>
      </c>
      <c r="H133" s="164"/>
      <c r="I133" s="51">
        <f>IF(speciated_chemicals_183[[#This Row],[Inert / Not a Contaminant?]]="Yes", 0, speciated_chemicals_183[[#This Row],[Weight Percent]]*(unique_components_182[[#Totals],[Controlled lb/hr]]+standard_components_181[[#Totals],[Controlled
lb/hr]]))</f>
        <v>0</v>
      </c>
      <c r="J133" s="51">
        <f>IF(speciated_chemicals_183[[#This Row],[Inert / Not a Contaminant?]]="Yes", 0, speciated_chemicals_183[[#This Row],[Weight Percent]]*(unique_components_182[[#Totals],[Controlled
tpy]]+standard_components_181[[#Totals],[Controlled
tpy]]))</f>
        <v>0</v>
      </c>
    </row>
    <row r="134" spans="1:10" x14ac:dyDescent="0.2">
      <c r="A134" s="103"/>
      <c r="B134" s="51" t="str">
        <f>IFERROR(VLOOKUP(speciated_chemicals_183[[#This Row],[CAS '#]],species[],MATCH("Substance", species[#Headers], 0),FALSE),"No CAS Number Entered")</f>
        <v>No CAS Number Entered</v>
      </c>
      <c r="C134" s="102"/>
      <c r="D134" s="102" t="s">
        <v>12666</v>
      </c>
      <c r="E134" s="102" t="s">
        <v>12666</v>
      </c>
      <c r="F134" s="102" t="s">
        <v>12666</v>
      </c>
      <c r="G134" s="102" t="s">
        <v>12666</v>
      </c>
      <c r="H134" s="164"/>
      <c r="I134" s="51">
        <f>IF(speciated_chemicals_183[[#This Row],[Inert / Not a Contaminant?]]="Yes", 0, speciated_chemicals_183[[#This Row],[Weight Percent]]*(unique_components_182[[#Totals],[Controlled lb/hr]]+standard_components_181[[#Totals],[Controlled
lb/hr]]))</f>
        <v>0</v>
      </c>
      <c r="J134" s="51">
        <f>IF(speciated_chemicals_183[[#This Row],[Inert / Not a Contaminant?]]="Yes", 0, speciated_chemicals_183[[#This Row],[Weight Percent]]*(unique_components_182[[#Totals],[Controlled
tpy]]+standard_components_181[[#Totals],[Controlled
tpy]]))</f>
        <v>0</v>
      </c>
    </row>
    <row r="135" spans="1:10" x14ac:dyDescent="0.2">
      <c r="A135" s="103"/>
      <c r="B135" s="51" t="str">
        <f>IFERROR(VLOOKUP(speciated_chemicals_183[[#This Row],[CAS '#]],species[],MATCH("Substance", species[#Headers], 0),FALSE),"No CAS Number Entered")</f>
        <v>No CAS Number Entered</v>
      </c>
      <c r="C135" s="102"/>
      <c r="D135" s="102" t="s">
        <v>12666</v>
      </c>
      <c r="E135" s="102" t="s">
        <v>12666</v>
      </c>
      <c r="F135" s="102" t="s">
        <v>12666</v>
      </c>
      <c r="G135" s="102" t="s">
        <v>12666</v>
      </c>
      <c r="H135" s="164"/>
      <c r="I135" s="51">
        <f>IF(speciated_chemicals_183[[#This Row],[Inert / Not a Contaminant?]]="Yes", 0, speciated_chemicals_183[[#This Row],[Weight Percent]]*(unique_components_182[[#Totals],[Controlled lb/hr]]+standard_components_181[[#Totals],[Controlled
lb/hr]]))</f>
        <v>0</v>
      </c>
      <c r="J135" s="51">
        <f>IF(speciated_chemicals_183[[#This Row],[Inert / Not a Contaminant?]]="Yes", 0, speciated_chemicals_183[[#This Row],[Weight Percent]]*(unique_components_182[[#Totals],[Controlled
tpy]]+standard_components_181[[#Totals],[Controlled
tpy]]))</f>
        <v>0</v>
      </c>
    </row>
    <row r="136" spans="1:10" x14ac:dyDescent="0.2">
      <c r="A136" s="103"/>
      <c r="B136" s="51" t="str">
        <f>IFERROR(VLOOKUP(speciated_chemicals_183[[#This Row],[CAS '#]],species[],MATCH("Substance", species[#Headers], 0),FALSE),"No CAS Number Entered")</f>
        <v>No CAS Number Entered</v>
      </c>
      <c r="C136" s="102"/>
      <c r="D136" s="102" t="s">
        <v>12666</v>
      </c>
      <c r="E136" s="102" t="s">
        <v>12666</v>
      </c>
      <c r="F136" s="102" t="s">
        <v>12666</v>
      </c>
      <c r="G136" s="102" t="s">
        <v>12666</v>
      </c>
      <c r="H136" s="164"/>
      <c r="I136" s="51">
        <f>IF(speciated_chemicals_183[[#This Row],[Inert / Not a Contaminant?]]="Yes", 0, speciated_chemicals_183[[#This Row],[Weight Percent]]*(unique_components_182[[#Totals],[Controlled lb/hr]]+standard_components_181[[#Totals],[Controlled
lb/hr]]))</f>
        <v>0</v>
      </c>
      <c r="J136" s="51">
        <f>IF(speciated_chemicals_183[[#This Row],[Inert / Not a Contaminant?]]="Yes", 0, speciated_chemicals_183[[#This Row],[Weight Percent]]*(unique_components_182[[#Totals],[Controlled
tpy]]+standard_components_181[[#Totals],[Controlled
tpy]]))</f>
        <v>0</v>
      </c>
    </row>
    <row r="137" spans="1:10" x14ac:dyDescent="0.2">
      <c r="A137" s="103"/>
      <c r="B137" s="51" t="str">
        <f>IFERROR(VLOOKUP(speciated_chemicals_183[[#This Row],[CAS '#]],species[],MATCH("Substance", species[#Headers], 0),FALSE),"No CAS Number Entered")</f>
        <v>No CAS Number Entered</v>
      </c>
      <c r="C137" s="102"/>
      <c r="D137" s="102" t="s">
        <v>12666</v>
      </c>
      <c r="E137" s="102" t="s">
        <v>12666</v>
      </c>
      <c r="F137" s="102" t="s">
        <v>12666</v>
      </c>
      <c r="G137" s="102" t="s">
        <v>12666</v>
      </c>
      <c r="H137" s="164"/>
      <c r="I137" s="51">
        <f>IF(speciated_chemicals_183[[#This Row],[Inert / Not a Contaminant?]]="Yes", 0, speciated_chemicals_183[[#This Row],[Weight Percent]]*(unique_components_182[[#Totals],[Controlled lb/hr]]+standard_components_181[[#Totals],[Controlled
lb/hr]]))</f>
        <v>0</v>
      </c>
      <c r="J137" s="51">
        <f>IF(speciated_chemicals_183[[#This Row],[Inert / Not a Contaminant?]]="Yes", 0, speciated_chemicals_183[[#This Row],[Weight Percent]]*(unique_components_182[[#Totals],[Controlled
tpy]]+standard_components_181[[#Totals],[Controlled
tpy]]))</f>
        <v>0</v>
      </c>
    </row>
    <row r="138" spans="1:10" x14ac:dyDescent="0.2">
      <c r="A138" s="103"/>
      <c r="B138" s="51" t="str">
        <f>IFERROR(VLOOKUP(speciated_chemicals_183[[#This Row],[CAS '#]],species[],MATCH("Substance", species[#Headers], 0),FALSE),"No CAS Number Entered")</f>
        <v>No CAS Number Entered</v>
      </c>
      <c r="C138" s="102"/>
      <c r="D138" s="102" t="s">
        <v>12666</v>
      </c>
      <c r="E138" s="102" t="s">
        <v>12666</v>
      </c>
      <c r="F138" s="102" t="s">
        <v>12666</v>
      </c>
      <c r="G138" s="102" t="s">
        <v>12666</v>
      </c>
      <c r="H138" s="164"/>
      <c r="I138" s="51">
        <f>IF(speciated_chemicals_183[[#This Row],[Inert / Not a Contaminant?]]="Yes", 0, speciated_chemicals_183[[#This Row],[Weight Percent]]*(unique_components_182[[#Totals],[Controlled lb/hr]]+standard_components_181[[#Totals],[Controlled
lb/hr]]))</f>
        <v>0</v>
      </c>
      <c r="J138" s="51">
        <f>IF(speciated_chemicals_183[[#This Row],[Inert / Not a Contaminant?]]="Yes", 0, speciated_chemicals_183[[#This Row],[Weight Percent]]*(unique_components_182[[#Totals],[Controlled
tpy]]+standard_components_181[[#Totals],[Controlled
tpy]]))</f>
        <v>0</v>
      </c>
    </row>
    <row r="139" spans="1:10" x14ac:dyDescent="0.2">
      <c r="A139" s="103"/>
      <c r="B139" s="51" t="str">
        <f>IFERROR(VLOOKUP(speciated_chemicals_183[[#This Row],[CAS '#]],species[],MATCH("Substance", species[#Headers], 0),FALSE),"No CAS Number Entered")</f>
        <v>No CAS Number Entered</v>
      </c>
      <c r="C139" s="102"/>
      <c r="D139" s="102" t="s">
        <v>12666</v>
      </c>
      <c r="E139" s="102" t="s">
        <v>12666</v>
      </c>
      <c r="F139" s="102" t="s">
        <v>12666</v>
      </c>
      <c r="G139" s="102" t="s">
        <v>12666</v>
      </c>
      <c r="H139" s="164"/>
      <c r="I139" s="51">
        <f>IF(speciated_chemicals_183[[#This Row],[Inert / Not a Contaminant?]]="Yes", 0, speciated_chemicals_183[[#This Row],[Weight Percent]]*(unique_components_182[[#Totals],[Controlled lb/hr]]+standard_components_181[[#Totals],[Controlled
lb/hr]]))</f>
        <v>0</v>
      </c>
      <c r="J139" s="51">
        <f>IF(speciated_chemicals_183[[#This Row],[Inert / Not a Contaminant?]]="Yes", 0, speciated_chemicals_183[[#This Row],[Weight Percent]]*(unique_components_182[[#Totals],[Controlled
tpy]]+standard_components_181[[#Totals],[Controlled
tpy]]))</f>
        <v>0</v>
      </c>
    </row>
    <row r="140" spans="1:10" x14ac:dyDescent="0.2">
      <c r="A140" s="103"/>
      <c r="B140" s="51" t="str">
        <f>IFERROR(VLOOKUP(speciated_chemicals_183[[#This Row],[CAS '#]],species[],MATCH("Substance", species[#Headers], 0),FALSE),"No CAS Number Entered")</f>
        <v>No CAS Number Entered</v>
      </c>
      <c r="C140" s="102"/>
      <c r="D140" s="102" t="s">
        <v>12666</v>
      </c>
      <c r="E140" s="102" t="s">
        <v>12666</v>
      </c>
      <c r="F140" s="102" t="s">
        <v>12666</v>
      </c>
      <c r="G140" s="102" t="s">
        <v>12666</v>
      </c>
      <c r="H140" s="164"/>
      <c r="I140" s="51">
        <f>IF(speciated_chemicals_183[[#This Row],[Inert / Not a Contaminant?]]="Yes", 0, speciated_chemicals_183[[#This Row],[Weight Percent]]*(unique_components_182[[#Totals],[Controlled lb/hr]]+standard_components_181[[#Totals],[Controlled
lb/hr]]))</f>
        <v>0</v>
      </c>
      <c r="J140" s="51">
        <f>IF(speciated_chemicals_183[[#This Row],[Inert / Not a Contaminant?]]="Yes", 0, speciated_chemicals_183[[#This Row],[Weight Percent]]*(unique_components_182[[#Totals],[Controlled
tpy]]+standard_components_181[[#Totals],[Controlled
tpy]]))</f>
        <v>0</v>
      </c>
    </row>
    <row r="141" spans="1:10" x14ac:dyDescent="0.2">
      <c r="A141" s="103"/>
      <c r="B141" s="51" t="str">
        <f>IFERROR(VLOOKUP(speciated_chemicals_183[[#This Row],[CAS '#]],species[],MATCH("Substance", species[#Headers], 0),FALSE),"No CAS Number Entered")</f>
        <v>No CAS Number Entered</v>
      </c>
      <c r="C141" s="102"/>
      <c r="D141" s="102" t="s">
        <v>12666</v>
      </c>
      <c r="E141" s="102" t="s">
        <v>12666</v>
      </c>
      <c r="F141" s="102" t="s">
        <v>12666</v>
      </c>
      <c r="G141" s="102" t="s">
        <v>12666</v>
      </c>
      <c r="H141" s="164"/>
      <c r="I141" s="51">
        <f>IF(speciated_chemicals_183[[#This Row],[Inert / Not a Contaminant?]]="Yes", 0, speciated_chemicals_183[[#This Row],[Weight Percent]]*(unique_components_182[[#Totals],[Controlled lb/hr]]+standard_components_181[[#Totals],[Controlled
lb/hr]]))</f>
        <v>0</v>
      </c>
      <c r="J141" s="51">
        <f>IF(speciated_chemicals_183[[#This Row],[Inert / Not a Contaminant?]]="Yes", 0, speciated_chemicals_183[[#This Row],[Weight Percent]]*(unique_components_182[[#Totals],[Controlled
tpy]]+standard_components_181[[#Totals],[Controlled
tpy]]))</f>
        <v>0</v>
      </c>
    </row>
    <row r="142" spans="1:10" x14ac:dyDescent="0.2">
      <c r="A142" s="103"/>
      <c r="B142" s="51" t="str">
        <f>IFERROR(VLOOKUP(speciated_chemicals_183[[#This Row],[CAS '#]],species[],MATCH("Substance", species[#Headers], 0),FALSE),"No CAS Number Entered")</f>
        <v>No CAS Number Entered</v>
      </c>
      <c r="C142" s="102"/>
      <c r="D142" s="102" t="s">
        <v>12666</v>
      </c>
      <c r="E142" s="102" t="s">
        <v>12666</v>
      </c>
      <c r="F142" s="102" t="s">
        <v>12666</v>
      </c>
      <c r="G142" s="102" t="s">
        <v>12666</v>
      </c>
      <c r="H142" s="164"/>
      <c r="I142" s="51">
        <f>IF(speciated_chemicals_183[[#This Row],[Inert / Not a Contaminant?]]="Yes", 0, speciated_chemicals_183[[#This Row],[Weight Percent]]*(unique_components_182[[#Totals],[Controlled lb/hr]]+standard_components_181[[#Totals],[Controlled
lb/hr]]))</f>
        <v>0</v>
      </c>
      <c r="J142" s="51">
        <f>IF(speciated_chemicals_183[[#This Row],[Inert / Not a Contaminant?]]="Yes", 0, speciated_chemicals_183[[#This Row],[Weight Percent]]*(unique_components_182[[#Totals],[Controlled
tpy]]+standard_components_181[[#Totals],[Controlled
tpy]]))</f>
        <v>0</v>
      </c>
    </row>
    <row r="143" spans="1:10" x14ac:dyDescent="0.2">
      <c r="A143" s="103"/>
      <c r="B143" s="51" t="str">
        <f>IFERROR(VLOOKUP(speciated_chemicals_183[[#This Row],[CAS '#]],species[],MATCH("Substance", species[#Headers], 0),FALSE),"No CAS Number Entered")</f>
        <v>No CAS Number Entered</v>
      </c>
      <c r="C143" s="102"/>
      <c r="D143" s="102" t="s">
        <v>12666</v>
      </c>
      <c r="E143" s="102" t="s">
        <v>12666</v>
      </c>
      <c r="F143" s="102" t="s">
        <v>12666</v>
      </c>
      <c r="G143" s="102" t="s">
        <v>12666</v>
      </c>
      <c r="H143" s="164"/>
      <c r="I143" s="51">
        <f>IF(speciated_chemicals_183[[#This Row],[Inert / Not a Contaminant?]]="Yes", 0, speciated_chemicals_183[[#This Row],[Weight Percent]]*(unique_components_182[[#Totals],[Controlled lb/hr]]+standard_components_181[[#Totals],[Controlled
lb/hr]]))</f>
        <v>0</v>
      </c>
      <c r="J143" s="51">
        <f>IF(speciated_chemicals_183[[#This Row],[Inert / Not a Contaminant?]]="Yes", 0, speciated_chemicals_183[[#This Row],[Weight Percent]]*(unique_components_182[[#Totals],[Controlled
tpy]]+standard_components_181[[#Totals],[Controlled
tpy]]))</f>
        <v>0</v>
      </c>
    </row>
    <row r="144" spans="1:10" x14ac:dyDescent="0.2">
      <c r="A144" s="103"/>
      <c r="B144" s="51" t="str">
        <f>IFERROR(VLOOKUP(speciated_chemicals_183[[#This Row],[CAS '#]],species[],MATCH("Substance", species[#Headers], 0),FALSE),"No CAS Number Entered")</f>
        <v>No CAS Number Entered</v>
      </c>
      <c r="C144" s="102"/>
      <c r="D144" s="102" t="s">
        <v>12666</v>
      </c>
      <c r="E144" s="102" t="s">
        <v>12666</v>
      </c>
      <c r="F144" s="102" t="s">
        <v>12666</v>
      </c>
      <c r="G144" s="102" t="s">
        <v>12666</v>
      </c>
      <c r="H144" s="164"/>
      <c r="I144" s="51">
        <f>IF(speciated_chemicals_183[[#This Row],[Inert / Not a Contaminant?]]="Yes", 0, speciated_chemicals_183[[#This Row],[Weight Percent]]*(unique_components_182[[#Totals],[Controlled lb/hr]]+standard_components_181[[#Totals],[Controlled
lb/hr]]))</f>
        <v>0</v>
      </c>
      <c r="J144" s="51">
        <f>IF(speciated_chemicals_183[[#This Row],[Inert / Not a Contaminant?]]="Yes", 0, speciated_chemicals_183[[#This Row],[Weight Percent]]*(unique_components_182[[#Totals],[Controlled
tpy]]+standard_components_181[[#Totals],[Controlled
tpy]]))</f>
        <v>0</v>
      </c>
    </row>
    <row r="145" spans="1:10" x14ac:dyDescent="0.2">
      <c r="A145" s="103"/>
      <c r="B145" s="51" t="str">
        <f>IFERROR(VLOOKUP(speciated_chemicals_183[[#This Row],[CAS '#]],species[],MATCH("Substance", species[#Headers], 0),FALSE),"No CAS Number Entered")</f>
        <v>No CAS Number Entered</v>
      </c>
      <c r="C145" s="102"/>
      <c r="D145" s="102" t="s">
        <v>12666</v>
      </c>
      <c r="E145" s="102" t="s">
        <v>12666</v>
      </c>
      <c r="F145" s="102" t="s">
        <v>12666</v>
      </c>
      <c r="G145" s="102" t="s">
        <v>12666</v>
      </c>
      <c r="H145" s="164"/>
      <c r="I145" s="51">
        <f>IF(speciated_chemicals_183[[#This Row],[Inert / Not a Contaminant?]]="Yes", 0, speciated_chemicals_183[[#This Row],[Weight Percent]]*(unique_components_182[[#Totals],[Controlled lb/hr]]+standard_components_181[[#Totals],[Controlled
lb/hr]]))</f>
        <v>0</v>
      </c>
      <c r="J145" s="51">
        <f>IF(speciated_chemicals_183[[#This Row],[Inert / Not a Contaminant?]]="Yes", 0, speciated_chemicals_183[[#This Row],[Weight Percent]]*(unique_components_182[[#Totals],[Controlled
tpy]]+standard_components_181[[#Totals],[Controlled
tpy]]))</f>
        <v>0</v>
      </c>
    </row>
    <row r="146" spans="1:10" x14ac:dyDescent="0.2">
      <c r="A146" s="103"/>
      <c r="B146" s="51" t="str">
        <f>IFERROR(VLOOKUP(speciated_chemicals_183[[#This Row],[CAS '#]],species[],MATCH("Substance", species[#Headers], 0),FALSE),"No CAS Number Entered")</f>
        <v>No CAS Number Entered</v>
      </c>
      <c r="C146" s="102"/>
      <c r="D146" s="102" t="s">
        <v>12666</v>
      </c>
      <c r="E146" s="102" t="s">
        <v>12666</v>
      </c>
      <c r="F146" s="102" t="s">
        <v>12666</v>
      </c>
      <c r="G146" s="102" t="s">
        <v>12666</v>
      </c>
      <c r="H146" s="164"/>
      <c r="I146" s="51">
        <f>IF(speciated_chemicals_183[[#This Row],[Inert / Not a Contaminant?]]="Yes", 0, speciated_chemicals_183[[#This Row],[Weight Percent]]*(unique_components_182[[#Totals],[Controlled lb/hr]]+standard_components_181[[#Totals],[Controlled
lb/hr]]))</f>
        <v>0</v>
      </c>
      <c r="J146" s="51">
        <f>IF(speciated_chemicals_183[[#This Row],[Inert / Not a Contaminant?]]="Yes", 0, speciated_chemicals_183[[#This Row],[Weight Percent]]*(unique_components_182[[#Totals],[Controlled
tpy]]+standard_components_181[[#Totals],[Controlled
tpy]]))</f>
        <v>0</v>
      </c>
    </row>
    <row r="147" spans="1:10" x14ac:dyDescent="0.2">
      <c r="A147" s="103"/>
      <c r="B147" s="51" t="str">
        <f>IFERROR(VLOOKUP(speciated_chemicals_183[[#This Row],[CAS '#]],species[],MATCH("Substance", species[#Headers], 0),FALSE),"No CAS Number Entered")</f>
        <v>No CAS Number Entered</v>
      </c>
      <c r="C147" s="102"/>
      <c r="D147" s="102" t="s">
        <v>12666</v>
      </c>
      <c r="E147" s="102" t="s">
        <v>12666</v>
      </c>
      <c r="F147" s="102" t="s">
        <v>12666</v>
      </c>
      <c r="G147" s="102" t="s">
        <v>12666</v>
      </c>
      <c r="H147" s="164"/>
      <c r="I147" s="51">
        <f>IF(speciated_chemicals_183[[#This Row],[Inert / Not a Contaminant?]]="Yes", 0, speciated_chemicals_183[[#This Row],[Weight Percent]]*(unique_components_182[[#Totals],[Controlled lb/hr]]+standard_components_181[[#Totals],[Controlled
lb/hr]]))</f>
        <v>0</v>
      </c>
      <c r="J147" s="51">
        <f>IF(speciated_chemicals_183[[#This Row],[Inert / Not a Contaminant?]]="Yes", 0, speciated_chemicals_183[[#This Row],[Weight Percent]]*(unique_components_182[[#Totals],[Controlled
tpy]]+standard_components_181[[#Totals],[Controlled
tpy]]))</f>
        <v>0</v>
      </c>
    </row>
    <row r="148" spans="1:10" x14ac:dyDescent="0.2">
      <c r="A148" s="103"/>
      <c r="B148" s="51" t="str">
        <f>IFERROR(VLOOKUP(speciated_chemicals_183[[#This Row],[CAS '#]],species[],MATCH("Substance", species[#Headers], 0),FALSE),"No CAS Number Entered")</f>
        <v>No CAS Number Entered</v>
      </c>
      <c r="C148" s="102"/>
      <c r="D148" s="102" t="s">
        <v>12666</v>
      </c>
      <c r="E148" s="102" t="s">
        <v>12666</v>
      </c>
      <c r="F148" s="102" t="s">
        <v>12666</v>
      </c>
      <c r="G148" s="102" t="s">
        <v>12666</v>
      </c>
      <c r="H148" s="164"/>
      <c r="I148" s="51">
        <f>IF(speciated_chemicals_183[[#This Row],[Inert / Not a Contaminant?]]="Yes", 0, speciated_chemicals_183[[#This Row],[Weight Percent]]*(unique_components_182[[#Totals],[Controlled lb/hr]]+standard_components_181[[#Totals],[Controlled
lb/hr]]))</f>
        <v>0</v>
      </c>
      <c r="J148" s="51">
        <f>IF(speciated_chemicals_183[[#This Row],[Inert / Not a Contaminant?]]="Yes", 0, speciated_chemicals_183[[#This Row],[Weight Percent]]*(unique_components_182[[#Totals],[Controlled
tpy]]+standard_components_181[[#Totals],[Controlled
tpy]]))</f>
        <v>0</v>
      </c>
    </row>
    <row r="149" spans="1:10" x14ac:dyDescent="0.2">
      <c r="A149" s="103"/>
      <c r="B149" s="51" t="str">
        <f>IFERROR(VLOOKUP(speciated_chemicals_183[[#This Row],[CAS '#]],species[],MATCH("Substance", species[#Headers], 0),FALSE),"No CAS Number Entered")</f>
        <v>No CAS Number Entered</v>
      </c>
      <c r="C149" s="102"/>
      <c r="D149" s="102" t="s">
        <v>12666</v>
      </c>
      <c r="E149" s="102" t="s">
        <v>12666</v>
      </c>
      <c r="F149" s="102" t="s">
        <v>12666</v>
      </c>
      <c r="G149" s="102" t="s">
        <v>12666</v>
      </c>
      <c r="H149" s="164"/>
      <c r="I149" s="51">
        <f>IF(speciated_chemicals_183[[#This Row],[Inert / Not a Contaminant?]]="Yes", 0, speciated_chemicals_183[[#This Row],[Weight Percent]]*(unique_components_182[[#Totals],[Controlled lb/hr]]+standard_components_181[[#Totals],[Controlled
lb/hr]]))</f>
        <v>0</v>
      </c>
      <c r="J149" s="51">
        <f>IF(speciated_chemicals_183[[#This Row],[Inert / Not a Contaminant?]]="Yes", 0, speciated_chemicals_183[[#This Row],[Weight Percent]]*(unique_components_182[[#Totals],[Controlled
tpy]]+standard_components_181[[#Totals],[Controlled
tpy]]))</f>
        <v>0</v>
      </c>
    </row>
    <row r="150" spans="1:10" x14ac:dyDescent="0.2">
      <c r="A150" s="103"/>
      <c r="B150" s="51" t="str">
        <f>IFERROR(VLOOKUP(speciated_chemicals_183[[#This Row],[CAS '#]],species[],MATCH("Substance", species[#Headers], 0),FALSE),"No CAS Number Entered")</f>
        <v>No CAS Number Entered</v>
      </c>
      <c r="C150" s="102"/>
      <c r="D150" s="102" t="s">
        <v>12666</v>
      </c>
      <c r="E150" s="102" t="s">
        <v>12666</v>
      </c>
      <c r="F150" s="102" t="s">
        <v>12666</v>
      </c>
      <c r="G150" s="102" t="s">
        <v>12666</v>
      </c>
      <c r="H150" s="164"/>
      <c r="I150" s="51">
        <f>IF(speciated_chemicals_183[[#This Row],[Inert / Not a Contaminant?]]="Yes", 0, speciated_chemicals_183[[#This Row],[Weight Percent]]*(unique_components_182[[#Totals],[Controlled lb/hr]]+standard_components_181[[#Totals],[Controlled
lb/hr]]))</f>
        <v>0</v>
      </c>
      <c r="J150" s="51">
        <f>IF(speciated_chemicals_183[[#This Row],[Inert / Not a Contaminant?]]="Yes", 0, speciated_chemicals_183[[#This Row],[Weight Percent]]*(unique_components_182[[#Totals],[Controlled
tpy]]+standard_components_181[[#Totals],[Controlled
tpy]]))</f>
        <v>0</v>
      </c>
    </row>
    <row r="151" spans="1:10" x14ac:dyDescent="0.2">
      <c r="A151" s="103"/>
      <c r="B151" s="51" t="str">
        <f>IFERROR(VLOOKUP(speciated_chemicals_183[[#This Row],[CAS '#]],species[],MATCH("Substance", species[#Headers], 0),FALSE),"No CAS Number Entered")</f>
        <v>No CAS Number Entered</v>
      </c>
      <c r="C151" s="102"/>
      <c r="D151" s="102" t="s">
        <v>12666</v>
      </c>
      <c r="E151" s="102" t="s">
        <v>12666</v>
      </c>
      <c r="F151" s="102" t="s">
        <v>12666</v>
      </c>
      <c r="G151" s="102" t="s">
        <v>12666</v>
      </c>
      <c r="H151" s="164"/>
      <c r="I151" s="51">
        <f>IF(speciated_chemicals_183[[#This Row],[Inert / Not a Contaminant?]]="Yes", 0, speciated_chemicals_183[[#This Row],[Weight Percent]]*(unique_components_182[[#Totals],[Controlled lb/hr]]+standard_components_181[[#Totals],[Controlled
lb/hr]]))</f>
        <v>0</v>
      </c>
      <c r="J151" s="51">
        <f>IF(speciated_chemicals_183[[#This Row],[Inert / Not a Contaminant?]]="Yes", 0, speciated_chemicals_183[[#This Row],[Weight Percent]]*(unique_components_182[[#Totals],[Controlled
tpy]]+standard_components_181[[#Totals],[Controlled
tpy]]))</f>
        <v>0</v>
      </c>
    </row>
    <row r="152" spans="1:10" x14ac:dyDescent="0.2">
      <c r="A152" s="103"/>
      <c r="B152" s="51" t="str">
        <f>IFERROR(VLOOKUP(speciated_chemicals_183[[#This Row],[CAS '#]],species[],MATCH("Substance", species[#Headers], 0),FALSE),"No CAS Number Entered")</f>
        <v>No CAS Number Entered</v>
      </c>
      <c r="C152" s="102"/>
      <c r="D152" s="102" t="s">
        <v>12666</v>
      </c>
      <c r="E152" s="102" t="s">
        <v>12666</v>
      </c>
      <c r="F152" s="102" t="s">
        <v>12666</v>
      </c>
      <c r="G152" s="102" t="s">
        <v>12666</v>
      </c>
      <c r="H152" s="164"/>
      <c r="I152" s="51">
        <f>IF(speciated_chemicals_183[[#This Row],[Inert / Not a Contaminant?]]="Yes", 0, speciated_chemicals_183[[#This Row],[Weight Percent]]*(unique_components_182[[#Totals],[Controlled lb/hr]]+standard_components_181[[#Totals],[Controlled
lb/hr]]))</f>
        <v>0</v>
      </c>
      <c r="J152" s="51">
        <f>IF(speciated_chemicals_183[[#This Row],[Inert / Not a Contaminant?]]="Yes", 0, speciated_chemicals_183[[#This Row],[Weight Percent]]*(unique_components_182[[#Totals],[Controlled
tpy]]+standard_components_181[[#Totals],[Controlled
tpy]]))</f>
        <v>0</v>
      </c>
    </row>
    <row r="153" spans="1:10" x14ac:dyDescent="0.2">
      <c r="A153" s="103"/>
      <c r="B153" s="51" t="str">
        <f>IFERROR(VLOOKUP(speciated_chemicals_183[[#This Row],[CAS '#]],species[],MATCH("Substance", species[#Headers], 0),FALSE),"No CAS Number Entered")</f>
        <v>No CAS Number Entered</v>
      </c>
      <c r="C153" s="102"/>
      <c r="D153" s="102" t="s">
        <v>12666</v>
      </c>
      <c r="E153" s="102" t="s">
        <v>12666</v>
      </c>
      <c r="F153" s="102" t="s">
        <v>12666</v>
      </c>
      <c r="G153" s="102" t="s">
        <v>12666</v>
      </c>
      <c r="H153" s="164"/>
      <c r="I153" s="51">
        <f>IF(speciated_chemicals_183[[#This Row],[Inert / Not a Contaminant?]]="Yes", 0, speciated_chemicals_183[[#This Row],[Weight Percent]]*(unique_components_182[[#Totals],[Controlled lb/hr]]+standard_components_181[[#Totals],[Controlled
lb/hr]]))</f>
        <v>0</v>
      </c>
      <c r="J153" s="51">
        <f>IF(speciated_chemicals_183[[#This Row],[Inert / Not a Contaminant?]]="Yes", 0, speciated_chemicals_183[[#This Row],[Weight Percent]]*(unique_components_182[[#Totals],[Controlled
tpy]]+standard_components_181[[#Totals],[Controlled
tpy]]))</f>
        <v>0</v>
      </c>
    </row>
    <row r="154" spans="1:10" x14ac:dyDescent="0.2">
      <c r="A154" s="103"/>
      <c r="B154" s="51" t="str">
        <f>IFERROR(VLOOKUP(speciated_chemicals_183[[#This Row],[CAS '#]],species[],MATCH("Substance", species[#Headers], 0),FALSE),"No CAS Number Entered")</f>
        <v>No CAS Number Entered</v>
      </c>
      <c r="C154" s="102"/>
      <c r="D154" s="102" t="s">
        <v>12666</v>
      </c>
      <c r="E154" s="102" t="s">
        <v>12666</v>
      </c>
      <c r="F154" s="102" t="s">
        <v>12666</v>
      </c>
      <c r="G154" s="102" t="s">
        <v>12666</v>
      </c>
      <c r="H154" s="164"/>
      <c r="I154" s="51">
        <f>IF(speciated_chemicals_183[[#This Row],[Inert / Not a Contaminant?]]="Yes", 0, speciated_chemicals_183[[#This Row],[Weight Percent]]*(unique_components_182[[#Totals],[Controlled lb/hr]]+standard_components_181[[#Totals],[Controlled
lb/hr]]))</f>
        <v>0</v>
      </c>
      <c r="J154" s="51">
        <f>IF(speciated_chemicals_183[[#This Row],[Inert / Not a Contaminant?]]="Yes", 0, speciated_chemicals_183[[#This Row],[Weight Percent]]*(unique_components_182[[#Totals],[Controlled
tpy]]+standard_components_181[[#Totals],[Controlled
tpy]]))</f>
        <v>0</v>
      </c>
    </row>
    <row r="155" spans="1:10" x14ac:dyDescent="0.2">
      <c r="A155" s="103"/>
      <c r="B155" s="51" t="str">
        <f>IFERROR(VLOOKUP(speciated_chemicals_183[[#This Row],[CAS '#]],species[],MATCH("Substance", species[#Headers], 0),FALSE),"No CAS Number Entered")</f>
        <v>No CAS Number Entered</v>
      </c>
      <c r="C155" s="102"/>
      <c r="D155" s="102" t="s">
        <v>12666</v>
      </c>
      <c r="E155" s="102" t="s">
        <v>12666</v>
      </c>
      <c r="F155" s="102" t="s">
        <v>12666</v>
      </c>
      <c r="G155" s="102" t="s">
        <v>12666</v>
      </c>
      <c r="H155" s="164"/>
      <c r="I155" s="51">
        <f>IF(speciated_chemicals_183[[#This Row],[Inert / Not a Contaminant?]]="Yes", 0, speciated_chemicals_183[[#This Row],[Weight Percent]]*(unique_components_182[[#Totals],[Controlled lb/hr]]+standard_components_181[[#Totals],[Controlled
lb/hr]]))</f>
        <v>0</v>
      </c>
      <c r="J155" s="51">
        <f>IF(speciated_chemicals_183[[#This Row],[Inert / Not a Contaminant?]]="Yes", 0, speciated_chemicals_183[[#This Row],[Weight Percent]]*(unique_components_182[[#Totals],[Controlled
tpy]]+standard_components_181[[#Totals],[Controlled
tpy]]))</f>
        <v>0</v>
      </c>
    </row>
    <row r="156" spans="1:10" x14ac:dyDescent="0.2">
      <c r="A156" s="103"/>
      <c r="B156" s="51" t="str">
        <f>IFERROR(VLOOKUP(speciated_chemicals_183[[#This Row],[CAS '#]],species[],MATCH("Substance", species[#Headers], 0),FALSE),"No CAS Number Entered")</f>
        <v>No CAS Number Entered</v>
      </c>
      <c r="C156" s="102"/>
      <c r="D156" s="102" t="s">
        <v>12666</v>
      </c>
      <c r="E156" s="102" t="s">
        <v>12666</v>
      </c>
      <c r="F156" s="102" t="s">
        <v>12666</v>
      </c>
      <c r="G156" s="102" t="s">
        <v>12666</v>
      </c>
      <c r="H156" s="164"/>
      <c r="I156" s="51">
        <f>IF(speciated_chemicals_183[[#This Row],[Inert / Not a Contaminant?]]="Yes", 0, speciated_chemicals_183[[#This Row],[Weight Percent]]*(unique_components_182[[#Totals],[Controlled lb/hr]]+standard_components_181[[#Totals],[Controlled
lb/hr]]))</f>
        <v>0</v>
      </c>
      <c r="J156" s="51">
        <f>IF(speciated_chemicals_183[[#This Row],[Inert / Not a Contaminant?]]="Yes", 0, speciated_chemicals_183[[#This Row],[Weight Percent]]*(unique_components_182[[#Totals],[Controlled
tpy]]+standard_components_181[[#Totals],[Controlled
tpy]]))</f>
        <v>0</v>
      </c>
    </row>
    <row r="157" spans="1:10" x14ac:dyDescent="0.2">
      <c r="A157" s="103"/>
      <c r="B157" s="51" t="str">
        <f>IFERROR(VLOOKUP(speciated_chemicals_183[[#This Row],[CAS '#]],species[],MATCH("Substance", species[#Headers], 0),FALSE),"No CAS Number Entered")</f>
        <v>No CAS Number Entered</v>
      </c>
      <c r="C157" s="102"/>
      <c r="D157" s="102" t="s">
        <v>12666</v>
      </c>
      <c r="E157" s="102" t="s">
        <v>12666</v>
      </c>
      <c r="F157" s="102" t="s">
        <v>12666</v>
      </c>
      <c r="G157" s="102" t="s">
        <v>12666</v>
      </c>
      <c r="H157" s="164"/>
      <c r="I157" s="51">
        <f>IF(speciated_chemicals_183[[#This Row],[Inert / Not a Contaminant?]]="Yes", 0, speciated_chemicals_183[[#This Row],[Weight Percent]]*(unique_components_182[[#Totals],[Controlled lb/hr]]+standard_components_181[[#Totals],[Controlled
lb/hr]]))</f>
        <v>0</v>
      </c>
      <c r="J157" s="51">
        <f>IF(speciated_chemicals_183[[#This Row],[Inert / Not a Contaminant?]]="Yes", 0, speciated_chemicals_183[[#This Row],[Weight Percent]]*(unique_components_182[[#Totals],[Controlled
tpy]]+standard_components_181[[#Totals],[Controlled
tpy]]))</f>
        <v>0</v>
      </c>
    </row>
    <row r="158" spans="1:10" x14ac:dyDescent="0.2">
      <c r="A158" s="103"/>
      <c r="B158" s="51" t="str">
        <f>IFERROR(VLOOKUP(speciated_chemicals_183[[#This Row],[CAS '#]],species[],MATCH("Substance", species[#Headers], 0),FALSE),"No CAS Number Entered")</f>
        <v>No CAS Number Entered</v>
      </c>
      <c r="C158" s="102"/>
      <c r="D158" s="102" t="s">
        <v>12666</v>
      </c>
      <c r="E158" s="102" t="s">
        <v>12666</v>
      </c>
      <c r="F158" s="102" t="s">
        <v>12666</v>
      </c>
      <c r="G158" s="102" t="s">
        <v>12666</v>
      </c>
      <c r="H158" s="164"/>
      <c r="I158" s="51">
        <f>IF(speciated_chemicals_183[[#This Row],[Inert / Not a Contaminant?]]="Yes", 0, speciated_chemicals_183[[#This Row],[Weight Percent]]*(unique_components_182[[#Totals],[Controlled lb/hr]]+standard_components_181[[#Totals],[Controlled
lb/hr]]))</f>
        <v>0</v>
      </c>
      <c r="J158" s="51">
        <f>IF(speciated_chemicals_183[[#This Row],[Inert / Not a Contaminant?]]="Yes", 0, speciated_chemicals_183[[#This Row],[Weight Percent]]*(unique_components_182[[#Totals],[Controlled
tpy]]+standard_components_181[[#Totals],[Controlled
tpy]]))</f>
        <v>0</v>
      </c>
    </row>
    <row r="159" spans="1:10" x14ac:dyDescent="0.2">
      <c r="A159" s="103"/>
      <c r="B159" s="51" t="str">
        <f>IFERROR(VLOOKUP(speciated_chemicals_183[[#This Row],[CAS '#]],species[],MATCH("Substance", species[#Headers], 0),FALSE),"No CAS Number Entered")</f>
        <v>No CAS Number Entered</v>
      </c>
      <c r="C159" s="102"/>
      <c r="D159" s="102" t="s">
        <v>12666</v>
      </c>
      <c r="E159" s="102" t="s">
        <v>12666</v>
      </c>
      <c r="F159" s="102" t="s">
        <v>12666</v>
      </c>
      <c r="G159" s="102" t="s">
        <v>12666</v>
      </c>
      <c r="H159" s="164"/>
      <c r="I159" s="51">
        <f>IF(speciated_chemicals_183[[#This Row],[Inert / Not a Contaminant?]]="Yes", 0, speciated_chemicals_183[[#This Row],[Weight Percent]]*(unique_components_182[[#Totals],[Controlled lb/hr]]+standard_components_181[[#Totals],[Controlled
lb/hr]]))</f>
        <v>0</v>
      </c>
      <c r="J159" s="51">
        <f>IF(speciated_chemicals_183[[#This Row],[Inert / Not a Contaminant?]]="Yes", 0, speciated_chemicals_183[[#This Row],[Weight Percent]]*(unique_components_182[[#Totals],[Controlled
tpy]]+standard_components_181[[#Totals],[Controlled
tpy]]))</f>
        <v>0</v>
      </c>
    </row>
    <row r="160" spans="1:10" x14ac:dyDescent="0.2">
      <c r="A160" s="103"/>
      <c r="B160" s="51" t="str">
        <f>IFERROR(VLOOKUP(speciated_chemicals_183[[#This Row],[CAS '#]],species[],MATCH("Substance", species[#Headers], 0),FALSE),"No CAS Number Entered")</f>
        <v>No CAS Number Entered</v>
      </c>
      <c r="C160" s="102"/>
      <c r="D160" s="102" t="s">
        <v>12666</v>
      </c>
      <c r="E160" s="102" t="s">
        <v>12666</v>
      </c>
      <c r="F160" s="102" t="s">
        <v>12666</v>
      </c>
      <c r="G160" s="102" t="s">
        <v>12666</v>
      </c>
      <c r="H160" s="164"/>
      <c r="I160" s="51">
        <f>IF(speciated_chemicals_183[[#This Row],[Inert / Not a Contaminant?]]="Yes", 0, speciated_chemicals_183[[#This Row],[Weight Percent]]*(unique_components_182[[#Totals],[Controlled lb/hr]]+standard_components_181[[#Totals],[Controlled
lb/hr]]))</f>
        <v>0</v>
      </c>
      <c r="J160" s="51">
        <f>IF(speciated_chemicals_183[[#This Row],[Inert / Not a Contaminant?]]="Yes", 0, speciated_chemicals_183[[#This Row],[Weight Percent]]*(unique_components_182[[#Totals],[Controlled
tpy]]+standard_components_181[[#Totals],[Controlled
tpy]]))</f>
        <v>0</v>
      </c>
    </row>
    <row r="161" spans="1:10" x14ac:dyDescent="0.2">
      <c r="A161" s="103"/>
      <c r="B161" s="51" t="str">
        <f>IFERROR(VLOOKUP(speciated_chemicals_183[[#This Row],[CAS '#]],species[],MATCH("Substance", species[#Headers], 0),FALSE),"No CAS Number Entered")</f>
        <v>No CAS Number Entered</v>
      </c>
      <c r="C161" s="102"/>
      <c r="D161" s="102" t="s">
        <v>12666</v>
      </c>
      <c r="E161" s="102" t="s">
        <v>12666</v>
      </c>
      <c r="F161" s="102" t="s">
        <v>12666</v>
      </c>
      <c r="G161" s="102" t="s">
        <v>12666</v>
      </c>
      <c r="H161" s="164"/>
      <c r="I161" s="51">
        <f>IF(speciated_chemicals_183[[#This Row],[Inert / Not a Contaminant?]]="Yes", 0, speciated_chemicals_183[[#This Row],[Weight Percent]]*(unique_components_182[[#Totals],[Controlled lb/hr]]+standard_components_181[[#Totals],[Controlled
lb/hr]]))</f>
        <v>0</v>
      </c>
      <c r="J161" s="51">
        <f>IF(speciated_chemicals_183[[#This Row],[Inert / Not a Contaminant?]]="Yes", 0, speciated_chemicals_183[[#This Row],[Weight Percent]]*(unique_components_182[[#Totals],[Controlled
tpy]]+standard_components_181[[#Totals],[Controlled
tpy]]))</f>
        <v>0</v>
      </c>
    </row>
    <row r="162" spans="1:10" x14ac:dyDescent="0.2">
      <c r="A162" s="103"/>
      <c r="B162" s="51" t="str">
        <f>IFERROR(VLOOKUP(speciated_chemicals_183[[#This Row],[CAS '#]],species[],MATCH("Substance", species[#Headers], 0),FALSE),"No CAS Number Entered")</f>
        <v>No CAS Number Entered</v>
      </c>
      <c r="C162" s="102"/>
      <c r="D162" s="102" t="s">
        <v>12666</v>
      </c>
      <c r="E162" s="102" t="s">
        <v>12666</v>
      </c>
      <c r="F162" s="102" t="s">
        <v>12666</v>
      </c>
      <c r="G162" s="102" t="s">
        <v>12666</v>
      </c>
      <c r="H162" s="164"/>
      <c r="I162" s="51">
        <f>IF(speciated_chemicals_183[[#This Row],[Inert / Not a Contaminant?]]="Yes", 0, speciated_chemicals_183[[#This Row],[Weight Percent]]*(unique_components_182[[#Totals],[Controlled lb/hr]]+standard_components_181[[#Totals],[Controlled
lb/hr]]))</f>
        <v>0</v>
      </c>
      <c r="J162" s="51">
        <f>IF(speciated_chemicals_183[[#This Row],[Inert / Not a Contaminant?]]="Yes", 0, speciated_chemicals_183[[#This Row],[Weight Percent]]*(unique_components_182[[#Totals],[Controlled
tpy]]+standard_components_181[[#Totals],[Controlled
tpy]]))</f>
        <v>0</v>
      </c>
    </row>
    <row r="163" spans="1:10" x14ac:dyDescent="0.2">
      <c r="A163" s="103"/>
      <c r="B163" s="51" t="str">
        <f>IFERROR(VLOOKUP(speciated_chemicals_183[[#This Row],[CAS '#]],species[],MATCH("Substance", species[#Headers], 0),FALSE),"No CAS Number Entered")</f>
        <v>No CAS Number Entered</v>
      </c>
      <c r="C163" s="102"/>
      <c r="D163" s="102" t="s">
        <v>12666</v>
      </c>
      <c r="E163" s="102" t="s">
        <v>12666</v>
      </c>
      <c r="F163" s="102" t="s">
        <v>12666</v>
      </c>
      <c r="G163" s="102" t="s">
        <v>12666</v>
      </c>
      <c r="H163" s="164"/>
      <c r="I163" s="51">
        <f>IF(speciated_chemicals_183[[#This Row],[Inert / Not a Contaminant?]]="Yes", 0, speciated_chemicals_183[[#This Row],[Weight Percent]]*(unique_components_182[[#Totals],[Controlled lb/hr]]+standard_components_181[[#Totals],[Controlled
lb/hr]]))</f>
        <v>0</v>
      </c>
      <c r="J163" s="51">
        <f>IF(speciated_chemicals_183[[#This Row],[Inert / Not a Contaminant?]]="Yes", 0, speciated_chemicals_183[[#This Row],[Weight Percent]]*(unique_components_182[[#Totals],[Controlled
tpy]]+standard_components_181[[#Totals],[Controlled
tpy]]))</f>
        <v>0</v>
      </c>
    </row>
    <row r="164" spans="1:10" x14ac:dyDescent="0.2">
      <c r="A164" s="103"/>
      <c r="B164" s="51" t="str">
        <f>IFERROR(VLOOKUP(speciated_chemicals_183[[#This Row],[CAS '#]],species[],MATCH("Substance", species[#Headers], 0),FALSE),"No CAS Number Entered")</f>
        <v>No CAS Number Entered</v>
      </c>
      <c r="C164" s="102"/>
      <c r="D164" s="102" t="s">
        <v>12666</v>
      </c>
      <c r="E164" s="102" t="s">
        <v>12666</v>
      </c>
      <c r="F164" s="102" t="s">
        <v>12666</v>
      </c>
      <c r="G164" s="102" t="s">
        <v>12666</v>
      </c>
      <c r="H164" s="164"/>
      <c r="I164" s="51">
        <f>IF(speciated_chemicals_183[[#This Row],[Inert / Not a Contaminant?]]="Yes", 0, speciated_chemicals_183[[#This Row],[Weight Percent]]*(unique_components_182[[#Totals],[Controlled lb/hr]]+standard_components_181[[#Totals],[Controlled
lb/hr]]))</f>
        <v>0</v>
      </c>
      <c r="J164" s="51">
        <f>IF(speciated_chemicals_183[[#This Row],[Inert / Not a Contaminant?]]="Yes", 0, speciated_chemicals_183[[#This Row],[Weight Percent]]*(unique_components_182[[#Totals],[Controlled
tpy]]+standard_components_181[[#Totals],[Controlled
tpy]]))</f>
        <v>0</v>
      </c>
    </row>
    <row r="165" spans="1:10" x14ac:dyDescent="0.2">
      <c r="A165" s="103"/>
      <c r="B165" s="51" t="str">
        <f>IFERROR(VLOOKUP(speciated_chemicals_183[[#This Row],[CAS '#]],species[],MATCH("Substance", species[#Headers], 0),FALSE),"No CAS Number Entered")</f>
        <v>No CAS Number Entered</v>
      </c>
      <c r="C165" s="102"/>
      <c r="D165" s="102" t="s">
        <v>12666</v>
      </c>
      <c r="E165" s="102" t="s">
        <v>12666</v>
      </c>
      <c r="F165" s="102" t="s">
        <v>12666</v>
      </c>
      <c r="G165" s="102" t="s">
        <v>12666</v>
      </c>
      <c r="H165" s="164"/>
      <c r="I165" s="51">
        <f>IF(speciated_chemicals_183[[#This Row],[Inert / Not a Contaminant?]]="Yes", 0, speciated_chemicals_183[[#This Row],[Weight Percent]]*(unique_components_182[[#Totals],[Controlled lb/hr]]+standard_components_181[[#Totals],[Controlled
lb/hr]]))</f>
        <v>0</v>
      </c>
      <c r="J165" s="51">
        <f>IF(speciated_chemicals_183[[#This Row],[Inert / Not a Contaminant?]]="Yes", 0, speciated_chemicals_183[[#This Row],[Weight Percent]]*(unique_components_182[[#Totals],[Controlled
tpy]]+standard_components_181[[#Totals],[Controlled
tpy]]))</f>
        <v>0</v>
      </c>
    </row>
    <row r="166" spans="1:10" x14ac:dyDescent="0.2">
      <c r="A166" s="103"/>
      <c r="B166" s="51" t="str">
        <f>IFERROR(VLOOKUP(speciated_chemicals_183[[#This Row],[CAS '#]],species[],MATCH("Substance", species[#Headers], 0),FALSE),"No CAS Number Entered")</f>
        <v>No CAS Number Entered</v>
      </c>
      <c r="C166" s="102"/>
      <c r="D166" s="102" t="s">
        <v>12666</v>
      </c>
      <c r="E166" s="102" t="s">
        <v>12666</v>
      </c>
      <c r="F166" s="102" t="s">
        <v>12666</v>
      </c>
      <c r="G166" s="102" t="s">
        <v>12666</v>
      </c>
      <c r="H166" s="164"/>
      <c r="I166" s="51">
        <f>IF(speciated_chemicals_183[[#This Row],[Inert / Not a Contaminant?]]="Yes", 0, speciated_chemicals_183[[#This Row],[Weight Percent]]*(unique_components_182[[#Totals],[Controlled lb/hr]]+standard_components_181[[#Totals],[Controlled
lb/hr]]))</f>
        <v>0</v>
      </c>
      <c r="J166" s="51">
        <f>IF(speciated_chemicals_183[[#This Row],[Inert / Not a Contaminant?]]="Yes", 0, speciated_chemicals_183[[#This Row],[Weight Percent]]*(unique_components_182[[#Totals],[Controlled
tpy]]+standard_components_181[[#Totals],[Controlled
tpy]]))</f>
        <v>0</v>
      </c>
    </row>
    <row r="167" spans="1:10" x14ac:dyDescent="0.2">
      <c r="A167" s="103"/>
      <c r="B167" s="51" t="str">
        <f>IFERROR(VLOOKUP(speciated_chemicals_183[[#This Row],[CAS '#]],species[],MATCH("Substance", species[#Headers], 0),FALSE),"No CAS Number Entered")</f>
        <v>No CAS Number Entered</v>
      </c>
      <c r="C167" s="102"/>
      <c r="D167" s="102" t="s">
        <v>12666</v>
      </c>
      <c r="E167" s="102" t="s">
        <v>12666</v>
      </c>
      <c r="F167" s="102" t="s">
        <v>12666</v>
      </c>
      <c r="G167" s="102" t="s">
        <v>12666</v>
      </c>
      <c r="H167" s="164"/>
      <c r="I167" s="51">
        <f>IF(speciated_chemicals_183[[#This Row],[Inert / Not a Contaminant?]]="Yes", 0, speciated_chemicals_183[[#This Row],[Weight Percent]]*(unique_components_182[[#Totals],[Controlled lb/hr]]+standard_components_181[[#Totals],[Controlled
lb/hr]]))</f>
        <v>0</v>
      </c>
      <c r="J167" s="51">
        <f>IF(speciated_chemicals_183[[#This Row],[Inert / Not a Contaminant?]]="Yes", 0, speciated_chemicals_183[[#This Row],[Weight Percent]]*(unique_components_182[[#Totals],[Controlled
tpy]]+standard_components_181[[#Totals],[Controlled
tpy]]))</f>
        <v>0</v>
      </c>
    </row>
    <row r="168" spans="1:10" x14ac:dyDescent="0.2">
      <c r="A168" s="103"/>
      <c r="B168" s="51" t="str">
        <f>IFERROR(VLOOKUP(speciated_chemicals_183[[#This Row],[CAS '#]],species[],MATCH("Substance", species[#Headers], 0),FALSE),"No CAS Number Entered")</f>
        <v>No CAS Number Entered</v>
      </c>
      <c r="C168" s="102"/>
      <c r="D168" s="102" t="s">
        <v>12666</v>
      </c>
      <c r="E168" s="102" t="s">
        <v>12666</v>
      </c>
      <c r="F168" s="102" t="s">
        <v>12666</v>
      </c>
      <c r="G168" s="102" t="s">
        <v>12666</v>
      </c>
      <c r="H168" s="164"/>
      <c r="I168" s="51">
        <f>IF(speciated_chemicals_183[[#This Row],[Inert / Not a Contaminant?]]="Yes", 0, speciated_chemicals_183[[#This Row],[Weight Percent]]*(unique_components_182[[#Totals],[Controlled lb/hr]]+standard_components_181[[#Totals],[Controlled
lb/hr]]))</f>
        <v>0</v>
      </c>
      <c r="J168" s="51">
        <f>IF(speciated_chemicals_183[[#This Row],[Inert / Not a Contaminant?]]="Yes", 0, speciated_chemicals_183[[#This Row],[Weight Percent]]*(unique_components_182[[#Totals],[Controlled
tpy]]+standard_components_181[[#Totals],[Controlled
tpy]]))</f>
        <v>0</v>
      </c>
    </row>
    <row r="169" spans="1:10" x14ac:dyDescent="0.2">
      <c r="A169" s="103"/>
      <c r="B169" s="51" t="str">
        <f>IFERROR(VLOOKUP(speciated_chemicals_183[[#This Row],[CAS '#]],species[],MATCH("Substance", species[#Headers], 0),FALSE),"No CAS Number Entered")</f>
        <v>No CAS Number Entered</v>
      </c>
      <c r="C169" s="102"/>
      <c r="D169" s="102" t="s">
        <v>12666</v>
      </c>
      <c r="E169" s="102" t="s">
        <v>12666</v>
      </c>
      <c r="F169" s="102" t="s">
        <v>12666</v>
      </c>
      <c r="G169" s="102" t="s">
        <v>12666</v>
      </c>
      <c r="H169" s="164"/>
      <c r="I169" s="51">
        <f>IF(speciated_chemicals_183[[#This Row],[Inert / Not a Contaminant?]]="Yes", 0, speciated_chemicals_183[[#This Row],[Weight Percent]]*(unique_components_182[[#Totals],[Controlled lb/hr]]+standard_components_181[[#Totals],[Controlled
lb/hr]]))</f>
        <v>0</v>
      </c>
      <c r="J169" s="51">
        <f>IF(speciated_chemicals_183[[#This Row],[Inert / Not a Contaminant?]]="Yes", 0, speciated_chemicals_183[[#This Row],[Weight Percent]]*(unique_components_182[[#Totals],[Controlled
tpy]]+standard_components_181[[#Totals],[Controlled
tpy]]))</f>
        <v>0</v>
      </c>
    </row>
    <row r="170" spans="1:10" x14ac:dyDescent="0.2">
      <c r="A170" s="103"/>
      <c r="B170" s="51" t="str">
        <f>IFERROR(VLOOKUP(speciated_chemicals_183[[#This Row],[CAS '#]],species[],MATCH("Substance", species[#Headers], 0),FALSE),"No CAS Number Entered")</f>
        <v>No CAS Number Entered</v>
      </c>
      <c r="C170" s="102"/>
      <c r="D170" s="102" t="s">
        <v>12666</v>
      </c>
      <c r="E170" s="102" t="s">
        <v>12666</v>
      </c>
      <c r="F170" s="102" t="s">
        <v>12666</v>
      </c>
      <c r="G170" s="102" t="s">
        <v>12666</v>
      </c>
      <c r="H170" s="164"/>
      <c r="I170" s="51">
        <f>IF(speciated_chemicals_183[[#This Row],[Inert / Not a Contaminant?]]="Yes", 0, speciated_chemicals_183[[#This Row],[Weight Percent]]*(unique_components_182[[#Totals],[Controlled lb/hr]]+standard_components_181[[#Totals],[Controlled
lb/hr]]))</f>
        <v>0</v>
      </c>
      <c r="J170" s="51">
        <f>IF(speciated_chemicals_183[[#This Row],[Inert / Not a Contaminant?]]="Yes", 0, speciated_chemicals_183[[#This Row],[Weight Percent]]*(unique_components_182[[#Totals],[Controlled
tpy]]+standard_components_181[[#Totals],[Controlled
tpy]]))</f>
        <v>0</v>
      </c>
    </row>
    <row r="171" spans="1:10" x14ac:dyDescent="0.2">
      <c r="A171" s="103"/>
      <c r="B171" s="51" t="str">
        <f>IFERROR(VLOOKUP(speciated_chemicals_183[[#This Row],[CAS '#]],species[],MATCH("Substance", species[#Headers], 0),FALSE),"No CAS Number Entered")</f>
        <v>No CAS Number Entered</v>
      </c>
      <c r="C171" s="102"/>
      <c r="D171" s="102" t="s">
        <v>12666</v>
      </c>
      <c r="E171" s="102" t="s">
        <v>12666</v>
      </c>
      <c r="F171" s="102" t="s">
        <v>12666</v>
      </c>
      <c r="G171" s="102" t="s">
        <v>12666</v>
      </c>
      <c r="H171" s="164"/>
      <c r="I171" s="51">
        <f>IF(speciated_chemicals_183[[#This Row],[Inert / Not a Contaminant?]]="Yes", 0, speciated_chemicals_183[[#This Row],[Weight Percent]]*(unique_components_182[[#Totals],[Controlled lb/hr]]+standard_components_181[[#Totals],[Controlled
lb/hr]]))</f>
        <v>0</v>
      </c>
      <c r="J171" s="51">
        <f>IF(speciated_chemicals_183[[#This Row],[Inert / Not a Contaminant?]]="Yes", 0, speciated_chemicals_183[[#This Row],[Weight Percent]]*(unique_components_182[[#Totals],[Controlled
tpy]]+standard_components_181[[#Totals],[Controlled
tpy]]))</f>
        <v>0</v>
      </c>
    </row>
    <row r="172" spans="1:10" x14ac:dyDescent="0.2">
      <c r="A172" s="103"/>
      <c r="B172" s="51" t="str">
        <f>IFERROR(VLOOKUP(speciated_chemicals_183[[#This Row],[CAS '#]],species[],MATCH("Substance", species[#Headers], 0),FALSE),"No CAS Number Entered")</f>
        <v>No CAS Number Entered</v>
      </c>
      <c r="C172" s="102"/>
      <c r="D172" s="102" t="s">
        <v>12666</v>
      </c>
      <c r="E172" s="102" t="s">
        <v>12666</v>
      </c>
      <c r="F172" s="102" t="s">
        <v>12666</v>
      </c>
      <c r="G172" s="102" t="s">
        <v>12666</v>
      </c>
      <c r="H172" s="164"/>
      <c r="I172" s="51">
        <f>IF(speciated_chemicals_183[[#This Row],[Inert / Not a Contaminant?]]="Yes", 0, speciated_chemicals_183[[#This Row],[Weight Percent]]*(unique_components_182[[#Totals],[Controlled lb/hr]]+standard_components_181[[#Totals],[Controlled
lb/hr]]))</f>
        <v>0</v>
      </c>
      <c r="J172" s="51">
        <f>IF(speciated_chemicals_183[[#This Row],[Inert / Not a Contaminant?]]="Yes", 0, speciated_chemicals_183[[#This Row],[Weight Percent]]*(unique_components_182[[#Totals],[Controlled
tpy]]+standard_components_181[[#Totals],[Controlled
tpy]]))</f>
        <v>0</v>
      </c>
    </row>
    <row r="173" spans="1:10" x14ac:dyDescent="0.2">
      <c r="A173" s="103"/>
      <c r="B173" s="51" t="str">
        <f>IFERROR(VLOOKUP(speciated_chemicals_183[[#This Row],[CAS '#]],species[],MATCH("Substance", species[#Headers], 0),FALSE),"No CAS Number Entered")</f>
        <v>No CAS Number Entered</v>
      </c>
      <c r="C173" s="102"/>
      <c r="D173" s="102" t="s">
        <v>12666</v>
      </c>
      <c r="E173" s="102" t="s">
        <v>12666</v>
      </c>
      <c r="F173" s="102" t="s">
        <v>12666</v>
      </c>
      <c r="G173" s="102" t="s">
        <v>12666</v>
      </c>
      <c r="H173" s="164"/>
      <c r="I173" s="51">
        <f>IF(speciated_chemicals_183[[#This Row],[Inert / Not a Contaminant?]]="Yes", 0, speciated_chemicals_183[[#This Row],[Weight Percent]]*(unique_components_182[[#Totals],[Controlled lb/hr]]+standard_components_181[[#Totals],[Controlled
lb/hr]]))</f>
        <v>0</v>
      </c>
      <c r="J173" s="51">
        <f>IF(speciated_chemicals_183[[#This Row],[Inert / Not a Contaminant?]]="Yes", 0, speciated_chemicals_183[[#This Row],[Weight Percent]]*(unique_components_182[[#Totals],[Controlled
tpy]]+standard_components_181[[#Totals],[Controlled
tpy]]))</f>
        <v>0</v>
      </c>
    </row>
    <row r="174" spans="1:10" x14ac:dyDescent="0.2">
      <c r="A174" s="103"/>
      <c r="B174" s="51" t="str">
        <f>IFERROR(VLOOKUP(speciated_chemicals_183[[#This Row],[CAS '#]],species[],MATCH("Substance", species[#Headers], 0),FALSE),"No CAS Number Entered")</f>
        <v>No CAS Number Entered</v>
      </c>
      <c r="C174" s="102"/>
      <c r="D174" s="102" t="s">
        <v>12666</v>
      </c>
      <c r="E174" s="102" t="s">
        <v>12666</v>
      </c>
      <c r="F174" s="102" t="s">
        <v>12666</v>
      </c>
      <c r="G174" s="102" t="s">
        <v>12666</v>
      </c>
      <c r="H174" s="164"/>
      <c r="I174" s="51">
        <f>IF(speciated_chemicals_183[[#This Row],[Inert / Not a Contaminant?]]="Yes", 0, speciated_chemicals_183[[#This Row],[Weight Percent]]*(unique_components_182[[#Totals],[Controlled lb/hr]]+standard_components_181[[#Totals],[Controlled
lb/hr]]))</f>
        <v>0</v>
      </c>
      <c r="J174" s="51">
        <f>IF(speciated_chemicals_183[[#This Row],[Inert / Not a Contaminant?]]="Yes", 0, speciated_chemicals_183[[#This Row],[Weight Percent]]*(unique_components_182[[#Totals],[Controlled
tpy]]+standard_components_181[[#Totals],[Controlled
tpy]]))</f>
        <v>0</v>
      </c>
    </row>
    <row r="175" spans="1:10" x14ac:dyDescent="0.2">
      <c r="A175" s="103"/>
      <c r="B175" s="51" t="str">
        <f>IFERROR(VLOOKUP(speciated_chemicals_183[[#This Row],[CAS '#]],species[],MATCH("Substance", species[#Headers], 0),FALSE),"No CAS Number Entered")</f>
        <v>No CAS Number Entered</v>
      </c>
      <c r="C175" s="102"/>
      <c r="D175" s="102" t="s">
        <v>12666</v>
      </c>
      <c r="E175" s="102" t="s">
        <v>12666</v>
      </c>
      <c r="F175" s="102" t="s">
        <v>12666</v>
      </c>
      <c r="G175" s="102" t="s">
        <v>12666</v>
      </c>
      <c r="H175" s="164"/>
      <c r="I175" s="51">
        <f>IF(speciated_chemicals_183[[#This Row],[Inert / Not a Contaminant?]]="Yes", 0, speciated_chemicals_183[[#This Row],[Weight Percent]]*(unique_components_182[[#Totals],[Controlled lb/hr]]+standard_components_181[[#Totals],[Controlled
lb/hr]]))</f>
        <v>0</v>
      </c>
      <c r="J175" s="51">
        <f>IF(speciated_chemicals_183[[#This Row],[Inert / Not a Contaminant?]]="Yes", 0, speciated_chemicals_183[[#This Row],[Weight Percent]]*(unique_components_182[[#Totals],[Controlled
tpy]]+standard_components_181[[#Totals],[Controlled
tpy]]))</f>
        <v>0</v>
      </c>
    </row>
    <row r="176" spans="1:10" x14ac:dyDescent="0.2">
      <c r="A176" s="165"/>
      <c r="B176" s="51" t="str">
        <f>IFERROR(VLOOKUP(speciated_chemicals_183[[#This Row],[CAS '#]],species[],MATCH("Substance", species[#Headers], 0),FALSE),"No CAS Number Entered")</f>
        <v>No CAS Number Entered</v>
      </c>
      <c r="C176" s="102"/>
      <c r="D176" s="102" t="s">
        <v>12666</v>
      </c>
      <c r="E176" s="102" t="s">
        <v>12666</v>
      </c>
      <c r="F176" s="102" t="s">
        <v>12666</v>
      </c>
      <c r="G176" s="102" t="s">
        <v>12666</v>
      </c>
      <c r="H176" s="164"/>
      <c r="I176" s="51">
        <f>IF(speciated_chemicals_183[[#This Row],[Inert / Not a Contaminant?]]="Yes", 0, speciated_chemicals_183[[#This Row],[Weight Percent]]*(unique_components_182[[#Totals],[Controlled lb/hr]]+standard_components_181[[#Totals],[Controlled
lb/hr]]))</f>
        <v>0</v>
      </c>
      <c r="J176" s="51">
        <f>IF(speciated_chemicals_183[[#This Row],[Inert / Not a Contaminant?]]="Yes", 0, speciated_chemicals_183[[#This Row],[Weight Percent]]*(unique_components_182[[#Totals],[Controlled
tpy]]+standard_components_181[[#Totals],[Controlled
tpy]]))</f>
        <v>0</v>
      </c>
    </row>
    <row r="177" spans="1:10" x14ac:dyDescent="0.2">
      <c r="A177" s="103"/>
      <c r="B177" s="51" t="str">
        <f>IFERROR(VLOOKUP(speciated_chemicals_183[[#This Row],[CAS '#]],species[],MATCH("Substance", species[#Headers], 0),FALSE),"No CAS Number Entered")</f>
        <v>No CAS Number Entered</v>
      </c>
      <c r="C177" s="102"/>
      <c r="D177" s="102" t="s">
        <v>12666</v>
      </c>
      <c r="E177" s="102" t="s">
        <v>12666</v>
      </c>
      <c r="F177" s="102" t="s">
        <v>12666</v>
      </c>
      <c r="G177" s="102" t="s">
        <v>12666</v>
      </c>
      <c r="H177" s="164"/>
      <c r="I177" s="51">
        <f>IF(speciated_chemicals_183[[#This Row],[Inert / Not a Contaminant?]]="Yes", 0, speciated_chemicals_183[[#This Row],[Weight Percent]]*(unique_components_182[[#Totals],[Controlled lb/hr]]+standard_components_181[[#Totals],[Controlled
lb/hr]]))</f>
        <v>0</v>
      </c>
      <c r="J177" s="51">
        <f>IF(speciated_chemicals_183[[#This Row],[Inert / Not a Contaminant?]]="Yes", 0, speciated_chemicals_183[[#This Row],[Weight Percent]]*(unique_components_182[[#Totals],[Controlled
tpy]]+standard_components_181[[#Totals],[Controlled
tpy]]))</f>
        <v>0</v>
      </c>
    </row>
    <row r="178" spans="1:10" x14ac:dyDescent="0.2">
      <c r="A178" s="103"/>
      <c r="B178" s="51" t="str">
        <f>IFERROR(VLOOKUP(speciated_chemicals_183[[#This Row],[CAS '#]],species[],MATCH("Substance", species[#Headers], 0),FALSE),"No CAS Number Entered")</f>
        <v>No CAS Number Entered</v>
      </c>
      <c r="C178" s="102"/>
      <c r="D178" s="102" t="s">
        <v>12666</v>
      </c>
      <c r="E178" s="102" t="s">
        <v>12666</v>
      </c>
      <c r="F178" s="102" t="s">
        <v>12666</v>
      </c>
      <c r="G178" s="102" t="s">
        <v>12666</v>
      </c>
      <c r="H178" s="164"/>
      <c r="I178" s="51">
        <f>IF(speciated_chemicals_183[[#This Row],[Inert / Not a Contaminant?]]="Yes", 0, speciated_chemicals_183[[#This Row],[Weight Percent]]*(unique_components_182[[#Totals],[Controlled lb/hr]]+standard_components_181[[#Totals],[Controlled
lb/hr]]))</f>
        <v>0</v>
      </c>
      <c r="J178" s="51">
        <f>IF(speciated_chemicals_183[[#This Row],[Inert / Not a Contaminant?]]="Yes", 0, speciated_chemicals_183[[#This Row],[Weight Percent]]*(unique_components_182[[#Totals],[Controlled
tpy]]+standard_components_181[[#Totals],[Controlled
tpy]]))</f>
        <v>0</v>
      </c>
    </row>
    <row r="179" spans="1:10" x14ac:dyDescent="0.2">
      <c r="A179" s="103"/>
      <c r="B179" s="51" t="str">
        <f>IFERROR(VLOOKUP(speciated_chemicals_183[[#This Row],[CAS '#]],species[],MATCH("Substance", species[#Headers], 0),FALSE),"No CAS Number Entered")</f>
        <v>No CAS Number Entered</v>
      </c>
      <c r="C179" s="102"/>
      <c r="D179" s="102" t="s">
        <v>12666</v>
      </c>
      <c r="E179" s="102" t="s">
        <v>12666</v>
      </c>
      <c r="F179" s="102" t="s">
        <v>12666</v>
      </c>
      <c r="G179" s="102" t="s">
        <v>12666</v>
      </c>
      <c r="H179" s="164"/>
      <c r="I179" s="51">
        <f>IF(speciated_chemicals_183[[#This Row],[Inert / Not a Contaminant?]]="Yes", 0, speciated_chemicals_183[[#This Row],[Weight Percent]]*(unique_components_182[[#Totals],[Controlled lb/hr]]+standard_components_181[[#Totals],[Controlled
lb/hr]]))</f>
        <v>0</v>
      </c>
      <c r="J179" s="51">
        <f>IF(speciated_chemicals_183[[#This Row],[Inert / Not a Contaminant?]]="Yes", 0, speciated_chemicals_183[[#This Row],[Weight Percent]]*(unique_components_182[[#Totals],[Controlled
tpy]]+standard_components_181[[#Totals],[Controlled
tpy]]))</f>
        <v>0</v>
      </c>
    </row>
    <row r="180" spans="1:10" x14ac:dyDescent="0.2">
      <c r="A180" s="103"/>
      <c r="B180" s="51" t="str">
        <f>IFERROR(VLOOKUP(speciated_chemicals_183[[#This Row],[CAS '#]],species[],MATCH("Substance", species[#Headers], 0),FALSE),"No CAS Number Entered")</f>
        <v>No CAS Number Entered</v>
      </c>
      <c r="C180" s="102"/>
      <c r="D180" s="102" t="s">
        <v>12666</v>
      </c>
      <c r="E180" s="102" t="s">
        <v>12666</v>
      </c>
      <c r="F180" s="102" t="s">
        <v>12666</v>
      </c>
      <c r="G180" s="102" t="s">
        <v>12666</v>
      </c>
      <c r="H180" s="164"/>
      <c r="I180" s="51">
        <f>IF(speciated_chemicals_183[[#This Row],[Inert / Not a Contaminant?]]="Yes", 0, speciated_chemicals_183[[#This Row],[Weight Percent]]*(unique_components_182[[#Totals],[Controlled lb/hr]]+standard_components_181[[#Totals],[Controlled
lb/hr]]))</f>
        <v>0</v>
      </c>
      <c r="J180" s="51">
        <f>IF(speciated_chemicals_183[[#This Row],[Inert / Not a Contaminant?]]="Yes", 0, speciated_chemicals_183[[#This Row],[Weight Percent]]*(unique_components_182[[#Totals],[Controlled
tpy]]+standard_components_181[[#Totals],[Controlled
tpy]]))</f>
        <v>0</v>
      </c>
    </row>
    <row r="181" spans="1:10" ht="30" x14ac:dyDescent="0.2">
      <c r="A181" s="184" t="s">
        <v>12705</v>
      </c>
      <c r="B181" s="52"/>
      <c r="C181" s="53"/>
      <c r="D181" s="52"/>
      <c r="E181" s="52"/>
      <c r="F181" s="52"/>
      <c r="G181" s="52"/>
      <c r="H181" s="166">
        <f>SUBTOTAL(109,speciated_chemicals_183[Weight Percent])</f>
        <v>0</v>
      </c>
      <c r="I181" s="167">
        <f>SUBTOTAL(109,speciated_chemicals_183[lb/hr])</f>
        <v>0</v>
      </c>
      <c r="J181" s="167">
        <f>SUBTOTAL(109,speciated_chemicals_183[tpy])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MATCH(speciated_ghg_184[[#This Row],[CAS '#]], gwp_table[CAS No.], 0), MATCH("Name", gwp_table[#Headers], 0)),"No CAS Number Entered")</f>
        <v>No CAS Number Entered</v>
      </c>
      <c r="C185" s="79" t="str">
        <f>IFERROR(INDEX(gwp_table[], MATCH(speciated_ghg_184[[#This Row],[CAS '#]], gwp_table[CAS No.], 0), MATCH("Global warming potential", gwp_table[#Headers], 0)),"No CAS Number Entered")</f>
        <v>No CAS Number Entered</v>
      </c>
      <c r="D185" s="219"/>
      <c r="E185" s="79">
        <f>IFERROR(speciated_ghg_184[[#This Row],[Weight Percent]]*(unique_components_182[[#Totals],[Controlled
tpy]]+standard_components_181[[#Totals],[Controlled
tpy]]), "-")</f>
        <v>0</v>
      </c>
      <c r="F185" s="81" t="str">
        <f>IFERROR(speciated_ghg_184[[#This Row],[Mass Emissions (U.S. tons per year)]]*speciated_ghg_184[[#This Row],[Global Warming Potential (GWP)]], "-")</f>
        <v>-</v>
      </c>
      <c r="G185" s="30"/>
      <c r="H185" s="168"/>
      <c r="I185" s="168"/>
    </row>
    <row r="186" spans="1:10" x14ac:dyDescent="0.2">
      <c r="A186" s="210"/>
      <c r="B186" s="79" t="str">
        <f>IFERROR(INDEX(gwp_table[], MATCH(speciated_ghg_184[[#This Row],[CAS '#]], gwp_table[CAS No.], 0), MATCH("Name", gwp_table[#Headers], 0)),"No CAS Number Entered")</f>
        <v>No CAS Number Entered</v>
      </c>
      <c r="C186" s="79" t="str">
        <f>IFERROR(INDEX(gwp_table[], MATCH(speciated_ghg_184[[#This Row],[CAS '#]], gwp_table[CAS No.], 0), MATCH("Global warming potential", gwp_table[#Headers], 0)),"No CAS Number Entered")</f>
        <v>No CAS Number Entered</v>
      </c>
      <c r="D186" s="219"/>
      <c r="E186" s="79">
        <f>IFERROR(speciated_ghg_184[[#This Row],[Weight Percent]]*(unique_components_182[[#Totals],[Controlled
tpy]]+standard_components_181[[#Totals],[Controlled
tpy]]), "-")</f>
        <v>0</v>
      </c>
      <c r="F186" s="81" t="str">
        <f>IFERROR(speciated_ghg_184[[#This Row],[Mass Emissions (U.S. tons per year)]]*speciated_ghg_184[[#This Row],[Global Warming Potential (GWP)]], "-")</f>
        <v>-</v>
      </c>
      <c r="G186" s="30"/>
      <c r="H186" s="168"/>
      <c r="I186" s="168"/>
    </row>
    <row r="187" spans="1:10" x14ac:dyDescent="0.2">
      <c r="A187" s="210"/>
      <c r="B187" s="79" t="str">
        <f>IFERROR(INDEX(gwp_table[], MATCH(speciated_ghg_184[[#This Row],[CAS '#]], gwp_table[CAS No.], 0), MATCH("Name", gwp_table[#Headers], 0)),"No CAS Number Entered")</f>
        <v>No CAS Number Entered</v>
      </c>
      <c r="C187" s="79" t="str">
        <f>IFERROR(INDEX(gwp_table[], MATCH(speciated_ghg_184[[#This Row],[CAS '#]], gwp_table[CAS No.], 0), MATCH("Global warming potential", gwp_table[#Headers], 0)),"No CAS Number Entered")</f>
        <v>No CAS Number Entered</v>
      </c>
      <c r="D187" s="219"/>
      <c r="E187" s="79">
        <f>IFERROR(speciated_ghg_184[[#This Row],[Weight Percent]]*(unique_components_182[[#Totals],[Controlled
tpy]]+standard_components_181[[#Totals],[Controlled
tpy]]), "-")</f>
        <v>0</v>
      </c>
      <c r="F187" s="81" t="str">
        <f>IFERROR(speciated_ghg_184[[#This Row],[Mass Emissions (U.S. tons per year)]]*speciated_ghg_184[[#This Row],[Global Warming Potential (GWP)]], "-")</f>
        <v>-</v>
      </c>
      <c r="G187" s="30"/>
      <c r="H187" s="168"/>
      <c r="I187" s="168"/>
    </row>
    <row r="188" spans="1:10" x14ac:dyDescent="0.2">
      <c r="A188" s="210"/>
      <c r="B188" s="79" t="str">
        <f>IFERROR(INDEX(gwp_table[], MATCH(speciated_ghg_184[[#This Row],[CAS '#]], gwp_table[CAS No.], 0), MATCH("Name", gwp_table[#Headers], 0)),"No CAS Number Entered")</f>
        <v>No CAS Number Entered</v>
      </c>
      <c r="C188" s="79" t="str">
        <f>IFERROR(INDEX(gwp_table[], MATCH(speciated_ghg_184[[#This Row],[CAS '#]], gwp_table[CAS No.], 0), MATCH("Global warming potential", gwp_table[#Headers], 0)),"No CAS Number Entered")</f>
        <v>No CAS Number Entered</v>
      </c>
      <c r="D188" s="219"/>
      <c r="E188" s="79">
        <f>IFERROR(speciated_ghg_184[[#This Row],[Weight Percent]]*(unique_components_182[[#Totals],[Controlled
tpy]]+standard_components_181[[#Totals],[Controlled
tpy]]), "-")</f>
        <v>0</v>
      </c>
      <c r="F188" s="81" t="str">
        <f>IFERROR(speciated_ghg_184[[#This Row],[Mass Emissions (U.S. tons per year)]]*speciated_ghg_184[[#This Row],[Global Warming Potential (GWP)]], "-")</f>
        <v>-</v>
      </c>
      <c r="G188" s="30"/>
      <c r="H188" s="168"/>
      <c r="I188" s="168"/>
    </row>
    <row r="189" spans="1:10" x14ac:dyDescent="0.2">
      <c r="A189" s="210"/>
      <c r="B189" s="79" t="str">
        <f>IFERROR(INDEX(gwp_table[], MATCH(speciated_ghg_184[[#This Row],[CAS '#]], gwp_table[CAS No.], 0), MATCH("Name", gwp_table[#Headers], 0)),"No CAS Number Entered")</f>
        <v>No CAS Number Entered</v>
      </c>
      <c r="C189" s="79" t="str">
        <f>IFERROR(INDEX(gwp_table[], MATCH(speciated_ghg_184[[#This Row],[CAS '#]], gwp_table[CAS No.], 0), MATCH("Global warming potential", gwp_table[#Headers], 0)),"No CAS Number Entered")</f>
        <v>No CAS Number Entered</v>
      </c>
      <c r="D189" s="219"/>
      <c r="E189" s="79">
        <f>IFERROR(speciated_ghg_184[[#This Row],[Weight Percent]]*(unique_components_182[[#Totals],[Controlled
tpy]]+standard_components_181[[#Totals],[Controlled
tpy]]), "-")</f>
        <v>0</v>
      </c>
      <c r="F189" s="81" t="str">
        <f>IFERROR(speciated_ghg_184[[#This Row],[Mass Emissions (U.S. tons per year)]]*speciated_ghg_184[[#This Row],[Global Warming Potential (GWP)]], "-")</f>
        <v>-</v>
      </c>
      <c r="G189" s="30"/>
      <c r="H189" s="168"/>
      <c r="I189" s="168"/>
    </row>
    <row r="190" spans="1:10" x14ac:dyDescent="0.2">
      <c r="A190" s="210"/>
      <c r="B190" s="79" t="str">
        <f>IFERROR(INDEX(gwp_table[], MATCH(speciated_ghg_184[[#This Row],[CAS '#]], gwp_table[CAS No.], 0), MATCH("Name", gwp_table[#Headers], 0)),"No CAS Number Entered")</f>
        <v>No CAS Number Entered</v>
      </c>
      <c r="C190" s="79" t="str">
        <f>IFERROR(INDEX(gwp_table[], MATCH(speciated_ghg_184[[#This Row],[CAS '#]], gwp_table[CAS No.], 0), MATCH("Global warming potential", gwp_table[#Headers], 0)),"No CAS Number Entered")</f>
        <v>No CAS Number Entered</v>
      </c>
      <c r="D190" s="219"/>
      <c r="E190" s="79">
        <f>IFERROR(speciated_ghg_184[[#This Row],[Weight Percent]]*(unique_components_182[[#Totals],[Controlled
tpy]]+standard_components_181[[#Totals],[Controlled
tpy]]), "-")</f>
        <v>0</v>
      </c>
      <c r="F190" s="81" t="str">
        <f>IFERROR(speciated_ghg_184[[#This Row],[Mass Emissions (U.S. tons per year)]]*speciated_ghg_184[[#This Row],[Global Warming Potential (GWP)]], "-")</f>
        <v>-</v>
      </c>
      <c r="G190" s="30"/>
      <c r="H190" s="168"/>
      <c r="I190" s="168"/>
    </row>
    <row r="191" spans="1:10" x14ac:dyDescent="0.2">
      <c r="A191" s="210"/>
      <c r="B191" s="79" t="str">
        <f>IFERROR(INDEX(gwp_table[], MATCH(speciated_ghg_184[[#This Row],[CAS '#]], gwp_table[CAS No.], 0), MATCH("Name", gwp_table[#Headers], 0)),"No CAS Number Entered")</f>
        <v>No CAS Number Entered</v>
      </c>
      <c r="C191" s="79" t="str">
        <f>IFERROR(INDEX(gwp_table[], MATCH(speciated_ghg_184[[#This Row],[CAS '#]], gwp_table[CAS No.], 0), MATCH("Global warming potential", gwp_table[#Headers], 0)),"No CAS Number Entered")</f>
        <v>No CAS Number Entered</v>
      </c>
      <c r="D191" s="219"/>
      <c r="E191" s="79">
        <f>IFERROR(speciated_ghg_184[[#This Row],[Weight Percent]]*(unique_components_182[[#Totals],[Controlled
tpy]]+standard_components_181[[#Totals],[Controlled
tpy]]), "-")</f>
        <v>0</v>
      </c>
      <c r="F191" s="81" t="str">
        <f>IFERROR(speciated_ghg_184[[#This Row],[Mass Emissions (U.S. tons per year)]]*speciated_ghg_184[[#This Row],[Global Warming Potential (GWP)]], "-")</f>
        <v>-</v>
      </c>
      <c r="G191" s="17"/>
    </row>
    <row r="192" spans="1:10" ht="15" x14ac:dyDescent="0.25">
      <c r="A192" s="210"/>
      <c r="B192" s="79" t="str">
        <f>IFERROR(INDEX(gwp_table[], MATCH(speciated_ghg_184[[#This Row],[CAS '#]], gwp_table[CAS No.], 0), MATCH("Name", gwp_table[#Headers], 0)),"No CAS Number Entered")</f>
        <v>No CAS Number Entered</v>
      </c>
      <c r="C192" s="79" t="str">
        <f>IFERROR(INDEX(gwp_table[], MATCH(speciated_ghg_184[[#This Row],[CAS '#]], gwp_table[CAS No.], 0), MATCH("Global warming potential", gwp_table[#Headers], 0)),"No CAS Number Entered")</f>
        <v>No CAS Number Entered</v>
      </c>
      <c r="D192" s="219"/>
      <c r="E192" s="79">
        <f>IFERROR(speciated_ghg_184[[#This Row],[Weight Percent]]*(unique_components_182[[#Totals],[Controlled
tpy]]+standard_components_181[[#Totals],[Controlled
tpy]]), "-")</f>
        <v>0</v>
      </c>
      <c r="F192" s="81" t="str">
        <f>IFERROR(speciated_ghg_184[[#This Row],[Mass Emissions (U.S. tons per year)]]*speciated_ghg_184[[#This Row],[Global Warming Potential (GWP)]], "-")</f>
        <v>-</v>
      </c>
      <c r="G192" s="134"/>
      <c r="H192" s="169"/>
    </row>
    <row r="193" spans="1:9" ht="15" x14ac:dyDescent="0.25">
      <c r="A193" s="210"/>
      <c r="B193" s="79" t="str">
        <f>IFERROR(INDEX(gwp_table[], MATCH(speciated_ghg_184[[#This Row],[CAS '#]], gwp_table[CAS No.], 0), MATCH("Name", gwp_table[#Headers], 0)),"No CAS Number Entered")</f>
        <v>No CAS Number Entered</v>
      </c>
      <c r="C193" s="79" t="str">
        <f>IFERROR(INDEX(gwp_table[], MATCH(speciated_ghg_184[[#This Row],[CAS '#]], gwp_table[CAS No.], 0), MATCH("Global warming potential", gwp_table[#Headers], 0)),"No CAS Number Entered")</f>
        <v>No CAS Number Entered</v>
      </c>
      <c r="D193" s="219"/>
      <c r="E193" s="79">
        <f>IFERROR(speciated_ghg_184[[#This Row],[Weight Percent]]*(unique_components_182[[#Totals],[Controlled
tpy]]+standard_components_181[[#Totals],[Controlled
tpy]]), "-")</f>
        <v>0</v>
      </c>
      <c r="F193" s="81" t="str">
        <f>IFERROR(speciated_ghg_184[[#This Row],[Mass Emissions (U.S. tons per year)]]*speciated_ghg_184[[#This Row],[Global Warming Potential (GWP)]], "-")</f>
        <v>-</v>
      </c>
      <c r="G193" s="134"/>
      <c r="H193" s="169"/>
    </row>
    <row r="194" spans="1:9" ht="15" x14ac:dyDescent="0.25">
      <c r="A194" s="210"/>
      <c r="B194" s="79" t="str">
        <f>IFERROR(INDEX(gwp_table[], MATCH(speciated_ghg_184[[#This Row],[CAS '#]], gwp_table[CAS No.], 0), MATCH("Name", gwp_table[#Headers], 0)),"No CAS Number Entered")</f>
        <v>No CAS Number Entered</v>
      </c>
      <c r="C194" s="79" t="str">
        <f>IFERROR(INDEX(gwp_table[], MATCH(speciated_ghg_184[[#This Row],[CAS '#]], gwp_table[CAS No.], 0), MATCH("Global warming potential", gwp_table[#Headers], 0)),"No CAS Number Entered")</f>
        <v>No CAS Number Entered</v>
      </c>
      <c r="D194" s="219"/>
      <c r="E194" s="79">
        <f>IFERROR(speciated_ghg_184[[#This Row],[Weight Percent]]*(unique_components_182[[#Totals],[Controlled
tpy]]+standard_components_181[[#Totals],[Controlled
tpy]]), "-")</f>
        <v>0</v>
      </c>
      <c r="F194" s="81" t="str">
        <f>IFERROR(speciated_ghg_184[[#This Row],[Mass Emissions (U.S. tons per year)]]*speciated_ghg_184[[#This Row],[Global Warming Potential (GWP)]], "-")</f>
        <v>-</v>
      </c>
      <c r="G194" s="134"/>
      <c r="H194" s="169"/>
    </row>
    <row r="195" spans="1:9" x14ac:dyDescent="0.2">
      <c r="A195" s="210"/>
      <c r="B195" s="79" t="str">
        <f>IFERROR(INDEX(gwp_table[], MATCH(speciated_ghg_184[[#This Row],[CAS '#]], gwp_table[CAS No.], 0), MATCH("Name", gwp_table[#Headers], 0)),"No CAS Number Entered")</f>
        <v>No CAS Number Entered</v>
      </c>
      <c r="C195" s="79" t="str">
        <f>IFERROR(INDEX(gwp_table[], MATCH(speciated_ghg_184[[#This Row],[CAS '#]], gwp_table[CAS No.], 0), MATCH("Global warming potential", gwp_table[#Headers], 0)),"No CAS Number Entered")</f>
        <v>No CAS Number Entered</v>
      </c>
      <c r="D195" s="219"/>
      <c r="E195" s="79">
        <f>IFERROR(speciated_ghg_184[[#This Row],[Weight Percent]]*(unique_components_182[[#Totals],[Controlled
tpy]]+standard_components_181[[#Totals],[Controlled
tpy]]), "-")</f>
        <v>0</v>
      </c>
      <c r="F195" s="81" t="str">
        <f>IFERROR(speciated_ghg_184[[#This Row],[Mass Emissions (U.S. tons per year)]]*speciated_ghg_184[[#This Row],[Global Warming Potential (GWP)]], "-")</f>
        <v>-</v>
      </c>
      <c r="G195" s="69"/>
      <c r="H195" s="169"/>
    </row>
    <row r="196" spans="1:9" x14ac:dyDescent="0.2">
      <c r="A196" s="210"/>
      <c r="B196" s="79" t="str">
        <f>IFERROR(INDEX(gwp_table[], MATCH(speciated_ghg_184[[#This Row],[CAS '#]], gwp_table[CAS No.], 0), MATCH("Name", gwp_table[#Headers], 0)),"No CAS Number Entered")</f>
        <v>No CAS Number Entered</v>
      </c>
      <c r="C196" s="79" t="str">
        <f>IFERROR(INDEX(gwp_table[], MATCH(speciated_ghg_184[[#This Row],[CAS '#]], gwp_table[CAS No.], 0), MATCH("Global warming potential", gwp_table[#Headers], 0)),"No CAS Number Entered")</f>
        <v>No CAS Number Entered</v>
      </c>
      <c r="D196" s="219"/>
      <c r="E196" s="79">
        <f>IFERROR(speciated_ghg_184[[#This Row],[Weight Percent]]*(unique_components_182[[#Totals],[Controlled
tpy]]+standard_components_181[[#Totals],[Controlled
tpy]]), "-")</f>
        <v>0</v>
      </c>
      <c r="F196" s="81" t="str">
        <f>IFERROR(speciated_ghg_184[[#This Row],[Mass Emissions (U.S. tons per year)]]*speciated_ghg_184[[#This Row],[Global Warming Potential (GWP)]], "-")</f>
        <v>-</v>
      </c>
      <c r="G196" s="29"/>
      <c r="H196" s="169"/>
    </row>
    <row r="197" spans="1:9" x14ac:dyDescent="0.2">
      <c r="A197" s="210"/>
      <c r="B197" s="79" t="str">
        <f>IFERROR(INDEX(gwp_table[], MATCH(speciated_ghg_184[[#This Row],[CAS '#]], gwp_table[CAS No.], 0), MATCH("Name", gwp_table[#Headers], 0)),"No CAS Number Entered")</f>
        <v>No CAS Number Entered</v>
      </c>
      <c r="C197" s="79" t="str">
        <f>IFERROR(INDEX(gwp_table[], MATCH(speciated_ghg_184[[#This Row],[CAS '#]], gwp_table[CAS No.], 0), MATCH("Global warming potential", gwp_table[#Headers], 0)),"No CAS Number Entered")</f>
        <v>No CAS Number Entered</v>
      </c>
      <c r="D197" s="219"/>
      <c r="E197" s="79">
        <f>IFERROR(speciated_ghg_184[[#This Row],[Weight Percent]]*(unique_components_182[[#Totals],[Controlled
tpy]]+standard_components_181[[#Totals],[Controlled
tpy]]), "-")</f>
        <v>0</v>
      </c>
      <c r="F197" s="81" t="str">
        <f>IFERROR(speciated_ghg_184[[#This Row],[Mass Emissions (U.S. tons per year)]]*speciated_ghg_184[[#This Row],[Global Warming Potential (GWP)]], "-")</f>
        <v>-</v>
      </c>
      <c r="G197" s="29"/>
      <c r="H197" s="29"/>
      <c r="I197" s="169"/>
    </row>
    <row r="198" spans="1:9" x14ac:dyDescent="0.2">
      <c r="A198" s="210"/>
      <c r="B198" s="79" t="str">
        <f>IFERROR(INDEX(gwp_table[], MATCH(speciated_ghg_184[[#This Row],[CAS '#]], gwp_table[CAS No.], 0), MATCH("Name", gwp_table[#Headers], 0)),"No CAS Number Entered")</f>
        <v>No CAS Number Entered</v>
      </c>
      <c r="C198" s="79" t="str">
        <f>IFERROR(INDEX(gwp_table[], MATCH(speciated_ghg_184[[#This Row],[CAS '#]], gwp_table[CAS No.], 0), MATCH("Global warming potential", gwp_table[#Headers], 0)),"No CAS Number Entered")</f>
        <v>No CAS Number Entered</v>
      </c>
      <c r="D198" s="219"/>
      <c r="E198" s="79">
        <f>IFERROR(speciated_ghg_184[[#This Row],[Weight Percent]]*(unique_components_182[[#Totals],[Controlled
tpy]]+standard_components_181[[#Totals],[Controlled
tpy]]), "-")</f>
        <v>0</v>
      </c>
      <c r="F198" s="81" t="str">
        <f>IFERROR(speciated_ghg_184[[#This Row],[Mass Emissions (U.S. tons per year)]]*speciated_ghg_184[[#This Row],[Global Warming Potential (GWP)]], "-")</f>
        <v>-</v>
      </c>
      <c r="G198" s="29"/>
      <c r="H198" s="29"/>
      <c r="I198" s="169"/>
    </row>
    <row r="199" spans="1:9" x14ac:dyDescent="0.2">
      <c r="A199" s="210"/>
      <c r="B199" s="79" t="str">
        <f>IFERROR(INDEX(gwp_table[], MATCH(speciated_ghg_184[[#This Row],[CAS '#]], gwp_table[CAS No.], 0), MATCH("Name", gwp_table[#Headers], 0)),"No CAS Number Entered")</f>
        <v>No CAS Number Entered</v>
      </c>
      <c r="C199" s="79" t="str">
        <f>IFERROR(INDEX(gwp_table[], MATCH(speciated_ghg_184[[#This Row],[CAS '#]], gwp_table[CAS No.], 0), MATCH("Global warming potential", gwp_table[#Headers], 0)),"No CAS Number Entered")</f>
        <v>No CAS Number Entered</v>
      </c>
      <c r="D199" s="219"/>
      <c r="E199" s="79">
        <f>IFERROR(speciated_ghg_184[[#This Row],[Weight Percent]]*(unique_components_182[[#Totals],[Controlled
tpy]]+standard_components_181[[#Totals],[Controlled
tpy]]), "-")</f>
        <v>0</v>
      </c>
      <c r="F199" s="81" t="str">
        <f>IFERROR(speciated_ghg_184[[#This Row],[Mass Emissions (U.S. tons per year)]]*speciated_ghg_184[[#This Row],[Global Warming Potential (GWP)]], "-")</f>
        <v>-</v>
      </c>
      <c r="G199" s="29"/>
      <c r="H199" s="29"/>
      <c r="I199" s="169"/>
    </row>
    <row r="200" spans="1:9" x14ac:dyDescent="0.2">
      <c r="A200" s="210"/>
      <c r="B200" s="79" t="str">
        <f>IFERROR(INDEX(gwp_table[], MATCH(speciated_ghg_184[[#This Row],[CAS '#]], gwp_table[CAS No.], 0), MATCH("Name", gwp_table[#Headers], 0)),"No CAS Number Entered")</f>
        <v>No CAS Number Entered</v>
      </c>
      <c r="C200" s="79" t="str">
        <f>IFERROR(INDEX(gwp_table[], MATCH(speciated_ghg_184[[#This Row],[CAS '#]], gwp_table[CAS No.], 0), MATCH("Global warming potential", gwp_table[#Headers], 0)),"No CAS Number Entered")</f>
        <v>No CAS Number Entered</v>
      </c>
      <c r="D200" s="219"/>
      <c r="E200" s="79">
        <f>IFERROR(speciated_ghg_184[[#This Row],[Weight Percent]]*(unique_components_182[[#Totals],[Controlled
tpy]]+standard_components_181[[#Totals],[Controlled
tpy]]), "-")</f>
        <v>0</v>
      </c>
      <c r="F200" s="81" t="str">
        <f>IFERROR(speciated_ghg_184[[#This Row],[Mass Emissions (U.S. tons per year)]]*speciated_ghg_184[[#This Row],[Global Warming Potential (GWP)]], "-")</f>
        <v>-</v>
      </c>
      <c r="G200" s="29"/>
      <c r="H200" s="29"/>
      <c r="I200" s="169"/>
    </row>
    <row r="201" spans="1:9" x14ac:dyDescent="0.2">
      <c r="A201" s="210"/>
      <c r="B201" s="79" t="str">
        <f>IFERROR(INDEX(gwp_table[], MATCH(speciated_ghg_184[[#This Row],[CAS '#]], gwp_table[CAS No.], 0), MATCH("Name", gwp_table[#Headers], 0)),"No CAS Number Entered")</f>
        <v>No CAS Number Entered</v>
      </c>
      <c r="C201" s="79" t="str">
        <f>IFERROR(INDEX(gwp_table[], MATCH(speciated_ghg_184[[#This Row],[CAS '#]], gwp_table[CAS No.], 0), MATCH("Global warming potential", gwp_table[#Headers], 0)),"No CAS Number Entered")</f>
        <v>No CAS Number Entered</v>
      </c>
      <c r="D201" s="219"/>
      <c r="E201" s="79">
        <f>IFERROR(speciated_ghg_184[[#This Row],[Weight Percent]]*(unique_components_182[[#Totals],[Controlled
tpy]]+standard_components_181[[#Totals],[Controlled
tpy]]), "-")</f>
        <v>0</v>
      </c>
      <c r="F201" s="81" t="str">
        <f>IFERROR(speciated_ghg_184[[#This Row],[Mass Emissions (U.S. tons per year)]]*speciated_ghg_184[[#This Row],[Global Warming Potential (GWP)]], "-")</f>
        <v>-</v>
      </c>
      <c r="G201" s="169"/>
      <c r="H201" s="169"/>
      <c r="I201" s="169"/>
    </row>
    <row r="202" spans="1:9" x14ac:dyDescent="0.2">
      <c r="A202" s="210"/>
      <c r="B202" s="79" t="str">
        <f>IFERROR(INDEX(gwp_table[], MATCH(speciated_ghg_184[[#This Row],[CAS '#]], gwp_table[CAS No.], 0), MATCH("Name", gwp_table[#Headers], 0)),"No CAS Number Entered")</f>
        <v>No CAS Number Entered</v>
      </c>
      <c r="C202" s="79" t="str">
        <f>IFERROR(INDEX(gwp_table[], MATCH(speciated_ghg_184[[#This Row],[CAS '#]], gwp_table[CAS No.], 0), MATCH("Global warming potential", gwp_table[#Headers], 0)),"No CAS Number Entered")</f>
        <v>No CAS Number Entered</v>
      </c>
      <c r="D202" s="219"/>
      <c r="E202" s="79">
        <f>IFERROR(speciated_ghg_184[[#This Row],[Weight Percent]]*(unique_components_182[[#Totals],[Controlled
tpy]]+standard_components_181[[#Totals],[Controlled
tpy]]), "-")</f>
        <v>0</v>
      </c>
      <c r="F202" s="81" t="str">
        <f>IFERROR(speciated_ghg_184[[#This Row],[Mass Emissions (U.S. tons per year)]]*speciated_ghg_184[[#This Row],[Global Warming Potential (GWP)]], "-")</f>
        <v>-</v>
      </c>
      <c r="G202" s="169"/>
      <c r="H202" s="169"/>
      <c r="I202" s="169"/>
    </row>
    <row r="203" spans="1:9" x14ac:dyDescent="0.2">
      <c r="A203" s="210"/>
      <c r="B203" s="79" t="str">
        <f>IFERROR(INDEX(gwp_table[], MATCH(speciated_ghg_184[[#This Row],[CAS '#]], gwp_table[CAS No.], 0), MATCH("Name", gwp_table[#Headers], 0)),"No CAS Number Entered")</f>
        <v>No CAS Number Entered</v>
      </c>
      <c r="C203" s="79" t="str">
        <f>IFERROR(INDEX(gwp_table[], MATCH(speciated_ghg_184[[#This Row],[CAS '#]], gwp_table[CAS No.], 0), MATCH("Global warming potential", gwp_table[#Headers], 0)),"No CAS Number Entered")</f>
        <v>No CAS Number Entered</v>
      </c>
      <c r="D203" s="219"/>
      <c r="E203" s="79">
        <f>IFERROR(speciated_ghg_184[[#This Row],[Weight Percent]]*(unique_components_182[[#Totals],[Controlled
tpy]]+standard_components_181[[#Totals],[Controlled
tpy]]), "-")</f>
        <v>0</v>
      </c>
      <c r="F203" s="81" t="str">
        <f>IFERROR(speciated_ghg_184[[#This Row],[Mass Emissions (U.S. tons per year)]]*speciated_ghg_184[[#This Row],[Global Warming Potential (GWP)]], "-")</f>
        <v>-</v>
      </c>
      <c r="G203" s="169"/>
      <c r="H203" s="169"/>
      <c r="I203" s="169"/>
    </row>
    <row r="204" spans="1:9" ht="30" x14ac:dyDescent="0.25">
      <c r="A204" s="185" t="s">
        <v>13321</v>
      </c>
      <c r="B204" s="77"/>
      <c r="C204" s="77"/>
      <c r="D204" s="77"/>
      <c r="E204" s="80">
        <f>SUBTOTAL(109,speciated_ghg_184[Mass Emissions (U.S. tons per year)])</f>
        <v>0</v>
      </c>
      <c r="F204" s="82">
        <f>SUBTOTAL(109,speciated_ghg_184[CO2e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speciated_chemicals_183[[#Totals],[lb/hr]]</f>
        <v>0</v>
      </c>
      <c r="C207" s="134"/>
      <c r="D207" s="134"/>
      <c r="E207" s="134"/>
      <c r="F207" s="134"/>
      <c r="G207" s="169"/>
      <c r="H207" s="169"/>
    </row>
    <row r="208" spans="1:9" ht="29.25" x14ac:dyDescent="0.25">
      <c r="A208" s="174" t="s">
        <v>13320</v>
      </c>
      <c r="B208" s="175">
        <f>speciated_chemicals_183[[#Totals],[tpy]]</f>
        <v>0</v>
      </c>
      <c r="C208" s="134"/>
      <c r="D208" s="134"/>
      <c r="E208" s="134"/>
      <c r="F208" s="134"/>
      <c r="G208" s="169"/>
      <c r="H208" s="169"/>
    </row>
    <row r="209" spans="1:8" ht="15" x14ac:dyDescent="0.25">
      <c r="A209" s="126" t="s">
        <v>13277</v>
      </c>
      <c r="B209" s="128">
        <f>SUMIF(speciated_chemicals_183[VOC?],"Yes",speciated_chemicals_183[lb/hr])</f>
        <v>0</v>
      </c>
      <c r="C209" s="134"/>
      <c r="D209" s="29"/>
      <c r="E209" s="29"/>
      <c r="F209" s="29"/>
      <c r="G209" s="169"/>
      <c r="H209" s="169"/>
    </row>
    <row r="210" spans="1:8" ht="15" x14ac:dyDescent="0.25">
      <c r="A210" s="126" t="s">
        <v>12669</v>
      </c>
      <c r="B210" s="128">
        <f>SUMIF(speciated_chemicals_183[VOC?],"Yes",speciated_chemicals_183[tpy])</f>
        <v>0</v>
      </c>
      <c r="C210" s="134"/>
      <c r="D210" s="29"/>
      <c r="E210" s="29"/>
      <c r="F210" s="29"/>
      <c r="G210" s="169"/>
      <c r="H210" s="169"/>
    </row>
    <row r="211" spans="1:8" ht="15" x14ac:dyDescent="0.25">
      <c r="A211" s="126" t="s">
        <v>12775</v>
      </c>
      <c r="B211" s="128">
        <f>SUMIF(speciated_chemicals_183[Inorganic?],"Yes",speciated_chemicals_183[lb/hr])</f>
        <v>0</v>
      </c>
      <c r="C211" s="134"/>
      <c r="D211" s="29"/>
      <c r="E211" s="29"/>
      <c r="F211" s="29"/>
      <c r="G211" s="169"/>
      <c r="H211" s="169"/>
    </row>
    <row r="212" spans="1:8" ht="15" x14ac:dyDescent="0.25">
      <c r="A212" s="126" t="s">
        <v>12770</v>
      </c>
      <c r="B212" s="128">
        <f>SUMIF(speciated_chemicals_183[Inorganic?],"Yes",speciated_chemicals_183[tpy])</f>
        <v>0</v>
      </c>
      <c r="C212" s="134"/>
      <c r="D212" s="29"/>
      <c r="E212" s="29"/>
      <c r="F212" s="29"/>
      <c r="G212" s="169"/>
      <c r="H212" s="169"/>
    </row>
    <row r="213" spans="1:8" ht="15" x14ac:dyDescent="0.25">
      <c r="A213" s="126" t="s">
        <v>13276</v>
      </c>
      <c r="B213" s="128">
        <f>SUMIF(speciated_chemicals_183[VOC-Exempt Solvent?],"Yes",speciated_chemicals_183[lb/hr])</f>
        <v>0</v>
      </c>
      <c r="C213" s="134"/>
      <c r="D213" s="29"/>
      <c r="E213" s="29"/>
      <c r="F213" s="29"/>
      <c r="G213" s="169"/>
      <c r="H213" s="169"/>
    </row>
    <row r="214" spans="1:8" ht="15" x14ac:dyDescent="0.25">
      <c r="A214" s="126" t="s">
        <v>13278</v>
      </c>
      <c r="B214" s="128">
        <f>SUMIF(speciated_chemicals_183[VOC-Exempt Solvent?],"Yes",speciated_chemicals_183[tpy])</f>
        <v>0</v>
      </c>
      <c r="C214" s="134"/>
      <c r="D214" s="29"/>
      <c r="E214" s="29"/>
      <c r="F214" s="29"/>
      <c r="G214" s="169"/>
      <c r="H214" s="169"/>
    </row>
    <row r="215" spans="1:8" ht="15" x14ac:dyDescent="0.25">
      <c r="A215" s="127" t="s">
        <v>13280</v>
      </c>
      <c r="B215" s="176">
        <f>speciated_ghg_184[[#Totals],[Mass Emissions (U.S. tons per year)]]</f>
        <v>0</v>
      </c>
      <c r="C215" s="134"/>
      <c r="D215" s="29"/>
      <c r="E215" s="29"/>
      <c r="F215" s="29"/>
      <c r="G215" s="169"/>
      <c r="H215" s="169"/>
    </row>
    <row r="216" spans="1:8" ht="18.75" x14ac:dyDescent="0.35">
      <c r="A216" s="127" t="s">
        <v>13281</v>
      </c>
      <c r="B216" s="176">
        <f>speciated_ghg_184[[#Totals],[CO2e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GAIaoCuhtAseZha4vnxsSAjgd7BWSKnTWFTXZof8LdqUt2Sgdk0yRtJNWIlSvzrdqQLcQM6DWZ2FSFQnSPTaZw==" saltValue="uayGXhvYzn3U3jynnIks9g==" spinCount="100000" sheet="1" objects="1" scenarios="1" formatColumns="0" formatRows="0" autoFilter="0"/>
  <conditionalFormatting sqref="A21:H21">
    <cfRule type="expression" dxfId="862" priority="5">
      <formula>$F$19="No"</formula>
    </cfRule>
  </conditionalFormatting>
  <conditionalFormatting sqref="A105:E106 F106:G126">
    <cfRule type="expression" dxfId="861" priority="4">
      <formula>$E$104="no"</formula>
    </cfRule>
  </conditionalFormatting>
  <conditionalFormatting sqref="C131:C180">
    <cfRule type="expression" dxfId="860" priority="3">
      <formula>NOT(B131="Other (Please specify):")</formula>
    </cfRule>
  </conditionalFormatting>
  <conditionalFormatting sqref="A107:E126">
    <cfRule type="expression" dxfId="859" priority="2">
      <formula>$A$58="No"</formula>
    </cfRule>
  </conditionalFormatting>
  <conditionalFormatting sqref="A107:E126 A206:B214 A215:A216">
    <cfRule type="expression" dxfId="858"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36E1258E-822C-48D0-A0DB-B1FC947E867F}"/>
    <dataValidation type="list" allowBlank="1" showInputMessage="1" showErrorMessage="1" sqref="E104:H104 B10" xr:uid="{1DAF1FCA-B929-48D0-8B2F-BA082D083523}">
      <formula1>"Yes,No"</formula1>
    </dataValidation>
    <dataValidation type="list" allowBlank="1" showInputMessage="1" showErrorMessage="1" sqref="F19:H20" xr:uid="{0F472D00-A434-4690-99D0-7243D533807A}">
      <formula1>"No,Yes - 75%,Yes - 95%"</formula1>
    </dataValidation>
    <dataValidation type="list" allowBlank="1" showInputMessage="1" showErrorMessage="1" sqref="F18" xr:uid="{BD5A1281-1D5D-4FF1-9E5C-EB02DD1F5D51}">
      <formula1>IF(#REF!="SOCMI Non-leaker",ListNone,ListInspection)</formula1>
    </dataValidation>
    <dataValidation type="list" allowBlank="1" showInputMessage="1" showErrorMessage="1" sqref="F16:F17" xr:uid="{FF26B4B5-2F7A-4D4D-8436-DCF85447E283}">
      <formula1>IF(#REF!="SOCMI Non-Leaker",ListNone,ListInstrument)</formula1>
    </dataValidation>
    <dataValidation type="list" allowBlank="1" showInputMessage="1" prompt="Please specify whether the substance is a volatile organic compound (VOC); methane and ethane are not classifed as VOCs" sqref="D132:D180" xr:uid="{5FCB9671-C136-4F6E-9AF7-6DDFE4497273}">
      <formula1>"Yes,No"</formula1>
    </dataValidation>
    <dataValidation allowBlank="1" showInputMessage="1" showErrorMessage="1" prompt="Enter the weight percent of the substance" sqref="H178:H180 H132:H176" xr:uid="{7174C5D2-8C9D-458F-9BFC-5A84FD1717B7}"/>
    <dataValidation type="list" allowBlank="1" showInputMessage="1" showErrorMessage="1" prompt="Enter or select Chemical Abstracts Service number; select &quot;N/A&quot; if a CAS # is not applicable" sqref="A131:A175 A177:A180" xr:uid="{26DCE7ED-CCA4-46E6-A0CD-828E22AD2A79}">
      <formula1>SpeciesList</formula1>
    </dataValidation>
    <dataValidation type="list" allowBlank="1" showInputMessage="1" prompt="Select other species from dropdown" sqref="C131:C180" xr:uid="{ECB85B59-9184-43E5-BB8E-9798E8B014E2}">
      <formula1>NoCASList</formula1>
    </dataValidation>
    <dataValidation allowBlank="1" showInputMessage="1" showErrorMessage="1" prompt="Proposed control efficiency (0-1)" sqref="E107:E126" xr:uid="{83548161-A498-489F-A3F9-65C18F543D6B}"/>
    <dataValidation allowBlank="1" showInputMessage="1" showErrorMessage="1" prompt="Count of unique component" sqref="C107:C126" xr:uid="{18D13AAF-1900-4D77-A794-30C6B65C3B03}"/>
    <dataValidation allowBlank="1" showInputMessage="1" showErrorMessage="1" prompt="Type of service (e.g. gas, vapor, or liquid)" sqref="B107:B126" xr:uid="{E8D2DADE-D9B8-44A7-8DD0-72462FDDF2E3}"/>
    <dataValidation allowBlank="1" showInputMessage="1" showErrorMessage="1" prompt="Name of unique component" sqref="A107:A126" xr:uid="{29B4829F-E28F-4B57-ACCC-3A5D12695CC0}"/>
    <dataValidation type="list" allowBlank="1" showInputMessage="1" showErrorMessage="1" sqref="B13" xr:uid="{F12272E6-999A-431F-AE8F-AABDA9DBEA86}">
      <formula1>industry_names</formula1>
    </dataValidation>
    <dataValidation type="list" allowBlank="1" showInputMessage="1" showErrorMessage="1" sqref="B19" xr:uid="{BE9BF9D8-BC70-457D-A88A-C29ACC0C095D}">
      <formula1>yes_no_list</formula1>
    </dataValidation>
    <dataValidation type="list" allowBlank="1" showInputMessage="1" showErrorMessage="1" sqref="B20" xr:uid="{022B4367-8787-4ABF-829A-0F45A92C192F}">
      <formula1>process_drains_effs</formula1>
    </dataValidation>
    <dataValidation allowBlank="1" showInputMessage="1" showErrorMessage="1" prompt="Proposed emission factor" sqref="D107:D126" xr:uid="{CF12E941-D945-4785-A861-EEF6F4A89391}"/>
    <dataValidation type="list" allowBlank="1" showInputMessage="1" prompt="Please specify if the substance is an inert substance or is not considered a contaminant (e.g. steam)" sqref="G131:G180" xr:uid="{095D1A65-D45D-43B2-8179-54C48CBB0980}">
      <formula1>"Yes,No"</formula1>
    </dataValidation>
    <dataValidation type="list" allowBlank="1" showInputMessage="1" showErrorMessage="1" prompt="Please select from the dropdown" sqref="B104" xr:uid="{AE9E64CB-AE46-49EF-B3B8-167AE6410435}">
      <formula1>yes_no_list</formula1>
    </dataValidation>
    <dataValidation allowBlank="1" showInputMessage="1" showErrorMessage="1" prompt="Provide justification" sqref="B105" xr:uid="{F2F97C6E-C28C-4F88-9AA3-BFF6A1DC9BD7}"/>
    <dataValidation type="list" showInputMessage="1" prompt="Please specify whether the substance is a volatile organic compound (VOC); methane and ethane are not classifed as VOCs" sqref="D131" xr:uid="{F17DB665-374F-4C31-B30B-7AF5D225FCA1}">
      <formula1>"Yes,No"</formula1>
    </dataValidation>
    <dataValidation type="list" showInputMessage="1" prompt="Please specify whether the substance is an inorganic contaminant (e.g. ammonia or chlorine gas)" sqref="E131:E180" xr:uid="{E79F32B8-7CC5-4BDB-9B81-D95AAAD1665A}">
      <formula1>"Yes,No"</formula1>
    </dataValidation>
    <dataValidation type="list" allowBlank="1" showInputMessage="1" prompt="Please specify whether the substance is an VOC-exempt solvent." sqref="F131:F180" xr:uid="{F405565F-DD67-4774-8832-4D0368E83CF0}">
      <formula1>"Yes,No"</formula1>
    </dataValidation>
    <dataValidation type="list" allowBlank="1" showInputMessage="1" showErrorMessage="1" prompt="Enter or select Chemical Abstracts Service number; select &quot;N/A&quot; if a CAS # is not applicable" sqref="A185:A203 A176" xr:uid="{C06FF72E-F956-4ACB-A293-3395906994F9}">
      <formula1>gwp_table_cas</formula1>
    </dataValidation>
    <dataValidation type="decimal" allowBlank="1" showInputMessage="1" showErrorMessage="1" prompt="Enter the weight percent of the substance" sqref="H177" xr:uid="{1928689F-EA84-4290-BFDA-DE81463DFB91}">
      <formula1>0</formula1>
      <formula2>1</formula2>
    </dataValidation>
    <dataValidation type="decimal" operator="greaterThan" allowBlank="1" showInputMessage="1" showErrorMessage="1" prompt="Enter the weight percent of the substance" sqref="H131 D185:D203" xr:uid="{C9AC1EF5-288A-4F85-9456-8FF226884DCB}">
      <formula1>0</formula1>
    </dataValidation>
    <dataValidation type="list" allowBlank="1" showInputMessage="1" showErrorMessage="1" sqref="B18" xr:uid="{8F6AC797-4625-4984-96C7-037162D529D3}">
      <formula1>inspection_ldar_list</formula1>
    </dataValidation>
    <dataValidation type="list" allowBlank="1" showInputMessage="1" showErrorMessage="1" sqref="B17" xr:uid="{89D67A95-19DF-46F5-B7B7-B7FC574EE3B5}">
      <formula1>connector_ldar_list</formula1>
    </dataValidation>
    <dataValidation type="list" allowBlank="1" showInputMessage="1" showErrorMessage="1" sqref="B16" xr:uid="{1CA40A75-DAE6-4D32-A894-FCDF90AA71B3}">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ED41-B525-4F07-90AD-C92892470BC7}">
  <sheetPr codeName="Sheet24">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INDEX((standard_components_185[[#This Row],[Component]]=factor_eff_table[Component])*(standard_components_185[[#This Row],[Service]]=factor_eff_table[Service]), 0, 1), 0)),
 "-")</f>
        <v>-</v>
      </c>
      <c r="E25" s="145" t="str" cm="1">
        <f t="array" ref="E2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25" s="145" t="str" cm="1">
        <f t="array" ref="F2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25" s="145" t="str" cm="1">
        <f t="array" ref="G2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2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2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INDEX((standard_components_185[[#This Row],[Component]]=factor_eff_table[Component])*(standard_components_185[[#This Row],[Service]]=factor_eff_table[Service]), 0, 1), 0)),
 "-")</f>
        <v>-</v>
      </c>
      <c r="E26" s="145" t="str" cm="1">
        <f t="array" ref="E2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26" s="145" t="str" cm="1">
        <f t="array" ref="F2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26" s="145" t="str" cm="1">
        <f t="array" ref="G2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2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2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INDEX((standard_components_185[[#This Row],[Component]]=factor_eff_table[Component])*(standard_components_185[[#This Row],[Service]]=factor_eff_table[Service]), 0, 1), 0)),
 "-")</f>
        <v>-</v>
      </c>
      <c r="E27" s="145" t="str" cm="1">
        <f t="array" ref="E2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27" s="145" t="str" cm="1">
        <f t="array" ref="F2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27" s="145" t="str" cm="1">
        <f t="array" ref="G2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2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2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INDEX((standard_components_185[[#This Row],[Component]]=factor_eff_table[Component])*(standard_components_185[[#This Row],[Service]]=factor_eff_table[Service]), 0, 1), 0)),
 "-")</f>
        <v>-</v>
      </c>
      <c r="E28" s="145" t="str" cm="1">
        <f t="array" ref="E2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28" s="145" t="str" cm="1">
        <f t="array" ref="F2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28" s="145" t="str" cm="1">
        <f t="array" ref="G2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2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2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INDEX((standard_components_185[[#This Row],[Component]]=factor_eff_table[Component])*(standard_components_185[[#This Row],[Service]]=factor_eff_table[Service]), 0, 1), 0)),
 "-")</f>
        <v>-</v>
      </c>
      <c r="E29" s="145" t="str" cm="1">
        <f t="array" ref="E2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29" s="145" t="str" cm="1">
        <f t="array" ref="F2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29" s="145" t="str" cm="1">
        <f t="array" ref="G2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2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2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INDEX((standard_components_185[[#This Row],[Component]]=factor_eff_table[Component])*(standard_components_185[[#This Row],[Service]]=factor_eff_table[Service]), 0, 1), 0)),
 "-")</f>
        <v>-</v>
      </c>
      <c r="E30" s="145" t="str" cm="1">
        <f t="array" ref="E3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0" s="145" t="str" cm="1">
        <f t="array" ref="F3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0" s="145" t="str" cm="1">
        <f t="array" ref="G3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INDEX((standard_components_185[[#This Row],[Component]]=factor_eff_table[Component])*(standard_components_185[[#This Row],[Service]]=factor_eff_table[Service]), 0, 1), 0)),
 "-")</f>
        <v>-</v>
      </c>
      <c r="E31" s="145" t="str" cm="1">
        <f t="array" ref="E3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1" s="145" t="str" cm="1">
        <f t="array" ref="F3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1" s="145" t="str" cm="1">
        <f t="array" ref="G3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INDEX((standard_components_185[[#This Row],[Component]]=factor_eff_table[Component])*(standard_components_185[[#This Row],[Service]]=factor_eff_table[Service]), 0, 1), 0)),
 "-")</f>
        <v>-</v>
      </c>
      <c r="E32" s="145" t="str" cm="1">
        <f t="array" ref="E3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2" s="145" t="str" cm="1">
        <f t="array" ref="F3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2" s="145" t="str" cm="1">
        <f t="array" ref="G3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INDEX((standard_components_185[[#This Row],[Component]]=factor_eff_table[Component])*(standard_components_185[[#This Row],[Service]]=factor_eff_table[Service]), 0, 1), 0)),
 "-")</f>
        <v>-</v>
      </c>
      <c r="E33" s="145" t="str" cm="1">
        <f t="array" ref="E3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3" s="145" t="str" cm="1">
        <f t="array" ref="F3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3" s="145" t="str" cm="1">
        <f t="array" ref="G3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INDEX((standard_components_185[[#This Row],[Component]]=factor_eff_table[Component])*(standard_components_185[[#This Row],[Service]]=factor_eff_table[Service]), 0, 1), 0)),
 "-")</f>
        <v>-</v>
      </c>
      <c r="E34" s="145" t="str" cm="1">
        <f t="array" ref="E3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4" s="145" t="str" cm="1">
        <f t="array" ref="F3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4" s="145" t="str" cm="1">
        <f t="array" ref="G3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INDEX((standard_components_185[[#This Row],[Component]]=factor_eff_table[Component])*(standard_components_185[[#This Row],[Service]]=factor_eff_table[Service]), 0, 1), 0)),
 "-")</f>
        <v>-</v>
      </c>
      <c r="E35" s="145" t="str" cm="1">
        <f t="array" ref="E3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5" s="145" t="str" cm="1">
        <f t="array" ref="F3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5" s="145" t="str" cm="1">
        <f t="array" ref="G3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INDEX((standard_components_185[[#This Row],[Component]]=factor_eff_table[Component])*(standard_components_185[[#This Row],[Service]]=factor_eff_table[Service]), 0, 1), 0)),
 "-")</f>
        <v>-</v>
      </c>
      <c r="E36" s="145" t="str" cm="1">
        <f t="array" ref="E3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6" s="145" t="str" cm="1">
        <f t="array" ref="F3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6" s="145" t="str" cm="1">
        <f t="array" ref="G3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INDEX((standard_components_185[[#This Row],[Component]]=factor_eff_table[Component])*(standard_components_185[[#This Row],[Service]]=factor_eff_table[Service]), 0, 1), 0)),
 "-")</f>
        <v>-</v>
      </c>
      <c r="E37" s="145" t="str" cm="1">
        <f t="array" ref="E3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7" s="145" t="str" cm="1">
        <f t="array" ref="F3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7" s="145" t="str" cm="1">
        <f t="array" ref="G3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INDEX((standard_components_185[[#This Row],[Component]]=factor_eff_table[Component])*(standard_components_185[[#This Row],[Service]]=factor_eff_table[Service]), 0, 1), 0)),
 "-")</f>
        <v>-</v>
      </c>
      <c r="E38" s="145" t="str" cm="1">
        <f t="array" ref="E3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8" s="145" t="str" cm="1">
        <f t="array" ref="F3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8" s="145" t="str" cm="1">
        <f t="array" ref="G3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INDEX((standard_components_185[[#This Row],[Component]]=factor_eff_table[Component])*(standard_components_185[[#This Row],[Service]]=factor_eff_table[Service]), 0, 1), 0)),
 "-")</f>
        <v>-</v>
      </c>
      <c r="E39" s="145" t="str" cm="1">
        <f t="array" ref="E3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39" s="145" t="str" cm="1">
        <f t="array" ref="F3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39" s="145" t="str" cm="1">
        <f t="array" ref="G3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3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3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INDEX((standard_components_185[[#This Row],[Component]]=factor_eff_table[Component])*(standard_components_185[[#This Row],[Service]]=factor_eff_table[Service]), 0, 1), 0)),
 "-")</f>
        <v>-</v>
      </c>
      <c r="E40" s="145" t="str" cm="1">
        <f t="array" ref="E4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0" s="145" t="str" cm="1">
        <f t="array" ref="F4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0" s="145" t="str" cm="1">
        <f t="array" ref="G4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INDEX((standard_components_185[[#This Row],[Component]]=factor_eff_table[Component])*(standard_components_185[[#This Row],[Service]]=factor_eff_table[Service]), 0, 1), 0)),
 "-")</f>
        <v>-</v>
      </c>
      <c r="E41" s="145" t="str" cm="1">
        <f t="array" ref="E4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1" s="145" t="str" cm="1">
        <f t="array" ref="F4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1" s="145" t="str" cm="1">
        <f t="array" ref="G4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INDEX((standard_components_185[[#This Row],[Component]]=factor_eff_table[Component])*(standard_components_185[[#This Row],[Service]]=factor_eff_table[Service]), 0, 1), 0)),
 "-")</f>
        <v>-</v>
      </c>
      <c r="E42" s="145" t="str" cm="1">
        <f t="array" ref="E4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2" s="145" t="str" cm="1">
        <f t="array" ref="F4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2" s="145" t="str" cm="1">
        <f t="array" ref="G4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INDEX((standard_components_185[[#This Row],[Component]]=factor_eff_table[Component])*(standard_components_185[[#This Row],[Service]]=factor_eff_table[Service]), 0, 1), 0)),
 "-")</f>
        <v>-</v>
      </c>
      <c r="E43" s="145" t="str" cm="1">
        <f t="array" ref="E4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3" s="145" t="str" cm="1">
        <f t="array" ref="F4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3" s="145" t="str" cm="1">
        <f t="array" ref="G4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INDEX((standard_components_185[[#This Row],[Component]]=factor_eff_table[Component])*(standard_components_185[[#This Row],[Service]]=factor_eff_table[Service]), 0, 1), 0)),
 "-")</f>
        <v>-</v>
      </c>
      <c r="E44" s="145" t="str" cm="1">
        <f t="array" ref="E4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4" s="145" t="str" cm="1">
        <f t="array" ref="F4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4" s="145" t="str" cm="1">
        <f t="array" ref="G4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INDEX((standard_components_185[[#This Row],[Component]]=factor_eff_table[Component])*(standard_components_185[[#This Row],[Service]]=factor_eff_table[Service]), 0, 1), 0)),
 "-")</f>
        <v>-</v>
      </c>
      <c r="E45" s="145" t="str" cm="1">
        <f t="array" ref="E4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5" s="145" t="str" cm="1">
        <f t="array" ref="F4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5" s="145" t="str" cm="1">
        <f t="array" ref="G4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INDEX((standard_components_185[[#This Row],[Component]]=factor_eff_table[Component])*(standard_components_185[[#This Row],[Service]]=factor_eff_table[Service]), 0, 1), 0)),
 "-")</f>
        <v>-</v>
      </c>
      <c r="E46" s="145" t="str" cm="1">
        <f t="array" ref="E4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6" s="145" t="str" cm="1">
        <f t="array" ref="F4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6" s="145" t="str" cm="1">
        <f t="array" ref="G4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INDEX((standard_components_185[[#This Row],[Component]]=factor_eff_table[Component])*(standard_components_185[[#This Row],[Service]]=factor_eff_table[Service]), 0, 1), 0)),
 "-")</f>
        <v>-</v>
      </c>
      <c r="E47" s="145" t="str" cm="1">
        <f t="array" ref="E4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7" s="145" t="str" cm="1">
        <f t="array" ref="F4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7" s="145" t="str" cm="1">
        <f t="array" ref="G4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INDEX((standard_components_185[[#This Row],[Component]]=factor_eff_table[Component])*(standard_components_185[[#This Row],[Service]]=factor_eff_table[Service]), 0, 1), 0)),
 "-")</f>
        <v>-</v>
      </c>
      <c r="E48" s="145" t="str" cm="1">
        <f t="array" ref="E4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8" s="145" t="str" cm="1">
        <f t="array" ref="F4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8" s="145" t="str" cm="1">
        <f t="array" ref="G4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INDEX((standard_components_185[[#This Row],[Component]]=factor_eff_table[Component])*(standard_components_185[[#This Row],[Service]]=factor_eff_table[Service]), 0, 1), 0)),
 "-")</f>
        <v>-</v>
      </c>
      <c r="E49" s="145" t="str" cm="1">
        <f t="array" ref="E4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49" s="145" t="str" cm="1">
        <f t="array" ref="F4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49" s="145" t="str" cm="1">
        <f t="array" ref="G4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4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4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INDEX((standard_components_185[[#This Row],[Component]]=factor_eff_table[Component])*(standard_components_185[[#This Row],[Service]]=factor_eff_table[Service]), 0, 1), 0)),
 "-")</f>
        <v>-</v>
      </c>
      <c r="E50" s="145" t="str" cm="1">
        <f t="array" ref="E5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0" s="145" t="str" cm="1">
        <f t="array" ref="F5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0" s="145" t="str" cm="1">
        <f t="array" ref="G5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INDEX((standard_components_185[[#This Row],[Component]]=factor_eff_table[Component])*(standard_components_185[[#This Row],[Service]]=factor_eff_table[Service]), 0, 1), 0)),
 "-")</f>
        <v>-</v>
      </c>
      <c r="E51" s="145" t="str" cm="1">
        <f t="array" ref="E5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1" s="145" t="str" cm="1">
        <f t="array" ref="F5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1" s="145" t="str" cm="1">
        <f t="array" ref="G5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INDEX((standard_components_185[[#This Row],[Component]]=factor_eff_table[Component])*(standard_components_185[[#This Row],[Service]]=factor_eff_table[Service]), 0, 1), 0)),
 "-")</f>
        <v>-</v>
      </c>
      <c r="E52" s="145" t="str" cm="1">
        <f t="array" ref="E5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2" s="145" t="str" cm="1">
        <f t="array" ref="F5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2" s="145" t="str" cm="1">
        <f t="array" ref="G5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INDEX((standard_components_185[[#This Row],[Component]]=factor_eff_table[Component])*(standard_components_185[[#This Row],[Service]]=factor_eff_table[Service]), 0, 1), 0)),
 "-")</f>
        <v>-</v>
      </c>
      <c r="E53" s="145" t="str" cm="1">
        <f t="array" ref="E5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3" s="145" t="str" cm="1">
        <f t="array" ref="F5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3" s="145" t="str" cm="1">
        <f t="array" ref="G5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INDEX((standard_components_185[[#This Row],[Component]]=factor_eff_table[Component])*(standard_components_185[[#This Row],[Service]]=factor_eff_table[Service]), 0, 1), 0)),
 "-")</f>
        <v>-</v>
      </c>
      <c r="E54" s="145" t="str" cm="1">
        <f t="array" ref="E5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4" s="145" t="str" cm="1">
        <f t="array" ref="F5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4" s="145" t="str" cm="1">
        <f t="array" ref="G5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INDEX((standard_components_185[[#This Row],[Component]]=factor_eff_table[Component])*(standard_components_185[[#This Row],[Service]]=factor_eff_table[Service]), 0, 1), 0)),
 "-")</f>
        <v>-</v>
      </c>
      <c r="E55" s="145" t="str" cm="1">
        <f t="array" ref="E5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5" s="145" t="str" cm="1">
        <f t="array" ref="F5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5" s="145" t="str" cm="1">
        <f t="array" ref="G5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INDEX((standard_components_185[[#This Row],[Component]]=factor_eff_table[Component])*(standard_components_185[[#This Row],[Service]]=factor_eff_table[Service]), 0, 1), 0)),
 "-")</f>
        <v>-</v>
      </c>
      <c r="E56" s="145" t="str" cm="1">
        <f t="array" ref="E5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6" s="145" t="str" cm="1">
        <f t="array" ref="F5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6" s="145" t="str" cm="1">
        <f t="array" ref="G5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INDEX((standard_components_185[[#This Row],[Component]]=factor_eff_table[Component])*(standard_components_185[[#This Row],[Service]]=factor_eff_table[Service]), 0, 1), 0)),
 "-")</f>
        <v>-</v>
      </c>
      <c r="E57" s="145" t="str" cm="1">
        <f t="array" ref="E5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7" s="145" t="str" cm="1">
        <f t="array" ref="F5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7" s="145" t="str" cm="1">
        <f t="array" ref="G5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INDEX((standard_components_185[[#This Row],[Component]]=factor_eff_table[Component])*(standard_components_185[[#This Row],[Service]]=factor_eff_table[Service]), 0, 1), 0)),
 "-")</f>
        <v>-</v>
      </c>
      <c r="E58" s="145" t="str" cm="1">
        <f t="array" ref="E5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8" s="145" t="str" cm="1">
        <f t="array" ref="F5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8" s="145" t="str" cm="1">
        <f t="array" ref="G5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INDEX((standard_components_185[[#This Row],[Component]]=factor_eff_table[Component])*(standard_components_185[[#This Row],[Service]]=factor_eff_table[Service]), 0, 1), 0)),
 "-")</f>
        <v>-</v>
      </c>
      <c r="E59" s="145" t="str" cm="1">
        <f t="array" ref="E5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59" s="145" t="str" cm="1">
        <f t="array" ref="F5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59" s="145" t="str" cm="1">
        <f t="array" ref="G5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5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5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INDEX((standard_components_185[[#This Row],[Component]]=factor_eff_table[Component])*(standard_components_185[[#This Row],[Service]]=factor_eff_table[Service]), 0, 1), 0)),
 "-")</f>
        <v>-</v>
      </c>
      <c r="E60" s="145" t="str" cm="1">
        <f t="array" ref="E6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0" s="145" t="str" cm="1">
        <f t="array" ref="F6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0" s="145" t="str" cm="1">
        <f t="array" ref="G6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INDEX((standard_components_185[[#This Row],[Component]]=factor_eff_table[Component])*(standard_components_185[[#This Row],[Service]]=factor_eff_table[Service]), 0, 1), 0)),
 "-")</f>
        <v>-</v>
      </c>
      <c r="E61" s="145" t="str" cm="1">
        <f t="array" ref="E6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1" s="145" t="str" cm="1">
        <f t="array" ref="F6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1" s="145" t="str" cm="1">
        <f t="array" ref="G6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INDEX((standard_components_185[[#This Row],[Component]]=factor_eff_table[Component])*(standard_components_185[[#This Row],[Service]]=factor_eff_table[Service]), 0, 1), 0)),
 "-")</f>
        <v>-</v>
      </c>
      <c r="E62" s="145" t="str" cm="1">
        <f t="array" ref="E6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2" s="145" t="str" cm="1">
        <f t="array" ref="F6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2" s="145" t="str" cm="1">
        <f t="array" ref="G6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INDEX((standard_components_185[[#This Row],[Component]]=factor_eff_table[Component])*(standard_components_185[[#This Row],[Service]]=factor_eff_table[Service]), 0, 1), 0)),
 "-")</f>
        <v>-</v>
      </c>
      <c r="E63" s="145" t="str" cm="1">
        <f t="array" ref="E6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3" s="145" t="str" cm="1">
        <f t="array" ref="F6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3" s="145" t="str" cm="1">
        <f t="array" ref="G6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INDEX((standard_components_185[[#This Row],[Component]]=factor_eff_table[Component])*(standard_components_185[[#This Row],[Service]]=factor_eff_table[Service]), 0, 1), 0)),
 "-")</f>
        <v>-</v>
      </c>
      <c r="E64" s="145" t="str" cm="1">
        <f t="array" ref="E6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4" s="145" t="str" cm="1">
        <f t="array" ref="F6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4" s="145" t="str" cm="1">
        <f t="array" ref="G6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INDEX((standard_components_185[[#This Row],[Component]]=factor_eff_table[Component])*(standard_components_185[[#This Row],[Service]]=factor_eff_table[Service]), 0, 1), 0)),
 "-")</f>
        <v>-</v>
      </c>
      <c r="E65" s="145" t="str" cm="1">
        <f t="array" ref="E6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5" s="145" t="str" cm="1">
        <f t="array" ref="F6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5" s="145" t="str" cm="1">
        <f t="array" ref="G6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INDEX((standard_components_185[[#This Row],[Component]]=factor_eff_table[Component])*(standard_components_185[[#This Row],[Service]]=factor_eff_table[Service]), 0, 1), 0)),
 "-")</f>
        <v>-</v>
      </c>
      <c r="E66" s="145" t="str" cm="1">
        <f t="array" ref="E6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6" s="145" t="str" cm="1">
        <f t="array" ref="F6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6" s="145" t="str" cm="1">
        <f t="array" ref="G6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INDEX((standard_components_185[[#This Row],[Component]]=factor_eff_table[Component])*(standard_components_185[[#This Row],[Service]]=factor_eff_table[Service]), 0, 1), 0)),
 "-")</f>
        <v>-</v>
      </c>
      <c r="E67" s="145" t="str" cm="1">
        <f t="array" ref="E6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7" s="145" t="str" cm="1">
        <f t="array" ref="F6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7" s="145" t="str" cm="1">
        <f t="array" ref="G6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INDEX((standard_components_185[[#This Row],[Component]]=factor_eff_table[Component])*(standard_components_185[[#This Row],[Service]]=factor_eff_table[Service]), 0, 1), 0)),
 "-")</f>
        <v>-</v>
      </c>
      <c r="E68" s="145" t="str" cm="1">
        <f t="array" ref="E6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8" s="145" t="str" cm="1">
        <f t="array" ref="F6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8" s="145" t="str" cm="1">
        <f t="array" ref="G6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INDEX((standard_components_185[[#This Row],[Component]]=factor_eff_table[Component])*(standard_components_185[[#This Row],[Service]]=factor_eff_table[Service]), 0, 1), 0)),
 "-")</f>
        <v>-</v>
      </c>
      <c r="E69" s="145" t="str" cm="1">
        <f t="array" ref="E6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69" s="145" t="str" cm="1">
        <f t="array" ref="F6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69" s="145" t="str" cm="1">
        <f t="array" ref="G6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6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6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INDEX((standard_components_185[[#This Row],[Component]]=factor_eff_table[Component])*(standard_components_185[[#This Row],[Service]]=factor_eff_table[Service]), 0, 1), 0)),
 "-")</f>
        <v>-</v>
      </c>
      <c r="E70" s="145" t="str" cm="1">
        <f t="array" ref="E7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0" s="145" t="str" cm="1">
        <f t="array" ref="F7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0" s="145" t="str" cm="1">
        <f t="array" ref="G7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INDEX((standard_components_185[[#This Row],[Component]]=factor_eff_table[Component])*(standard_components_185[[#This Row],[Service]]=factor_eff_table[Service]), 0, 1), 0)),
 "-")</f>
        <v>-</v>
      </c>
      <c r="E71" s="145" t="str" cm="1">
        <f t="array" ref="E7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1" s="145" t="str" cm="1">
        <f t="array" ref="F7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1" s="145" t="str" cm="1">
        <f t="array" ref="G7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INDEX((standard_components_185[[#This Row],[Component]]=factor_eff_table[Component])*(standard_components_185[[#This Row],[Service]]=factor_eff_table[Service]), 0, 1), 0)),
 "-")</f>
        <v>-</v>
      </c>
      <c r="E72" s="145" t="str" cm="1">
        <f t="array" ref="E7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2" s="145" t="str" cm="1">
        <f t="array" ref="F7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2" s="145" t="str" cm="1">
        <f t="array" ref="G7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INDEX((standard_components_185[[#This Row],[Component]]=factor_eff_table[Component])*(standard_components_185[[#This Row],[Service]]=factor_eff_table[Service]), 0, 1), 0)),
 "-")</f>
        <v>-</v>
      </c>
      <c r="E73" s="145" t="str" cm="1">
        <f t="array" ref="E7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3" s="145" t="str" cm="1">
        <f t="array" ref="F7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3" s="145" t="str" cm="1">
        <f t="array" ref="G7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INDEX((standard_components_185[[#This Row],[Component]]=factor_eff_table[Component])*(standard_components_185[[#This Row],[Service]]=factor_eff_table[Service]), 0, 1), 0)),
 "-")</f>
        <v>-</v>
      </c>
      <c r="E74" s="145" t="str" cm="1">
        <f t="array" ref="E7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4" s="145" t="str" cm="1">
        <f t="array" ref="F7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4" s="145" t="str" cm="1">
        <f t="array" ref="G7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INDEX((standard_components_185[[#This Row],[Component]]=factor_eff_table[Component])*(standard_components_185[[#This Row],[Service]]=factor_eff_table[Service]), 0, 1), 0)),
 "-")</f>
        <v>-</v>
      </c>
      <c r="E75" s="145" t="str" cm="1">
        <f t="array" ref="E7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5" s="145" t="str" cm="1">
        <f t="array" ref="F7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5" s="145" t="str" cm="1">
        <f t="array" ref="G7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INDEX((standard_components_185[[#This Row],[Component]]=factor_eff_table[Component])*(standard_components_185[[#This Row],[Service]]=factor_eff_table[Service]), 0, 1), 0)),
 "-")</f>
        <v>-</v>
      </c>
      <c r="E76" s="145" t="str" cm="1">
        <f t="array" ref="E7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6" s="145" t="str" cm="1">
        <f t="array" ref="F7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6" s="145" t="str" cm="1">
        <f t="array" ref="G7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INDEX((standard_components_185[[#This Row],[Component]]=factor_eff_table[Component])*(standard_components_185[[#This Row],[Service]]=factor_eff_table[Service]), 0, 1), 0)),
 "-")</f>
        <v>-</v>
      </c>
      <c r="E77" s="145" t="str" cm="1">
        <f t="array" ref="E7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7" s="145" t="str" cm="1">
        <f t="array" ref="F7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7" s="145" t="str" cm="1">
        <f t="array" ref="G7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INDEX((standard_components_185[[#This Row],[Component]]=factor_eff_table[Component])*(standard_components_185[[#This Row],[Service]]=factor_eff_table[Service]), 0, 1), 0)),
 "-")</f>
        <v>-</v>
      </c>
      <c r="E78" s="145" t="str" cm="1">
        <f t="array" ref="E7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8" s="145" t="str" cm="1">
        <f t="array" ref="F7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8" s="145" t="str" cm="1">
        <f t="array" ref="G7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INDEX((standard_components_185[[#This Row],[Component]]=factor_eff_table[Component])*(standard_components_185[[#This Row],[Service]]=factor_eff_table[Service]), 0, 1), 0)),
 "-")</f>
        <v>-</v>
      </c>
      <c r="E79" s="145" t="str" cm="1">
        <f t="array" ref="E7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79" s="145" t="str" cm="1">
        <f t="array" ref="F7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79" s="145" t="str" cm="1">
        <f t="array" ref="G7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7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7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INDEX((standard_components_185[[#This Row],[Component]]=factor_eff_table[Component])*(standard_components_185[[#This Row],[Service]]=factor_eff_table[Service]), 0, 1), 0)),
 "-")</f>
        <v>-</v>
      </c>
      <c r="E80" s="145" t="str" cm="1">
        <f t="array" ref="E8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0" s="145" t="str" cm="1">
        <f t="array" ref="F8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0" s="145" t="str" cm="1">
        <f t="array" ref="G8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INDEX((standard_components_185[[#This Row],[Component]]=factor_eff_table[Component])*(standard_components_185[[#This Row],[Service]]=factor_eff_table[Service]), 0, 1), 0)),
 "-")</f>
        <v>-</v>
      </c>
      <c r="E81" s="145" t="str" cm="1">
        <f t="array" ref="E8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1" s="145" t="str" cm="1">
        <f t="array" ref="F8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1" s="145" t="str" cm="1">
        <f t="array" ref="G8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INDEX((standard_components_185[[#This Row],[Component]]=factor_eff_table[Component])*(standard_components_185[[#This Row],[Service]]=factor_eff_table[Service]), 0, 1), 0)),
 "-")</f>
        <v>-</v>
      </c>
      <c r="E82" s="145" t="str" cm="1">
        <f t="array" ref="E8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2" s="145" t="str" cm="1">
        <f t="array" ref="F8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2" s="145" t="str" cm="1">
        <f t="array" ref="G8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INDEX((standard_components_185[[#This Row],[Component]]=factor_eff_table[Component])*(standard_components_185[[#This Row],[Service]]=factor_eff_table[Service]), 0, 1), 0)),
 "-")</f>
        <v>-</v>
      </c>
      <c r="E83" s="145" t="str" cm="1">
        <f t="array" ref="E8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3" s="145" t="str" cm="1">
        <f t="array" ref="F8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3" s="145" t="str" cm="1">
        <f t="array" ref="G8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INDEX((standard_components_185[[#This Row],[Component]]=factor_eff_table[Component])*(standard_components_185[[#This Row],[Service]]=factor_eff_table[Service]), 0, 1), 0)),
 "-")</f>
        <v>-</v>
      </c>
      <c r="E84" s="145" t="str" cm="1">
        <f t="array" ref="E8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4" s="145" t="str" cm="1">
        <f t="array" ref="F8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4" s="145" t="str" cm="1">
        <f t="array" ref="G8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INDEX((standard_components_185[[#This Row],[Component]]=factor_eff_table[Component])*(standard_components_185[[#This Row],[Service]]=factor_eff_table[Service]), 0, 1), 0)),
 "-")</f>
        <v>-</v>
      </c>
      <c r="E85" s="145" t="str" cm="1">
        <f t="array" ref="E8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5" s="145" t="str" cm="1">
        <f t="array" ref="F8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5" s="145" t="str" cm="1">
        <f t="array" ref="G8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INDEX((standard_components_185[[#This Row],[Component]]=factor_eff_table[Component])*(standard_components_185[[#This Row],[Service]]=factor_eff_table[Service]), 0, 1), 0)),
 "-")</f>
        <v>-</v>
      </c>
      <c r="E86" s="145" t="str" cm="1">
        <f t="array" ref="E8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6" s="145" t="str" cm="1">
        <f t="array" ref="F8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6" s="145" t="str" cm="1">
        <f t="array" ref="G8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INDEX((standard_components_185[[#This Row],[Component]]=factor_eff_table[Component])*(standard_components_185[[#This Row],[Service]]=factor_eff_table[Service]), 0, 1), 0)),
 "-")</f>
        <v>-</v>
      </c>
      <c r="E87" s="145" t="str" cm="1">
        <f t="array" ref="E8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7" s="145" t="str" cm="1">
        <f t="array" ref="F8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7" s="145" t="str" cm="1">
        <f t="array" ref="G8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INDEX((standard_components_185[[#This Row],[Component]]=factor_eff_table[Component])*(standard_components_185[[#This Row],[Service]]=factor_eff_table[Service]), 0, 1), 0)),
 "-")</f>
        <v>-</v>
      </c>
      <c r="E88" s="145" t="str" cm="1">
        <f t="array" ref="E8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8" s="145" t="str" cm="1">
        <f t="array" ref="F8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8" s="145" t="str" cm="1">
        <f t="array" ref="G8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INDEX((standard_components_185[[#This Row],[Component]]=factor_eff_table[Component])*(standard_components_185[[#This Row],[Service]]=factor_eff_table[Service]), 0, 1), 0)),
 "-")</f>
        <v>-</v>
      </c>
      <c r="E89" s="145" t="str" cm="1">
        <f t="array" ref="E8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89" s="145" t="str" cm="1">
        <f t="array" ref="F8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89" s="145" t="str" cm="1">
        <f t="array" ref="G8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8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8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INDEX((standard_components_185[[#This Row],[Component]]=factor_eff_table[Component])*(standard_components_185[[#This Row],[Service]]=factor_eff_table[Service]), 0, 1), 0)),
 "-")</f>
        <v>-</v>
      </c>
      <c r="E90" s="145" t="str" cm="1">
        <f t="array" ref="E9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0" s="145" t="str" cm="1">
        <f t="array" ref="F9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0" s="145" t="str" cm="1">
        <f t="array" ref="G9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INDEX((standard_components_185[[#This Row],[Component]]=factor_eff_table[Component])*(standard_components_185[[#This Row],[Service]]=factor_eff_table[Service]), 0, 1), 0)),
 "-")</f>
        <v>-</v>
      </c>
      <c r="E91" s="145" t="str" cm="1">
        <f t="array" ref="E91">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1" s="145" t="str" cm="1">
        <f t="array" ref="F91">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1" s="145" t="str" cm="1">
        <f t="array" ref="G91">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1"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1"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INDEX((standard_components_185[[#This Row],[Component]]=factor_eff_table[Component])*(standard_components_185[[#This Row],[Service]]=factor_eff_table[Service]), 0, 1), 0)),
 "-")</f>
        <v>-</v>
      </c>
      <c r="E92" s="145" t="str" cm="1">
        <f t="array" ref="E92">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2" s="145" t="str" cm="1">
        <f t="array" ref="F92">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2" s="145" t="str" cm="1">
        <f t="array" ref="G92">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2"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2"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INDEX((standard_components_185[[#This Row],[Component]]=factor_eff_table[Component])*(standard_components_185[[#This Row],[Service]]=factor_eff_table[Service]), 0, 1), 0)),
 "-")</f>
        <v>-</v>
      </c>
      <c r="E93" s="145" t="str" cm="1">
        <f t="array" ref="E93">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3" s="145" t="str" cm="1">
        <f t="array" ref="F93">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3" s="145" t="str" cm="1">
        <f t="array" ref="G93">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3"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3"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INDEX((standard_components_185[[#This Row],[Component]]=factor_eff_table[Component])*(standard_components_185[[#This Row],[Service]]=factor_eff_table[Service]), 0, 1), 0)),
 "-")</f>
        <v>-</v>
      </c>
      <c r="E94" s="145" t="str" cm="1">
        <f t="array" ref="E94">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4" s="145" t="str" cm="1">
        <f t="array" ref="F94">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4" s="145" t="str" cm="1">
        <f t="array" ref="G94">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4"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4"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INDEX((standard_components_185[[#This Row],[Component]]=factor_eff_table[Component])*(standard_components_185[[#This Row],[Service]]=factor_eff_table[Service]), 0, 1), 0)),
 "-")</f>
        <v>-</v>
      </c>
      <c r="E95" s="145" t="str" cm="1">
        <f t="array" ref="E95">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5" s="145" t="str" cm="1">
        <f t="array" ref="F95">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5" s="145" t="str" cm="1">
        <f t="array" ref="G95">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5"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5"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INDEX((standard_components_185[[#This Row],[Component]]=factor_eff_table[Component])*(standard_components_185[[#This Row],[Service]]=factor_eff_table[Service]), 0, 1), 0)),
 "-")</f>
        <v>-</v>
      </c>
      <c r="E96" s="145" t="str" cm="1">
        <f t="array" ref="E96">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6" s="145" t="str" cm="1">
        <f t="array" ref="F96">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6" s="145" t="str" cm="1">
        <f t="array" ref="G96">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6"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6"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INDEX((standard_components_185[[#This Row],[Component]]=factor_eff_table[Component])*(standard_components_185[[#This Row],[Service]]=factor_eff_table[Service]), 0, 1), 0)),
 "-")</f>
        <v>-</v>
      </c>
      <c r="E97" s="145" t="str" cm="1">
        <f t="array" ref="E97">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7" s="145" t="str" cm="1">
        <f t="array" ref="F97">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7" s="145" t="str" cm="1">
        <f t="array" ref="G97">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7"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7"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INDEX((standard_components_185[[#This Row],[Component]]=factor_eff_table[Component])*(standard_components_185[[#This Row],[Service]]=factor_eff_table[Service]), 0, 1), 0)),
 "-")</f>
        <v>-</v>
      </c>
      <c r="E98" s="145" t="str" cm="1">
        <f t="array" ref="E98">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8" s="145" t="str" cm="1">
        <f t="array" ref="F98">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8" s="145" t="str" cm="1">
        <f t="array" ref="G98">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8"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8"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INDEX((standard_components_185[[#This Row],[Component]]=factor_eff_table[Component])*(standard_components_185[[#This Row],[Service]]=factor_eff_table[Service]), 0, 1), 0)),
 "-")</f>
        <v>-</v>
      </c>
      <c r="E99" s="145" t="str" cm="1">
        <f t="array" ref="E99">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99" s="145" t="str" cm="1">
        <f t="array" ref="F99">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99" s="145" t="str" cm="1">
        <f t="array" ref="G99">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99"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99"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INDEX((standard_components_185[[#This Row],[Component]]=factor_eff_table[Component])*(standard_components_185[[#This Row],[Service]]=factor_eff_table[Service]), 0, 1), 0)),
 "-")</f>
        <v>-</v>
      </c>
      <c r="E100" s="145" t="str" cm="1">
        <f t="array" ref="E100">IF(AND(process_drain_bool="Yes",LEFT(standard_components_185[[#This Row],[Component]], LEN("Process drains"))="Process Drains", ISBLANK(instrument_ldar)=FALSE), process_drain_eff,
IFERROR(
INDEX(
INDEX(factor_eff_table[], , MATCH(instrument_ldar, factor_eff_table[#Headers], 0)),
MATCH(1, INDEX((standard_components_185[[#This Row],[Component]]=factor_eff_table[Component])*(standard_components_185[[#This Row],[Service]]=factor_eff_table[Service]), 0, 1), 0)),
 "-"))</f>
        <v>-</v>
      </c>
      <c r="F100" s="145" t="str" cm="1">
        <f t="array" ref="F100">IF(AND(process_drain_bool="Yes",LEFT(standard_components_185[[#This Row],[Component]], LEN("Process drains"))="Process Drains", ISBLANK(connector_ldar)=FALSE), process_drain_eff,
IFERROR(
INDEX(
INDEX(factor_eff_table[], , MATCH(connector_ldar, factor_eff_table[#Headers], 0)),
MATCH(1, INDEX((standard_components_185[[#This Row],[Component]]=factor_eff_table[Component])*(standard_components_185[[#This Row],[Service]]=factor_eff_table[Service]), 0, 1), 0)),
 "-"))</f>
        <v>-</v>
      </c>
      <c r="G100" s="145" t="str" cm="1">
        <f t="array" ref="G100">IF(AND(process_drain_bool="Yes",LEFT(standard_components_185[[#This Row],[Component]], LEN("Process Drains"))="Process Drains", ISBLANK(inspection_ldar)=FALSE), process_drain_eff,
IFERROR(
INDEX(
INDEX(factor_eff_table[], , MATCH(inspection_ldar, factor_eff_table[#Headers], 0)),
MATCH(1, INDEX((standard_components_185[[#This Row],[Component]]=factor_eff_table[Component])*(standard_components_185[[#This Row],[Service]]=factor_eff_table[Service]), 0, 1), 0)),
 "-"))</f>
        <v>-</v>
      </c>
      <c r="H100" s="146" t="str">
        <f>IF(standard_components_185[[#This Row],[Component]]="Sampling Connections (annual) [2]", "N/A",
 IF(standard_components_185[[#This Row],[Component]]="Sampling Connections (hourly) [1]", standard_components_185[[#This Row],[Count]]*standard_components_185[[#This Row],[Industry Emission Factor]],
IFERROR(standard_components_185[[#This Row],[Count]]*standard_components_185[[#This Row],[Industry Emission Factor]]*MIN(1-standard_components_185[[#This Row],[Instrument Monitoring LDAR Control Efficiency]], 1-standard_components_185[[#This Row],[Physical Inspection LDAR Control Efficiency]], 1-standard_components_185[[#This Row],[Connector Monitoring LDAR Control Efficiency]]), "-")))</f>
        <v>-</v>
      </c>
      <c r="I100" s="146" t="str">
        <f>IF(standard_components_185[[#This Row],[Component]]="Sampling Connections (hourly) [1]", "N/A",
 IF(standard_components_185[[#This Row],[Component]]="Sampling Connections (annual) [2]", standard_components_185[[#This Row],[Count]]*standard_components_185[[#This Row],[Industry Emission Factor]]/stons_to_lbs,
 IFERROR(years_to_hrs/stons_to_lbs*standard_components_185[[#This Row],[Controlled
lb/hr]], "-")))</f>
        <v>-</v>
      </c>
    </row>
    <row r="101" spans="1:9" ht="15" x14ac:dyDescent="0.25">
      <c r="A101" s="147" t="s">
        <v>12776</v>
      </c>
      <c r="B101" s="148"/>
      <c r="C101" s="149">
        <f>SUBTOTAL(109,standard_components_185[Count])</f>
        <v>0</v>
      </c>
      <c r="D101" s="150"/>
      <c r="E101" s="150"/>
      <c r="F101" s="150"/>
      <c r="G101" s="150"/>
      <c r="H101" s="151">
        <f>SUBTOTAL(109,standard_components_185[Controlled
lb/hr])</f>
        <v>0</v>
      </c>
      <c r="I101" s="151">
        <f>SUBTOTAL(109,standard_components_185[Controlled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unique_components_186[[#This Row],[Count]]*unique_components_186[[#This Row],[Proposed Emission Factor]]*(1-unique_components_186[[#This Row],[Proposed Control Efficiency]])</f>
        <v>0</v>
      </c>
      <c r="G107" s="155">
        <f>IFERROR(unique_components_186[[#This Row],[Controlled lb/hr]]*4.38,"")</f>
        <v>0</v>
      </c>
    </row>
    <row r="108" spans="1:9" x14ac:dyDescent="0.2">
      <c r="A108" s="103"/>
      <c r="B108" s="104"/>
      <c r="C108" s="153"/>
      <c r="D108" s="154"/>
      <c r="E108" s="154"/>
      <c r="F108" s="146">
        <f>unique_components_186[[#This Row],[Count]]*unique_components_186[[#This Row],[Proposed Emission Factor]]*(1-unique_components_186[[#This Row],[Proposed Control Efficiency]])</f>
        <v>0</v>
      </c>
      <c r="G108" s="155">
        <f>IFERROR(unique_components_186[[#This Row],[Controlled lb/hr]]*4.38,"")</f>
        <v>0</v>
      </c>
    </row>
    <row r="109" spans="1:9" x14ac:dyDescent="0.2">
      <c r="A109" s="103"/>
      <c r="B109" s="104"/>
      <c r="C109" s="153"/>
      <c r="D109" s="154"/>
      <c r="E109" s="154"/>
      <c r="F109" s="146">
        <f>unique_components_186[[#This Row],[Count]]*unique_components_186[[#This Row],[Proposed Emission Factor]]*(1-unique_components_186[[#This Row],[Proposed Control Efficiency]])</f>
        <v>0</v>
      </c>
      <c r="G109" s="155">
        <f>IFERROR(unique_components_186[[#This Row],[Controlled lb/hr]]*4.38,"")</f>
        <v>0</v>
      </c>
    </row>
    <row r="110" spans="1:9" x14ac:dyDescent="0.2">
      <c r="A110" s="103"/>
      <c r="B110" s="104"/>
      <c r="C110" s="153"/>
      <c r="D110" s="154"/>
      <c r="E110" s="154"/>
      <c r="F110" s="146">
        <f>unique_components_186[[#This Row],[Count]]*unique_components_186[[#This Row],[Proposed Emission Factor]]*(1-unique_components_186[[#This Row],[Proposed Control Efficiency]])</f>
        <v>0</v>
      </c>
      <c r="G110" s="155">
        <f>IFERROR(unique_components_186[[#This Row],[Controlled lb/hr]]*4.38,"")</f>
        <v>0</v>
      </c>
    </row>
    <row r="111" spans="1:9" x14ac:dyDescent="0.2">
      <c r="A111" s="103"/>
      <c r="B111" s="104"/>
      <c r="C111" s="153"/>
      <c r="D111" s="154"/>
      <c r="E111" s="154"/>
      <c r="F111" s="146">
        <f>unique_components_186[[#This Row],[Count]]*unique_components_186[[#This Row],[Proposed Emission Factor]]*(1-unique_components_186[[#This Row],[Proposed Control Efficiency]])</f>
        <v>0</v>
      </c>
      <c r="G111" s="155">
        <f>IFERROR(unique_components_186[[#This Row],[Controlled lb/hr]]*4.38,"")</f>
        <v>0</v>
      </c>
    </row>
    <row r="112" spans="1:9" x14ac:dyDescent="0.2">
      <c r="A112" s="103"/>
      <c r="B112" s="104"/>
      <c r="C112" s="153"/>
      <c r="D112" s="154"/>
      <c r="E112" s="154"/>
      <c r="F112" s="146">
        <f>unique_components_186[[#This Row],[Count]]*unique_components_186[[#This Row],[Proposed Emission Factor]]*(1-unique_components_186[[#This Row],[Proposed Control Efficiency]])</f>
        <v>0</v>
      </c>
      <c r="G112" s="155">
        <f>IFERROR(unique_components_186[[#This Row],[Controlled lb/hr]]*4.38,"")</f>
        <v>0</v>
      </c>
    </row>
    <row r="113" spans="1:8" x14ac:dyDescent="0.2">
      <c r="A113" s="103"/>
      <c r="B113" s="104"/>
      <c r="C113" s="153"/>
      <c r="D113" s="154"/>
      <c r="E113" s="154"/>
      <c r="F113" s="146">
        <f>unique_components_186[[#This Row],[Count]]*unique_components_186[[#This Row],[Proposed Emission Factor]]*(1-unique_components_186[[#This Row],[Proposed Control Efficiency]])</f>
        <v>0</v>
      </c>
      <c r="G113" s="155">
        <f>IFERROR(unique_components_186[[#This Row],[Controlled lb/hr]]*4.38,"")</f>
        <v>0</v>
      </c>
    </row>
    <row r="114" spans="1:8" x14ac:dyDescent="0.2">
      <c r="A114" s="103"/>
      <c r="B114" s="104"/>
      <c r="C114" s="153"/>
      <c r="D114" s="154"/>
      <c r="E114" s="154"/>
      <c r="F114" s="146">
        <f>unique_components_186[[#This Row],[Count]]*unique_components_186[[#This Row],[Proposed Emission Factor]]*(1-unique_components_186[[#This Row],[Proposed Control Efficiency]])</f>
        <v>0</v>
      </c>
      <c r="G114" s="155">
        <f>IFERROR(unique_components_186[[#This Row],[Controlled lb/hr]]*4.38,"")</f>
        <v>0</v>
      </c>
    </row>
    <row r="115" spans="1:8" x14ac:dyDescent="0.2">
      <c r="A115" s="103"/>
      <c r="B115" s="104"/>
      <c r="C115" s="153"/>
      <c r="D115" s="154"/>
      <c r="E115" s="154"/>
      <c r="F115" s="146">
        <f>unique_components_186[[#This Row],[Count]]*unique_components_186[[#This Row],[Proposed Emission Factor]]*(1-unique_components_186[[#This Row],[Proposed Control Efficiency]])</f>
        <v>0</v>
      </c>
      <c r="G115" s="155">
        <f>IFERROR(unique_components_186[[#This Row],[Controlled lb/hr]]*4.38,"")</f>
        <v>0</v>
      </c>
    </row>
    <row r="116" spans="1:8" x14ac:dyDescent="0.2">
      <c r="A116" s="103"/>
      <c r="B116" s="104"/>
      <c r="C116" s="153"/>
      <c r="D116" s="154"/>
      <c r="E116" s="154"/>
      <c r="F116" s="146">
        <f>unique_components_186[[#This Row],[Count]]*unique_components_186[[#This Row],[Proposed Emission Factor]]*(1-unique_components_186[[#This Row],[Proposed Control Efficiency]])</f>
        <v>0</v>
      </c>
      <c r="G116" s="155">
        <f>IFERROR(unique_components_186[[#This Row],[Controlled lb/hr]]*4.38,"")</f>
        <v>0</v>
      </c>
    </row>
    <row r="117" spans="1:8" x14ac:dyDescent="0.2">
      <c r="A117" s="103"/>
      <c r="B117" s="104"/>
      <c r="C117" s="153"/>
      <c r="D117" s="154"/>
      <c r="E117" s="154"/>
      <c r="F117" s="146">
        <f>unique_components_186[[#This Row],[Count]]*unique_components_186[[#This Row],[Proposed Emission Factor]]*(1-unique_components_186[[#This Row],[Proposed Control Efficiency]])</f>
        <v>0</v>
      </c>
      <c r="G117" s="155">
        <f>IFERROR(unique_components_186[[#This Row],[Controlled lb/hr]]*4.38,"")</f>
        <v>0</v>
      </c>
    </row>
    <row r="118" spans="1:8" x14ac:dyDescent="0.2">
      <c r="A118" s="103"/>
      <c r="B118" s="104"/>
      <c r="C118" s="153"/>
      <c r="D118" s="154"/>
      <c r="E118" s="154"/>
      <c r="F118" s="146">
        <f>unique_components_186[[#This Row],[Count]]*unique_components_186[[#This Row],[Proposed Emission Factor]]*(1-unique_components_186[[#This Row],[Proposed Control Efficiency]])</f>
        <v>0</v>
      </c>
      <c r="G118" s="155">
        <f>IFERROR(unique_components_186[[#This Row],[Controlled lb/hr]]*4.38,"")</f>
        <v>0</v>
      </c>
    </row>
    <row r="119" spans="1:8" x14ac:dyDescent="0.2">
      <c r="A119" s="103"/>
      <c r="B119" s="104"/>
      <c r="C119" s="153"/>
      <c r="D119" s="154"/>
      <c r="E119" s="154"/>
      <c r="F119" s="146">
        <f>unique_components_186[[#This Row],[Count]]*unique_components_186[[#This Row],[Proposed Emission Factor]]*(1-unique_components_186[[#This Row],[Proposed Control Efficiency]])</f>
        <v>0</v>
      </c>
      <c r="G119" s="155">
        <f>IFERROR(unique_components_186[[#This Row],[Controlled lb/hr]]*4.38,"")</f>
        <v>0</v>
      </c>
    </row>
    <row r="120" spans="1:8" x14ac:dyDescent="0.2">
      <c r="A120" s="103"/>
      <c r="B120" s="104"/>
      <c r="C120" s="153"/>
      <c r="D120" s="154"/>
      <c r="E120" s="154"/>
      <c r="F120" s="146">
        <f>unique_components_186[[#This Row],[Count]]*unique_components_186[[#This Row],[Proposed Emission Factor]]*(1-unique_components_186[[#This Row],[Proposed Control Efficiency]])</f>
        <v>0</v>
      </c>
      <c r="G120" s="155">
        <f>IFERROR(unique_components_186[[#This Row],[Controlled lb/hr]]*4.38,"")</f>
        <v>0</v>
      </c>
    </row>
    <row r="121" spans="1:8" x14ac:dyDescent="0.2">
      <c r="A121" s="103"/>
      <c r="B121" s="104"/>
      <c r="C121" s="153"/>
      <c r="D121" s="154"/>
      <c r="E121" s="154"/>
      <c r="F121" s="146">
        <f>unique_components_186[[#This Row],[Count]]*unique_components_186[[#This Row],[Proposed Emission Factor]]*(1-unique_components_186[[#This Row],[Proposed Control Efficiency]])</f>
        <v>0</v>
      </c>
      <c r="G121" s="155">
        <f>IFERROR(unique_components_186[[#This Row],[Controlled lb/hr]]*4.38,"")</f>
        <v>0</v>
      </c>
    </row>
    <row r="122" spans="1:8" x14ac:dyDescent="0.2">
      <c r="A122" s="103"/>
      <c r="B122" s="104"/>
      <c r="C122" s="153"/>
      <c r="D122" s="154"/>
      <c r="E122" s="154"/>
      <c r="F122" s="146">
        <f>unique_components_186[[#This Row],[Count]]*unique_components_186[[#This Row],[Proposed Emission Factor]]*(1-unique_components_186[[#This Row],[Proposed Control Efficiency]])</f>
        <v>0</v>
      </c>
      <c r="G122" s="155">
        <f>IFERROR(unique_components_186[[#This Row],[Controlled lb/hr]]*4.38,"")</f>
        <v>0</v>
      </c>
    </row>
    <row r="123" spans="1:8" x14ac:dyDescent="0.2">
      <c r="A123" s="103"/>
      <c r="B123" s="104"/>
      <c r="C123" s="153"/>
      <c r="D123" s="154"/>
      <c r="E123" s="154"/>
      <c r="F123" s="146">
        <f>unique_components_186[[#This Row],[Count]]*unique_components_186[[#This Row],[Proposed Emission Factor]]*(1-unique_components_186[[#This Row],[Proposed Control Efficiency]])</f>
        <v>0</v>
      </c>
      <c r="G123" s="155">
        <f>IFERROR(unique_components_186[[#This Row],[Controlled lb/hr]]*4.38,"")</f>
        <v>0</v>
      </c>
    </row>
    <row r="124" spans="1:8" x14ac:dyDescent="0.2">
      <c r="A124" s="103"/>
      <c r="B124" s="104"/>
      <c r="C124" s="153"/>
      <c r="D124" s="154"/>
      <c r="E124" s="154"/>
      <c r="F124" s="146">
        <f>unique_components_186[[#This Row],[Count]]*unique_components_186[[#This Row],[Proposed Emission Factor]]*(1-unique_components_186[[#This Row],[Proposed Control Efficiency]])</f>
        <v>0</v>
      </c>
      <c r="G124" s="155">
        <f>IFERROR(unique_components_186[[#This Row],[Controlled lb/hr]]*4.38,"")</f>
        <v>0</v>
      </c>
    </row>
    <row r="125" spans="1:8" x14ac:dyDescent="0.2">
      <c r="A125" s="103"/>
      <c r="B125" s="104"/>
      <c r="C125" s="153"/>
      <c r="D125" s="154"/>
      <c r="E125" s="154"/>
      <c r="F125" s="146">
        <f>unique_components_186[[#This Row],[Count]]*unique_components_186[[#This Row],[Proposed Emission Factor]]*(1-unique_components_186[[#This Row],[Proposed Control Efficiency]])</f>
        <v>0</v>
      </c>
      <c r="G125" s="155">
        <f>IFERROR(unique_components_186[[#This Row],[Controlled lb/hr]]*4.38,"")</f>
        <v>0</v>
      </c>
    </row>
    <row r="126" spans="1:8" x14ac:dyDescent="0.2">
      <c r="A126" s="105"/>
      <c r="B126" s="106"/>
      <c r="C126" s="156"/>
      <c r="D126" s="154"/>
      <c r="E126" s="157"/>
      <c r="F126" s="158">
        <f>unique_components_186[[#This Row],[Count]]*unique_components_186[[#This Row],[Proposed Emission Factor]]*(1-unique_components_186[[#This Row],[Proposed Control Efficiency]])</f>
        <v>0</v>
      </c>
      <c r="G126" s="159">
        <f>IFERROR(unique_components_186[[#This Row],[Controlled lb/hr]]*4.38,"")</f>
        <v>0</v>
      </c>
    </row>
    <row r="127" spans="1:8" ht="30" x14ac:dyDescent="0.2">
      <c r="A127" s="57" t="s">
        <v>13297</v>
      </c>
      <c r="B127" s="54"/>
      <c r="C127" s="160">
        <f>SUBTOTAL(109,unique_components_186[Count])</f>
        <v>0</v>
      </c>
      <c r="D127" s="161"/>
      <c r="E127" s="161"/>
      <c r="F127" s="162">
        <f>SUBTOTAL(109,unique_components_186[Controlled lb/hr])</f>
        <v>0</v>
      </c>
      <c r="G127" s="162">
        <f>SUBTOTAL(109,unique_components_186[Controlled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IFERROR(VLOOKUP(speciated_chemicals_187[[#This Row],[CAS '#]],species[],MATCH("Substance", species[#Headers], 0),FALSE),"No CAS Number Entered")</f>
        <v>No CAS Number Entered</v>
      </c>
      <c r="C131" s="102"/>
      <c r="D131" s="102" t="s">
        <v>12666</v>
      </c>
      <c r="E131" s="102" t="s">
        <v>12666</v>
      </c>
      <c r="F131" s="102" t="s">
        <v>12666</v>
      </c>
      <c r="G131" s="102" t="s">
        <v>12666</v>
      </c>
      <c r="H131" s="164"/>
      <c r="I131" s="51">
        <f>IF(speciated_chemicals_187[[#This Row],[Inert / Not a Contaminant?]]="Yes", 0, speciated_chemicals_187[[#This Row],[Weight Percent]]*(unique_components_186[[#Totals],[Controlled lb/hr]]+standard_components_185[[#Totals],[Controlled
lb/hr]]))</f>
        <v>0</v>
      </c>
      <c r="J131" s="51">
        <f>IF(speciated_chemicals_187[[#This Row],[Inert / Not a Contaminant?]]="Yes", 0, speciated_chemicals_187[[#This Row],[Weight Percent]]*(unique_components_186[[#Totals],[Controlled
tpy]]+standard_components_185[[#Totals],[Controlled
tpy]]))</f>
        <v>0</v>
      </c>
    </row>
    <row r="132" spans="1:10" x14ac:dyDescent="0.2">
      <c r="A132" s="103"/>
      <c r="B132" s="51" t="str">
        <f>IFERROR(VLOOKUP(speciated_chemicals_187[[#This Row],[CAS '#]],species[],MATCH("Substance", species[#Headers], 0),FALSE),"No CAS Number Entered")</f>
        <v>No CAS Number Entered</v>
      </c>
      <c r="C132" s="102"/>
      <c r="D132" s="102" t="s">
        <v>12666</v>
      </c>
      <c r="E132" s="102" t="s">
        <v>12666</v>
      </c>
      <c r="F132" s="102" t="s">
        <v>12666</v>
      </c>
      <c r="G132" s="102" t="s">
        <v>12666</v>
      </c>
      <c r="H132" s="164"/>
      <c r="I132" s="51">
        <f>IF(speciated_chemicals_187[[#This Row],[Inert / Not a Contaminant?]]="Yes", 0, speciated_chemicals_187[[#This Row],[Weight Percent]]*(unique_components_186[[#Totals],[Controlled lb/hr]]+standard_components_185[[#Totals],[Controlled
lb/hr]]))</f>
        <v>0</v>
      </c>
      <c r="J132" s="51">
        <f>IF(speciated_chemicals_187[[#This Row],[Inert / Not a Contaminant?]]="Yes", 0, speciated_chemicals_187[[#This Row],[Weight Percent]]*(unique_components_186[[#Totals],[Controlled
tpy]]+standard_components_185[[#Totals],[Controlled
tpy]]))</f>
        <v>0</v>
      </c>
    </row>
    <row r="133" spans="1:10" x14ac:dyDescent="0.2">
      <c r="A133" s="103"/>
      <c r="B133" s="51" t="str">
        <f>IFERROR(VLOOKUP(speciated_chemicals_187[[#This Row],[CAS '#]],species[],MATCH("Substance", species[#Headers], 0),FALSE),"No CAS Number Entered")</f>
        <v>No CAS Number Entered</v>
      </c>
      <c r="C133" s="102"/>
      <c r="D133" s="102" t="s">
        <v>12666</v>
      </c>
      <c r="E133" s="102" t="s">
        <v>12666</v>
      </c>
      <c r="F133" s="102" t="s">
        <v>12666</v>
      </c>
      <c r="G133" s="102" t="s">
        <v>12666</v>
      </c>
      <c r="H133" s="164"/>
      <c r="I133" s="51">
        <f>IF(speciated_chemicals_187[[#This Row],[Inert / Not a Contaminant?]]="Yes", 0, speciated_chemicals_187[[#This Row],[Weight Percent]]*(unique_components_186[[#Totals],[Controlled lb/hr]]+standard_components_185[[#Totals],[Controlled
lb/hr]]))</f>
        <v>0</v>
      </c>
      <c r="J133" s="51">
        <f>IF(speciated_chemicals_187[[#This Row],[Inert / Not a Contaminant?]]="Yes", 0, speciated_chemicals_187[[#This Row],[Weight Percent]]*(unique_components_186[[#Totals],[Controlled
tpy]]+standard_components_185[[#Totals],[Controlled
tpy]]))</f>
        <v>0</v>
      </c>
    </row>
    <row r="134" spans="1:10" x14ac:dyDescent="0.2">
      <c r="A134" s="103"/>
      <c r="B134" s="51" t="str">
        <f>IFERROR(VLOOKUP(speciated_chemicals_187[[#This Row],[CAS '#]],species[],MATCH("Substance", species[#Headers], 0),FALSE),"No CAS Number Entered")</f>
        <v>No CAS Number Entered</v>
      </c>
      <c r="C134" s="102"/>
      <c r="D134" s="102" t="s">
        <v>12666</v>
      </c>
      <c r="E134" s="102" t="s">
        <v>12666</v>
      </c>
      <c r="F134" s="102" t="s">
        <v>12666</v>
      </c>
      <c r="G134" s="102" t="s">
        <v>12666</v>
      </c>
      <c r="H134" s="164"/>
      <c r="I134" s="51">
        <f>IF(speciated_chemicals_187[[#This Row],[Inert / Not a Contaminant?]]="Yes", 0, speciated_chemicals_187[[#This Row],[Weight Percent]]*(unique_components_186[[#Totals],[Controlled lb/hr]]+standard_components_185[[#Totals],[Controlled
lb/hr]]))</f>
        <v>0</v>
      </c>
      <c r="J134" s="51">
        <f>IF(speciated_chemicals_187[[#This Row],[Inert / Not a Contaminant?]]="Yes", 0, speciated_chemicals_187[[#This Row],[Weight Percent]]*(unique_components_186[[#Totals],[Controlled
tpy]]+standard_components_185[[#Totals],[Controlled
tpy]]))</f>
        <v>0</v>
      </c>
    </row>
    <row r="135" spans="1:10" x14ac:dyDescent="0.2">
      <c r="A135" s="103"/>
      <c r="B135" s="51" t="str">
        <f>IFERROR(VLOOKUP(speciated_chemicals_187[[#This Row],[CAS '#]],species[],MATCH("Substance", species[#Headers], 0),FALSE),"No CAS Number Entered")</f>
        <v>No CAS Number Entered</v>
      </c>
      <c r="C135" s="102"/>
      <c r="D135" s="102" t="s">
        <v>12666</v>
      </c>
      <c r="E135" s="102" t="s">
        <v>12666</v>
      </c>
      <c r="F135" s="102" t="s">
        <v>12666</v>
      </c>
      <c r="G135" s="102" t="s">
        <v>12666</v>
      </c>
      <c r="H135" s="164"/>
      <c r="I135" s="51">
        <f>IF(speciated_chemicals_187[[#This Row],[Inert / Not a Contaminant?]]="Yes", 0, speciated_chemicals_187[[#This Row],[Weight Percent]]*(unique_components_186[[#Totals],[Controlled lb/hr]]+standard_components_185[[#Totals],[Controlled
lb/hr]]))</f>
        <v>0</v>
      </c>
      <c r="J135" s="51">
        <f>IF(speciated_chemicals_187[[#This Row],[Inert / Not a Contaminant?]]="Yes", 0, speciated_chemicals_187[[#This Row],[Weight Percent]]*(unique_components_186[[#Totals],[Controlled
tpy]]+standard_components_185[[#Totals],[Controlled
tpy]]))</f>
        <v>0</v>
      </c>
    </row>
    <row r="136" spans="1:10" x14ac:dyDescent="0.2">
      <c r="A136" s="103"/>
      <c r="B136" s="51" t="str">
        <f>IFERROR(VLOOKUP(speciated_chemicals_187[[#This Row],[CAS '#]],species[],MATCH("Substance", species[#Headers], 0),FALSE),"No CAS Number Entered")</f>
        <v>No CAS Number Entered</v>
      </c>
      <c r="C136" s="102"/>
      <c r="D136" s="102" t="s">
        <v>12666</v>
      </c>
      <c r="E136" s="102" t="s">
        <v>12666</v>
      </c>
      <c r="F136" s="102" t="s">
        <v>12666</v>
      </c>
      <c r="G136" s="102" t="s">
        <v>12666</v>
      </c>
      <c r="H136" s="164"/>
      <c r="I136" s="51">
        <f>IF(speciated_chemicals_187[[#This Row],[Inert / Not a Contaminant?]]="Yes", 0, speciated_chemicals_187[[#This Row],[Weight Percent]]*(unique_components_186[[#Totals],[Controlled lb/hr]]+standard_components_185[[#Totals],[Controlled
lb/hr]]))</f>
        <v>0</v>
      </c>
      <c r="J136" s="51">
        <f>IF(speciated_chemicals_187[[#This Row],[Inert / Not a Contaminant?]]="Yes", 0, speciated_chemicals_187[[#This Row],[Weight Percent]]*(unique_components_186[[#Totals],[Controlled
tpy]]+standard_components_185[[#Totals],[Controlled
tpy]]))</f>
        <v>0</v>
      </c>
    </row>
    <row r="137" spans="1:10" x14ac:dyDescent="0.2">
      <c r="A137" s="103"/>
      <c r="B137" s="51" t="str">
        <f>IFERROR(VLOOKUP(speciated_chemicals_187[[#This Row],[CAS '#]],species[],MATCH("Substance", species[#Headers], 0),FALSE),"No CAS Number Entered")</f>
        <v>No CAS Number Entered</v>
      </c>
      <c r="C137" s="102"/>
      <c r="D137" s="102" t="s">
        <v>12666</v>
      </c>
      <c r="E137" s="102" t="s">
        <v>12666</v>
      </c>
      <c r="F137" s="102" t="s">
        <v>12666</v>
      </c>
      <c r="G137" s="102" t="s">
        <v>12666</v>
      </c>
      <c r="H137" s="164"/>
      <c r="I137" s="51">
        <f>IF(speciated_chemicals_187[[#This Row],[Inert / Not a Contaminant?]]="Yes", 0, speciated_chemicals_187[[#This Row],[Weight Percent]]*(unique_components_186[[#Totals],[Controlled lb/hr]]+standard_components_185[[#Totals],[Controlled
lb/hr]]))</f>
        <v>0</v>
      </c>
      <c r="J137" s="51">
        <f>IF(speciated_chemicals_187[[#This Row],[Inert / Not a Contaminant?]]="Yes", 0, speciated_chemicals_187[[#This Row],[Weight Percent]]*(unique_components_186[[#Totals],[Controlled
tpy]]+standard_components_185[[#Totals],[Controlled
tpy]]))</f>
        <v>0</v>
      </c>
    </row>
    <row r="138" spans="1:10" x14ac:dyDescent="0.2">
      <c r="A138" s="103"/>
      <c r="B138" s="51" t="str">
        <f>IFERROR(VLOOKUP(speciated_chemicals_187[[#This Row],[CAS '#]],species[],MATCH("Substance", species[#Headers], 0),FALSE),"No CAS Number Entered")</f>
        <v>No CAS Number Entered</v>
      </c>
      <c r="C138" s="102"/>
      <c r="D138" s="102" t="s">
        <v>12666</v>
      </c>
      <c r="E138" s="102" t="s">
        <v>12666</v>
      </c>
      <c r="F138" s="102" t="s">
        <v>12666</v>
      </c>
      <c r="G138" s="102" t="s">
        <v>12666</v>
      </c>
      <c r="H138" s="164"/>
      <c r="I138" s="51">
        <f>IF(speciated_chemicals_187[[#This Row],[Inert / Not a Contaminant?]]="Yes", 0, speciated_chemicals_187[[#This Row],[Weight Percent]]*(unique_components_186[[#Totals],[Controlled lb/hr]]+standard_components_185[[#Totals],[Controlled
lb/hr]]))</f>
        <v>0</v>
      </c>
      <c r="J138" s="51">
        <f>IF(speciated_chemicals_187[[#This Row],[Inert / Not a Contaminant?]]="Yes", 0, speciated_chemicals_187[[#This Row],[Weight Percent]]*(unique_components_186[[#Totals],[Controlled
tpy]]+standard_components_185[[#Totals],[Controlled
tpy]]))</f>
        <v>0</v>
      </c>
    </row>
    <row r="139" spans="1:10" x14ac:dyDescent="0.2">
      <c r="A139" s="103"/>
      <c r="B139" s="51" t="str">
        <f>IFERROR(VLOOKUP(speciated_chemicals_187[[#This Row],[CAS '#]],species[],MATCH("Substance", species[#Headers], 0),FALSE),"No CAS Number Entered")</f>
        <v>No CAS Number Entered</v>
      </c>
      <c r="C139" s="102"/>
      <c r="D139" s="102" t="s">
        <v>12666</v>
      </c>
      <c r="E139" s="102" t="s">
        <v>12666</v>
      </c>
      <c r="F139" s="102" t="s">
        <v>12666</v>
      </c>
      <c r="G139" s="102" t="s">
        <v>12666</v>
      </c>
      <c r="H139" s="164"/>
      <c r="I139" s="51">
        <f>IF(speciated_chemicals_187[[#This Row],[Inert / Not a Contaminant?]]="Yes", 0, speciated_chemicals_187[[#This Row],[Weight Percent]]*(unique_components_186[[#Totals],[Controlled lb/hr]]+standard_components_185[[#Totals],[Controlled
lb/hr]]))</f>
        <v>0</v>
      </c>
      <c r="J139" s="51">
        <f>IF(speciated_chemicals_187[[#This Row],[Inert / Not a Contaminant?]]="Yes", 0, speciated_chemicals_187[[#This Row],[Weight Percent]]*(unique_components_186[[#Totals],[Controlled
tpy]]+standard_components_185[[#Totals],[Controlled
tpy]]))</f>
        <v>0</v>
      </c>
    </row>
    <row r="140" spans="1:10" x14ac:dyDescent="0.2">
      <c r="A140" s="103"/>
      <c r="B140" s="51" t="str">
        <f>IFERROR(VLOOKUP(speciated_chemicals_187[[#This Row],[CAS '#]],species[],MATCH("Substance", species[#Headers], 0),FALSE),"No CAS Number Entered")</f>
        <v>No CAS Number Entered</v>
      </c>
      <c r="C140" s="102"/>
      <c r="D140" s="102" t="s">
        <v>12666</v>
      </c>
      <c r="E140" s="102" t="s">
        <v>12666</v>
      </c>
      <c r="F140" s="102" t="s">
        <v>12666</v>
      </c>
      <c r="G140" s="102" t="s">
        <v>12666</v>
      </c>
      <c r="H140" s="164"/>
      <c r="I140" s="51">
        <f>IF(speciated_chemicals_187[[#This Row],[Inert / Not a Contaminant?]]="Yes", 0, speciated_chemicals_187[[#This Row],[Weight Percent]]*(unique_components_186[[#Totals],[Controlled lb/hr]]+standard_components_185[[#Totals],[Controlled
lb/hr]]))</f>
        <v>0</v>
      </c>
      <c r="J140" s="51">
        <f>IF(speciated_chemicals_187[[#This Row],[Inert / Not a Contaminant?]]="Yes", 0, speciated_chemicals_187[[#This Row],[Weight Percent]]*(unique_components_186[[#Totals],[Controlled
tpy]]+standard_components_185[[#Totals],[Controlled
tpy]]))</f>
        <v>0</v>
      </c>
    </row>
    <row r="141" spans="1:10" x14ac:dyDescent="0.2">
      <c r="A141" s="103"/>
      <c r="B141" s="51" t="str">
        <f>IFERROR(VLOOKUP(speciated_chemicals_187[[#This Row],[CAS '#]],species[],MATCH("Substance", species[#Headers], 0),FALSE),"No CAS Number Entered")</f>
        <v>No CAS Number Entered</v>
      </c>
      <c r="C141" s="102"/>
      <c r="D141" s="102" t="s">
        <v>12666</v>
      </c>
      <c r="E141" s="102" t="s">
        <v>12666</v>
      </c>
      <c r="F141" s="102" t="s">
        <v>12666</v>
      </c>
      <c r="G141" s="102" t="s">
        <v>12666</v>
      </c>
      <c r="H141" s="164"/>
      <c r="I141" s="51">
        <f>IF(speciated_chemicals_187[[#This Row],[Inert / Not a Contaminant?]]="Yes", 0, speciated_chemicals_187[[#This Row],[Weight Percent]]*(unique_components_186[[#Totals],[Controlled lb/hr]]+standard_components_185[[#Totals],[Controlled
lb/hr]]))</f>
        <v>0</v>
      </c>
      <c r="J141" s="51">
        <f>IF(speciated_chemicals_187[[#This Row],[Inert / Not a Contaminant?]]="Yes", 0, speciated_chemicals_187[[#This Row],[Weight Percent]]*(unique_components_186[[#Totals],[Controlled
tpy]]+standard_components_185[[#Totals],[Controlled
tpy]]))</f>
        <v>0</v>
      </c>
    </row>
    <row r="142" spans="1:10" x14ac:dyDescent="0.2">
      <c r="A142" s="103"/>
      <c r="B142" s="51" t="str">
        <f>IFERROR(VLOOKUP(speciated_chemicals_187[[#This Row],[CAS '#]],species[],MATCH("Substance", species[#Headers], 0),FALSE),"No CAS Number Entered")</f>
        <v>No CAS Number Entered</v>
      </c>
      <c r="C142" s="102"/>
      <c r="D142" s="102" t="s">
        <v>12666</v>
      </c>
      <c r="E142" s="102" t="s">
        <v>12666</v>
      </c>
      <c r="F142" s="102" t="s">
        <v>12666</v>
      </c>
      <c r="G142" s="102" t="s">
        <v>12666</v>
      </c>
      <c r="H142" s="164"/>
      <c r="I142" s="51">
        <f>IF(speciated_chemicals_187[[#This Row],[Inert / Not a Contaminant?]]="Yes", 0, speciated_chemicals_187[[#This Row],[Weight Percent]]*(unique_components_186[[#Totals],[Controlled lb/hr]]+standard_components_185[[#Totals],[Controlled
lb/hr]]))</f>
        <v>0</v>
      </c>
      <c r="J142" s="51">
        <f>IF(speciated_chemicals_187[[#This Row],[Inert / Not a Contaminant?]]="Yes", 0, speciated_chemicals_187[[#This Row],[Weight Percent]]*(unique_components_186[[#Totals],[Controlled
tpy]]+standard_components_185[[#Totals],[Controlled
tpy]]))</f>
        <v>0</v>
      </c>
    </row>
    <row r="143" spans="1:10" x14ac:dyDescent="0.2">
      <c r="A143" s="103"/>
      <c r="B143" s="51" t="str">
        <f>IFERROR(VLOOKUP(speciated_chemicals_187[[#This Row],[CAS '#]],species[],MATCH("Substance", species[#Headers], 0),FALSE),"No CAS Number Entered")</f>
        <v>No CAS Number Entered</v>
      </c>
      <c r="C143" s="102"/>
      <c r="D143" s="102" t="s">
        <v>12666</v>
      </c>
      <c r="E143" s="102" t="s">
        <v>12666</v>
      </c>
      <c r="F143" s="102" t="s">
        <v>12666</v>
      </c>
      <c r="G143" s="102" t="s">
        <v>12666</v>
      </c>
      <c r="H143" s="164"/>
      <c r="I143" s="51">
        <f>IF(speciated_chemicals_187[[#This Row],[Inert / Not a Contaminant?]]="Yes", 0, speciated_chemicals_187[[#This Row],[Weight Percent]]*(unique_components_186[[#Totals],[Controlled lb/hr]]+standard_components_185[[#Totals],[Controlled
lb/hr]]))</f>
        <v>0</v>
      </c>
      <c r="J143" s="51">
        <f>IF(speciated_chemicals_187[[#This Row],[Inert / Not a Contaminant?]]="Yes", 0, speciated_chemicals_187[[#This Row],[Weight Percent]]*(unique_components_186[[#Totals],[Controlled
tpy]]+standard_components_185[[#Totals],[Controlled
tpy]]))</f>
        <v>0</v>
      </c>
    </row>
    <row r="144" spans="1:10" x14ac:dyDescent="0.2">
      <c r="A144" s="103"/>
      <c r="B144" s="51" t="str">
        <f>IFERROR(VLOOKUP(speciated_chemicals_187[[#This Row],[CAS '#]],species[],MATCH("Substance", species[#Headers], 0),FALSE),"No CAS Number Entered")</f>
        <v>No CAS Number Entered</v>
      </c>
      <c r="C144" s="102"/>
      <c r="D144" s="102" t="s">
        <v>12666</v>
      </c>
      <c r="E144" s="102" t="s">
        <v>12666</v>
      </c>
      <c r="F144" s="102" t="s">
        <v>12666</v>
      </c>
      <c r="G144" s="102" t="s">
        <v>12666</v>
      </c>
      <c r="H144" s="164"/>
      <c r="I144" s="51">
        <f>IF(speciated_chemicals_187[[#This Row],[Inert / Not a Contaminant?]]="Yes", 0, speciated_chemicals_187[[#This Row],[Weight Percent]]*(unique_components_186[[#Totals],[Controlled lb/hr]]+standard_components_185[[#Totals],[Controlled
lb/hr]]))</f>
        <v>0</v>
      </c>
      <c r="J144" s="51">
        <f>IF(speciated_chemicals_187[[#This Row],[Inert / Not a Contaminant?]]="Yes", 0, speciated_chemicals_187[[#This Row],[Weight Percent]]*(unique_components_186[[#Totals],[Controlled
tpy]]+standard_components_185[[#Totals],[Controlled
tpy]]))</f>
        <v>0</v>
      </c>
    </row>
    <row r="145" spans="1:10" x14ac:dyDescent="0.2">
      <c r="A145" s="103"/>
      <c r="B145" s="51" t="str">
        <f>IFERROR(VLOOKUP(speciated_chemicals_187[[#This Row],[CAS '#]],species[],MATCH("Substance", species[#Headers], 0),FALSE),"No CAS Number Entered")</f>
        <v>No CAS Number Entered</v>
      </c>
      <c r="C145" s="102"/>
      <c r="D145" s="102" t="s">
        <v>12666</v>
      </c>
      <c r="E145" s="102" t="s">
        <v>12666</v>
      </c>
      <c r="F145" s="102" t="s">
        <v>12666</v>
      </c>
      <c r="G145" s="102" t="s">
        <v>12666</v>
      </c>
      <c r="H145" s="164"/>
      <c r="I145" s="51">
        <f>IF(speciated_chemicals_187[[#This Row],[Inert / Not a Contaminant?]]="Yes", 0, speciated_chemicals_187[[#This Row],[Weight Percent]]*(unique_components_186[[#Totals],[Controlled lb/hr]]+standard_components_185[[#Totals],[Controlled
lb/hr]]))</f>
        <v>0</v>
      </c>
      <c r="J145" s="51">
        <f>IF(speciated_chemicals_187[[#This Row],[Inert / Not a Contaminant?]]="Yes", 0, speciated_chemicals_187[[#This Row],[Weight Percent]]*(unique_components_186[[#Totals],[Controlled
tpy]]+standard_components_185[[#Totals],[Controlled
tpy]]))</f>
        <v>0</v>
      </c>
    </row>
    <row r="146" spans="1:10" x14ac:dyDescent="0.2">
      <c r="A146" s="103"/>
      <c r="B146" s="51" t="str">
        <f>IFERROR(VLOOKUP(speciated_chemicals_187[[#This Row],[CAS '#]],species[],MATCH("Substance", species[#Headers], 0),FALSE),"No CAS Number Entered")</f>
        <v>No CAS Number Entered</v>
      </c>
      <c r="C146" s="102"/>
      <c r="D146" s="102" t="s">
        <v>12666</v>
      </c>
      <c r="E146" s="102" t="s">
        <v>12666</v>
      </c>
      <c r="F146" s="102" t="s">
        <v>12666</v>
      </c>
      <c r="G146" s="102" t="s">
        <v>12666</v>
      </c>
      <c r="H146" s="164"/>
      <c r="I146" s="51">
        <f>IF(speciated_chemicals_187[[#This Row],[Inert / Not a Contaminant?]]="Yes", 0, speciated_chemicals_187[[#This Row],[Weight Percent]]*(unique_components_186[[#Totals],[Controlled lb/hr]]+standard_components_185[[#Totals],[Controlled
lb/hr]]))</f>
        <v>0</v>
      </c>
      <c r="J146" s="51">
        <f>IF(speciated_chemicals_187[[#This Row],[Inert / Not a Contaminant?]]="Yes", 0, speciated_chemicals_187[[#This Row],[Weight Percent]]*(unique_components_186[[#Totals],[Controlled
tpy]]+standard_components_185[[#Totals],[Controlled
tpy]]))</f>
        <v>0</v>
      </c>
    </row>
    <row r="147" spans="1:10" x14ac:dyDescent="0.2">
      <c r="A147" s="103"/>
      <c r="B147" s="51" t="str">
        <f>IFERROR(VLOOKUP(speciated_chemicals_187[[#This Row],[CAS '#]],species[],MATCH("Substance", species[#Headers], 0),FALSE),"No CAS Number Entered")</f>
        <v>No CAS Number Entered</v>
      </c>
      <c r="C147" s="102"/>
      <c r="D147" s="102" t="s">
        <v>12666</v>
      </c>
      <c r="E147" s="102" t="s">
        <v>12666</v>
      </c>
      <c r="F147" s="102" t="s">
        <v>12666</v>
      </c>
      <c r="G147" s="102" t="s">
        <v>12666</v>
      </c>
      <c r="H147" s="164"/>
      <c r="I147" s="51">
        <f>IF(speciated_chemicals_187[[#This Row],[Inert / Not a Contaminant?]]="Yes", 0, speciated_chemicals_187[[#This Row],[Weight Percent]]*(unique_components_186[[#Totals],[Controlled lb/hr]]+standard_components_185[[#Totals],[Controlled
lb/hr]]))</f>
        <v>0</v>
      </c>
      <c r="J147" s="51">
        <f>IF(speciated_chemicals_187[[#This Row],[Inert / Not a Contaminant?]]="Yes", 0, speciated_chemicals_187[[#This Row],[Weight Percent]]*(unique_components_186[[#Totals],[Controlled
tpy]]+standard_components_185[[#Totals],[Controlled
tpy]]))</f>
        <v>0</v>
      </c>
    </row>
    <row r="148" spans="1:10" x14ac:dyDescent="0.2">
      <c r="A148" s="103"/>
      <c r="B148" s="51" t="str">
        <f>IFERROR(VLOOKUP(speciated_chemicals_187[[#This Row],[CAS '#]],species[],MATCH("Substance", species[#Headers], 0),FALSE),"No CAS Number Entered")</f>
        <v>No CAS Number Entered</v>
      </c>
      <c r="C148" s="102"/>
      <c r="D148" s="102" t="s">
        <v>12666</v>
      </c>
      <c r="E148" s="102" t="s">
        <v>12666</v>
      </c>
      <c r="F148" s="102" t="s">
        <v>12666</v>
      </c>
      <c r="G148" s="102" t="s">
        <v>12666</v>
      </c>
      <c r="H148" s="164"/>
      <c r="I148" s="51">
        <f>IF(speciated_chemicals_187[[#This Row],[Inert / Not a Contaminant?]]="Yes", 0, speciated_chemicals_187[[#This Row],[Weight Percent]]*(unique_components_186[[#Totals],[Controlled lb/hr]]+standard_components_185[[#Totals],[Controlled
lb/hr]]))</f>
        <v>0</v>
      </c>
      <c r="J148" s="51">
        <f>IF(speciated_chemicals_187[[#This Row],[Inert / Not a Contaminant?]]="Yes", 0, speciated_chemicals_187[[#This Row],[Weight Percent]]*(unique_components_186[[#Totals],[Controlled
tpy]]+standard_components_185[[#Totals],[Controlled
tpy]]))</f>
        <v>0</v>
      </c>
    </row>
    <row r="149" spans="1:10" x14ac:dyDescent="0.2">
      <c r="A149" s="103"/>
      <c r="B149" s="51" t="str">
        <f>IFERROR(VLOOKUP(speciated_chemicals_187[[#This Row],[CAS '#]],species[],MATCH("Substance", species[#Headers], 0),FALSE),"No CAS Number Entered")</f>
        <v>No CAS Number Entered</v>
      </c>
      <c r="C149" s="102"/>
      <c r="D149" s="102" t="s">
        <v>12666</v>
      </c>
      <c r="E149" s="102" t="s">
        <v>12666</v>
      </c>
      <c r="F149" s="102" t="s">
        <v>12666</v>
      </c>
      <c r="G149" s="102" t="s">
        <v>12666</v>
      </c>
      <c r="H149" s="164"/>
      <c r="I149" s="51">
        <f>IF(speciated_chemicals_187[[#This Row],[Inert / Not a Contaminant?]]="Yes", 0, speciated_chemicals_187[[#This Row],[Weight Percent]]*(unique_components_186[[#Totals],[Controlled lb/hr]]+standard_components_185[[#Totals],[Controlled
lb/hr]]))</f>
        <v>0</v>
      </c>
      <c r="J149" s="51">
        <f>IF(speciated_chemicals_187[[#This Row],[Inert / Not a Contaminant?]]="Yes", 0, speciated_chemicals_187[[#This Row],[Weight Percent]]*(unique_components_186[[#Totals],[Controlled
tpy]]+standard_components_185[[#Totals],[Controlled
tpy]]))</f>
        <v>0</v>
      </c>
    </row>
    <row r="150" spans="1:10" x14ac:dyDescent="0.2">
      <c r="A150" s="103"/>
      <c r="B150" s="51" t="str">
        <f>IFERROR(VLOOKUP(speciated_chemicals_187[[#This Row],[CAS '#]],species[],MATCH("Substance", species[#Headers], 0),FALSE),"No CAS Number Entered")</f>
        <v>No CAS Number Entered</v>
      </c>
      <c r="C150" s="102"/>
      <c r="D150" s="102" t="s">
        <v>12666</v>
      </c>
      <c r="E150" s="102" t="s">
        <v>12666</v>
      </c>
      <c r="F150" s="102" t="s">
        <v>12666</v>
      </c>
      <c r="G150" s="102" t="s">
        <v>12666</v>
      </c>
      <c r="H150" s="164"/>
      <c r="I150" s="51">
        <f>IF(speciated_chemicals_187[[#This Row],[Inert / Not a Contaminant?]]="Yes", 0, speciated_chemicals_187[[#This Row],[Weight Percent]]*(unique_components_186[[#Totals],[Controlled lb/hr]]+standard_components_185[[#Totals],[Controlled
lb/hr]]))</f>
        <v>0</v>
      </c>
      <c r="J150" s="51">
        <f>IF(speciated_chemicals_187[[#This Row],[Inert / Not a Contaminant?]]="Yes", 0, speciated_chemicals_187[[#This Row],[Weight Percent]]*(unique_components_186[[#Totals],[Controlled
tpy]]+standard_components_185[[#Totals],[Controlled
tpy]]))</f>
        <v>0</v>
      </c>
    </row>
    <row r="151" spans="1:10" x14ac:dyDescent="0.2">
      <c r="A151" s="103"/>
      <c r="B151" s="51" t="str">
        <f>IFERROR(VLOOKUP(speciated_chemicals_187[[#This Row],[CAS '#]],species[],MATCH("Substance", species[#Headers], 0),FALSE),"No CAS Number Entered")</f>
        <v>No CAS Number Entered</v>
      </c>
      <c r="C151" s="102"/>
      <c r="D151" s="102" t="s">
        <v>12666</v>
      </c>
      <c r="E151" s="102" t="s">
        <v>12666</v>
      </c>
      <c r="F151" s="102" t="s">
        <v>12666</v>
      </c>
      <c r="G151" s="102" t="s">
        <v>12666</v>
      </c>
      <c r="H151" s="164"/>
      <c r="I151" s="51">
        <f>IF(speciated_chemicals_187[[#This Row],[Inert / Not a Contaminant?]]="Yes", 0, speciated_chemicals_187[[#This Row],[Weight Percent]]*(unique_components_186[[#Totals],[Controlled lb/hr]]+standard_components_185[[#Totals],[Controlled
lb/hr]]))</f>
        <v>0</v>
      </c>
      <c r="J151" s="51">
        <f>IF(speciated_chemicals_187[[#This Row],[Inert / Not a Contaminant?]]="Yes", 0, speciated_chemicals_187[[#This Row],[Weight Percent]]*(unique_components_186[[#Totals],[Controlled
tpy]]+standard_components_185[[#Totals],[Controlled
tpy]]))</f>
        <v>0</v>
      </c>
    </row>
    <row r="152" spans="1:10" x14ac:dyDescent="0.2">
      <c r="A152" s="103"/>
      <c r="B152" s="51" t="str">
        <f>IFERROR(VLOOKUP(speciated_chemicals_187[[#This Row],[CAS '#]],species[],MATCH("Substance", species[#Headers], 0),FALSE),"No CAS Number Entered")</f>
        <v>No CAS Number Entered</v>
      </c>
      <c r="C152" s="102"/>
      <c r="D152" s="102" t="s">
        <v>12666</v>
      </c>
      <c r="E152" s="102" t="s">
        <v>12666</v>
      </c>
      <c r="F152" s="102" t="s">
        <v>12666</v>
      </c>
      <c r="G152" s="102" t="s">
        <v>12666</v>
      </c>
      <c r="H152" s="164"/>
      <c r="I152" s="51">
        <f>IF(speciated_chemicals_187[[#This Row],[Inert / Not a Contaminant?]]="Yes", 0, speciated_chemicals_187[[#This Row],[Weight Percent]]*(unique_components_186[[#Totals],[Controlled lb/hr]]+standard_components_185[[#Totals],[Controlled
lb/hr]]))</f>
        <v>0</v>
      </c>
      <c r="J152" s="51">
        <f>IF(speciated_chemicals_187[[#This Row],[Inert / Not a Contaminant?]]="Yes", 0, speciated_chemicals_187[[#This Row],[Weight Percent]]*(unique_components_186[[#Totals],[Controlled
tpy]]+standard_components_185[[#Totals],[Controlled
tpy]]))</f>
        <v>0</v>
      </c>
    </row>
    <row r="153" spans="1:10" x14ac:dyDescent="0.2">
      <c r="A153" s="103"/>
      <c r="B153" s="51" t="str">
        <f>IFERROR(VLOOKUP(speciated_chemicals_187[[#This Row],[CAS '#]],species[],MATCH("Substance", species[#Headers], 0),FALSE),"No CAS Number Entered")</f>
        <v>No CAS Number Entered</v>
      </c>
      <c r="C153" s="102"/>
      <c r="D153" s="102" t="s">
        <v>12666</v>
      </c>
      <c r="E153" s="102" t="s">
        <v>12666</v>
      </c>
      <c r="F153" s="102" t="s">
        <v>12666</v>
      </c>
      <c r="G153" s="102" t="s">
        <v>12666</v>
      </c>
      <c r="H153" s="164"/>
      <c r="I153" s="51">
        <f>IF(speciated_chemicals_187[[#This Row],[Inert / Not a Contaminant?]]="Yes", 0, speciated_chemicals_187[[#This Row],[Weight Percent]]*(unique_components_186[[#Totals],[Controlled lb/hr]]+standard_components_185[[#Totals],[Controlled
lb/hr]]))</f>
        <v>0</v>
      </c>
      <c r="J153" s="51">
        <f>IF(speciated_chemicals_187[[#This Row],[Inert / Not a Contaminant?]]="Yes", 0, speciated_chemicals_187[[#This Row],[Weight Percent]]*(unique_components_186[[#Totals],[Controlled
tpy]]+standard_components_185[[#Totals],[Controlled
tpy]]))</f>
        <v>0</v>
      </c>
    </row>
    <row r="154" spans="1:10" x14ac:dyDescent="0.2">
      <c r="A154" s="103"/>
      <c r="B154" s="51" t="str">
        <f>IFERROR(VLOOKUP(speciated_chemicals_187[[#This Row],[CAS '#]],species[],MATCH("Substance", species[#Headers], 0),FALSE),"No CAS Number Entered")</f>
        <v>No CAS Number Entered</v>
      </c>
      <c r="C154" s="102"/>
      <c r="D154" s="102" t="s">
        <v>12666</v>
      </c>
      <c r="E154" s="102" t="s">
        <v>12666</v>
      </c>
      <c r="F154" s="102" t="s">
        <v>12666</v>
      </c>
      <c r="G154" s="102" t="s">
        <v>12666</v>
      </c>
      <c r="H154" s="164"/>
      <c r="I154" s="51">
        <f>IF(speciated_chemicals_187[[#This Row],[Inert / Not a Contaminant?]]="Yes", 0, speciated_chemicals_187[[#This Row],[Weight Percent]]*(unique_components_186[[#Totals],[Controlled lb/hr]]+standard_components_185[[#Totals],[Controlled
lb/hr]]))</f>
        <v>0</v>
      </c>
      <c r="J154" s="51">
        <f>IF(speciated_chemicals_187[[#This Row],[Inert / Not a Contaminant?]]="Yes", 0, speciated_chemicals_187[[#This Row],[Weight Percent]]*(unique_components_186[[#Totals],[Controlled
tpy]]+standard_components_185[[#Totals],[Controlled
tpy]]))</f>
        <v>0</v>
      </c>
    </row>
    <row r="155" spans="1:10" x14ac:dyDescent="0.2">
      <c r="A155" s="103"/>
      <c r="B155" s="51" t="str">
        <f>IFERROR(VLOOKUP(speciated_chemicals_187[[#This Row],[CAS '#]],species[],MATCH("Substance", species[#Headers], 0),FALSE),"No CAS Number Entered")</f>
        <v>No CAS Number Entered</v>
      </c>
      <c r="C155" s="102"/>
      <c r="D155" s="102" t="s">
        <v>12666</v>
      </c>
      <c r="E155" s="102" t="s">
        <v>12666</v>
      </c>
      <c r="F155" s="102" t="s">
        <v>12666</v>
      </c>
      <c r="G155" s="102" t="s">
        <v>12666</v>
      </c>
      <c r="H155" s="164"/>
      <c r="I155" s="51">
        <f>IF(speciated_chemicals_187[[#This Row],[Inert / Not a Contaminant?]]="Yes", 0, speciated_chemicals_187[[#This Row],[Weight Percent]]*(unique_components_186[[#Totals],[Controlled lb/hr]]+standard_components_185[[#Totals],[Controlled
lb/hr]]))</f>
        <v>0</v>
      </c>
      <c r="J155" s="51">
        <f>IF(speciated_chemicals_187[[#This Row],[Inert / Not a Contaminant?]]="Yes", 0, speciated_chemicals_187[[#This Row],[Weight Percent]]*(unique_components_186[[#Totals],[Controlled
tpy]]+standard_components_185[[#Totals],[Controlled
tpy]]))</f>
        <v>0</v>
      </c>
    </row>
    <row r="156" spans="1:10" x14ac:dyDescent="0.2">
      <c r="A156" s="103"/>
      <c r="B156" s="51" t="str">
        <f>IFERROR(VLOOKUP(speciated_chemicals_187[[#This Row],[CAS '#]],species[],MATCH("Substance", species[#Headers], 0),FALSE),"No CAS Number Entered")</f>
        <v>No CAS Number Entered</v>
      </c>
      <c r="C156" s="102"/>
      <c r="D156" s="102" t="s">
        <v>12666</v>
      </c>
      <c r="E156" s="102" t="s">
        <v>12666</v>
      </c>
      <c r="F156" s="102" t="s">
        <v>12666</v>
      </c>
      <c r="G156" s="102" t="s">
        <v>12666</v>
      </c>
      <c r="H156" s="164"/>
      <c r="I156" s="51">
        <f>IF(speciated_chemicals_187[[#This Row],[Inert / Not a Contaminant?]]="Yes", 0, speciated_chemicals_187[[#This Row],[Weight Percent]]*(unique_components_186[[#Totals],[Controlled lb/hr]]+standard_components_185[[#Totals],[Controlled
lb/hr]]))</f>
        <v>0</v>
      </c>
      <c r="J156" s="51">
        <f>IF(speciated_chemicals_187[[#This Row],[Inert / Not a Contaminant?]]="Yes", 0, speciated_chemicals_187[[#This Row],[Weight Percent]]*(unique_components_186[[#Totals],[Controlled
tpy]]+standard_components_185[[#Totals],[Controlled
tpy]]))</f>
        <v>0</v>
      </c>
    </row>
    <row r="157" spans="1:10" x14ac:dyDescent="0.2">
      <c r="A157" s="103"/>
      <c r="B157" s="51" t="str">
        <f>IFERROR(VLOOKUP(speciated_chemicals_187[[#This Row],[CAS '#]],species[],MATCH("Substance", species[#Headers], 0),FALSE),"No CAS Number Entered")</f>
        <v>No CAS Number Entered</v>
      </c>
      <c r="C157" s="102"/>
      <c r="D157" s="102" t="s">
        <v>12666</v>
      </c>
      <c r="E157" s="102" t="s">
        <v>12666</v>
      </c>
      <c r="F157" s="102" t="s">
        <v>12666</v>
      </c>
      <c r="G157" s="102" t="s">
        <v>12666</v>
      </c>
      <c r="H157" s="164"/>
      <c r="I157" s="51">
        <f>IF(speciated_chemicals_187[[#This Row],[Inert / Not a Contaminant?]]="Yes", 0, speciated_chemicals_187[[#This Row],[Weight Percent]]*(unique_components_186[[#Totals],[Controlled lb/hr]]+standard_components_185[[#Totals],[Controlled
lb/hr]]))</f>
        <v>0</v>
      </c>
      <c r="J157" s="51">
        <f>IF(speciated_chemicals_187[[#This Row],[Inert / Not a Contaminant?]]="Yes", 0, speciated_chemicals_187[[#This Row],[Weight Percent]]*(unique_components_186[[#Totals],[Controlled
tpy]]+standard_components_185[[#Totals],[Controlled
tpy]]))</f>
        <v>0</v>
      </c>
    </row>
    <row r="158" spans="1:10" x14ac:dyDescent="0.2">
      <c r="A158" s="103"/>
      <c r="B158" s="51" t="str">
        <f>IFERROR(VLOOKUP(speciated_chemicals_187[[#This Row],[CAS '#]],species[],MATCH("Substance", species[#Headers], 0),FALSE),"No CAS Number Entered")</f>
        <v>No CAS Number Entered</v>
      </c>
      <c r="C158" s="102"/>
      <c r="D158" s="102" t="s">
        <v>12666</v>
      </c>
      <c r="E158" s="102" t="s">
        <v>12666</v>
      </c>
      <c r="F158" s="102" t="s">
        <v>12666</v>
      </c>
      <c r="G158" s="102" t="s">
        <v>12666</v>
      </c>
      <c r="H158" s="164"/>
      <c r="I158" s="51">
        <f>IF(speciated_chemicals_187[[#This Row],[Inert / Not a Contaminant?]]="Yes", 0, speciated_chemicals_187[[#This Row],[Weight Percent]]*(unique_components_186[[#Totals],[Controlled lb/hr]]+standard_components_185[[#Totals],[Controlled
lb/hr]]))</f>
        <v>0</v>
      </c>
      <c r="J158" s="51">
        <f>IF(speciated_chemicals_187[[#This Row],[Inert / Not a Contaminant?]]="Yes", 0, speciated_chemicals_187[[#This Row],[Weight Percent]]*(unique_components_186[[#Totals],[Controlled
tpy]]+standard_components_185[[#Totals],[Controlled
tpy]]))</f>
        <v>0</v>
      </c>
    </row>
    <row r="159" spans="1:10" x14ac:dyDescent="0.2">
      <c r="A159" s="103"/>
      <c r="B159" s="51" t="str">
        <f>IFERROR(VLOOKUP(speciated_chemicals_187[[#This Row],[CAS '#]],species[],MATCH("Substance", species[#Headers], 0),FALSE),"No CAS Number Entered")</f>
        <v>No CAS Number Entered</v>
      </c>
      <c r="C159" s="102"/>
      <c r="D159" s="102" t="s">
        <v>12666</v>
      </c>
      <c r="E159" s="102" t="s">
        <v>12666</v>
      </c>
      <c r="F159" s="102" t="s">
        <v>12666</v>
      </c>
      <c r="G159" s="102" t="s">
        <v>12666</v>
      </c>
      <c r="H159" s="164"/>
      <c r="I159" s="51">
        <f>IF(speciated_chemicals_187[[#This Row],[Inert / Not a Contaminant?]]="Yes", 0, speciated_chemicals_187[[#This Row],[Weight Percent]]*(unique_components_186[[#Totals],[Controlled lb/hr]]+standard_components_185[[#Totals],[Controlled
lb/hr]]))</f>
        <v>0</v>
      </c>
      <c r="J159" s="51">
        <f>IF(speciated_chemicals_187[[#This Row],[Inert / Not a Contaminant?]]="Yes", 0, speciated_chemicals_187[[#This Row],[Weight Percent]]*(unique_components_186[[#Totals],[Controlled
tpy]]+standard_components_185[[#Totals],[Controlled
tpy]]))</f>
        <v>0</v>
      </c>
    </row>
    <row r="160" spans="1:10" x14ac:dyDescent="0.2">
      <c r="A160" s="103"/>
      <c r="B160" s="51" t="str">
        <f>IFERROR(VLOOKUP(speciated_chemicals_187[[#This Row],[CAS '#]],species[],MATCH("Substance", species[#Headers], 0),FALSE),"No CAS Number Entered")</f>
        <v>No CAS Number Entered</v>
      </c>
      <c r="C160" s="102"/>
      <c r="D160" s="102" t="s">
        <v>12666</v>
      </c>
      <c r="E160" s="102" t="s">
        <v>12666</v>
      </c>
      <c r="F160" s="102" t="s">
        <v>12666</v>
      </c>
      <c r="G160" s="102" t="s">
        <v>12666</v>
      </c>
      <c r="H160" s="164"/>
      <c r="I160" s="51">
        <f>IF(speciated_chemicals_187[[#This Row],[Inert / Not a Contaminant?]]="Yes", 0, speciated_chemicals_187[[#This Row],[Weight Percent]]*(unique_components_186[[#Totals],[Controlled lb/hr]]+standard_components_185[[#Totals],[Controlled
lb/hr]]))</f>
        <v>0</v>
      </c>
      <c r="J160" s="51">
        <f>IF(speciated_chemicals_187[[#This Row],[Inert / Not a Contaminant?]]="Yes", 0, speciated_chemicals_187[[#This Row],[Weight Percent]]*(unique_components_186[[#Totals],[Controlled
tpy]]+standard_components_185[[#Totals],[Controlled
tpy]]))</f>
        <v>0</v>
      </c>
    </row>
    <row r="161" spans="1:10" x14ac:dyDescent="0.2">
      <c r="A161" s="103"/>
      <c r="B161" s="51" t="str">
        <f>IFERROR(VLOOKUP(speciated_chemicals_187[[#This Row],[CAS '#]],species[],MATCH("Substance", species[#Headers], 0),FALSE),"No CAS Number Entered")</f>
        <v>No CAS Number Entered</v>
      </c>
      <c r="C161" s="102"/>
      <c r="D161" s="102" t="s">
        <v>12666</v>
      </c>
      <c r="E161" s="102" t="s">
        <v>12666</v>
      </c>
      <c r="F161" s="102" t="s">
        <v>12666</v>
      </c>
      <c r="G161" s="102" t="s">
        <v>12666</v>
      </c>
      <c r="H161" s="164"/>
      <c r="I161" s="51">
        <f>IF(speciated_chemicals_187[[#This Row],[Inert / Not a Contaminant?]]="Yes", 0, speciated_chemicals_187[[#This Row],[Weight Percent]]*(unique_components_186[[#Totals],[Controlled lb/hr]]+standard_components_185[[#Totals],[Controlled
lb/hr]]))</f>
        <v>0</v>
      </c>
      <c r="J161" s="51">
        <f>IF(speciated_chemicals_187[[#This Row],[Inert / Not a Contaminant?]]="Yes", 0, speciated_chemicals_187[[#This Row],[Weight Percent]]*(unique_components_186[[#Totals],[Controlled
tpy]]+standard_components_185[[#Totals],[Controlled
tpy]]))</f>
        <v>0</v>
      </c>
    </row>
    <row r="162" spans="1:10" x14ac:dyDescent="0.2">
      <c r="A162" s="103"/>
      <c r="B162" s="51" t="str">
        <f>IFERROR(VLOOKUP(speciated_chemicals_187[[#This Row],[CAS '#]],species[],MATCH("Substance", species[#Headers], 0),FALSE),"No CAS Number Entered")</f>
        <v>No CAS Number Entered</v>
      </c>
      <c r="C162" s="102"/>
      <c r="D162" s="102" t="s">
        <v>12666</v>
      </c>
      <c r="E162" s="102" t="s">
        <v>12666</v>
      </c>
      <c r="F162" s="102" t="s">
        <v>12666</v>
      </c>
      <c r="G162" s="102" t="s">
        <v>12666</v>
      </c>
      <c r="H162" s="164"/>
      <c r="I162" s="51">
        <f>IF(speciated_chemicals_187[[#This Row],[Inert / Not a Contaminant?]]="Yes", 0, speciated_chemicals_187[[#This Row],[Weight Percent]]*(unique_components_186[[#Totals],[Controlled lb/hr]]+standard_components_185[[#Totals],[Controlled
lb/hr]]))</f>
        <v>0</v>
      </c>
      <c r="J162" s="51">
        <f>IF(speciated_chemicals_187[[#This Row],[Inert / Not a Contaminant?]]="Yes", 0, speciated_chemicals_187[[#This Row],[Weight Percent]]*(unique_components_186[[#Totals],[Controlled
tpy]]+standard_components_185[[#Totals],[Controlled
tpy]]))</f>
        <v>0</v>
      </c>
    </row>
    <row r="163" spans="1:10" x14ac:dyDescent="0.2">
      <c r="A163" s="103"/>
      <c r="B163" s="51" t="str">
        <f>IFERROR(VLOOKUP(speciated_chemicals_187[[#This Row],[CAS '#]],species[],MATCH("Substance", species[#Headers], 0),FALSE),"No CAS Number Entered")</f>
        <v>No CAS Number Entered</v>
      </c>
      <c r="C163" s="102"/>
      <c r="D163" s="102" t="s">
        <v>12666</v>
      </c>
      <c r="E163" s="102" t="s">
        <v>12666</v>
      </c>
      <c r="F163" s="102" t="s">
        <v>12666</v>
      </c>
      <c r="G163" s="102" t="s">
        <v>12666</v>
      </c>
      <c r="H163" s="164"/>
      <c r="I163" s="51">
        <f>IF(speciated_chemicals_187[[#This Row],[Inert / Not a Contaminant?]]="Yes", 0, speciated_chemicals_187[[#This Row],[Weight Percent]]*(unique_components_186[[#Totals],[Controlled lb/hr]]+standard_components_185[[#Totals],[Controlled
lb/hr]]))</f>
        <v>0</v>
      </c>
      <c r="J163" s="51">
        <f>IF(speciated_chemicals_187[[#This Row],[Inert / Not a Contaminant?]]="Yes", 0, speciated_chemicals_187[[#This Row],[Weight Percent]]*(unique_components_186[[#Totals],[Controlled
tpy]]+standard_components_185[[#Totals],[Controlled
tpy]]))</f>
        <v>0</v>
      </c>
    </row>
    <row r="164" spans="1:10" x14ac:dyDescent="0.2">
      <c r="A164" s="103"/>
      <c r="B164" s="51" t="str">
        <f>IFERROR(VLOOKUP(speciated_chemicals_187[[#This Row],[CAS '#]],species[],MATCH("Substance", species[#Headers], 0),FALSE),"No CAS Number Entered")</f>
        <v>No CAS Number Entered</v>
      </c>
      <c r="C164" s="102"/>
      <c r="D164" s="102" t="s">
        <v>12666</v>
      </c>
      <c r="E164" s="102" t="s">
        <v>12666</v>
      </c>
      <c r="F164" s="102" t="s">
        <v>12666</v>
      </c>
      <c r="G164" s="102" t="s">
        <v>12666</v>
      </c>
      <c r="H164" s="164"/>
      <c r="I164" s="51">
        <f>IF(speciated_chemicals_187[[#This Row],[Inert / Not a Contaminant?]]="Yes", 0, speciated_chemicals_187[[#This Row],[Weight Percent]]*(unique_components_186[[#Totals],[Controlled lb/hr]]+standard_components_185[[#Totals],[Controlled
lb/hr]]))</f>
        <v>0</v>
      </c>
      <c r="J164" s="51">
        <f>IF(speciated_chemicals_187[[#This Row],[Inert / Not a Contaminant?]]="Yes", 0, speciated_chemicals_187[[#This Row],[Weight Percent]]*(unique_components_186[[#Totals],[Controlled
tpy]]+standard_components_185[[#Totals],[Controlled
tpy]]))</f>
        <v>0</v>
      </c>
    </row>
    <row r="165" spans="1:10" x14ac:dyDescent="0.2">
      <c r="A165" s="103"/>
      <c r="B165" s="51" t="str">
        <f>IFERROR(VLOOKUP(speciated_chemicals_187[[#This Row],[CAS '#]],species[],MATCH("Substance", species[#Headers], 0),FALSE),"No CAS Number Entered")</f>
        <v>No CAS Number Entered</v>
      </c>
      <c r="C165" s="102"/>
      <c r="D165" s="102" t="s">
        <v>12666</v>
      </c>
      <c r="E165" s="102" t="s">
        <v>12666</v>
      </c>
      <c r="F165" s="102" t="s">
        <v>12666</v>
      </c>
      <c r="G165" s="102" t="s">
        <v>12666</v>
      </c>
      <c r="H165" s="164"/>
      <c r="I165" s="51">
        <f>IF(speciated_chemicals_187[[#This Row],[Inert / Not a Contaminant?]]="Yes", 0, speciated_chemicals_187[[#This Row],[Weight Percent]]*(unique_components_186[[#Totals],[Controlled lb/hr]]+standard_components_185[[#Totals],[Controlled
lb/hr]]))</f>
        <v>0</v>
      </c>
      <c r="J165" s="51">
        <f>IF(speciated_chemicals_187[[#This Row],[Inert / Not a Contaminant?]]="Yes", 0, speciated_chemicals_187[[#This Row],[Weight Percent]]*(unique_components_186[[#Totals],[Controlled
tpy]]+standard_components_185[[#Totals],[Controlled
tpy]]))</f>
        <v>0</v>
      </c>
    </row>
    <row r="166" spans="1:10" x14ac:dyDescent="0.2">
      <c r="A166" s="103"/>
      <c r="B166" s="51" t="str">
        <f>IFERROR(VLOOKUP(speciated_chemicals_187[[#This Row],[CAS '#]],species[],MATCH("Substance", species[#Headers], 0),FALSE),"No CAS Number Entered")</f>
        <v>No CAS Number Entered</v>
      </c>
      <c r="C166" s="102"/>
      <c r="D166" s="102" t="s">
        <v>12666</v>
      </c>
      <c r="E166" s="102" t="s">
        <v>12666</v>
      </c>
      <c r="F166" s="102" t="s">
        <v>12666</v>
      </c>
      <c r="G166" s="102" t="s">
        <v>12666</v>
      </c>
      <c r="H166" s="164"/>
      <c r="I166" s="51">
        <f>IF(speciated_chemicals_187[[#This Row],[Inert / Not a Contaminant?]]="Yes", 0, speciated_chemicals_187[[#This Row],[Weight Percent]]*(unique_components_186[[#Totals],[Controlled lb/hr]]+standard_components_185[[#Totals],[Controlled
lb/hr]]))</f>
        <v>0</v>
      </c>
      <c r="J166" s="51">
        <f>IF(speciated_chemicals_187[[#This Row],[Inert / Not a Contaminant?]]="Yes", 0, speciated_chemicals_187[[#This Row],[Weight Percent]]*(unique_components_186[[#Totals],[Controlled
tpy]]+standard_components_185[[#Totals],[Controlled
tpy]]))</f>
        <v>0</v>
      </c>
    </row>
    <row r="167" spans="1:10" x14ac:dyDescent="0.2">
      <c r="A167" s="103"/>
      <c r="B167" s="51" t="str">
        <f>IFERROR(VLOOKUP(speciated_chemicals_187[[#This Row],[CAS '#]],species[],MATCH("Substance", species[#Headers], 0),FALSE),"No CAS Number Entered")</f>
        <v>No CAS Number Entered</v>
      </c>
      <c r="C167" s="102"/>
      <c r="D167" s="102" t="s">
        <v>12666</v>
      </c>
      <c r="E167" s="102" t="s">
        <v>12666</v>
      </c>
      <c r="F167" s="102" t="s">
        <v>12666</v>
      </c>
      <c r="G167" s="102" t="s">
        <v>12666</v>
      </c>
      <c r="H167" s="164"/>
      <c r="I167" s="51">
        <f>IF(speciated_chemicals_187[[#This Row],[Inert / Not a Contaminant?]]="Yes", 0, speciated_chemicals_187[[#This Row],[Weight Percent]]*(unique_components_186[[#Totals],[Controlled lb/hr]]+standard_components_185[[#Totals],[Controlled
lb/hr]]))</f>
        <v>0</v>
      </c>
      <c r="J167" s="51">
        <f>IF(speciated_chemicals_187[[#This Row],[Inert / Not a Contaminant?]]="Yes", 0, speciated_chemicals_187[[#This Row],[Weight Percent]]*(unique_components_186[[#Totals],[Controlled
tpy]]+standard_components_185[[#Totals],[Controlled
tpy]]))</f>
        <v>0</v>
      </c>
    </row>
    <row r="168" spans="1:10" x14ac:dyDescent="0.2">
      <c r="A168" s="103"/>
      <c r="B168" s="51" t="str">
        <f>IFERROR(VLOOKUP(speciated_chemicals_187[[#This Row],[CAS '#]],species[],MATCH("Substance", species[#Headers], 0),FALSE),"No CAS Number Entered")</f>
        <v>No CAS Number Entered</v>
      </c>
      <c r="C168" s="102"/>
      <c r="D168" s="102" t="s">
        <v>12666</v>
      </c>
      <c r="E168" s="102" t="s">
        <v>12666</v>
      </c>
      <c r="F168" s="102" t="s">
        <v>12666</v>
      </c>
      <c r="G168" s="102" t="s">
        <v>12666</v>
      </c>
      <c r="H168" s="164"/>
      <c r="I168" s="51">
        <f>IF(speciated_chemicals_187[[#This Row],[Inert / Not a Contaminant?]]="Yes", 0, speciated_chemicals_187[[#This Row],[Weight Percent]]*(unique_components_186[[#Totals],[Controlled lb/hr]]+standard_components_185[[#Totals],[Controlled
lb/hr]]))</f>
        <v>0</v>
      </c>
      <c r="J168" s="51">
        <f>IF(speciated_chemicals_187[[#This Row],[Inert / Not a Contaminant?]]="Yes", 0, speciated_chemicals_187[[#This Row],[Weight Percent]]*(unique_components_186[[#Totals],[Controlled
tpy]]+standard_components_185[[#Totals],[Controlled
tpy]]))</f>
        <v>0</v>
      </c>
    </row>
    <row r="169" spans="1:10" x14ac:dyDescent="0.2">
      <c r="A169" s="103"/>
      <c r="B169" s="51" t="str">
        <f>IFERROR(VLOOKUP(speciated_chemicals_187[[#This Row],[CAS '#]],species[],MATCH("Substance", species[#Headers], 0),FALSE),"No CAS Number Entered")</f>
        <v>No CAS Number Entered</v>
      </c>
      <c r="C169" s="102"/>
      <c r="D169" s="102" t="s">
        <v>12666</v>
      </c>
      <c r="E169" s="102" t="s">
        <v>12666</v>
      </c>
      <c r="F169" s="102" t="s">
        <v>12666</v>
      </c>
      <c r="G169" s="102" t="s">
        <v>12666</v>
      </c>
      <c r="H169" s="164"/>
      <c r="I169" s="51">
        <f>IF(speciated_chemicals_187[[#This Row],[Inert / Not a Contaminant?]]="Yes", 0, speciated_chemicals_187[[#This Row],[Weight Percent]]*(unique_components_186[[#Totals],[Controlled lb/hr]]+standard_components_185[[#Totals],[Controlled
lb/hr]]))</f>
        <v>0</v>
      </c>
      <c r="J169" s="51">
        <f>IF(speciated_chemicals_187[[#This Row],[Inert / Not a Contaminant?]]="Yes", 0, speciated_chemicals_187[[#This Row],[Weight Percent]]*(unique_components_186[[#Totals],[Controlled
tpy]]+standard_components_185[[#Totals],[Controlled
tpy]]))</f>
        <v>0</v>
      </c>
    </row>
    <row r="170" spans="1:10" x14ac:dyDescent="0.2">
      <c r="A170" s="103"/>
      <c r="B170" s="51" t="str">
        <f>IFERROR(VLOOKUP(speciated_chemicals_187[[#This Row],[CAS '#]],species[],MATCH("Substance", species[#Headers], 0),FALSE),"No CAS Number Entered")</f>
        <v>No CAS Number Entered</v>
      </c>
      <c r="C170" s="102"/>
      <c r="D170" s="102" t="s">
        <v>12666</v>
      </c>
      <c r="E170" s="102" t="s">
        <v>12666</v>
      </c>
      <c r="F170" s="102" t="s">
        <v>12666</v>
      </c>
      <c r="G170" s="102" t="s">
        <v>12666</v>
      </c>
      <c r="H170" s="164"/>
      <c r="I170" s="51">
        <f>IF(speciated_chemicals_187[[#This Row],[Inert / Not a Contaminant?]]="Yes", 0, speciated_chemicals_187[[#This Row],[Weight Percent]]*(unique_components_186[[#Totals],[Controlled lb/hr]]+standard_components_185[[#Totals],[Controlled
lb/hr]]))</f>
        <v>0</v>
      </c>
      <c r="J170" s="51">
        <f>IF(speciated_chemicals_187[[#This Row],[Inert / Not a Contaminant?]]="Yes", 0, speciated_chemicals_187[[#This Row],[Weight Percent]]*(unique_components_186[[#Totals],[Controlled
tpy]]+standard_components_185[[#Totals],[Controlled
tpy]]))</f>
        <v>0</v>
      </c>
    </row>
    <row r="171" spans="1:10" x14ac:dyDescent="0.2">
      <c r="A171" s="103"/>
      <c r="B171" s="51" t="str">
        <f>IFERROR(VLOOKUP(speciated_chemicals_187[[#This Row],[CAS '#]],species[],MATCH("Substance", species[#Headers], 0),FALSE),"No CAS Number Entered")</f>
        <v>No CAS Number Entered</v>
      </c>
      <c r="C171" s="102"/>
      <c r="D171" s="102" t="s">
        <v>12666</v>
      </c>
      <c r="E171" s="102" t="s">
        <v>12666</v>
      </c>
      <c r="F171" s="102" t="s">
        <v>12666</v>
      </c>
      <c r="G171" s="102" t="s">
        <v>12666</v>
      </c>
      <c r="H171" s="164"/>
      <c r="I171" s="51">
        <f>IF(speciated_chemicals_187[[#This Row],[Inert / Not a Contaminant?]]="Yes", 0, speciated_chemicals_187[[#This Row],[Weight Percent]]*(unique_components_186[[#Totals],[Controlled lb/hr]]+standard_components_185[[#Totals],[Controlled
lb/hr]]))</f>
        <v>0</v>
      </c>
      <c r="J171" s="51">
        <f>IF(speciated_chemicals_187[[#This Row],[Inert / Not a Contaminant?]]="Yes", 0, speciated_chemicals_187[[#This Row],[Weight Percent]]*(unique_components_186[[#Totals],[Controlled
tpy]]+standard_components_185[[#Totals],[Controlled
tpy]]))</f>
        <v>0</v>
      </c>
    </row>
    <row r="172" spans="1:10" x14ac:dyDescent="0.2">
      <c r="A172" s="103"/>
      <c r="B172" s="51" t="str">
        <f>IFERROR(VLOOKUP(speciated_chemicals_187[[#This Row],[CAS '#]],species[],MATCH("Substance", species[#Headers], 0),FALSE),"No CAS Number Entered")</f>
        <v>No CAS Number Entered</v>
      </c>
      <c r="C172" s="102"/>
      <c r="D172" s="102" t="s">
        <v>12666</v>
      </c>
      <c r="E172" s="102" t="s">
        <v>12666</v>
      </c>
      <c r="F172" s="102" t="s">
        <v>12666</v>
      </c>
      <c r="G172" s="102" t="s">
        <v>12666</v>
      </c>
      <c r="H172" s="164"/>
      <c r="I172" s="51">
        <f>IF(speciated_chemicals_187[[#This Row],[Inert / Not a Contaminant?]]="Yes", 0, speciated_chemicals_187[[#This Row],[Weight Percent]]*(unique_components_186[[#Totals],[Controlled lb/hr]]+standard_components_185[[#Totals],[Controlled
lb/hr]]))</f>
        <v>0</v>
      </c>
      <c r="J172" s="51">
        <f>IF(speciated_chemicals_187[[#This Row],[Inert / Not a Contaminant?]]="Yes", 0, speciated_chemicals_187[[#This Row],[Weight Percent]]*(unique_components_186[[#Totals],[Controlled
tpy]]+standard_components_185[[#Totals],[Controlled
tpy]]))</f>
        <v>0</v>
      </c>
    </row>
    <row r="173" spans="1:10" x14ac:dyDescent="0.2">
      <c r="A173" s="103"/>
      <c r="B173" s="51" t="str">
        <f>IFERROR(VLOOKUP(speciated_chemicals_187[[#This Row],[CAS '#]],species[],MATCH("Substance", species[#Headers], 0),FALSE),"No CAS Number Entered")</f>
        <v>No CAS Number Entered</v>
      </c>
      <c r="C173" s="102"/>
      <c r="D173" s="102" t="s">
        <v>12666</v>
      </c>
      <c r="E173" s="102" t="s">
        <v>12666</v>
      </c>
      <c r="F173" s="102" t="s">
        <v>12666</v>
      </c>
      <c r="G173" s="102" t="s">
        <v>12666</v>
      </c>
      <c r="H173" s="164"/>
      <c r="I173" s="51">
        <f>IF(speciated_chemicals_187[[#This Row],[Inert / Not a Contaminant?]]="Yes", 0, speciated_chemicals_187[[#This Row],[Weight Percent]]*(unique_components_186[[#Totals],[Controlled lb/hr]]+standard_components_185[[#Totals],[Controlled
lb/hr]]))</f>
        <v>0</v>
      </c>
      <c r="J173" s="51">
        <f>IF(speciated_chemicals_187[[#This Row],[Inert / Not a Contaminant?]]="Yes", 0, speciated_chemicals_187[[#This Row],[Weight Percent]]*(unique_components_186[[#Totals],[Controlled
tpy]]+standard_components_185[[#Totals],[Controlled
tpy]]))</f>
        <v>0</v>
      </c>
    </row>
    <row r="174" spans="1:10" x14ac:dyDescent="0.2">
      <c r="A174" s="103"/>
      <c r="B174" s="51" t="str">
        <f>IFERROR(VLOOKUP(speciated_chemicals_187[[#This Row],[CAS '#]],species[],MATCH("Substance", species[#Headers], 0),FALSE),"No CAS Number Entered")</f>
        <v>No CAS Number Entered</v>
      </c>
      <c r="C174" s="102"/>
      <c r="D174" s="102" t="s">
        <v>12666</v>
      </c>
      <c r="E174" s="102" t="s">
        <v>12666</v>
      </c>
      <c r="F174" s="102" t="s">
        <v>12666</v>
      </c>
      <c r="G174" s="102" t="s">
        <v>12666</v>
      </c>
      <c r="H174" s="164"/>
      <c r="I174" s="51">
        <f>IF(speciated_chemicals_187[[#This Row],[Inert / Not a Contaminant?]]="Yes", 0, speciated_chemicals_187[[#This Row],[Weight Percent]]*(unique_components_186[[#Totals],[Controlled lb/hr]]+standard_components_185[[#Totals],[Controlled
lb/hr]]))</f>
        <v>0</v>
      </c>
      <c r="J174" s="51">
        <f>IF(speciated_chemicals_187[[#This Row],[Inert / Not a Contaminant?]]="Yes", 0, speciated_chemicals_187[[#This Row],[Weight Percent]]*(unique_components_186[[#Totals],[Controlled
tpy]]+standard_components_185[[#Totals],[Controlled
tpy]]))</f>
        <v>0</v>
      </c>
    </row>
    <row r="175" spans="1:10" x14ac:dyDescent="0.2">
      <c r="A175" s="103"/>
      <c r="B175" s="51" t="str">
        <f>IFERROR(VLOOKUP(speciated_chemicals_187[[#This Row],[CAS '#]],species[],MATCH("Substance", species[#Headers], 0),FALSE),"No CAS Number Entered")</f>
        <v>No CAS Number Entered</v>
      </c>
      <c r="C175" s="102"/>
      <c r="D175" s="102" t="s">
        <v>12666</v>
      </c>
      <c r="E175" s="102" t="s">
        <v>12666</v>
      </c>
      <c r="F175" s="102" t="s">
        <v>12666</v>
      </c>
      <c r="G175" s="102" t="s">
        <v>12666</v>
      </c>
      <c r="H175" s="164"/>
      <c r="I175" s="51">
        <f>IF(speciated_chemicals_187[[#This Row],[Inert / Not a Contaminant?]]="Yes", 0, speciated_chemicals_187[[#This Row],[Weight Percent]]*(unique_components_186[[#Totals],[Controlled lb/hr]]+standard_components_185[[#Totals],[Controlled
lb/hr]]))</f>
        <v>0</v>
      </c>
      <c r="J175" s="51">
        <f>IF(speciated_chemicals_187[[#This Row],[Inert / Not a Contaminant?]]="Yes", 0, speciated_chemicals_187[[#This Row],[Weight Percent]]*(unique_components_186[[#Totals],[Controlled
tpy]]+standard_components_185[[#Totals],[Controlled
tpy]]))</f>
        <v>0</v>
      </c>
    </row>
    <row r="176" spans="1:10" x14ac:dyDescent="0.2">
      <c r="A176" s="165"/>
      <c r="B176" s="51" t="str">
        <f>IFERROR(VLOOKUP(speciated_chemicals_187[[#This Row],[CAS '#]],species[],MATCH("Substance", species[#Headers], 0),FALSE),"No CAS Number Entered")</f>
        <v>No CAS Number Entered</v>
      </c>
      <c r="C176" s="102"/>
      <c r="D176" s="102" t="s">
        <v>12666</v>
      </c>
      <c r="E176" s="102" t="s">
        <v>12666</v>
      </c>
      <c r="F176" s="102" t="s">
        <v>12666</v>
      </c>
      <c r="G176" s="102" t="s">
        <v>12666</v>
      </c>
      <c r="H176" s="164"/>
      <c r="I176" s="51">
        <f>IF(speciated_chemicals_187[[#This Row],[Inert / Not a Contaminant?]]="Yes", 0, speciated_chemicals_187[[#This Row],[Weight Percent]]*(unique_components_186[[#Totals],[Controlled lb/hr]]+standard_components_185[[#Totals],[Controlled
lb/hr]]))</f>
        <v>0</v>
      </c>
      <c r="J176" s="51">
        <f>IF(speciated_chemicals_187[[#This Row],[Inert / Not a Contaminant?]]="Yes", 0, speciated_chemicals_187[[#This Row],[Weight Percent]]*(unique_components_186[[#Totals],[Controlled
tpy]]+standard_components_185[[#Totals],[Controlled
tpy]]))</f>
        <v>0</v>
      </c>
    </row>
    <row r="177" spans="1:10" x14ac:dyDescent="0.2">
      <c r="A177" s="103"/>
      <c r="B177" s="51" t="str">
        <f>IFERROR(VLOOKUP(speciated_chemicals_187[[#This Row],[CAS '#]],species[],MATCH("Substance", species[#Headers], 0),FALSE),"No CAS Number Entered")</f>
        <v>No CAS Number Entered</v>
      </c>
      <c r="C177" s="102"/>
      <c r="D177" s="102" t="s">
        <v>12666</v>
      </c>
      <c r="E177" s="102" t="s">
        <v>12666</v>
      </c>
      <c r="F177" s="102" t="s">
        <v>12666</v>
      </c>
      <c r="G177" s="102" t="s">
        <v>12666</v>
      </c>
      <c r="H177" s="164"/>
      <c r="I177" s="51">
        <f>IF(speciated_chemicals_187[[#This Row],[Inert / Not a Contaminant?]]="Yes", 0, speciated_chemicals_187[[#This Row],[Weight Percent]]*(unique_components_186[[#Totals],[Controlled lb/hr]]+standard_components_185[[#Totals],[Controlled
lb/hr]]))</f>
        <v>0</v>
      </c>
      <c r="J177" s="51">
        <f>IF(speciated_chemicals_187[[#This Row],[Inert / Not a Contaminant?]]="Yes", 0, speciated_chemicals_187[[#This Row],[Weight Percent]]*(unique_components_186[[#Totals],[Controlled
tpy]]+standard_components_185[[#Totals],[Controlled
tpy]]))</f>
        <v>0</v>
      </c>
    </row>
    <row r="178" spans="1:10" x14ac:dyDescent="0.2">
      <c r="A178" s="103"/>
      <c r="B178" s="51" t="str">
        <f>IFERROR(VLOOKUP(speciated_chemicals_187[[#This Row],[CAS '#]],species[],MATCH("Substance", species[#Headers], 0),FALSE),"No CAS Number Entered")</f>
        <v>No CAS Number Entered</v>
      </c>
      <c r="C178" s="102"/>
      <c r="D178" s="102" t="s">
        <v>12666</v>
      </c>
      <c r="E178" s="102" t="s">
        <v>12666</v>
      </c>
      <c r="F178" s="102" t="s">
        <v>12666</v>
      </c>
      <c r="G178" s="102" t="s">
        <v>12666</v>
      </c>
      <c r="H178" s="164"/>
      <c r="I178" s="51">
        <f>IF(speciated_chemicals_187[[#This Row],[Inert / Not a Contaminant?]]="Yes", 0, speciated_chemicals_187[[#This Row],[Weight Percent]]*(unique_components_186[[#Totals],[Controlled lb/hr]]+standard_components_185[[#Totals],[Controlled
lb/hr]]))</f>
        <v>0</v>
      </c>
      <c r="J178" s="51">
        <f>IF(speciated_chemicals_187[[#This Row],[Inert / Not a Contaminant?]]="Yes", 0, speciated_chemicals_187[[#This Row],[Weight Percent]]*(unique_components_186[[#Totals],[Controlled
tpy]]+standard_components_185[[#Totals],[Controlled
tpy]]))</f>
        <v>0</v>
      </c>
    </row>
    <row r="179" spans="1:10" x14ac:dyDescent="0.2">
      <c r="A179" s="103"/>
      <c r="B179" s="51" t="str">
        <f>IFERROR(VLOOKUP(speciated_chemicals_187[[#This Row],[CAS '#]],species[],MATCH("Substance", species[#Headers], 0),FALSE),"No CAS Number Entered")</f>
        <v>No CAS Number Entered</v>
      </c>
      <c r="C179" s="102"/>
      <c r="D179" s="102" t="s">
        <v>12666</v>
      </c>
      <c r="E179" s="102" t="s">
        <v>12666</v>
      </c>
      <c r="F179" s="102" t="s">
        <v>12666</v>
      </c>
      <c r="G179" s="102" t="s">
        <v>12666</v>
      </c>
      <c r="H179" s="164"/>
      <c r="I179" s="51">
        <f>IF(speciated_chemicals_187[[#This Row],[Inert / Not a Contaminant?]]="Yes", 0, speciated_chemicals_187[[#This Row],[Weight Percent]]*(unique_components_186[[#Totals],[Controlled lb/hr]]+standard_components_185[[#Totals],[Controlled
lb/hr]]))</f>
        <v>0</v>
      </c>
      <c r="J179" s="51">
        <f>IF(speciated_chemicals_187[[#This Row],[Inert / Not a Contaminant?]]="Yes", 0, speciated_chemicals_187[[#This Row],[Weight Percent]]*(unique_components_186[[#Totals],[Controlled
tpy]]+standard_components_185[[#Totals],[Controlled
tpy]]))</f>
        <v>0</v>
      </c>
    </row>
    <row r="180" spans="1:10" x14ac:dyDescent="0.2">
      <c r="A180" s="103"/>
      <c r="B180" s="51" t="str">
        <f>IFERROR(VLOOKUP(speciated_chemicals_187[[#This Row],[CAS '#]],species[],MATCH("Substance", species[#Headers], 0),FALSE),"No CAS Number Entered")</f>
        <v>No CAS Number Entered</v>
      </c>
      <c r="C180" s="102"/>
      <c r="D180" s="102" t="s">
        <v>12666</v>
      </c>
      <c r="E180" s="102" t="s">
        <v>12666</v>
      </c>
      <c r="F180" s="102" t="s">
        <v>12666</v>
      </c>
      <c r="G180" s="102" t="s">
        <v>12666</v>
      </c>
      <c r="H180" s="164"/>
      <c r="I180" s="51">
        <f>IF(speciated_chemicals_187[[#This Row],[Inert / Not a Contaminant?]]="Yes", 0, speciated_chemicals_187[[#This Row],[Weight Percent]]*(unique_components_186[[#Totals],[Controlled lb/hr]]+standard_components_185[[#Totals],[Controlled
lb/hr]]))</f>
        <v>0</v>
      </c>
      <c r="J180" s="51">
        <f>IF(speciated_chemicals_187[[#This Row],[Inert / Not a Contaminant?]]="Yes", 0, speciated_chemicals_187[[#This Row],[Weight Percent]]*(unique_components_186[[#Totals],[Controlled
tpy]]+standard_components_185[[#Totals],[Controlled
tpy]]))</f>
        <v>0</v>
      </c>
    </row>
    <row r="181" spans="1:10" ht="30" x14ac:dyDescent="0.2">
      <c r="A181" s="184" t="s">
        <v>12705</v>
      </c>
      <c r="B181" s="52"/>
      <c r="C181" s="53"/>
      <c r="D181" s="52"/>
      <c r="E181" s="52"/>
      <c r="F181" s="52"/>
      <c r="G181" s="52"/>
      <c r="H181" s="166">
        <f>SUBTOTAL(109,speciated_chemicals_187[Weight Percent])</f>
        <v>0</v>
      </c>
      <c r="I181" s="167">
        <f>SUBTOTAL(109,speciated_chemicals_187[lb/hr])</f>
        <v>0</v>
      </c>
      <c r="J181" s="167">
        <f>SUBTOTAL(109,speciated_chemicals_187[tpy])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MATCH(speciated_ghg_188[[#This Row],[CAS '#]], gwp_table[CAS No.], 0), MATCH("Name", gwp_table[#Headers], 0)),"No CAS Number Entered")</f>
        <v>No CAS Number Entered</v>
      </c>
      <c r="C185" s="79" t="str">
        <f>IFERROR(INDEX(gwp_table[], MATCH(speciated_ghg_188[[#This Row],[CAS '#]], gwp_table[CAS No.], 0), MATCH("Global warming potential", gwp_table[#Headers], 0)),"No CAS Number Entered")</f>
        <v>No CAS Number Entered</v>
      </c>
      <c r="D185" s="219"/>
      <c r="E185" s="79">
        <f>IFERROR(speciated_ghg_188[[#This Row],[Weight Percent]]*(unique_components_186[[#Totals],[Controlled
tpy]]+standard_components_185[[#Totals],[Controlled
tpy]]), "-")</f>
        <v>0</v>
      </c>
      <c r="F185" s="81" t="str">
        <f>IFERROR(speciated_ghg_188[[#This Row],[Mass Emissions (U.S. tons per year)]]*speciated_ghg_188[[#This Row],[Global Warming Potential (GWP)]], "-")</f>
        <v>-</v>
      </c>
      <c r="G185" s="30"/>
      <c r="H185" s="168"/>
      <c r="I185" s="168"/>
    </row>
    <row r="186" spans="1:10" x14ac:dyDescent="0.2">
      <c r="A186" s="210"/>
      <c r="B186" s="79" t="str">
        <f>IFERROR(INDEX(gwp_table[], MATCH(speciated_ghg_188[[#This Row],[CAS '#]], gwp_table[CAS No.], 0), MATCH("Name", gwp_table[#Headers], 0)),"No CAS Number Entered")</f>
        <v>No CAS Number Entered</v>
      </c>
      <c r="C186" s="79" t="str">
        <f>IFERROR(INDEX(gwp_table[], MATCH(speciated_ghg_188[[#This Row],[CAS '#]], gwp_table[CAS No.], 0), MATCH("Global warming potential", gwp_table[#Headers], 0)),"No CAS Number Entered")</f>
        <v>No CAS Number Entered</v>
      </c>
      <c r="D186" s="219"/>
      <c r="E186" s="79">
        <f>IFERROR(speciated_ghg_188[[#This Row],[Weight Percent]]*(unique_components_186[[#Totals],[Controlled
tpy]]+standard_components_185[[#Totals],[Controlled
tpy]]), "-")</f>
        <v>0</v>
      </c>
      <c r="F186" s="81" t="str">
        <f>IFERROR(speciated_ghg_188[[#This Row],[Mass Emissions (U.S. tons per year)]]*speciated_ghg_188[[#This Row],[Global Warming Potential (GWP)]], "-")</f>
        <v>-</v>
      </c>
      <c r="G186" s="30"/>
      <c r="H186" s="168"/>
      <c r="I186" s="168"/>
    </row>
    <row r="187" spans="1:10" x14ac:dyDescent="0.2">
      <c r="A187" s="210"/>
      <c r="B187" s="79" t="str">
        <f>IFERROR(INDEX(gwp_table[], MATCH(speciated_ghg_188[[#This Row],[CAS '#]], gwp_table[CAS No.], 0), MATCH("Name", gwp_table[#Headers], 0)),"No CAS Number Entered")</f>
        <v>No CAS Number Entered</v>
      </c>
      <c r="C187" s="79" t="str">
        <f>IFERROR(INDEX(gwp_table[], MATCH(speciated_ghg_188[[#This Row],[CAS '#]], gwp_table[CAS No.], 0), MATCH("Global warming potential", gwp_table[#Headers], 0)),"No CAS Number Entered")</f>
        <v>No CAS Number Entered</v>
      </c>
      <c r="D187" s="219"/>
      <c r="E187" s="79">
        <f>IFERROR(speciated_ghg_188[[#This Row],[Weight Percent]]*(unique_components_186[[#Totals],[Controlled
tpy]]+standard_components_185[[#Totals],[Controlled
tpy]]), "-")</f>
        <v>0</v>
      </c>
      <c r="F187" s="81" t="str">
        <f>IFERROR(speciated_ghg_188[[#This Row],[Mass Emissions (U.S. tons per year)]]*speciated_ghg_188[[#This Row],[Global Warming Potential (GWP)]], "-")</f>
        <v>-</v>
      </c>
      <c r="G187" s="30"/>
      <c r="H187" s="168"/>
      <c r="I187" s="168"/>
    </row>
    <row r="188" spans="1:10" x14ac:dyDescent="0.2">
      <c r="A188" s="210"/>
      <c r="B188" s="79" t="str">
        <f>IFERROR(INDEX(gwp_table[], MATCH(speciated_ghg_188[[#This Row],[CAS '#]], gwp_table[CAS No.], 0), MATCH("Name", gwp_table[#Headers], 0)),"No CAS Number Entered")</f>
        <v>No CAS Number Entered</v>
      </c>
      <c r="C188" s="79" t="str">
        <f>IFERROR(INDEX(gwp_table[], MATCH(speciated_ghg_188[[#This Row],[CAS '#]], gwp_table[CAS No.], 0), MATCH("Global warming potential", gwp_table[#Headers], 0)),"No CAS Number Entered")</f>
        <v>No CAS Number Entered</v>
      </c>
      <c r="D188" s="219"/>
      <c r="E188" s="79">
        <f>IFERROR(speciated_ghg_188[[#This Row],[Weight Percent]]*(unique_components_186[[#Totals],[Controlled
tpy]]+standard_components_185[[#Totals],[Controlled
tpy]]), "-")</f>
        <v>0</v>
      </c>
      <c r="F188" s="81" t="str">
        <f>IFERROR(speciated_ghg_188[[#This Row],[Mass Emissions (U.S. tons per year)]]*speciated_ghg_188[[#This Row],[Global Warming Potential (GWP)]], "-")</f>
        <v>-</v>
      </c>
      <c r="G188" s="30"/>
      <c r="H188" s="168"/>
      <c r="I188" s="168"/>
    </row>
    <row r="189" spans="1:10" x14ac:dyDescent="0.2">
      <c r="A189" s="210"/>
      <c r="B189" s="79" t="str">
        <f>IFERROR(INDEX(gwp_table[], MATCH(speciated_ghg_188[[#This Row],[CAS '#]], gwp_table[CAS No.], 0), MATCH("Name", gwp_table[#Headers], 0)),"No CAS Number Entered")</f>
        <v>No CAS Number Entered</v>
      </c>
      <c r="C189" s="79" t="str">
        <f>IFERROR(INDEX(gwp_table[], MATCH(speciated_ghg_188[[#This Row],[CAS '#]], gwp_table[CAS No.], 0), MATCH("Global warming potential", gwp_table[#Headers], 0)),"No CAS Number Entered")</f>
        <v>No CAS Number Entered</v>
      </c>
      <c r="D189" s="219"/>
      <c r="E189" s="79">
        <f>IFERROR(speciated_ghg_188[[#This Row],[Weight Percent]]*(unique_components_186[[#Totals],[Controlled
tpy]]+standard_components_185[[#Totals],[Controlled
tpy]]), "-")</f>
        <v>0</v>
      </c>
      <c r="F189" s="81" t="str">
        <f>IFERROR(speciated_ghg_188[[#This Row],[Mass Emissions (U.S. tons per year)]]*speciated_ghg_188[[#This Row],[Global Warming Potential (GWP)]], "-")</f>
        <v>-</v>
      </c>
      <c r="G189" s="30"/>
      <c r="H189" s="168"/>
      <c r="I189" s="168"/>
    </row>
    <row r="190" spans="1:10" x14ac:dyDescent="0.2">
      <c r="A190" s="210"/>
      <c r="B190" s="79" t="str">
        <f>IFERROR(INDEX(gwp_table[], MATCH(speciated_ghg_188[[#This Row],[CAS '#]], gwp_table[CAS No.], 0), MATCH("Name", gwp_table[#Headers], 0)),"No CAS Number Entered")</f>
        <v>No CAS Number Entered</v>
      </c>
      <c r="C190" s="79" t="str">
        <f>IFERROR(INDEX(gwp_table[], MATCH(speciated_ghg_188[[#This Row],[CAS '#]], gwp_table[CAS No.], 0), MATCH("Global warming potential", gwp_table[#Headers], 0)),"No CAS Number Entered")</f>
        <v>No CAS Number Entered</v>
      </c>
      <c r="D190" s="219"/>
      <c r="E190" s="79">
        <f>IFERROR(speciated_ghg_188[[#This Row],[Weight Percent]]*(unique_components_186[[#Totals],[Controlled
tpy]]+standard_components_185[[#Totals],[Controlled
tpy]]), "-")</f>
        <v>0</v>
      </c>
      <c r="F190" s="81" t="str">
        <f>IFERROR(speciated_ghg_188[[#This Row],[Mass Emissions (U.S. tons per year)]]*speciated_ghg_188[[#This Row],[Global Warming Potential (GWP)]], "-")</f>
        <v>-</v>
      </c>
      <c r="G190" s="30"/>
      <c r="H190" s="168"/>
      <c r="I190" s="168"/>
    </row>
    <row r="191" spans="1:10" x14ac:dyDescent="0.2">
      <c r="A191" s="210"/>
      <c r="B191" s="79" t="str">
        <f>IFERROR(INDEX(gwp_table[], MATCH(speciated_ghg_188[[#This Row],[CAS '#]], gwp_table[CAS No.], 0), MATCH("Name", gwp_table[#Headers], 0)),"No CAS Number Entered")</f>
        <v>No CAS Number Entered</v>
      </c>
      <c r="C191" s="79" t="str">
        <f>IFERROR(INDEX(gwp_table[], MATCH(speciated_ghg_188[[#This Row],[CAS '#]], gwp_table[CAS No.], 0), MATCH("Global warming potential", gwp_table[#Headers], 0)),"No CAS Number Entered")</f>
        <v>No CAS Number Entered</v>
      </c>
      <c r="D191" s="219"/>
      <c r="E191" s="79">
        <f>IFERROR(speciated_ghg_188[[#This Row],[Weight Percent]]*(unique_components_186[[#Totals],[Controlled
tpy]]+standard_components_185[[#Totals],[Controlled
tpy]]), "-")</f>
        <v>0</v>
      </c>
      <c r="F191" s="81" t="str">
        <f>IFERROR(speciated_ghg_188[[#This Row],[Mass Emissions (U.S. tons per year)]]*speciated_ghg_188[[#This Row],[Global Warming Potential (GWP)]], "-")</f>
        <v>-</v>
      </c>
      <c r="G191" s="17"/>
    </row>
    <row r="192" spans="1:10" ht="15" x14ac:dyDescent="0.25">
      <c r="A192" s="210"/>
      <c r="B192" s="79" t="str">
        <f>IFERROR(INDEX(gwp_table[], MATCH(speciated_ghg_188[[#This Row],[CAS '#]], gwp_table[CAS No.], 0), MATCH("Name", gwp_table[#Headers], 0)),"No CAS Number Entered")</f>
        <v>No CAS Number Entered</v>
      </c>
      <c r="C192" s="79" t="str">
        <f>IFERROR(INDEX(gwp_table[], MATCH(speciated_ghg_188[[#This Row],[CAS '#]], gwp_table[CAS No.], 0), MATCH("Global warming potential", gwp_table[#Headers], 0)),"No CAS Number Entered")</f>
        <v>No CAS Number Entered</v>
      </c>
      <c r="D192" s="219"/>
      <c r="E192" s="79">
        <f>IFERROR(speciated_ghg_188[[#This Row],[Weight Percent]]*(unique_components_186[[#Totals],[Controlled
tpy]]+standard_components_185[[#Totals],[Controlled
tpy]]), "-")</f>
        <v>0</v>
      </c>
      <c r="F192" s="81" t="str">
        <f>IFERROR(speciated_ghg_188[[#This Row],[Mass Emissions (U.S. tons per year)]]*speciated_ghg_188[[#This Row],[Global Warming Potential (GWP)]], "-")</f>
        <v>-</v>
      </c>
      <c r="G192" s="134"/>
      <c r="H192" s="169"/>
    </row>
    <row r="193" spans="1:9" ht="15" x14ac:dyDescent="0.25">
      <c r="A193" s="210"/>
      <c r="B193" s="79" t="str">
        <f>IFERROR(INDEX(gwp_table[], MATCH(speciated_ghg_188[[#This Row],[CAS '#]], gwp_table[CAS No.], 0), MATCH("Name", gwp_table[#Headers], 0)),"No CAS Number Entered")</f>
        <v>No CAS Number Entered</v>
      </c>
      <c r="C193" s="79" t="str">
        <f>IFERROR(INDEX(gwp_table[], MATCH(speciated_ghg_188[[#This Row],[CAS '#]], gwp_table[CAS No.], 0), MATCH("Global warming potential", gwp_table[#Headers], 0)),"No CAS Number Entered")</f>
        <v>No CAS Number Entered</v>
      </c>
      <c r="D193" s="219"/>
      <c r="E193" s="79">
        <f>IFERROR(speciated_ghg_188[[#This Row],[Weight Percent]]*(unique_components_186[[#Totals],[Controlled
tpy]]+standard_components_185[[#Totals],[Controlled
tpy]]), "-")</f>
        <v>0</v>
      </c>
      <c r="F193" s="81" t="str">
        <f>IFERROR(speciated_ghg_188[[#This Row],[Mass Emissions (U.S. tons per year)]]*speciated_ghg_188[[#This Row],[Global Warming Potential (GWP)]], "-")</f>
        <v>-</v>
      </c>
      <c r="G193" s="134"/>
      <c r="H193" s="169"/>
    </row>
    <row r="194" spans="1:9" ht="15" x14ac:dyDescent="0.25">
      <c r="A194" s="210"/>
      <c r="B194" s="79" t="str">
        <f>IFERROR(INDEX(gwp_table[], MATCH(speciated_ghg_188[[#This Row],[CAS '#]], gwp_table[CAS No.], 0), MATCH("Name", gwp_table[#Headers], 0)),"No CAS Number Entered")</f>
        <v>No CAS Number Entered</v>
      </c>
      <c r="C194" s="79" t="str">
        <f>IFERROR(INDEX(gwp_table[], MATCH(speciated_ghg_188[[#This Row],[CAS '#]], gwp_table[CAS No.], 0), MATCH("Global warming potential", gwp_table[#Headers], 0)),"No CAS Number Entered")</f>
        <v>No CAS Number Entered</v>
      </c>
      <c r="D194" s="219"/>
      <c r="E194" s="79">
        <f>IFERROR(speciated_ghg_188[[#This Row],[Weight Percent]]*(unique_components_186[[#Totals],[Controlled
tpy]]+standard_components_185[[#Totals],[Controlled
tpy]]), "-")</f>
        <v>0</v>
      </c>
      <c r="F194" s="81" t="str">
        <f>IFERROR(speciated_ghg_188[[#This Row],[Mass Emissions (U.S. tons per year)]]*speciated_ghg_188[[#This Row],[Global Warming Potential (GWP)]], "-")</f>
        <v>-</v>
      </c>
      <c r="G194" s="134"/>
      <c r="H194" s="169"/>
    </row>
    <row r="195" spans="1:9" x14ac:dyDescent="0.2">
      <c r="A195" s="210"/>
      <c r="B195" s="79" t="str">
        <f>IFERROR(INDEX(gwp_table[], MATCH(speciated_ghg_188[[#This Row],[CAS '#]], gwp_table[CAS No.], 0), MATCH("Name", gwp_table[#Headers], 0)),"No CAS Number Entered")</f>
        <v>No CAS Number Entered</v>
      </c>
      <c r="C195" s="79" t="str">
        <f>IFERROR(INDEX(gwp_table[], MATCH(speciated_ghg_188[[#This Row],[CAS '#]], gwp_table[CAS No.], 0), MATCH("Global warming potential", gwp_table[#Headers], 0)),"No CAS Number Entered")</f>
        <v>No CAS Number Entered</v>
      </c>
      <c r="D195" s="219"/>
      <c r="E195" s="79">
        <f>IFERROR(speciated_ghg_188[[#This Row],[Weight Percent]]*(unique_components_186[[#Totals],[Controlled
tpy]]+standard_components_185[[#Totals],[Controlled
tpy]]), "-")</f>
        <v>0</v>
      </c>
      <c r="F195" s="81" t="str">
        <f>IFERROR(speciated_ghg_188[[#This Row],[Mass Emissions (U.S. tons per year)]]*speciated_ghg_188[[#This Row],[Global Warming Potential (GWP)]], "-")</f>
        <v>-</v>
      </c>
      <c r="G195" s="69"/>
      <c r="H195" s="169"/>
    </row>
    <row r="196" spans="1:9" x14ac:dyDescent="0.2">
      <c r="A196" s="210"/>
      <c r="B196" s="79" t="str">
        <f>IFERROR(INDEX(gwp_table[], MATCH(speciated_ghg_188[[#This Row],[CAS '#]], gwp_table[CAS No.], 0), MATCH("Name", gwp_table[#Headers], 0)),"No CAS Number Entered")</f>
        <v>No CAS Number Entered</v>
      </c>
      <c r="C196" s="79" t="str">
        <f>IFERROR(INDEX(gwp_table[], MATCH(speciated_ghg_188[[#This Row],[CAS '#]], gwp_table[CAS No.], 0), MATCH("Global warming potential", gwp_table[#Headers], 0)),"No CAS Number Entered")</f>
        <v>No CAS Number Entered</v>
      </c>
      <c r="D196" s="219"/>
      <c r="E196" s="79">
        <f>IFERROR(speciated_ghg_188[[#This Row],[Weight Percent]]*(unique_components_186[[#Totals],[Controlled
tpy]]+standard_components_185[[#Totals],[Controlled
tpy]]), "-")</f>
        <v>0</v>
      </c>
      <c r="F196" s="81" t="str">
        <f>IFERROR(speciated_ghg_188[[#This Row],[Mass Emissions (U.S. tons per year)]]*speciated_ghg_188[[#This Row],[Global Warming Potential (GWP)]], "-")</f>
        <v>-</v>
      </c>
      <c r="G196" s="29"/>
      <c r="H196" s="169"/>
    </row>
    <row r="197" spans="1:9" x14ac:dyDescent="0.2">
      <c r="A197" s="210"/>
      <c r="B197" s="79" t="str">
        <f>IFERROR(INDEX(gwp_table[], MATCH(speciated_ghg_188[[#This Row],[CAS '#]], gwp_table[CAS No.], 0), MATCH("Name", gwp_table[#Headers], 0)),"No CAS Number Entered")</f>
        <v>No CAS Number Entered</v>
      </c>
      <c r="C197" s="79" t="str">
        <f>IFERROR(INDEX(gwp_table[], MATCH(speciated_ghg_188[[#This Row],[CAS '#]], gwp_table[CAS No.], 0), MATCH("Global warming potential", gwp_table[#Headers], 0)),"No CAS Number Entered")</f>
        <v>No CAS Number Entered</v>
      </c>
      <c r="D197" s="219"/>
      <c r="E197" s="79">
        <f>IFERROR(speciated_ghg_188[[#This Row],[Weight Percent]]*(unique_components_186[[#Totals],[Controlled
tpy]]+standard_components_185[[#Totals],[Controlled
tpy]]), "-")</f>
        <v>0</v>
      </c>
      <c r="F197" s="81" t="str">
        <f>IFERROR(speciated_ghg_188[[#This Row],[Mass Emissions (U.S. tons per year)]]*speciated_ghg_188[[#This Row],[Global Warming Potential (GWP)]], "-")</f>
        <v>-</v>
      </c>
      <c r="G197" s="29"/>
      <c r="H197" s="29"/>
      <c r="I197" s="169"/>
    </row>
    <row r="198" spans="1:9" x14ac:dyDescent="0.2">
      <c r="A198" s="210"/>
      <c r="B198" s="79" t="str">
        <f>IFERROR(INDEX(gwp_table[], MATCH(speciated_ghg_188[[#This Row],[CAS '#]], gwp_table[CAS No.], 0), MATCH("Name", gwp_table[#Headers], 0)),"No CAS Number Entered")</f>
        <v>No CAS Number Entered</v>
      </c>
      <c r="C198" s="79" t="str">
        <f>IFERROR(INDEX(gwp_table[], MATCH(speciated_ghg_188[[#This Row],[CAS '#]], gwp_table[CAS No.], 0), MATCH("Global warming potential", gwp_table[#Headers], 0)),"No CAS Number Entered")</f>
        <v>No CAS Number Entered</v>
      </c>
      <c r="D198" s="219"/>
      <c r="E198" s="79">
        <f>IFERROR(speciated_ghg_188[[#This Row],[Weight Percent]]*(unique_components_186[[#Totals],[Controlled
tpy]]+standard_components_185[[#Totals],[Controlled
tpy]]), "-")</f>
        <v>0</v>
      </c>
      <c r="F198" s="81" t="str">
        <f>IFERROR(speciated_ghg_188[[#This Row],[Mass Emissions (U.S. tons per year)]]*speciated_ghg_188[[#This Row],[Global Warming Potential (GWP)]], "-")</f>
        <v>-</v>
      </c>
      <c r="G198" s="29"/>
      <c r="H198" s="29"/>
      <c r="I198" s="169"/>
    </row>
    <row r="199" spans="1:9" x14ac:dyDescent="0.2">
      <c r="A199" s="210"/>
      <c r="B199" s="79" t="str">
        <f>IFERROR(INDEX(gwp_table[], MATCH(speciated_ghg_188[[#This Row],[CAS '#]], gwp_table[CAS No.], 0), MATCH("Name", gwp_table[#Headers], 0)),"No CAS Number Entered")</f>
        <v>No CAS Number Entered</v>
      </c>
      <c r="C199" s="79" t="str">
        <f>IFERROR(INDEX(gwp_table[], MATCH(speciated_ghg_188[[#This Row],[CAS '#]], gwp_table[CAS No.], 0), MATCH("Global warming potential", gwp_table[#Headers], 0)),"No CAS Number Entered")</f>
        <v>No CAS Number Entered</v>
      </c>
      <c r="D199" s="219"/>
      <c r="E199" s="79">
        <f>IFERROR(speciated_ghg_188[[#This Row],[Weight Percent]]*(unique_components_186[[#Totals],[Controlled
tpy]]+standard_components_185[[#Totals],[Controlled
tpy]]), "-")</f>
        <v>0</v>
      </c>
      <c r="F199" s="81" t="str">
        <f>IFERROR(speciated_ghg_188[[#This Row],[Mass Emissions (U.S. tons per year)]]*speciated_ghg_188[[#This Row],[Global Warming Potential (GWP)]], "-")</f>
        <v>-</v>
      </c>
      <c r="G199" s="29"/>
      <c r="H199" s="29"/>
      <c r="I199" s="169"/>
    </row>
    <row r="200" spans="1:9" x14ac:dyDescent="0.2">
      <c r="A200" s="210"/>
      <c r="B200" s="79" t="str">
        <f>IFERROR(INDEX(gwp_table[], MATCH(speciated_ghg_188[[#This Row],[CAS '#]], gwp_table[CAS No.], 0), MATCH("Name", gwp_table[#Headers], 0)),"No CAS Number Entered")</f>
        <v>No CAS Number Entered</v>
      </c>
      <c r="C200" s="79" t="str">
        <f>IFERROR(INDEX(gwp_table[], MATCH(speciated_ghg_188[[#This Row],[CAS '#]], gwp_table[CAS No.], 0), MATCH("Global warming potential", gwp_table[#Headers], 0)),"No CAS Number Entered")</f>
        <v>No CAS Number Entered</v>
      </c>
      <c r="D200" s="219"/>
      <c r="E200" s="79">
        <f>IFERROR(speciated_ghg_188[[#This Row],[Weight Percent]]*(unique_components_186[[#Totals],[Controlled
tpy]]+standard_components_185[[#Totals],[Controlled
tpy]]), "-")</f>
        <v>0</v>
      </c>
      <c r="F200" s="81" t="str">
        <f>IFERROR(speciated_ghg_188[[#This Row],[Mass Emissions (U.S. tons per year)]]*speciated_ghg_188[[#This Row],[Global Warming Potential (GWP)]], "-")</f>
        <v>-</v>
      </c>
      <c r="G200" s="29"/>
      <c r="H200" s="29"/>
      <c r="I200" s="169"/>
    </row>
    <row r="201" spans="1:9" x14ac:dyDescent="0.2">
      <c r="A201" s="210"/>
      <c r="B201" s="79" t="str">
        <f>IFERROR(INDEX(gwp_table[], MATCH(speciated_ghg_188[[#This Row],[CAS '#]], gwp_table[CAS No.], 0), MATCH("Name", gwp_table[#Headers], 0)),"No CAS Number Entered")</f>
        <v>No CAS Number Entered</v>
      </c>
      <c r="C201" s="79" t="str">
        <f>IFERROR(INDEX(gwp_table[], MATCH(speciated_ghg_188[[#This Row],[CAS '#]], gwp_table[CAS No.], 0), MATCH("Global warming potential", gwp_table[#Headers], 0)),"No CAS Number Entered")</f>
        <v>No CAS Number Entered</v>
      </c>
      <c r="D201" s="219"/>
      <c r="E201" s="79">
        <f>IFERROR(speciated_ghg_188[[#This Row],[Weight Percent]]*(unique_components_186[[#Totals],[Controlled
tpy]]+standard_components_185[[#Totals],[Controlled
tpy]]), "-")</f>
        <v>0</v>
      </c>
      <c r="F201" s="81" t="str">
        <f>IFERROR(speciated_ghg_188[[#This Row],[Mass Emissions (U.S. tons per year)]]*speciated_ghg_188[[#This Row],[Global Warming Potential (GWP)]], "-")</f>
        <v>-</v>
      </c>
      <c r="G201" s="169"/>
      <c r="H201" s="169"/>
      <c r="I201" s="169"/>
    </row>
    <row r="202" spans="1:9" x14ac:dyDescent="0.2">
      <c r="A202" s="210"/>
      <c r="B202" s="79" t="str">
        <f>IFERROR(INDEX(gwp_table[], MATCH(speciated_ghg_188[[#This Row],[CAS '#]], gwp_table[CAS No.], 0), MATCH("Name", gwp_table[#Headers], 0)),"No CAS Number Entered")</f>
        <v>No CAS Number Entered</v>
      </c>
      <c r="C202" s="79" t="str">
        <f>IFERROR(INDEX(gwp_table[], MATCH(speciated_ghg_188[[#This Row],[CAS '#]], gwp_table[CAS No.], 0), MATCH("Global warming potential", gwp_table[#Headers], 0)),"No CAS Number Entered")</f>
        <v>No CAS Number Entered</v>
      </c>
      <c r="D202" s="219"/>
      <c r="E202" s="79">
        <f>IFERROR(speciated_ghg_188[[#This Row],[Weight Percent]]*(unique_components_186[[#Totals],[Controlled
tpy]]+standard_components_185[[#Totals],[Controlled
tpy]]), "-")</f>
        <v>0</v>
      </c>
      <c r="F202" s="81" t="str">
        <f>IFERROR(speciated_ghg_188[[#This Row],[Mass Emissions (U.S. tons per year)]]*speciated_ghg_188[[#This Row],[Global Warming Potential (GWP)]], "-")</f>
        <v>-</v>
      </c>
      <c r="G202" s="169"/>
      <c r="H202" s="169"/>
      <c r="I202" s="169"/>
    </row>
    <row r="203" spans="1:9" x14ac:dyDescent="0.2">
      <c r="A203" s="210"/>
      <c r="B203" s="79" t="str">
        <f>IFERROR(INDEX(gwp_table[], MATCH(speciated_ghg_188[[#This Row],[CAS '#]], gwp_table[CAS No.], 0), MATCH("Name", gwp_table[#Headers], 0)),"No CAS Number Entered")</f>
        <v>No CAS Number Entered</v>
      </c>
      <c r="C203" s="79" t="str">
        <f>IFERROR(INDEX(gwp_table[], MATCH(speciated_ghg_188[[#This Row],[CAS '#]], gwp_table[CAS No.], 0), MATCH("Global warming potential", gwp_table[#Headers], 0)),"No CAS Number Entered")</f>
        <v>No CAS Number Entered</v>
      </c>
      <c r="D203" s="219"/>
      <c r="E203" s="79">
        <f>IFERROR(speciated_ghg_188[[#This Row],[Weight Percent]]*(unique_components_186[[#Totals],[Controlled
tpy]]+standard_components_185[[#Totals],[Controlled
tpy]]), "-")</f>
        <v>0</v>
      </c>
      <c r="F203" s="81" t="str">
        <f>IFERROR(speciated_ghg_188[[#This Row],[Mass Emissions (U.S. tons per year)]]*speciated_ghg_188[[#This Row],[Global Warming Potential (GWP)]], "-")</f>
        <v>-</v>
      </c>
      <c r="G203" s="169"/>
      <c r="H203" s="169"/>
      <c r="I203" s="169"/>
    </row>
    <row r="204" spans="1:9" ht="30" x14ac:dyDescent="0.25">
      <c r="A204" s="185" t="s">
        <v>13321</v>
      </c>
      <c r="B204" s="77"/>
      <c r="C204" s="77"/>
      <c r="D204" s="77"/>
      <c r="E204" s="80">
        <f>SUBTOTAL(109,speciated_ghg_188[Mass Emissions (U.S. tons per year)])</f>
        <v>0</v>
      </c>
      <c r="F204" s="82">
        <f>SUBTOTAL(109,speciated_ghg_188[CO2e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speciated_chemicals_187[[#Totals],[lb/hr]]</f>
        <v>0</v>
      </c>
      <c r="C207" s="134"/>
      <c r="D207" s="134"/>
      <c r="E207" s="134"/>
      <c r="F207" s="134"/>
      <c r="G207" s="169"/>
      <c r="H207" s="169"/>
    </row>
    <row r="208" spans="1:9" ht="29.25" x14ac:dyDescent="0.25">
      <c r="A208" s="174" t="s">
        <v>13320</v>
      </c>
      <c r="B208" s="175">
        <f>speciated_chemicals_187[[#Totals],[tpy]]</f>
        <v>0</v>
      </c>
      <c r="C208" s="134"/>
      <c r="D208" s="134"/>
      <c r="E208" s="134"/>
      <c r="F208" s="134"/>
      <c r="G208" s="169"/>
      <c r="H208" s="169"/>
    </row>
    <row r="209" spans="1:8" ht="15" x14ac:dyDescent="0.25">
      <c r="A209" s="126" t="s">
        <v>13277</v>
      </c>
      <c r="B209" s="128">
        <f>SUMIF(speciated_chemicals_187[VOC?],"Yes",speciated_chemicals_187[lb/hr])</f>
        <v>0</v>
      </c>
      <c r="C209" s="134"/>
      <c r="D209" s="29"/>
      <c r="E209" s="29"/>
      <c r="F209" s="29"/>
      <c r="G209" s="169"/>
      <c r="H209" s="169"/>
    </row>
    <row r="210" spans="1:8" ht="15" x14ac:dyDescent="0.25">
      <c r="A210" s="126" t="s">
        <v>12669</v>
      </c>
      <c r="B210" s="128">
        <f>SUMIF(speciated_chemicals_187[VOC?],"Yes",speciated_chemicals_187[tpy])</f>
        <v>0</v>
      </c>
      <c r="C210" s="134"/>
      <c r="D210" s="29"/>
      <c r="E210" s="29"/>
      <c r="F210" s="29"/>
      <c r="G210" s="169"/>
      <c r="H210" s="169"/>
    </row>
    <row r="211" spans="1:8" ht="15" x14ac:dyDescent="0.25">
      <c r="A211" s="126" t="s">
        <v>12775</v>
      </c>
      <c r="B211" s="128">
        <f>SUMIF(speciated_chemicals_187[Inorganic?],"Yes",speciated_chemicals_187[lb/hr])</f>
        <v>0</v>
      </c>
      <c r="C211" s="134"/>
      <c r="D211" s="29"/>
      <c r="E211" s="29"/>
      <c r="F211" s="29"/>
      <c r="G211" s="169"/>
      <c r="H211" s="169"/>
    </row>
    <row r="212" spans="1:8" ht="15" x14ac:dyDescent="0.25">
      <c r="A212" s="126" t="s">
        <v>12770</v>
      </c>
      <c r="B212" s="128">
        <f>SUMIF(speciated_chemicals_187[Inorganic?],"Yes",speciated_chemicals_187[tpy])</f>
        <v>0</v>
      </c>
      <c r="C212" s="134"/>
      <c r="D212" s="29"/>
      <c r="E212" s="29"/>
      <c r="F212" s="29"/>
      <c r="G212" s="169"/>
      <c r="H212" s="169"/>
    </row>
    <row r="213" spans="1:8" ht="15" x14ac:dyDescent="0.25">
      <c r="A213" s="126" t="s">
        <v>13276</v>
      </c>
      <c r="B213" s="128">
        <f>SUMIF(speciated_chemicals_187[VOC-Exempt Solvent?],"Yes",speciated_chemicals_187[lb/hr])</f>
        <v>0</v>
      </c>
      <c r="C213" s="134"/>
      <c r="D213" s="29"/>
      <c r="E213" s="29"/>
      <c r="F213" s="29"/>
      <c r="G213" s="169"/>
      <c r="H213" s="169"/>
    </row>
    <row r="214" spans="1:8" ht="15" x14ac:dyDescent="0.25">
      <c r="A214" s="126" t="s">
        <v>13278</v>
      </c>
      <c r="B214" s="128">
        <f>SUMIF(speciated_chemicals_187[VOC-Exempt Solvent?],"Yes",speciated_chemicals_187[tpy])</f>
        <v>0</v>
      </c>
      <c r="C214" s="134"/>
      <c r="D214" s="29"/>
      <c r="E214" s="29"/>
      <c r="F214" s="29"/>
      <c r="G214" s="169"/>
      <c r="H214" s="169"/>
    </row>
    <row r="215" spans="1:8" ht="15" x14ac:dyDescent="0.25">
      <c r="A215" s="127" t="s">
        <v>13280</v>
      </c>
      <c r="B215" s="176">
        <f>speciated_ghg_188[[#Totals],[Mass Emissions (U.S. tons per year)]]</f>
        <v>0</v>
      </c>
      <c r="C215" s="134"/>
      <c r="D215" s="29"/>
      <c r="E215" s="29"/>
      <c r="F215" s="29"/>
      <c r="G215" s="169"/>
      <c r="H215" s="169"/>
    </row>
    <row r="216" spans="1:8" ht="18.75" x14ac:dyDescent="0.35">
      <c r="A216" s="127" t="s">
        <v>13281</v>
      </c>
      <c r="B216" s="176">
        <f>speciated_ghg_188[[#Totals],[CO2e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RIwBE4E2cHKlxWgqF5RuE1j8m0NoQwCF2cdFRgTrpiEtYDPIigLu4eZciPWCMbJyVgk2poVE6y05aAV8VAHdYQ==" saltValue="Bn/uKpdQdWel4UMs52HyuQ==" spinCount="100000" sheet="1" objects="1" scenarios="1" formatColumns="0" formatRows="0" autoFilter="0"/>
  <conditionalFormatting sqref="A21:H21">
    <cfRule type="expression" dxfId="769" priority="5">
      <formula>$F$19="No"</formula>
    </cfRule>
  </conditionalFormatting>
  <conditionalFormatting sqref="A105:E106 F106:G126">
    <cfRule type="expression" dxfId="768" priority="4">
      <formula>$E$104="no"</formula>
    </cfRule>
  </conditionalFormatting>
  <conditionalFormatting sqref="C131:C180">
    <cfRule type="expression" dxfId="767" priority="3">
      <formula>NOT(B131="Other (Please specify):")</formula>
    </cfRule>
  </conditionalFormatting>
  <conditionalFormatting sqref="A107:E126">
    <cfRule type="expression" dxfId="766" priority="2">
      <formula>$A$58="No"</formula>
    </cfRule>
  </conditionalFormatting>
  <conditionalFormatting sqref="A107:E126 A206:B214 A215:A216">
    <cfRule type="expression" dxfId="765"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A9D728E4-DB79-4EAB-BEB4-2CB799009FC9}"/>
    <dataValidation type="list" allowBlank="1" showInputMessage="1" showErrorMessage="1" sqref="E104:H104 B10" xr:uid="{641F2734-55F0-42F4-A7B0-7DB6A5EEA291}">
      <formula1>"Yes,No"</formula1>
    </dataValidation>
    <dataValidation type="list" allowBlank="1" showInputMessage="1" showErrorMessage="1" sqref="F19:H20" xr:uid="{BF52AF11-0A11-4214-86B4-7698F8B5D46D}">
      <formula1>"No,Yes - 75%,Yes - 95%"</formula1>
    </dataValidation>
    <dataValidation type="list" allowBlank="1" showInputMessage="1" showErrorMessage="1" sqref="F18" xr:uid="{7FEB475F-6765-4047-BFA6-7AFD9953C143}">
      <formula1>IF(#REF!="SOCMI Non-leaker",ListNone,ListInspection)</formula1>
    </dataValidation>
    <dataValidation type="list" allowBlank="1" showInputMessage="1" showErrorMessage="1" sqref="F16:F17" xr:uid="{A7875DBC-AB3D-4901-AC97-923F3A1FE020}">
      <formula1>IF(#REF!="SOCMI Non-Leaker",ListNone,ListInstrument)</formula1>
    </dataValidation>
    <dataValidation type="list" allowBlank="1" showInputMessage="1" prompt="Please specify whether the substance is a volatile organic compound (VOC); methane and ethane are not classifed as VOCs" sqref="D132:D180" xr:uid="{5BB6338F-53D0-479E-A425-F1C61E872877}">
      <formula1>"Yes,No"</formula1>
    </dataValidation>
    <dataValidation allowBlank="1" showInputMessage="1" showErrorMessage="1" prompt="Enter the weight percent of the substance" sqref="H178:H180 H132:H176" xr:uid="{03AD4A5E-F94A-44FF-9C5C-AF30A6C70BF2}"/>
    <dataValidation type="list" allowBlank="1" showInputMessage="1" showErrorMessage="1" prompt="Enter or select Chemical Abstracts Service number; select &quot;N/A&quot; if a CAS # is not applicable" sqref="A131:A175 A177:A180" xr:uid="{A355664B-C0FB-4566-97E3-94FC7B2B74C5}">
      <formula1>SpeciesList</formula1>
    </dataValidation>
    <dataValidation type="list" allowBlank="1" showInputMessage="1" prompt="Select other species from dropdown" sqref="C131:C180" xr:uid="{B6D1C875-8590-4B5B-B4BA-D1463F3D8236}">
      <formula1>NoCASList</formula1>
    </dataValidation>
    <dataValidation allowBlank="1" showInputMessage="1" showErrorMessage="1" prompt="Proposed control efficiency (0-1)" sqref="E107:E126" xr:uid="{6714CBF5-C9C8-493D-91E1-9658D2FD3103}"/>
    <dataValidation allowBlank="1" showInputMessage="1" showErrorMessage="1" prompt="Count of unique component" sqref="C107:C126" xr:uid="{2E0ED6BC-DA88-427C-969D-2600560251C1}"/>
    <dataValidation allowBlank="1" showInputMessage="1" showErrorMessage="1" prompt="Type of service (e.g. gas, vapor, or liquid)" sqref="B107:B126" xr:uid="{5C92466E-C1D7-4097-8DF6-04DA5DD8CCE2}"/>
    <dataValidation allowBlank="1" showInputMessage="1" showErrorMessage="1" prompt="Name of unique component" sqref="A107:A126" xr:uid="{0EFE15B1-D3D6-4D84-A901-00C36A904007}"/>
    <dataValidation type="list" allowBlank="1" showInputMessage="1" showErrorMessage="1" sqref="B13" xr:uid="{13835CAA-436F-40C5-8E0A-5AD8391EDDD0}">
      <formula1>industry_names</formula1>
    </dataValidation>
    <dataValidation type="list" allowBlank="1" showInputMessage="1" showErrorMessage="1" sqref="B19" xr:uid="{89DF001F-6CDC-4675-80CE-9342912EC32C}">
      <formula1>yes_no_list</formula1>
    </dataValidation>
    <dataValidation type="list" allowBlank="1" showInputMessage="1" showErrorMessage="1" sqref="B20" xr:uid="{842500D4-228F-4568-9881-8BB043990057}">
      <formula1>process_drains_effs</formula1>
    </dataValidation>
    <dataValidation allowBlank="1" showInputMessage="1" showErrorMessage="1" prompt="Proposed emission factor" sqref="D107:D126" xr:uid="{BD615150-CEFD-472F-A467-0FE5001D565A}"/>
    <dataValidation type="list" allowBlank="1" showInputMessage="1" prompt="Please specify if the substance is an inert substance or is not considered a contaminant (e.g. steam)" sqref="G131:G180" xr:uid="{3208DC3B-AD38-457B-AEC8-5A82790D6894}">
      <formula1>"Yes,No"</formula1>
    </dataValidation>
    <dataValidation type="list" allowBlank="1" showInputMessage="1" showErrorMessage="1" prompt="Please select from the dropdown" sqref="B104" xr:uid="{A680C922-0E51-47AD-81D8-5DAFFA68DD85}">
      <formula1>yes_no_list</formula1>
    </dataValidation>
    <dataValidation allowBlank="1" showInputMessage="1" showErrorMessage="1" prompt="Provide justification" sqref="B105" xr:uid="{80136ABC-8036-47A6-BEB7-65D035D97C5F}"/>
    <dataValidation type="list" showInputMessage="1" prompt="Please specify whether the substance is a volatile organic compound (VOC); methane and ethane are not classifed as VOCs" sqref="D131" xr:uid="{1A67B342-7362-452A-95A4-910F831C7D38}">
      <formula1>"Yes,No"</formula1>
    </dataValidation>
    <dataValidation type="list" showInputMessage="1" prompt="Please specify whether the substance is an inorganic contaminant (e.g. ammonia or chlorine gas)" sqref="E131:E180" xr:uid="{FF2D7D1F-13CF-45D2-BF27-CD4BF58BDE63}">
      <formula1>"Yes,No"</formula1>
    </dataValidation>
    <dataValidation type="list" allowBlank="1" showInputMessage="1" prompt="Please specify whether the substance is an VOC-exempt solvent." sqref="F131:F180" xr:uid="{432F782E-B7D0-4E92-B503-E47655D407C1}">
      <formula1>"Yes,No"</formula1>
    </dataValidation>
    <dataValidation type="list" allowBlank="1" showInputMessage="1" showErrorMessage="1" prompt="Enter or select Chemical Abstracts Service number; select &quot;N/A&quot; if a CAS # is not applicable" sqref="A185:A203 A176" xr:uid="{8E01CFD8-946A-41BB-B83A-BCE324CA59FC}">
      <formula1>gwp_table_cas</formula1>
    </dataValidation>
    <dataValidation type="decimal" allowBlank="1" showInputMessage="1" showErrorMessage="1" prompt="Enter the weight percent of the substance" sqref="H177" xr:uid="{292A07D8-C611-4C74-BD71-C436CA6B006E}">
      <formula1>0</formula1>
      <formula2>1</formula2>
    </dataValidation>
    <dataValidation type="decimal" operator="greaterThan" allowBlank="1" showInputMessage="1" showErrorMessage="1" prompt="Enter the weight percent of the substance" sqref="H131 D185:D203" xr:uid="{0411E41A-34F5-42D5-BBD9-B9210C3C9F7E}">
      <formula1>0</formula1>
    </dataValidation>
    <dataValidation type="list" allowBlank="1" showInputMessage="1" showErrorMessage="1" sqref="B18" xr:uid="{A88606DF-5B95-4E70-9A85-F7A65937CE2B}">
      <formula1>inspection_ldar_list</formula1>
    </dataValidation>
    <dataValidation type="list" allowBlank="1" showInputMessage="1" showErrorMessage="1" sqref="B17" xr:uid="{CE011B9D-E846-4134-8DD8-0900CB30A951}">
      <formula1>connector_ldar_list</formula1>
    </dataValidation>
    <dataValidation type="list" allowBlank="1" showInputMessage="1" showErrorMessage="1" sqref="B16" xr:uid="{E04BD390-BE28-4617-B707-3BBB9C8A6789}">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4659-A92B-4DC2-8BDE-EEF33C186ED7}">
  <sheetPr codeName="Sheet25">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INDEX((standard_components_189[[#This Row],[Component]]=factor_eff_table[Component])*(standard_components_189[[#This Row],[Service]]=factor_eff_table[Service]), 0, 1), 0)),
 "-")</f>
        <v>-</v>
      </c>
      <c r="E25" s="145" t="str" cm="1">
        <f t="array" ref="E2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25" s="145" t="str" cm="1">
        <f t="array" ref="F2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25" s="145" t="str" cm="1">
        <f t="array" ref="G2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2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2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INDEX((standard_components_189[[#This Row],[Component]]=factor_eff_table[Component])*(standard_components_189[[#This Row],[Service]]=factor_eff_table[Service]), 0, 1), 0)),
 "-")</f>
        <v>-</v>
      </c>
      <c r="E26" s="145" t="str" cm="1">
        <f t="array" ref="E2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26" s="145" t="str" cm="1">
        <f t="array" ref="F2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26" s="145" t="str" cm="1">
        <f t="array" ref="G2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2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2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INDEX((standard_components_189[[#This Row],[Component]]=factor_eff_table[Component])*(standard_components_189[[#This Row],[Service]]=factor_eff_table[Service]), 0, 1), 0)),
 "-")</f>
        <v>-</v>
      </c>
      <c r="E27" s="145" t="str" cm="1">
        <f t="array" ref="E2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27" s="145" t="str" cm="1">
        <f t="array" ref="F2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27" s="145" t="str" cm="1">
        <f t="array" ref="G2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2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2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INDEX((standard_components_189[[#This Row],[Component]]=factor_eff_table[Component])*(standard_components_189[[#This Row],[Service]]=factor_eff_table[Service]), 0, 1), 0)),
 "-")</f>
        <v>-</v>
      </c>
      <c r="E28" s="145" t="str" cm="1">
        <f t="array" ref="E2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28" s="145" t="str" cm="1">
        <f t="array" ref="F2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28" s="145" t="str" cm="1">
        <f t="array" ref="G2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2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2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INDEX((standard_components_189[[#This Row],[Component]]=factor_eff_table[Component])*(standard_components_189[[#This Row],[Service]]=factor_eff_table[Service]), 0, 1), 0)),
 "-")</f>
        <v>-</v>
      </c>
      <c r="E29" s="145" t="str" cm="1">
        <f t="array" ref="E2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29" s="145" t="str" cm="1">
        <f t="array" ref="F2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29" s="145" t="str" cm="1">
        <f t="array" ref="G2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2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2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INDEX((standard_components_189[[#This Row],[Component]]=factor_eff_table[Component])*(standard_components_189[[#This Row],[Service]]=factor_eff_table[Service]), 0, 1), 0)),
 "-")</f>
        <v>-</v>
      </c>
      <c r="E30" s="145" t="str" cm="1">
        <f t="array" ref="E3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0" s="145" t="str" cm="1">
        <f t="array" ref="F3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0" s="145" t="str" cm="1">
        <f t="array" ref="G3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INDEX((standard_components_189[[#This Row],[Component]]=factor_eff_table[Component])*(standard_components_189[[#This Row],[Service]]=factor_eff_table[Service]), 0, 1), 0)),
 "-")</f>
        <v>-</v>
      </c>
      <c r="E31" s="145" t="str" cm="1">
        <f t="array" ref="E3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1" s="145" t="str" cm="1">
        <f t="array" ref="F3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1" s="145" t="str" cm="1">
        <f t="array" ref="G3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INDEX((standard_components_189[[#This Row],[Component]]=factor_eff_table[Component])*(standard_components_189[[#This Row],[Service]]=factor_eff_table[Service]), 0, 1), 0)),
 "-")</f>
        <v>-</v>
      </c>
      <c r="E32" s="145" t="str" cm="1">
        <f t="array" ref="E3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2" s="145" t="str" cm="1">
        <f t="array" ref="F3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2" s="145" t="str" cm="1">
        <f t="array" ref="G3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INDEX((standard_components_189[[#This Row],[Component]]=factor_eff_table[Component])*(standard_components_189[[#This Row],[Service]]=factor_eff_table[Service]), 0, 1), 0)),
 "-")</f>
        <v>-</v>
      </c>
      <c r="E33" s="145" t="str" cm="1">
        <f t="array" ref="E3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3" s="145" t="str" cm="1">
        <f t="array" ref="F3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3" s="145" t="str" cm="1">
        <f t="array" ref="G3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INDEX((standard_components_189[[#This Row],[Component]]=factor_eff_table[Component])*(standard_components_189[[#This Row],[Service]]=factor_eff_table[Service]), 0, 1), 0)),
 "-")</f>
        <v>-</v>
      </c>
      <c r="E34" s="145" t="str" cm="1">
        <f t="array" ref="E3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4" s="145" t="str" cm="1">
        <f t="array" ref="F3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4" s="145" t="str" cm="1">
        <f t="array" ref="G3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INDEX((standard_components_189[[#This Row],[Component]]=factor_eff_table[Component])*(standard_components_189[[#This Row],[Service]]=factor_eff_table[Service]), 0, 1), 0)),
 "-")</f>
        <v>-</v>
      </c>
      <c r="E35" s="145" t="str" cm="1">
        <f t="array" ref="E3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5" s="145" t="str" cm="1">
        <f t="array" ref="F3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5" s="145" t="str" cm="1">
        <f t="array" ref="G3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INDEX((standard_components_189[[#This Row],[Component]]=factor_eff_table[Component])*(standard_components_189[[#This Row],[Service]]=factor_eff_table[Service]), 0, 1), 0)),
 "-")</f>
        <v>-</v>
      </c>
      <c r="E36" s="145" t="str" cm="1">
        <f t="array" ref="E3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6" s="145" t="str" cm="1">
        <f t="array" ref="F3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6" s="145" t="str" cm="1">
        <f t="array" ref="G3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INDEX((standard_components_189[[#This Row],[Component]]=factor_eff_table[Component])*(standard_components_189[[#This Row],[Service]]=factor_eff_table[Service]), 0, 1), 0)),
 "-")</f>
        <v>-</v>
      </c>
      <c r="E37" s="145" t="str" cm="1">
        <f t="array" ref="E3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7" s="145" t="str" cm="1">
        <f t="array" ref="F3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7" s="145" t="str" cm="1">
        <f t="array" ref="G3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INDEX((standard_components_189[[#This Row],[Component]]=factor_eff_table[Component])*(standard_components_189[[#This Row],[Service]]=factor_eff_table[Service]), 0, 1), 0)),
 "-")</f>
        <v>-</v>
      </c>
      <c r="E38" s="145" t="str" cm="1">
        <f t="array" ref="E3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8" s="145" t="str" cm="1">
        <f t="array" ref="F3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8" s="145" t="str" cm="1">
        <f t="array" ref="G3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INDEX((standard_components_189[[#This Row],[Component]]=factor_eff_table[Component])*(standard_components_189[[#This Row],[Service]]=factor_eff_table[Service]), 0, 1), 0)),
 "-")</f>
        <v>-</v>
      </c>
      <c r="E39" s="145" t="str" cm="1">
        <f t="array" ref="E3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39" s="145" t="str" cm="1">
        <f t="array" ref="F3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39" s="145" t="str" cm="1">
        <f t="array" ref="G3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3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3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INDEX((standard_components_189[[#This Row],[Component]]=factor_eff_table[Component])*(standard_components_189[[#This Row],[Service]]=factor_eff_table[Service]), 0, 1), 0)),
 "-")</f>
        <v>-</v>
      </c>
      <c r="E40" s="145" t="str" cm="1">
        <f t="array" ref="E4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0" s="145" t="str" cm="1">
        <f t="array" ref="F4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0" s="145" t="str" cm="1">
        <f t="array" ref="G4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INDEX((standard_components_189[[#This Row],[Component]]=factor_eff_table[Component])*(standard_components_189[[#This Row],[Service]]=factor_eff_table[Service]), 0, 1), 0)),
 "-")</f>
        <v>-</v>
      </c>
      <c r="E41" s="145" t="str" cm="1">
        <f t="array" ref="E4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1" s="145" t="str" cm="1">
        <f t="array" ref="F4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1" s="145" t="str" cm="1">
        <f t="array" ref="G4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INDEX((standard_components_189[[#This Row],[Component]]=factor_eff_table[Component])*(standard_components_189[[#This Row],[Service]]=factor_eff_table[Service]), 0, 1), 0)),
 "-")</f>
        <v>-</v>
      </c>
      <c r="E42" s="145" t="str" cm="1">
        <f t="array" ref="E4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2" s="145" t="str" cm="1">
        <f t="array" ref="F4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2" s="145" t="str" cm="1">
        <f t="array" ref="G4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INDEX((standard_components_189[[#This Row],[Component]]=factor_eff_table[Component])*(standard_components_189[[#This Row],[Service]]=factor_eff_table[Service]), 0, 1), 0)),
 "-")</f>
        <v>-</v>
      </c>
      <c r="E43" s="145" t="str" cm="1">
        <f t="array" ref="E4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3" s="145" t="str" cm="1">
        <f t="array" ref="F4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3" s="145" t="str" cm="1">
        <f t="array" ref="G4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INDEX((standard_components_189[[#This Row],[Component]]=factor_eff_table[Component])*(standard_components_189[[#This Row],[Service]]=factor_eff_table[Service]), 0, 1), 0)),
 "-")</f>
        <v>-</v>
      </c>
      <c r="E44" s="145" t="str" cm="1">
        <f t="array" ref="E4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4" s="145" t="str" cm="1">
        <f t="array" ref="F4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4" s="145" t="str" cm="1">
        <f t="array" ref="G4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INDEX((standard_components_189[[#This Row],[Component]]=factor_eff_table[Component])*(standard_components_189[[#This Row],[Service]]=factor_eff_table[Service]), 0, 1), 0)),
 "-")</f>
        <v>-</v>
      </c>
      <c r="E45" s="145" t="str" cm="1">
        <f t="array" ref="E4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5" s="145" t="str" cm="1">
        <f t="array" ref="F4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5" s="145" t="str" cm="1">
        <f t="array" ref="G4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INDEX((standard_components_189[[#This Row],[Component]]=factor_eff_table[Component])*(standard_components_189[[#This Row],[Service]]=factor_eff_table[Service]), 0, 1), 0)),
 "-")</f>
        <v>-</v>
      </c>
      <c r="E46" s="145" t="str" cm="1">
        <f t="array" ref="E4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6" s="145" t="str" cm="1">
        <f t="array" ref="F4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6" s="145" t="str" cm="1">
        <f t="array" ref="G4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INDEX((standard_components_189[[#This Row],[Component]]=factor_eff_table[Component])*(standard_components_189[[#This Row],[Service]]=factor_eff_table[Service]), 0, 1), 0)),
 "-")</f>
        <v>-</v>
      </c>
      <c r="E47" s="145" t="str" cm="1">
        <f t="array" ref="E4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7" s="145" t="str" cm="1">
        <f t="array" ref="F4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7" s="145" t="str" cm="1">
        <f t="array" ref="G4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INDEX((standard_components_189[[#This Row],[Component]]=factor_eff_table[Component])*(standard_components_189[[#This Row],[Service]]=factor_eff_table[Service]), 0, 1), 0)),
 "-")</f>
        <v>-</v>
      </c>
      <c r="E48" s="145" t="str" cm="1">
        <f t="array" ref="E4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8" s="145" t="str" cm="1">
        <f t="array" ref="F4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8" s="145" t="str" cm="1">
        <f t="array" ref="G4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INDEX((standard_components_189[[#This Row],[Component]]=factor_eff_table[Component])*(standard_components_189[[#This Row],[Service]]=factor_eff_table[Service]), 0, 1), 0)),
 "-")</f>
        <v>-</v>
      </c>
      <c r="E49" s="145" t="str" cm="1">
        <f t="array" ref="E4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49" s="145" t="str" cm="1">
        <f t="array" ref="F4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49" s="145" t="str" cm="1">
        <f t="array" ref="G4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4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4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INDEX((standard_components_189[[#This Row],[Component]]=factor_eff_table[Component])*(standard_components_189[[#This Row],[Service]]=factor_eff_table[Service]), 0, 1), 0)),
 "-")</f>
        <v>-</v>
      </c>
      <c r="E50" s="145" t="str" cm="1">
        <f t="array" ref="E5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0" s="145" t="str" cm="1">
        <f t="array" ref="F5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0" s="145" t="str" cm="1">
        <f t="array" ref="G5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INDEX((standard_components_189[[#This Row],[Component]]=factor_eff_table[Component])*(standard_components_189[[#This Row],[Service]]=factor_eff_table[Service]), 0, 1), 0)),
 "-")</f>
        <v>-</v>
      </c>
      <c r="E51" s="145" t="str" cm="1">
        <f t="array" ref="E5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1" s="145" t="str" cm="1">
        <f t="array" ref="F5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1" s="145" t="str" cm="1">
        <f t="array" ref="G5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INDEX((standard_components_189[[#This Row],[Component]]=factor_eff_table[Component])*(standard_components_189[[#This Row],[Service]]=factor_eff_table[Service]), 0, 1), 0)),
 "-")</f>
        <v>-</v>
      </c>
      <c r="E52" s="145" t="str" cm="1">
        <f t="array" ref="E5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2" s="145" t="str" cm="1">
        <f t="array" ref="F5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2" s="145" t="str" cm="1">
        <f t="array" ref="G5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INDEX((standard_components_189[[#This Row],[Component]]=factor_eff_table[Component])*(standard_components_189[[#This Row],[Service]]=factor_eff_table[Service]), 0, 1), 0)),
 "-")</f>
        <v>-</v>
      </c>
      <c r="E53" s="145" t="str" cm="1">
        <f t="array" ref="E5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3" s="145" t="str" cm="1">
        <f t="array" ref="F5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3" s="145" t="str" cm="1">
        <f t="array" ref="G5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INDEX((standard_components_189[[#This Row],[Component]]=factor_eff_table[Component])*(standard_components_189[[#This Row],[Service]]=factor_eff_table[Service]), 0, 1), 0)),
 "-")</f>
        <v>-</v>
      </c>
      <c r="E54" s="145" t="str" cm="1">
        <f t="array" ref="E5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4" s="145" t="str" cm="1">
        <f t="array" ref="F5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4" s="145" t="str" cm="1">
        <f t="array" ref="G5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INDEX((standard_components_189[[#This Row],[Component]]=factor_eff_table[Component])*(standard_components_189[[#This Row],[Service]]=factor_eff_table[Service]), 0, 1), 0)),
 "-")</f>
        <v>-</v>
      </c>
      <c r="E55" s="145" t="str" cm="1">
        <f t="array" ref="E5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5" s="145" t="str" cm="1">
        <f t="array" ref="F5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5" s="145" t="str" cm="1">
        <f t="array" ref="G5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INDEX((standard_components_189[[#This Row],[Component]]=factor_eff_table[Component])*(standard_components_189[[#This Row],[Service]]=factor_eff_table[Service]), 0, 1), 0)),
 "-")</f>
        <v>-</v>
      </c>
      <c r="E56" s="145" t="str" cm="1">
        <f t="array" ref="E5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6" s="145" t="str" cm="1">
        <f t="array" ref="F5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6" s="145" t="str" cm="1">
        <f t="array" ref="G5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INDEX((standard_components_189[[#This Row],[Component]]=factor_eff_table[Component])*(standard_components_189[[#This Row],[Service]]=factor_eff_table[Service]), 0, 1), 0)),
 "-")</f>
        <v>-</v>
      </c>
      <c r="E57" s="145" t="str" cm="1">
        <f t="array" ref="E5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7" s="145" t="str" cm="1">
        <f t="array" ref="F5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7" s="145" t="str" cm="1">
        <f t="array" ref="G5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INDEX((standard_components_189[[#This Row],[Component]]=factor_eff_table[Component])*(standard_components_189[[#This Row],[Service]]=factor_eff_table[Service]), 0, 1), 0)),
 "-")</f>
        <v>-</v>
      </c>
      <c r="E58" s="145" t="str" cm="1">
        <f t="array" ref="E5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8" s="145" t="str" cm="1">
        <f t="array" ref="F5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8" s="145" t="str" cm="1">
        <f t="array" ref="G5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INDEX((standard_components_189[[#This Row],[Component]]=factor_eff_table[Component])*(standard_components_189[[#This Row],[Service]]=factor_eff_table[Service]), 0, 1), 0)),
 "-")</f>
        <v>-</v>
      </c>
      <c r="E59" s="145" t="str" cm="1">
        <f t="array" ref="E5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59" s="145" t="str" cm="1">
        <f t="array" ref="F5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59" s="145" t="str" cm="1">
        <f t="array" ref="G5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5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5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INDEX((standard_components_189[[#This Row],[Component]]=factor_eff_table[Component])*(standard_components_189[[#This Row],[Service]]=factor_eff_table[Service]), 0, 1), 0)),
 "-")</f>
        <v>-</v>
      </c>
      <c r="E60" s="145" t="str" cm="1">
        <f t="array" ref="E6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0" s="145" t="str" cm="1">
        <f t="array" ref="F6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0" s="145" t="str" cm="1">
        <f t="array" ref="G6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INDEX((standard_components_189[[#This Row],[Component]]=factor_eff_table[Component])*(standard_components_189[[#This Row],[Service]]=factor_eff_table[Service]), 0, 1), 0)),
 "-")</f>
        <v>-</v>
      </c>
      <c r="E61" s="145" t="str" cm="1">
        <f t="array" ref="E6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1" s="145" t="str" cm="1">
        <f t="array" ref="F6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1" s="145" t="str" cm="1">
        <f t="array" ref="G6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INDEX((standard_components_189[[#This Row],[Component]]=factor_eff_table[Component])*(standard_components_189[[#This Row],[Service]]=factor_eff_table[Service]), 0, 1), 0)),
 "-")</f>
        <v>-</v>
      </c>
      <c r="E62" s="145" t="str" cm="1">
        <f t="array" ref="E6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2" s="145" t="str" cm="1">
        <f t="array" ref="F6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2" s="145" t="str" cm="1">
        <f t="array" ref="G6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INDEX((standard_components_189[[#This Row],[Component]]=factor_eff_table[Component])*(standard_components_189[[#This Row],[Service]]=factor_eff_table[Service]), 0, 1), 0)),
 "-")</f>
        <v>-</v>
      </c>
      <c r="E63" s="145" t="str" cm="1">
        <f t="array" ref="E6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3" s="145" t="str" cm="1">
        <f t="array" ref="F6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3" s="145" t="str" cm="1">
        <f t="array" ref="G6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INDEX((standard_components_189[[#This Row],[Component]]=factor_eff_table[Component])*(standard_components_189[[#This Row],[Service]]=factor_eff_table[Service]), 0, 1), 0)),
 "-")</f>
        <v>-</v>
      </c>
      <c r="E64" s="145" t="str" cm="1">
        <f t="array" ref="E6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4" s="145" t="str" cm="1">
        <f t="array" ref="F6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4" s="145" t="str" cm="1">
        <f t="array" ref="G6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INDEX((standard_components_189[[#This Row],[Component]]=factor_eff_table[Component])*(standard_components_189[[#This Row],[Service]]=factor_eff_table[Service]), 0, 1), 0)),
 "-")</f>
        <v>-</v>
      </c>
      <c r="E65" s="145" t="str" cm="1">
        <f t="array" ref="E6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5" s="145" t="str" cm="1">
        <f t="array" ref="F6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5" s="145" t="str" cm="1">
        <f t="array" ref="G6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INDEX((standard_components_189[[#This Row],[Component]]=factor_eff_table[Component])*(standard_components_189[[#This Row],[Service]]=factor_eff_table[Service]), 0, 1), 0)),
 "-")</f>
        <v>-</v>
      </c>
      <c r="E66" s="145" t="str" cm="1">
        <f t="array" ref="E6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6" s="145" t="str" cm="1">
        <f t="array" ref="F6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6" s="145" t="str" cm="1">
        <f t="array" ref="G6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INDEX((standard_components_189[[#This Row],[Component]]=factor_eff_table[Component])*(standard_components_189[[#This Row],[Service]]=factor_eff_table[Service]), 0, 1), 0)),
 "-")</f>
        <v>-</v>
      </c>
      <c r="E67" s="145" t="str" cm="1">
        <f t="array" ref="E6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7" s="145" t="str" cm="1">
        <f t="array" ref="F6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7" s="145" t="str" cm="1">
        <f t="array" ref="G6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INDEX((standard_components_189[[#This Row],[Component]]=factor_eff_table[Component])*(standard_components_189[[#This Row],[Service]]=factor_eff_table[Service]), 0, 1), 0)),
 "-")</f>
        <v>-</v>
      </c>
      <c r="E68" s="145" t="str" cm="1">
        <f t="array" ref="E6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8" s="145" t="str" cm="1">
        <f t="array" ref="F6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8" s="145" t="str" cm="1">
        <f t="array" ref="G6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INDEX((standard_components_189[[#This Row],[Component]]=factor_eff_table[Component])*(standard_components_189[[#This Row],[Service]]=factor_eff_table[Service]), 0, 1), 0)),
 "-")</f>
        <v>-</v>
      </c>
      <c r="E69" s="145" t="str" cm="1">
        <f t="array" ref="E6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69" s="145" t="str" cm="1">
        <f t="array" ref="F6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69" s="145" t="str" cm="1">
        <f t="array" ref="G6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6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6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INDEX((standard_components_189[[#This Row],[Component]]=factor_eff_table[Component])*(standard_components_189[[#This Row],[Service]]=factor_eff_table[Service]), 0, 1), 0)),
 "-")</f>
        <v>-</v>
      </c>
      <c r="E70" s="145" t="str" cm="1">
        <f t="array" ref="E7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0" s="145" t="str" cm="1">
        <f t="array" ref="F7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0" s="145" t="str" cm="1">
        <f t="array" ref="G7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INDEX((standard_components_189[[#This Row],[Component]]=factor_eff_table[Component])*(standard_components_189[[#This Row],[Service]]=factor_eff_table[Service]), 0, 1), 0)),
 "-")</f>
        <v>-</v>
      </c>
      <c r="E71" s="145" t="str" cm="1">
        <f t="array" ref="E7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1" s="145" t="str" cm="1">
        <f t="array" ref="F7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1" s="145" t="str" cm="1">
        <f t="array" ref="G7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INDEX((standard_components_189[[#This Row],[Component]]=factor_eff_table[Component])*(standard_components_189[[#This Row],[Service]]=factor_eff_table[Service]), 0, 1), 0)),
 "-")</f>
        <v>-</v>
      </c>
      <c r="E72" s="145" t="str" cm="1">
        <f t="array" ref="E7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2" s="145" t="str" cm="1">
        <f t="array" ref="F7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2" s="145" t="str" cm="1">
        <f t="array" ref="G7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INDEX((standard_components_189[[#This Row],[Component]]=factor_eff_table[Component])*(standard_components_189[[#This Row],[Service]]=factor_eff_table[Service]), 0, 1), 0)),
 "-")</f>
        <v>-</v>
      </c>
      <c r="E73" s="145" t="str" cm="1">
        <f t="array" ref="E7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3" s="145" t="str" cm="1">
        <f t="array" ref="F7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3" s="145" t="str" cm="1">
        <f t="array" ref="G7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INDEX((standard_components_189[[#This Row],[Component]]=factor_eff_table[Component])*(standard_components_189[[#This Row],[Service]]=factor_eff_table[Service]), 0, 1), 0)),
 "-")</f>
        <v>-</v>
      </c>
      <c r="E74" s="145" t="str" cm="1">
        <f t="array" ref="E7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4" s="145" t="str" cm="1">
        <f t="array" ref="F7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4" s="145" t="str" cm="1">
        <f t="array" ref="G7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INDEX((standard_components_189[[#This Row],[Component]]=factor_eff_table[Component])*(standard_components_189[[#This Row],[Service]]=factor_eff_table[Service]), 0, 1), 0)),
 "-")</f>
        <v>-</v>
      </c>
      <c r="E75" s="145" t="str" cm="1">
        <f t="array" ref="E7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5" s="145" t="str" cm="1">
        <f t="array" ref="F7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5" s="145" t="str" cm="1">
        <f t="array" ref="G7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INDEX((standard_components_189[[#This Row],[Component]]=factor_eff_table[Component])*(standard_components_189[[#This Row],[Service]]=factor_eff_table[Service]), 0, 1), 0)),
 "-")</f>
        <v>-</v>
      </c>
      <c r="E76" s="145" t="str" cm="1">
        <f t="array" ref="E7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6" s="145" t="str" cm="1">
        <f t="array" ref="F7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6" s="145" t="str" cm="1">
        <f t="array" ref="G7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INDEX((standard_components_189[[#This Row],[Component]]=factor_eff_table[Component])*(standard_components_189[[#This Row],[Service]]=factor_eff_table[Service]), 0, 1), 0)),
 "-")</f>
        <v>-</v>
      </c>
      <c r="E77" s="145" t="str" cm="1">
        <f t="array" ref="E7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7" s="145" t="str" cm="1">
        <f t="array" ref="F7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7" s="145" t="str" cm="1">
        <f t="array" ref="G7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INDEX((standard_components_189[[#This Row],[Component]]=factor_eff_table[Component])*(standard_components_189[[#This Row],[Service]]=factor_eff_table[Service]), 0, 1), 0)),
 "-")</f>
        <v>-</v>
      </c>
      <c r="E78" s="145" t="str" cm="1">
        <f t="array" ref="E7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8" s="145" t="str" cm="1">
        <f t="array" ref="F7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8" s="145" t="str" cm="1">
        <f t="array" ref="G7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INDEX((standard_components_189[[#This Row],[Component]]=factor_eff_table[Component])*(standard_components_189[[#This Row],[Service]]=factor_eff_table[Service]), 0, 1), 0)),
 "-")</f>
        <v>-</v>
      </c>
      <c r="E79" s="145" t="str" cm="1">
        <f t="array" ref="E7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79" s="145" t="str" cm="1">
        <f t="array" ref="F7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79" s="145" t="str" cm="1">
        <f t="array" ref="G7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7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7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INDEX((standard_components_189[[#This Row],[Component]]=factor_eff_table[Component])*(standard_components_189[[#This Row],[Service]]=factor_eff_table[Service]), 0, 1), 0)),
 "-")</f>
        <v>-</v>
      </c>
      <c r="E80" s="145" t="str" cm="1">
        <f t="array" ref="E8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0" s="145" t="str" cm="1">
        <f t="array" ref="F8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0" s="145" t="str" cm="1">
        <f t="array" ref="G8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INDEX((standard_components_189[[#This Row],[Component]]=factor_eff_table[Component])*(standard_components_189[[#This Row],[Service]]=factor_eff_table[Service]), 0, 1), 0)),
 "-")</f>
        <v>-</v>
      </c>
      <c r="E81" s="145" t="str" cm="1">
        <f t="array" ref="E8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1" s="145" t="str" cm="1">
        <f t="array" ref="F8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1" s="145" t="str" cm="1">
        <f t="array" ref="G8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INDEX((standard_components_189[[#This Row],[Component]]=factor_eff_table[Component])*(standard_components_189[[#This Row],[Service]]=factor_eff_table[Service]), 0, 1), 0)),
 "-")</f>
        <v>-</v>
      </c>
      <c r="E82" s="145" t="str" cm="1">
        <f t="array" ref="E8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2" s="145" t="str" cm="1">
        <f t="array" ref="F8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2" s="145" t="str" cm="1">
        <f t="array" ref="G8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INDEX((standard_components_189[[#This Row],[Component]]=factor_eff_table[Component])*(standard_components_189[[#This Row],[Service]]=factor_eff_table[Service]), 0, 1), 0)),
 "-")</f>
        <v>-</v>
      </c>
      <c r="E83" s="145" t="str" cm="1">
        <f t="array" ref="E8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3" s="145" t="str" cm="1">
        <f t="array" ref="F8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3" s="145" t="str" cm="1">
        <f t="array" ref="G8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INDEX((standard_components_189[[#This Row],[Component]]=factor_eff_table[Component])*(standard_components_189[[#This Row],[Service]]=factor_eff_table[Service]), 0, 1), 0)),
 "-")</f>
        <v>-</v>
      </c>
      <c r="E84" s="145" t="str" cm="1">
        <f t="array" ref="E8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4" s="145" t="str" cm="1">
        <f t="array" ref="F8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4" s="145" t="str" cm="1">
        <f t="array" ref="G8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INDEX((standard_components_189[[#This Row],[Component]]=factor_eff_table[Component])*(standard_components_189[[#This Row],[Service]]=factor_eff_table[Service]), 0, 1), 0)),
 "-")</f>
        <v>-</v>
      </c>
      <c r="E85" s="145" t="str" cm="1">
        <f t="array" ref="E8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5" s="145" t="str" cm="1">
        <f t="array" ref="F8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5" s="145" t="str" cm="1">
        <f t="array" ref="G8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INDEX((standard_components_189[[#This Row],[Component]]=factor_eff_table[Component])*(standard_components_189[[#This Row],[Service]]=factor_eff_table[Service]), 0, 1), 0)),
 "-")</f>
        <v>-</v>
      </c>
      <c r="E86" s="145" t="str" cm="1">
        <f t="array" ref="E8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6" s="145" t="str" cm="1">
        <f t="array" ref="F8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6" s="145" t="str" cm="1">
        <f t="array" ref="G8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INDEX((standard_components_189[[#This Row],[Component]]=factor_eff_table[Component])*(standard_components_189[[#This Row],[Service]]=factor_eff_table[Service]), 0, 1), 0)),
 "-")</f>
        <v>-</v>
      </c>
      <c r="E87" s="145" t="str" cm="1">
        <f t="array" ref="E8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7" s="145" t="str" cm="1">
        <f t="array" ref="F8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7" s="145" t="str" cm="1">
        <f t="array" ref="G8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INDEX((standard_components_189[[#This Row],[Component]]=factor_eff_table[Component])*(standard_components_189[[#This Row],[Service]]=factor_eff_table[Service]), 0, 1), 0)),
 "-")</f>
        <v>-</v>
      </c>
      <c r="E88" s="145" t="str" cm="1">
        <f t="array" ref="E8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8" s="145" t="str" cm="1">
        <f t="array" ref="F8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8" s="145" t="str" cm="1">
        <f t="array" ref="G8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INDEX((standard_components_189[[#This Row],[Component]]=factor_eff_table[Component])*(standard_components_189[[#This Row],[Service]]=factor_eff_table[Service]), 0, 1), 0)),
 "-")</f>
        <v>-</v>
      </c>
      <c r="E89" s="145" t="str" cm="1">
        <f t="array" ref="E8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89" s="145" t="str" cm="1">
        <f t="array" ref="F8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89" s="145" t="str" cm="1">
        <f t="array" ref="G8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8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8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INDEX((standard_components_189[[#This Row],[Component]]=factor_eff_table[Component])*(standard_components_189[[#This Row],[Service]]=factor_eff_table[Service]), 0, 1), 0)),
 "-")</f>
        <v>-</v>
      </c>
      <c r="E90" s="145" t="str" cm="1">
        <f t="array" ref="E9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0" s="145" t="str" cm="1">
        <f t="array" ref="F9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0" s="145" t="str" cm="1">
        <f t="array" ref="G9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INDEX((standard_components_189[[#This Row],[Component]]=factor_eff_table[Component])*(standard_components_189[[#This Row],[Service]]=factor_eff_table[Service]), 0, 1), 0)),
 "-")</f>
        <v>-</v>
      </c>
      <c r="E91" s="145" t="str" cm="1">
        <f t="array" ref="E91">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1" s="145" t="str" cm="1">
        <f t="array" ref="F91">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1" s="145" t="str" cm="1">
        <f t="array" ref="G91">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1"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1"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INDEX((standard_components_189[[#This Row],[Component]]=factor_eff_table[Component])*(standard_components_189[[#This Row],[Service]]=factor_eff_table[Service]), 0, 1), 0)),
 "-")</f>
        <v>-</v>
      </c>
      <c r="E92" s="145" t="str" cm="1">
        <f t="array" ref="E92">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2" s="145" t="str" cm="1">
        <f t="array" ref="F92">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2" s="145" t="str" cm="1">
        <f t="array" ref="G92">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2"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2"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INDEX((standard_components_189[[#This Row],[Component]]=factor_eff_table[Component])*(standard_components_189[[#This Row],[Service]]=factor_eff_table[Service]), 0, 1), 0)),
 "-")</f>
        <v>-</v>
      </c>
      <c r="E93" s="145" t="str" cm="1">
        <f t="array" ref="E93">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3" s="145" t="str" cm="1">
        <f t="array" ref="F93">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3" s="145" t="str" cm="1">
        <f t="array" ref="G93">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3"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3"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INDEX((standard_components_189[[#This Row],[Component]]=factor_eff_table[Component])*(standard_components_189[[#This Row],[Service]]=factor_eff_table[Service]), 0, 1), 0)),
 "-")</f>
        <v>-</v>
      </c>
      <c r="E94" s="145" t="str" cm="1">
        <f t="array" ref="E94">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4" s="145" t="str" cm="1">
        <f t="array" ref="F94">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4" s="145" t="str" cm="1">
        <f t="array" ref="G94">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4"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4"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INDEX((standard_components_189[[#This Row],[Component]]=factor_eff_table[Component])*(standard_components_189[[#This Row],[Service]]=factor_eff_table[Service]), 0, 1), 0)),
 "-")</f>
        <v>-</v>
      </c>
      <c r="E95" s="145" t="str" cm="1">
        <f t="array" ref="E95">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5" s="145" t="str" cm="1">
        <f t="array" ref="F95">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5" s="145" t="str" cm="1">
        <f t="array" ref="G95">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5"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5"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INDEX((standard_components_189[[#This Row],[Component]]=factor_eff_table[Component])*(standard_components_189[[#This Row],[Service]]=factor_eff_table[Service]), 0, 1), 0)),
 "-")</f>
        <v>-</v>
      </c>
      <c r="E96" s="145" t="str" cm="1">
        <f t="array" ref="E96">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6" s="145" t="str" cm="1">
        <f t="array" ref="F96">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6" s="145" t="str" cm="1">
        <f t="array" ref="G96">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6"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6"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INDEX((standard_components_189[[#This Row],[Component]]=factor_eff_table[Component])*(standard_components_189[[#This Row],[Service]]=factor_eff_table[Service]), 0, 1), 0)),
 "-")</f>
        <v>-</v>
      </c>
      <c r="E97" s="145" t="str" cm="1">
        <f t="array" ref="E97">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7" s="145" t="str" cm="1">
        <f t="array" ref="F97">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7" s="145" t="str" cm="1">
        <f t="array" ref="G97">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7"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7"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INDEX((standard_components_189[[#This Row],[Component]]=factor_eff_table[Component])*(standard_components_189[[#This Row],[Service]]=factor_eff_table[Service]), 0, 1), 0)),
 "-")</f>
        <v>-</v>
      </c>
      <c r="E98" s="145" t="str" cm="1">
        <f t="array" ref="E98">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8" s="145" t="str" cm="1">
        <f t="array" ref="F98">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8" s="145" t="str" cm="1">
        <f t="array" ref="G98">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8"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8"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INDEX((standard_components_189[[#This Row],[Component]]=factor_eff_table[Component])*(standard_components_189[[#This Row],[Service]]=factor_eff_table[Service]), 0, 1), 0)),
 "-")</f>
        <v>-</v>
      </c>
      <c r="E99" s="145" t="str" cm="1">
        <f t="array" ref="E99">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99" s="145" t="str" cm="1">
        <f t="array" ref="F99">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99" s="145" t="str" cm="1">
        <f t="array" ref="G99">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99"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99"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INDEX((standard_components_189[[#This Row],[Component]]=factor_eff_table[Component])*(standard_components_189[[#This Row],[Service]]=factor_eff_table[Service]), 0, 1), 0)),
 "-")</f>
        <v>-</v>
      </c>
      <c r="E100" s="145" t="str" cm="1">
        <f t="array" ref="E100">IF(AND(process_drain_bool="Yes",LEFT(standard_components_189[[#This Row],[Component]], LEN("Process drains"))="Process Drains", ISBLANK(instrument_ldar)=FALSE), process_drain_eff,
IFERROR(
INDEX(
INDEX(factor_eff_table[], , MATCH(instrument_ldar, factor_eff_table[#Headers], 0)),
MATCH(1, INDEX((standard_components_189[[#This Row],[Component]]=factor_eff_table[Component])*(standard_components_189[[#This Row],[Service]]=factor_eff_table[Service]), 0, 1), 0)),
 "-"))</f>
        <v>-</v>
      </c>
      <c r="F100" s="145" t="str" cm="1">
        <f t="array" ref="F100">IF(AND(process_drain_bool="Yes",LEFT(standard_components_189[[#This Row],[Component]], LEN("Process drains"))="Process Drains", ISBLANK(connector_ldar)=FALSE), process_drain_eff,
IFERROR(
INDEX(
INDEX(factor_eff_table[], , MATCH(connector_ldar, factor_eff_table[#Headers], 0)),
MATCH(1, INDEX((standard_components_189[[#This Row],[Component]]=factor_eff_table[Component])*(standard_components_189[[#This Row],[Service]]=factor_eff_table[Service]), 0, 1), 0)),
 "-"))</f>
        <v>-</v>
      </c>
      <c r="G100" s="145" t="str" cm="1">
        <f t="array" ref="G100">IF(AND(process_drain_bool="Yes",LEFT(standard_components_189[[#This Row],[Component]], LEN("Process Drains"))="Process Drains", ISBLANK(inspection_ldar)=FALSE), process_drain_eff,
IFERROR(
INDEX(
INDEX(factor_eff_table[], , MATCH(inspection_ldar, factor_eff_table[#Headers], 0)),
MATCH(1, INDEX((standard_components_189[[#This Row],[Component]]=factor_eff_table[Component])*(standard_components_189[[#This Row],[Service]]=factor_eff_table[Service]), 0, 1), 0)),
 "-"))</f>
        <v>-</v>
      </c>
      <c r="H100" s="146" t="str">
        <f>IF(standard_components_189[[#This Row],[Component]]="Sampling Connections (annual) [2]", "N/A",
 IF(standard_components_189[[#This Row],[Component]]="Sampling Connections (hourly) [1]", standard_components_189[[#This Row],[Count]]*standard_components_189[[#This Row],[Industry Emission Factor]],
IFERROR(standard_components_189[[#This Row],[Count]]*standard_components_189[[#This Row],[Industry Emission Factor]]*MIN(1-standard_components_189[[#This Row],[Instrument Monitoring LDAR Control Efficiency]], 1-standard_components_189[[#This Row],[Physical Inspection LDAR Control Efficiency]], 1-standard_components_189[[#This Row],[Connector Monitoring LDAR Control Efficiency]]), "-")))</f>
        <v>-</v>
      </c>
      <c r="I100" s="146" t="str">
        <f>IF(standard_components_189[[#This Row],[Component]]="Sampling Connections (hourly) [1]", "N/A",
 IF(standard_components_189[[#This Row],[Component]]="Sampling Connections (annual) [2]", standard_components_189[[#This Row],[Count]]*standard_components_189[[#This Row],[Industry Emission Factor]]/stons_to_lbs,
 IFERROR(years_to_hrs/stons_to_lbs*standard_components_189[[#This Row],[Controlled
lb/hr]], "-")))</f>
        <v>-</v>
      </c>
    </row>
    <row r="101" spans="1:9" ht="15" x14ac:dyDescent="0.25">
      <c r="A101" s="147" t="s">
        <v>12776</v>
      </c>
      <c r="B101" s="148"/>
      <c r="C101" s="149">
        <f>SUBTOTAL(109,standard_components_189[Count])</f>
        <v>0</v>
      </c>
      <c r="D101" s="150"/>
      <c r="E101" s="150"/>
      <c r="F101" s="150"/>
      <c r="G101" s="150"/>
      <c r="H101" s="151">
        <f>SUBTOTAL(109,standard_components_189[Controlled
lb/hr])</f>
        <v>0</v>
      </c>
      <c r="I101" s="151">
        <f>SUBTOTAL(109,standard_components_189[Controlled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unique_components_190[[#This Row],[Count]]*unique_components_190[[#This Row],[Proposed Emission Factor]]*(1-unique_components_190[[#This Row],[Proposed Control Efficiency]])</f>
        <v>0</v>
      </c>
      <c r="G107" s="155">
        <f>IFERROR(unique_components_190[[#This Row],[Controlled lb/hr]]*4.38,"")</f>
        <v>0</v>
      </c>
    </row>
    <row r="108" spans="1:9" x14ac:dyDescent="0.2">
      <c r="A108" s="103"/>
      <c r="B108" s="104"/>
      <c r="C108" s="153"/>
      <c r="D108" s="154"/>
      <c r="E108" s="154"/>
      <c r="F108" s="146">
        <f>unique_components_190[[#This Row],[Count]]*unique_components_190[[#This Row],[Proposed Emission Factor]]*(1-unique_components_190[[#This Row],[Proposed Control Efficiency]])</f>
        <v>0</v>
      </c>
      <c r="G108" s="155">
        <f>IFERROR(unique_components_190[[#This Row],[Controlled lb/hr]]*4.38,"")</f>
        <v>0</v>
      </c>
    </row>
    <row r="109" spans="1:9" x14ac:dyDescent="0.2">
      <c r="A109" s="103"/>
      <c r="B109" s="104"/>
      <c r="C109" s="153"/>
      <c r="D109" s="154"/>
      <c r="E109" s="154"/>
      <c r="F109" s="146">
        <f>unique_components_190[[#This Row],[Count]]*unique_components_190[[#This Row],[Proposed Emission Factor]]*(1-unique_components_190[[#This Row],[Proposed Control Efficiency]])</f>
        <v>0</v>
      </c>
      <c r="G109" s="155">
        <f>IFERROR(unique_components_190[[#This Row],[Controlled lb/hr]]*4.38,"")</f>
        <v>0</v>
      </c>
    </row>
    <row r="110" spans="1:9" x14ac:dyDescent="0.2">
      <c r="A110" s="103"/>
      <c r="B110" s="104"/>
      <c r="C110" s="153"/>
      <c r="D110" s="154"/>
      <c r="E110" s="154"/>
      <c r="F110" s="146">
        <f>unique_components_190[[#This Row],[Count]]*unique_components_190[[#This Row],[Proposed Emission Factor]]*(1-unique_components_190[[#This Row],[Proposed Control Efficiency]])</f>
        <v>0</v>
      </c>
      <c r="G110" s="155">
        <f>IFERROR(unique_components_190[[#This Row],[Controlled lb/hr]]*4.38,"")</f>
        <v>0</v>
      </c>
    </row>
    <row r="111" spans="1:9" x14ac:dyDescent="0.2">
      <c r="A111" s="103"/>
      <c r="B111" s="104"/>
      <c r="C111" s="153"/>
      <c r="D111" s="154"/>
      <c r="E111" s="154"/>
      <c r="F111" s="146">
        <f>unique_components_190[[#This Row],[Count]]*unique_components_190[[#This Row],[Proposed Emission Factor]]*(1-unique_components_190[[#This Row],[Proposed Control Efficiency]])</f>
        <v>0</v>
      </c>
      <c r="G111" s="155">
        <f>IFERROR(unique_components_190[[#This Row],[Controlled lb/hr]]*4.38,"")</f>
        <v>0</v>
      </c>
    </row>
    <row r="112" spans="1:9" x14ac:dyDescent="0.2">
      <c r="A112" s="103"/>
      <c r="B112" s="104"/>
      <c r="C112" s="153"/>
      <c r="D112" s="154"/>
      <c r="E112" s="154"/>
      <c r="F112" s="146">
        <f>unique_components_190[[#This Row],[Count]]*unique_components_190[[#This Row],[Proposed Emission Factor]]*(1-unique_components_190[[#This Row],[Proposed Control Efficiency]])</f>
        <v>0</v>
      </c>
      <c r="G112" s="155">
        <f>IFERROR(unique_components_190[[#This Row],[Controlled lb/hr]]*4.38,"")</f>
        <v>0</v>
      </c>
    </row>
    <row r="113" spans="1:8" x14ac:dyDescent="0.2">
      <c r="A113" s="103"/>
      <c r="B113" s="104"/>
      <c r="C113" s="153"/>
      <c r="D113" s="154"/>
      <c r="E113" s="154"/>
      <c r="F113" s="146">
        <f>unique_components_190[[#This Row],[Count]]*unique_components_190[[#This Row],[Proposed Emission Factor]]*(1-unique_components_190[[#This Row],[Proposed Control Efficiency]])</f>
        <v>0</v>
      </c>
      <c r="G113" s="155">
        <f>IFERROR(unique_components_190[[#This Row],[Controlled lb/hr]]*4.38,"")</f>
        <v>0</v>
      </c>
    </row>
    <row r="114" spans="1:8" x14ac:dyDescent="0.2">
      <c r="A114" s="103"/>
      <c r="B114" s="104"/>
      <c r="C114" s="153"/>
      <c r="D114" s="154"/>
      <c r="E114" s="154"/>
      <c r="F114" s="146">
        <f>unique_components_190[[#This Row],[Count]]*unique_components_190[[#This Row],[Proposed Emission Factor]]*(1-unique_components_190[[#This Row],[Proposed Control Efficiency]])</f>
        <v>0</v>
      </c>
      <c r="G114" s="155">
        <f>IFERROR(unique_components_190[[#This Row],[Controlled lb/hr]]*4.38,"")</f>
        <v>0</v>
      </c>
    </row>
    <row r="115" spans="1:8" x14ac:dyDescent="0.2">
      <c r="A115" s="103"/>
      <c r="B115" s="104"/>
      <c r="C115" s="153"/>
      <c r="D115" s="154"/>
      <c r="E115" s="154"/>
      <c r="F115" s="146">
        <f>unique_components_190[[#This Row],[Count]]*unique_components_190[[#This Row],[Proposed Emission Factor]]*(1-unique_components_190[[#This Row],[Proposed Control Efficiency]])</f>
        <v>0</v>
      </c>
      <c r="G115" s="155">
        <f>IFERROR(unique_components_190[[#This Row],[Controlled lb/hr]]*4.38,"")</f>
        <v>0</v>
      </c>
    </row>
    <row r="116" spans="1:8" x14ac:dyDescent="0.2">
      <c r="A116" s="103"/>
      <c r="B116" s="104"/>
      <c r="C116" s="153"/>
      <c r="D116" s="154"/>
      <c r="E116" s="154"/>
      <c r="F116" s="146">
        <f>unique_components_190[[#This Row],[Count]]*unique_components_190[[#This Row],[Proposed Emission Factor]]*(1-unique_components_190[[#This Row],[Proposed Control Efficiency]])</f>
        <v>0</v>
      </c>
      <c r="G116" s="155">
        <f>IFERROR(unique_components_190[[#This Row],[Controlled lb/hr]]*4.38,"")</f>
        <v>0</v>
      </c>
    </row>
    <row r="117" spans="1:8" x14ac:dyDescent="0.2">
      <c r="A117" s="103"/>
      <c r="B117" s="104"/>
      <c r="C117" s="153"/>
      <c r="D117" s="154"/>
      <c r="E117" s="154"/>
      <c r="F117" s="146">
        <f>unique_components_190[[#This Row],[Count]]*unique_components_190[[#This Row],[Proposed Emission Factor]]*(1-unique_components_190[[#This Row],[Proposed Control Efficiency]])</f>
        <v>0</v>
      </c>
      <c r="G117" s="155">
        <f>IFERROR(unique_components_190[[#This Row],[Controlled lb/hr]]*4.38,"")</f>
        <v>0</v>
      </c>
    </row>
    <row r="118" spans="1:8" x14ac:dyDescent="0.2">
      <c r="A118" s="103"/>
      <c r="B118" s="104"/>
      <c r="C118" s="153"/>
      <c r="D118" s="154"/>
      <c r="E118" s="154"/>
      <c r="F118" s="146">
        <f>unique_components_190[[#This Row],[Count]]*unique_components_190[[#This Row],[Proposed Emission Factor]]*(1-unique_components_190[[#This Row],[Proposed Control Efficiency]])</f>
        <v>0</v>
      </c>
      <c r="G118" s="155">
        <f>IFERROR(unique_components_190[[#This Row],[Controlled lb/hr]]*4.38,"")</f>
        <v>0</v>
      </c>
    </row>
    <row r="119" spans="1:8" x14ac:dyDescent="0.2">
      <c r="A119" s="103"/>
      <c r="B119" s="104"/>
      <c r="C119" s="153"/>
      <c r="D119" s="154"/>
      <c r="E119" s="154"/>
      <c r="F119" s="146">
        <f>unique_components_190[[#This Row],[Count]]*unique_components_190[[#This Row],[Proposed Emission Factor]]*(1-unique_components_190[[#This Row],[Proposed Control Efficiency]])</f>
        <v>0</v>
      </c>
      <c r="G119" s="155">
        <f>IFERROR(unique_components_190[[#This Row],[Controlled lb/hr]]*4.38,"")</f>
        <v>0</v>
      </c>
    </row>
    <row r="120" spans="1:8" x14ac:dyDescent="0.2">
      <c r="A120" s="103"/>
      <c r="B120" s="104"/>
      <c r="C120" s="153"/>
      <c r="D120" s="154"/>
      <c r="E120" s="154"/>
      <c r="F120" s="146">
        <f>unique_components_190[[#This Row],[Count]]*unique_components_190[[#This Row],[Proposed Emission Factor]]*(1-unique_components_190[[#This Row],[Proposed Control Efficiency]])</f>
        <v>0</v>
      </c>
      <c r="G120" s="155">
        <f>IFERROR(unique_components_190[[#This Row],[Controlled lb/hr]]*4.38,"")</f>
        <v>0</v>
      </c>
    </row>
    <row r="121" spans="1:8" x14ac:dyDescent="0.2">
      <c r="A121" s="103"/>
      <c r="B121" s="104"/>
      <c r="C121" s="153"/>
      <c r="D121" s="154"/>
      <c r="E121" s="154"/>
      <c r="F121" s="146">
        <f>unique_components_190[[#This Row],[Count]]*unique_components_190[[#This Row],[Proposed Emission Factor]]*(1-unique_components_190[[#This Row],[Proposed Control Efficiency]])</f>
        <v>0</v>
      </c>
      <c r="G121" s="155">
        <f>IFERROR(unique_components_190[[#This Row],[Controlled lb/hr]]*4.38,"")</f>
        <v>0</v>
      </c>
    </row>
    <row r="122" spans="1:8" x14ac:dyDescent="0.2">
      <c r="A122" s="103"/>
      <c r="B122" s="104"/>
      <c r="C122" s="153"/>
      <c r="D122" s="154"/>
      <c r="E122" s="154"/>
      <c r="F122" s="146">
        <f>unique_components_190[[#This Row],[Count]]*unique_components_190[[#This Row],[Proposed Emission Factor]]*(1-unique_components_190[[#This Row],[Proposed Control Efficiency]])</f>
        <v>0</v>
      </c>
      <c r="G122" s="155">
        <f>IFERROR(unique_components_190[[#This Row],[Controlled lb/hr]]*4.38,"")</f>
        <v>0</v>
      </c>
    </row>
    <row r="123" spans="1:8" x14ac:dyDescent="0.2">
      <c r="A123" s="103"/>
      <c r="B123" s="104"/>
      <c r="C123" s="153"/>
      <c r="D123" s="154"/>
      <c r="E123" s="154"/>
      <c r="F123" s="146">
        <f>unique_components_190[[#This Row],[Count]]*unique_components_190[[#This Row],[Proposed Emission Factor]]*(1-unique_components_190[[#This Row],[Proposed Control Efficiency]])</f>
        <v>0</v>
      </c>
      <c r="G123" s="155">
        <f>IFERROR(unique_components_190[[#This Row],[Controlled lb/hr]]*4.38,"")</f>
        <v>0</v>
      </c>
    </row>
    <row r="124" spans="1:8" x14ac:dyDescent="0.2">
      <c r="A124" s="103"/>
      <c r="B124" s="104"/>
      <c r="C124" s="153"/>
      <c r="D124" s="154"/>
      <c r="E124" s="154"/>
      <c r="F124" s="146">
        <f>unique_components_190[[#This Row],[Count]]*unique_components_190[[#This Row],[Proposed Emission Factor]]*(1-unique_components_190[[#This Row],[Proposed Control Efficiency]])</f>
        <v>0</v>
      </c>
      <c r="G124" s="155">
        <f>IFERROR(unique_components_190[[#This Row],[Controlled lb/hr]]*4.38,"")</f>
        <v>0</v>
      </c>
    </row>
    <row r="125" spans="1:8" x14ac:dyDescent="0.2">
      <c r="A125" s="103"/>
      <c r="B125" s="104"/>
      <c r="C125" s="153"/>
      <c r="D125" s="154"/>
      <c r="E125" s="154"/>
      <c r="F125" s="146">
        <f>unique_components_190[[#This Row],[Count]]*unique_components_190[[#This Row],[Proposed Emission Factor]]*(1-unique_components_190[[#This Row],[Proposed Control Efficiency]])</f>
        <v>0</v>
      </c>
      <c r="G125" s="155">
        <f>IFERROR(unique_components_190[[#This Row],[Controlled lb/hr]]*4.38,"")</f>
        <v>0</v>
      </c>
    </row>
    <row r="126" spans="1:8" x14ac:dyDescent="0.2">
      <c r="A126" s="105"/>
      <c r="B126" s="106"/>
      <c r="C126" s="156"/>
      <c r="D126" s="154"/>
      <c r="E126" s="157"/>
      <c r="F126" s="158">
        <f>unique_components_190[[#This Row],[Count]]*unique_components_190[[#This Row],[Proposed Emission Factor]]*(1-unique_components_190[[#This Row],[Proposed Control Efficiency]])</f>
        <v>0</v>
      </c>
      <c r="G126" s="159">
        <f>IFERROR(unique_components_190[[#This Row],[Controlled lb/hr]]*4.38,"")</f>
        <v>0</v>
      </c>
    </row>
    <row r="127" spans="1:8" ht="30" x14ac:dyDescent="0.2">
      <c r="A127" s="57" t="s">
        <v>13297</v>
      </c>
      <c r="B127" s="54"/>
      <c r="C127" s="160">
        <f>SUBTOTAL(109,unique_components_190[Count])</f>
        <v>0</v>
      </c>
      <c r="D127" s="161"/>
      <c r="E127" s="161"/>
      <c r="F127" s="162">
        <f>SUBTOTAL(109,unique_components_190[Controlled lb/hr])</f>
        <v>0</v>
      </c>
      <c r="G127" s="162">
        <f>SUBTOTAL(109,unique_components_190[Controlled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IFERROR(VLOOKUP(speciated_chemicals_191[[#This Row],[CAS '#]],species[],MATCH("Substance", species[#Headers], 0),FALSE),"No CAS Number Entered")</f>
        <v>No CAS Number Entered</v>
      </c>
      <c r="C131" s="102"/>
      <c r="D131" s="102" t="s">
        <v>12666</v>
      </c>
      <c r="E131" s="102" t="s">
        <v>12666</v>
      </c>
      <c r="F131" s="102" t="s">
        <v>12666</v>
      </c>
      <c r="G131" s="102" t="s">
        <v>12666</v>
      </c>
      <c r="H131" s="164"/>
      <c r="I131" s="51">
        <f>IF(speciated_chemicals_191[[#This Row],[Inert / Not a Contaminant?]]="Yes", 0, speciated_chemicals_191[[#This Row],[Weight Percent]]*(unique_components_190[[#Totals],[Controlled lb/hr]]+standard_components_189[[#Totals],[Controlled
lb/hr]]))</f>
        <v>0</v>
      </c>
      <c r="J131" s="51">
        <f>IF(speciated_chemicals_191[[#This Row],[Inert / Not a Contaminant?]]="Yes", 0, speciated_chemicals_191[[#This Row],[Weight Percent]]*(unique_components_190[[#Totals],[Controlled
tpy]]+standard_components_189[[#Totals],[Controlled
tpy]]))</f>
        <v>0</v>
      </c>
    </row>
    <row r="132" spans="1:10" x14ac:dyDescent="0.2">
      <c r="A132" s="103"/>
      <c r="B132" s="51" t="str">
        <f>IFERROR(VLOOKUP(speciated_chemicals_191[[#This Row],[CAS '#]],species[],MATCH("Substance", species[#Headers], 0),FALSE),"No CAS Number Entered")</f>
        <v>No CAS Number Entered</v>
      </c>
      <c r="C132" s="102"/>
      <c r="D132" s="102" t="s">
        <v>12666</v>
      </c>
      <c r="E132" s="102" t="s">
        <v>12666</v>
      </c>
      <c r="F132" s="102" t="s">
        <v>12666</v>
      </c>
      <c r="G132" s="102" t="s">
        <v>12666</v>
      </c>
      <c r="H132" s="164"/>
      <c r="I132" s="51">
        <f>IF(speciated_chemicals_191[[#This Row],[Inert / Not a Contaminant?]]="Yes", 0, speciated_chemicals_191[[#This Row],[Weight Percent]]*(unique_components_190[[#Totals],[Controlled lb/hr]]+standard_components_189[[#Totals],[Controlled
lb/hr]]))</f>
        <v>0</v>
      </c>
      <c r="J132" s="51">
        <f>IF(speciated_chemicals_191[[#This Row],[Inert / Not a Contaminant?]]="Yes", 0, speciated_chemicals_191[[#This Row],[Weight Percent]]*(unique_components_190[[#Totals],[Controlled
tpy]]+standard_components_189[[#Totals],[Controlled
tpy]]))</f>
        <v>0</v>
      </c>
    </row>
    <row r="133" spans="1:10" x14ac:dyDescent="0.2">
      <c r="A133" s="103"/>
      <c r="B133" s="51" t="str">
        <f>IFERROR(VLOOKUP(speciated_chemicals_191[[#This Row],[CAS '#]],species[],MATCH("Substance", species[#Headers], 0),FALSE),"No CAS Number Entered")</f>
        <v>No CAS Number Entered</v>
      </c>
      <c r="C133" s="102"/>
      <c r="D133" s="102" t="s">
        <v>12666</v>
      </c>
      <c r="E133" s="102" t="s">
        <v>12666</v>
      </c>
      <c r="F133" s="102" t="s">
        <v>12666</v>
      </c>
      <c r="G133" s="102" t="s">
        <v>12666</v>
      </c>
      <c r="H133" s="164"/>
      <c r="I133" s="51">
        <f>IF(speciated_chemicals_191[[#This Row],[Inert / Not a Contaminant?]]="Yes", 0, speciated_chemicals_191[[#This Row],[Weight Percent]]*(unique_components_190[[#Totals],[Controlled lb/hr]]+standard_components_189[[#Totals],[Controlled
lb/hr]]))</f>
        <v>0</v>
      </c>
      <c r="J133" s="51">
        <f>IF(speciated_chemicals_191[[#This Row],[Inert / Not a Contaminant?]]="Yes", 0, speciated_chemicals_191[[#This Row],[Weight Percent]]*(unique_components_190[[#Totals],[Controlled
tpy]]+standard_components_189[[#Totals],[Controlled
tpy]]))</f>
        <v>0</v>
      </c>
    </row>
    <row r="134" spans="1:10" x14ac:dyDescent="0.2">
      <c r="A134" s="103"/>
      <c r="B134" s="51" t="str">
        <f>IFERROR(VLOOKUP(speciated_chemicals_191[[#This Row],[CAS '#]],species[],MATCH("Substance", species[#Headers], 0),FALSE),"No CAS Number Entered")</f>
        <v>No CAS Number Entered</v>
      </c>
      <c r="C134" s="102"/>
      <c r="D134" s="102" t="s">
        <v>12666</v>
      </c>
      <c r="E134" s="102" t="s">
        <v>12666</v>
      </c>
      <c r="F134" s="102" t="s">
        <v>12666</v>
      </c>
      <c r="G134" s="102" t="s">
        <v>12666</v>
      </c>
      <c r="H134" s="164"/>
      <c r="I134" s="51">
        <f>IF(speciated_chemicals_191[[#This Row],[Inert / Not a Contaminant?]]="Yes", 0, speciated_chemicals_191[[#This Row],[Weight Percent]]*(unique_components_190[[#Totals],[Controlled lb/hr]]+standard_components_189[[#Totals],[Controlled
lb/hr]]))</f>
        <v>0</v>
      </c>
      <c r="J134" s="51">
        <f>IF(speciated_chemicals_191[[#This Row],[Inert / Not a Contaminant?]]="Yes", 0, speciated_chemicals_191[[#This Row],[Weight Percent]]*(unique_components_190[[#Totals],[Controlled
tpy]]+standard_components_189[[#Totals],[Controlled
tpy]]))</f>
        <v>0</v>
      </c>
    </row>
    <row r="135" spans="1:10" x14ac:dyDescent="0.2">
      <c r="A135" s="103"/>
      <c r="B135" s="51" t="str">
        <f>IFERROR(VLOOKUP(speciated_chemicals_191[[#This Row],[CAS '#]],species[],MATCH("Substance", species[#Headers], 0),FALSE),"No CAS Number Entered")</f>
        <v>No CAS Number Entered</v>
      </c>
      <c r="C135" s="102"/>
      <c r="D135" s="102" t="s">
        <v>12666</v>
      </c>
      <c r="E135" s="102" t="s">
        <v>12666</v>
      </c>
      <c r="F135" s="102" t="s">
        <v>12666</v>
      </c>
      <c r="G135" s="102" t="s">
        <v>12666</v>
      </c>
      <c r="H135" s="164"/>
      <c r="I135" s="51">
        <f>IF(speciated_chemicals_191[[#This Row],[Inert / Not a Contaminant?]]="Yes", 0, speciated_chemicals_191[[#This Row],[Weight Percent]]*(unique_components_190[[#Totals],[Controlled lb/hr]]+standard_components_189[[#Totals],[Controlled
lb/hr]]))</f>
        <v>0</v>
      </c>
      <c r="J135" s="51">
        <f>IF(speciated_chemicals_191[[#This Row],[Inert / Not a Contaminant?]]="Yes", 0, speciated_chemicals_191[[#This Row],[Weight Percent]]*(unique_components_190[[#Totals],[Controlled
tpy]]+standard_components_189[[#Totals],[Controlled
tpy]]))</f>
        <v>0</v>
      </c>
    </row>
    <row r="136" spans="1:10" x14ac:dyDescent="0.2">
      <c r="A136" s="103"/>
      <c r="B136" s="51" t="str">
        <f>IFERROR(VLOOKUP(speciated_chemicals_191[[#This Row],[CAS '#]],species[],MATCH("Substance", species[#Headers], 0),FALSE),"No CAS Number Entered")</f>
        <v>No CAS Number Entered</v>
      </c>
      <c r="C136" s="102"/>
      <c r="D136" s="102" t="s">
        <v>12666</v>
      </c>
      <c r="E136" s="102" t="s">
        <v>12666</v>
      </c>
      <c r="F136" s="102" t="s">
        <v>12666</v>
      </c>
      <c r="G136" s="102" t="s">
        <v>12666</v>
      </c>
      <c r="H136" s="164"/>
      <c r="I136" s="51">
        <f>IF(speciated_chemicals_191[[#This Row],[Inert / Not a Contaminant?]]="Yes", 0, speciated_chemicals_191[[#This Row],[Weight Percent]]*(unique_components_190[[#Totals],[Controlled lb/hr]]+standard_components_189[[#Totals],[Controlled
lb/hr]]))</f>
        <v>0</v>
      </c>
      <c r="J136" s="51">
        <f>IF(speciated_chemicals_191[[#This Row],[Inert / Not a Contaminant?]]="Yes", 0, speciated_chemicals_191[[#This Row],[Weight Percent]]*(unique_components_190[[#Totals],[Controlled
tpy]]+standard_components_189[[#Totals],[Controlled
tpy]]))</f>
        <v>0</v>
      </c>
    </row>
    <row r="137" spans="1:10" x14ac:dyDescent="0.2">
      <c r="A137" s="103"/>
      <c r="B137" s="51" t="str">
        <f>IFERROR(VLOOKUP(speciated_chemicals_191[[#This Row],[CAS '#]],species[],MATCH("Substance", species[#Headers], 0),FALSE),"No CAS Number Entered")</f>
        <v>No CAS Number Entered</v>
      </c>
      <c r="C137" s="102"/>
      <c r="D137" s="102" t="s">
        <v>12666</v>
      </c>
      <c r="E137" s="102" t="s">
        <v>12666</v>
      </c>
      <c r="F137" s="102" t="s">
        <v>12666</v>
      </c>
      <c r="G137" s="102" t="s">
        <v>12666</v>
      </c>
      <c r="H137" s="164"/>
      <c r="I137" s="51">
        <f>IF(speciated_chemicals_191[[#This Row],[Inert / Not a Contaminant?]]="Yes", 0, speciated_chemicals_191[[#This Row],[Weight Percent]]*(unique_components_190[[#Totals],[Controlled lb/hr]]+standard_components_189[[#Totals],[Controlled
lb/hr]]))</f>
        <v>0</v>
      </c>
      <c r="J137" s="51">
        <f>IF(speciated_chemicals_191[[#This Row],[Inert / Not a Contaminant?]]="Yes", 0, speciated_chemicals_191[[#This Row],[Weight Percent]]*(unique_components_190[[#Totals],[Controlled
tpy]]+standard_components_189[[#Totals],[Controlled
tpy]]))</f>
        <v>0</v>
      </c>
    </row>
    <row r="138" spans="1:10" x14ac:dyDescent="0.2">
      <c r="A138" s="103"/>
      <c r="B138" s="51" t="str">
        <f>IFERROR(VLOOKUP(speciated_chemicals_191[[#This Row],[CAS '#]],species[],MATCH("Substance", species[#Headers], 0),FALSE),"No CAS Number Entered")</f>
        <v>No CAS Number Entered</v>
      </c>
      <c r="C138" s="102"/>
      <c r="D138" s="102" t="s">
        <v>12666</v>
      </c>
      <c r="E138" s="102" t="s">
        <v>12666</v>
      </c>
      <c r="F138" s="102" t="s">
        <v>12666</v>
      </c>
      <c r="G138" s="102" t="s">
        <v>12666</v>
      </c>
      <c r="H138" s="164"/>
      <c r="I138" s="51">
        <f>IF(speciated_chemicals_191[[#This Row],[Inert / Not a Contaminant?]]="Yes", 0, speciated_chemicals_191[[#This Row],[Weight Percent]]*(unique_components_190[[#Totals],[Controlled lb/hr]]+standard_components_189[[#Totals],[Controlled
lb/hr]]))</f>
        <v>0</v>
      </c>
      <c r="J138" s="51">
        <f>IF(speciated_chemicals_191[[#This Row],[Inert / Not a Contaminant?]]="Yes", 0, speciated_chemicals_191[[#This Row],[Weight Percent]]*(unique_components_190[[#Totals],[Controlled
tpy]]+standard_components_189[[#Totals],[Controlled
tpy]]))</f>
        <v>0</v>
      </c>
    </row>
    <row r="139" spans="1:10" x14ac:dyDescent="0.2">
      <c r="A139" s="103"/>
      <c r="B139" s="51" t="str">
        <f>IFERROR(VLOOKUP(speciated_chemicals_191[[#This Row],[CAS '#]],species[],MATCH("Substance", species[#Headers], 0),FALSE),"No CAS Number Entered")</f>
        <v>No CAS Number Entered</v>
      </c>
      <c r="C139" s="102"/>
      <c r="D139" s="102" t="s">
        <v>12666</v>
      </c>
      <c r="E139" s="102" t="s">
        <v>12666</v>
      </c>
      <c r="F139" s="102" t="s">
        <v>12666</v>
      </c>
      <c r="G139" s="102" t="s">
        <v>12666</v>
      </c>
      <c r="H139" s="164"/>
      <c r="I139" s="51">
        <f>IF(speciated_chemicals_191[[#This Row],[Inert / Not a Contaminant?]]="Yes", 0, speciated_chemicals_191[[#This Row],[Weight Percent]]*(unique_components_190[[#Totals],[Controlled lb/hr]]+standard_components_189[[#Totals],[Controlled
lb/hr]]))</f>
        <v>0</v>
      </c>
      <c r="J139" s="51">
        <f>IF(speciated_chemicals_191[[#This Row],[Inert / Not a Contaminant?]]="Yes", 0, speciated_chemicals_191[[#This Row],[Weight Percent]]*(unique_components_190[[#Totals],[Controlled
tpy]]+standard_components_189[[#Totals],[Controlled
tpy]]))</f>
        <v>0</v>
      </c>
    </row>
    <row r="140" spans="1:10" x14ac:dyDescent="0.2">
      <c r="A140" s="103"/>
      <c r="B140" s="51" t="str">
        <f>IFERROR(VLOOKUP(speciated_chemicals_191[[#This Row],[CAS '#]],species[],MATCH("Substance", species[#Headers], 0),FALSE),"No CAS Number Entered")</f>
        <v>No CAS Number Entered</v>
      </c>
      <c r="C140" s="102"/>
      <c r="D140" s="102" t="s">
        <v>12666</v>
      </c>
      <c r="E140" s="102" t="s">
        <v>12666</v>
      </c>
      <c r="F140" s="102" t="s">
        <v>12666</v>
      </c>
      <c r="G140" s="102" t="s">
        <v>12666</v>
      </c>
      <c r="H140" s="164"/>
      <c r="I140" s="51">
        <f>IF(speciated_chemicals_191[[#This Row],[Inert / Not a Contaminant?]]="Yes", 0, speciated_chemicals_191[[#This Row],[Weight Percent]]*(unique_components_190[[#Totals],[Controlled lb/hr]]+standard_components_189[[#Totals],[Controlled
lb/hr]]))</f>
        <v>0</v>
      </c>
      <c r="J140" s="51">
        <f>IF(speciated_chemicals_191[[#This Row],[Inert / Not a Contaminant?]]="Yes", 0, speciated_chemicals_191[[#This Row],[Weight Percent]]*(unique_components_190[[#Totals],[Controlled
tpy]]+standard_components_189[[#Totals],[Controlled
tpy]]))</f>
        <v>0</v>
      </c>
    </row>
    <row r="141" spans="1:10" x14ac:dyDescent="0.2">
      <c r="A141" s="103"/>
      <c r="B141" s="51" t="str">
        <f>IFERROR(VLOOKUP(speciated_chemicals_191[[#This Row],[CAS '#]],species[],MATCH("Substance", species[#Headers], 0),FALSE),"No CAS Number Entered")</f>
        <v>No CAS Number Entered</v>
      </c>
      <c r="C141" s="102"/>
      <c r="D141" s="102" t="s">
        <v>12666</v>
      </c>
      <c r="E141" s="102" t="s">
        <v>12666</v>
      </c>
      <c r="F141" s="102" t="s">
        <v>12666</v>
      </c>
      <c r="G141" s="102" t="s">
        <v>12666</v>
      </c>
      <c r="H141" s="164"/>
      <c r="I141" s="51">
        <f>IF(speciated_chemicals_191[[#This Row],[Inert / Not a Contaminant?]]="Yes", 0, speciated_chemicals_191[[#This Row],[Weight Percent]]*(unique_components_190[[#Totals],[Controlled lb/hr]]+standard_components_189[[#Totals],[Controlled
lb/hr]]))</f>
        <v>0</v>
      </c>
      <c r="J141" s="51">
        <f>IF(speciated_chemicals_191[[#This Row],[Inert / Not a Contaminant?]]="Yes", 0, speciated_chemicals_191[[#This Row],[Weight Percent]]*(unique_components_190[[#Totals],[Controlled
tpy]]+standard_components_189[[#Totals],[Controlled
tpy]]))</f>
        <v>0</v>
      </c>
    </row>
    <row r="142" spans="1:10" x14ac:dyDescent="0.2">
      <c r="A142" s="103"/>
      <c r="B142" s="51" t="str">
        <f>IFERROR(VLOOKUP(speciated_chemicals_191[[#This Row],[CAS '#]],species[],MATCH("Substance", species[#Headers], 0),FALSE),"No CAS Number Entered")</f>
        <v>No CAS Number Entered</v>
      </c>
      <c r="C142" s="102"/>
      <c r="D142" s="102" t="s">
        <v>12666</v>
      </c>
      <c r="E142" s="102" t="s">
        <v>12666</v>
      </c>
      <c r="F142" s="102" t="s">
        <v>12666</v>
      </c>
      <c r="G142" s="102" t="s">
        <v>12666</v>
      </c>
      <c r="H142" s="164"/>
      <c r="I142" s="51">
        <f>IF(speciated_chemicals_191[[#This Row],[Inert / Not a Contaminant?]]="Yes", 0, speciated_chemicals_191[[#This Row],[Weight Percent]]*(unique_components_190[[#Totals],[Controlled lb/hr]]+standard_components_189[[#Totals],[Controlled
lb/hr]]))</f>
        <v>0</v>
      </c>
      <c r="J142" s="51">
        <f>IF(speciated_chemicals_191[[#This Row],[Inert / Not a Contaminant?]]="Yes", 0, speciated_chemicals_191[[#This Row],[Weight Percent]]*(unique_components_190[[#Totals],[Controlled
tpy]]+standard_components_189[[#Totals],[Controlled
tpy]]))</f>
        <v>0</v>
      </c>
    </row>
    <row r="143" spans="1:10" x14ac:dyDescent="0.2">
      <c r="A143" s="103"/>
      <c r="B143" s="51" t="str">
        <f>IFERROR(VLOOKUP(speciated_chemicals_191[[#This Row],[CAS '#]],species[],MATCH("Substance", species[#Headers], 0),FALSE),"No CAS Number Entered")</f>
        <v>No CAS Number Entered</v>
      </c>
      <c r="C143" s="102"/>
      <c r="D143" s="102" t="s">
        <v>12666</v>
      </c>
      <c r="E143" s="102" t="s">
        <v>12666</v>
      </c>
      <c r="F143" s="102" t="s">
        <v>12666</v>
      </c>
      <c r="G143" s="102" t="s">
        <v>12666</v>
      </c>
      <c r="H143" s="164"/>
      <c r="I143" s="51">
        <f>IF(speciated_chemicals_191[[#This Row],[Inert / Not a Contaminant?]]="Yes", 0, speciated_chemicals_191[[#This Row],[Weight Percent]]*(unique_components_190[[#Totals],[Controlled lb/hr]]+standard_components_189[[#Totals],[Controlled
lb/hr]]))</f>
        <v>0</v>
      </c>
      <c r="J143" s="51">
        <f>IF(speciated_chemicals_191[[#This Row],[Inert / Not a Contaminant?]]="Yes", 0, speciated_chemicals_191[[#This Row],[Weight Percent]]*(unique_components_190[[#Totals],[Controlled
tpy]]+standard_components_189[[#Totals],[Controlled
tpy]]))</f>
        <v>0</v>
      </c>
    </row>
    <row r="144" spans="1:10" x14ac:dyDescent="0.2">
      <c r="A144" s="103"/>
      <c r="B144" s="51" t="str">
        <f>IFERROR(VLOOKUP(speciated_chemicals_191[[#This Row],[CAS '#]],species[],MATCH("Substance", species[#Headers], 0),FALSE),"No CAS Number Entered")</f>
        <v>No CAS Number Entered</v>
      </c>
      <c r="C144" s="102"/>
      <c r="D144" s="102" t="s">
        <v>12666</v>
      </c>
      <c r="E144" s="102" t="s">
        <v>12666</v>
      </c>
      <c r="F144" s="102" t="s">
        <v>12666</v>
      </c>
      <c r="G144" s="102" t="s">
        <v>12666</v>
      </c>
      <c r="H144" s="164"/>
      <c r="I144" s="51">
        <f>IF(speciated_chemicals_191[[#This Row],[Inert / Not a Contaminant?]]="Yes", 0, speciated_chemicals_191[[#This Row],[Weight Percent]]*(unique_components_190[[#Totals],[Controlled lb/hr]]+standard_components_189[[#Totals],[Controlled
lb/hr]]))</f>
        <v>0</v>
      </c>
      <c r="J144" s="51">
        <f>IF(speciated_chemicals_191[[#This Row],[Inert / Not a Contaminant?]]="Yes", 0, speciated_chemicals_191[[#This Row],[Weight Percent]]*(unique_components_190[[#Totals],[Controlled
tpy]]+standard_components_189[[#Totals],[Controlled
tpy]]))</f>
        <v>0</v>
      </c>
    </row>
    <row r="145" spans="1:10" x14ac:dyDescent="0.2">
      <c r="A145" s="103"/>
      <c r="B145" s="51" t="str">
        <f>IFERROR(VLOOKUP(speciated_chemicals_191[[#This Row],[CAS '#]],species[],MATCH("Substance", species[#Headers], 0),FALSE),"No CAS Number Entered")</f>
        <v>No CAS Number Entered</v>
      </c>
      <c r="C145" s="102"/>
      <c r="D145" s="102" t="s">
        <v>12666</v>
      </c>
      <c r="E145" s="102" t="s">
        <v>12666</v>
      </c>
      <c r="F145" s="102" t="s">
        <v>12666</v>
      </c>
      <c r="G145" s="102" t="s">
        <v>12666</v>
      </c>
      <c r="H145" s="164"/>
      <c r="I145" s="51">
        <f>IF(speciated_chemicals_191[[#This Row],[Inert / Not a Contaminant?]]="Yes", 0, speciated_chemicals_191[[#This Row],[Weight Percent]]*(unique_components_190[[#Totals],[Controlled lb/hr]]+standard_components_189[[#Totals],[Controlled
lb/hr]]))</f>
        <v>0</v>
      </c>
      <c r="J145" s="51">
        <f>IF(speciated_chemicals_191[[#This Row],[Inert / Not a Contaminant?]]="Yes", 0, speciated_chemicals_191[[#This Row],[Weight Percent]]*(unique_components_190[[#Totals],[Controlled
tpy]]+standard_components_189[[#Totals],[Controlled
tpy]]))</f>
        <v>0</v>
      </c>
    </row>
    <row r="146" spans="1:10" x14ac:dyDescent="0.2">
      <c r="A146" s="103"/>
      <c r="B146" s="51" t="str">
        <f>IFERROR(VLOOKUP(speciated_chemicals_191[[#This Row],[CAS '#]],species[],MATCH("Substance", species[#Headers], 0),FALSE),"No CAS Number Entered")</f>
        <v>No CAS Number Entered</v>
      </c>
      <c r="C146" s="102"/>
      <c r="D146" s="102" t="s">
        <v>12666</v>
      </c>
      <c r="E146" s="102" t="s">
        <v>12666</v>
      </c>
      <c r="F146" s="102" t="s">
        <v>12666</v>
      </c>
      <c r="G146" s="102" t="s">
        <v>12666</v>
      </c>
      <c r="H146" s="164"/>
      <c r="I146" s="51">
        <f>IF(speciated_chemicals_191[[#This Row],[Inert / Not a Contaminant?]]="Yes", 0, speciated_chemicals_191[[#This Row],[Weight Percent]]*(unique_components_190[[#Totals],[Controlled lb/hr]]+standard_components_189[[#Totals],[Controlled
lb/hr]]))</f>
        <v>0</v>
      </c>
      <c r="J146" s="51">
        <f>IF(speciated_chemicals_191[[#This Row],[Inert / Not a Contaminant?]]="Yes", 0, speciated_chemicals_191[[#This Row],[Weight Percent]]*(unique_components_190[[#Totals],[Controlled
tpy]]+standard_components_189[[#Totals],[Controlled
tpy]]))</f>
        <v>0</v>
      </c>
    </row>
    <row r="147" spans="1:10" x14ac:dyDescent="0.2">
      <c r="A147" s="103"/>
      <c r="B147" s="51" t="str">
        <f>IFERROR(VLOOKUP(speciated_chemicals_191[[#This Row],[CAS '#]],species[],MATCH("Substance", species[#Headers], 0),FALSE),"No CAS Number Entered")</f>
        <v>No CAS Number Entered</v>
      </c>
      <c r="C147" s="102"/>
      <c r="D147" s="102" t="s">
        <v>12666</v>
      </c>
      <c r="E147" s="102" t="s">
        <v>12666</v>
      </c>
      <c r="F147" s="102" t="s">
        <v>12666</v>
      </c>
      <c r="G147" s="102" t="s">
        <v>12666</v>
      </c>
      <c r="H147" s="164"/>
      <c r="I147" s="51">
        <f>IF(speciated_chemicals_191[[#This Row],[Inert / Not a Contaminant?]]="Yes", 0, speciated_chemicals_191[[#This Row],[Weight Percent]]*(unique_components_190[[#Totals],[Controlled lb/hr]]+standard_components_189[[#Totals],[Controlled
lb/hr]]))</f>
        <v>0</v>
      </c>
      <c r="J147" s="51">
        <f>IF(speciated_chemicals_191[[#This Row],[Inert / Not a Contaminant?]]="Yes", 0, speciated_chemicals_191[[#This Row],[Weight Percent]]*(unique_components_190[[#Totals],[Controlled
tpy]]+standard_components_189[[#Totals],[Controlled
tpy]]))</f>
        <v>0</v>
      </c>
    </row>
    <row r="148" spans="1:10" x14ac:dyDescent="0.2">
      <c r="A148" s="103"/>
      <c r="B148" s="51" t="str">
        <f>IFERROR(VLOOKUP(speciated_chemicals_191[[#This Row],[CAS '#]],species[],MATCH("Substance", species[#Headers], 0),FALSE),"No CAS Number Entered")</f>
        <v>No CAS Number Entered</v>
      </c>
      <c r="C148" s="102"/>
      <c r="D148" s="102" t="s">
        <v>12666</v>
      </c>
      <c r="E148" s="102" t="s">
        <v>12666</v>
      </c>
      <c r="F148" s="102" t="s">
        <v>12666</v>
      </c>
      <c r="G148" s="102" t="s">
        <v>12666</v>
      </c>
      <c r="H148" s="164"/>
      <c r="I148" s="51">
        <f>IF(speciated_chemicals_191[[#This Row],[Inert / Not a Contaminant?]]="Yes", 0, speciated_chemicals_191[[#This Row],[Weight Percent]]*(unique_components_190[[#Totals],[Controlled lb/hr]]+standard_components_189[[#Totals],[Controlled
lb/hr]]))</f>
        <v>0</v>
      </c>
      <c r="J148" s="51">
        <f>IF(speciated_chemicals_191[[#This Row],[Inert / Not a Contaminant?]]="Yes", 0, speciated_chemicals_191[[#This Row],[Weight Percent]]*(unique_components_190[[#Totals],[Controlled
tpy]]+standard_components_189[[#Totals],[Controlled
tpy]]))</f>
        <v>0</v>
      </c>
    </row>
    <row r="149" spans="1:10" x14ac:dyDescent="0.2">
      <c r="A149" s="103"/>
      <c r="B149" s="51" t="str">
        <f>IFERROR(VLOOKUP(speciated_chemicals_191[[#This Row],[CAS '#]],species[],MATCH("Substance", species[#Headers], 0),FALSE),"No CAS Number Entered")</f>
        <v>No CAS Number Entered</v>
      </c>
      <c r="C149" s="102"/>
      <c r="D149" s="102" t="s">
        <v>12666</v>
      </c>
      <c r="E149" s="102" t="s">
        <v>12666</v>
      </c>
      <c r="F149" s="102" t="s">
        <v>12666</v>
      </c>
      <c r="G149" s="102" t="s">
        <v>12666</v>
      </c>
      <c r="H149" s="164"/>
      <c r="I149" s="51">
        <f>IF(speciated_chemicals_191[[#This Row],[Inert / Not a Contaminant?]]="Yes", 0, speciated_chemicals_191[[#This Row],[Weight Percent]]*(unique_components_190[[#Totals],[Controlled lb/hr]]+standard_components_189[[#Totals],[Controlled
lb/hr]]))</f>
        <v>0</v>
      </c>
      <c r="J149" s="51">
        <f>IF(speciated_chemicals_191[[#This Row],[Inert / Not a Contaminant?]]="Yes", 0, speciated_chemicals_191[[#This Row],[Weight Percent]]*(unique_components_190[[#Totals],[Controlled
tpy]]+standard_components_189[[#Totals],[Controlled
tpy]]))</f>
        <v>0</v>
      </c>
    </row>
    <row r="150" spans="1:10" x14ac:dyDescent="0.2">
      <c r="A150" s="103"/>
      <c r="B150" s="51" t="str">
        <f>IFERROR(VLOOKUP(speciated_chemicals_191[[#This Row],[CAS '#]],species[],MATCH("Substance", species[#Headers], 0),FALSE),"No CAS Number Entered")</f>
        <v>No CAS Number Entered</v>
      </c>
      <c r="C150" s="102"/>
      <c r="D150" s="102" t="s">
        <v>12666</v>
      </c>
      <c r="E150" s="102" t="s">
        <v>12666</v>
      </c>
      <c r="F150" s="102" t="s">
        <v>12666</v>
      </c>
      <c r="G150" s="102" t="s">
        <v>12666</v>
      </c>
      <c r="H150" s="164"/>
      <c r="I150" s="51">
        <f>IF(speciated_chemicals_191[[#This Row],[Inert / Not a Contaminant?]]="Yes", 0, speciated_chemicals_191[[#This Row],[Weight Percent]]*(unique_components_190[[#Totals],[Controlled lb/hr]]+standard_components_189[[#Totals],[Controlled
lb/hr]]))</f>
        <v>0</v>
      </c>
      <c r="J150" s="51">
        <f>IF(speciated_chemicals_191[[#This Row],[Inert / Not a Contaminant?]]="Yes", 0, speciated_chemicals_191[[#This Row],[Weight Percent]]*(unique_components_190[[#Totals],[Controlled
tpy]]+standard_components_189[[#Totals],[Controlled
tpy]]))</f>
        <v>0</v>
      </c>
    </row>
    <row r="151" spans="1:10" x14ac:dyDescent="0.2">
      <c r="A151" s="103"/>
      <c r="B151" s="51" t="str">
        <f>IFERROR(VLOOKUP(speciated_chemicals_191[[#This Row],[CAS '#]],species[],MATCH("Substance", species[#Headers], 0),FALSE),"No CAS Number Entered")</f>
        <v>No CAS Number Entered</v>
      </c>
      <c r="C151" s="102"/>
      <c r="D151" s="102" t="s">
        <v>12666</v>
      </c>
      <c r="E151" s="102" t="s">
        <v>12666</v>
      </c>
      <c r="F151" s="102" t="s">
        <v>12666</v>
      </c>
      <c r="G151" s="102" t="s">
        <v>12666</v>
      </c>
      <c r="H151" s="164"/>
      <c r="I151" s="51">
        <f>IF(speciated_chemicals_191[[#This Row],[Inert / Not a Contaminant?]]="Yes", 0, speciated_chemicals_191[[#This Row],[Weight Percent]]*(unique_components_190[[#Totals],[Controlled lb/hr]]+standard_components_189[[#Totals],[Controlled
lb/hr]]))</f>
        <v>0</v>
      </c>
      <c r="J151" s="51">
        <f>IF(speciated_chemicals_191[[#This Row],[Inert / Not a Contaminant?]]="Yes", 0, speciated_chemicals_191[[#This Row],[Weight Percent]]*(unique_components_190[[#Totals],[Controlled
tpy]]+standard_components_189[[#Totals],[Controlled
tpy]]))</f>
        <v>0</v>
      </c>
    </row>
    <row r="152" spans="1:10" x14ac:dyDescent="0.2">
      <c r="A152" s="103"/>
      <c r="B152" s="51" t="str">
        <f>IFERROR(VLOOKUP(speciated_chemicals_191[[#This Row],[CAS '#]],species[],MATCH("Substance", species[#Headers], 0),FALSE),"No CAS Number Entered")</f>
        <v>No CAS Number Entered</v>
      </c>
      <c r="C152" s="102"/>
      <c r="D152" s="102" t="s">
        <v>12666</v>
      </c>
      <c r="E152" s="102" t="s">
        <v>12666</v>
      </c>
      <c r="F152" s="102" t="s">
        <v>12666</v>
      </c>
      <c r="G152" s="102" t="s">
        <v>12666</v>
      </c>
      <c r="H152" s="164"/>
      <c r="I152" s="51">
        <f>IF(speciated_chemicals_191[[#This Row],[Inert / Not a Contaminant?]]="Yes", 0, speciated_chemicals_191[[#This Row],[Weight Percent]]*(unique_components_190[[#Totals],[Controlled lb/hr]]+standard_components_189[[#Totals],[Controlled
lb/hr]]))</f>
        <v>0</v>
      </c>
      <c r="J152" s="51">
        <f>IF(speciated_chemicals_191[[#This Row],[Inert / Not a Contaminant?]]="Yes", 0, speciated_chemicals_191[[#This Row],[Weight Percent]]*(unique_components_190[[#Totals],[Controlled
tpy]]+standard_components_189[[#Totals],[Controlled
tpy]]))</f>
        <v>0</v>
      </c>
    </row>
    <row r="153" spans="1:10" x14ac:dyDescent="0.2">
      <c r="A153" s="103"/>
      <c r="B153" s="51" t="str">
        <f>IFERROR(VLOOKUP(speciated_chemicals_191[[#This Row],[CAS '#]],species[],MATCH("Substance", species[#Headers], 0),FALSE),"No CAS Number Entered")</f>
        <v>No CAS Number Entered</v>
      </c>
      <c r="C153" s="102"/>
      <c r="D153" s="102" t="s">
        <v>12666</v>
      </c>
      <c r="E153" s="102" t="s">
        <v>12666</v>
      </c>
      <c r="F153" s="102" t="s">
        <v>12666</v>
      </c>
      <c r="G153" s="102" t="s">
        <v>12666</v>
      </c>
      <c r="H153" s="164"/>
      <c r="I153" s="51">
        <f>IF(speciated_chemicals_191[[#This Row],[Inert / Not a Contaminant?]]="Yes", 0, speciated_chemicals_191[[#This Row],[Weight Percent]]*(unique_components_190[[#Totals],[Controlled lb/hr]]+standard_components_189[[#Totals],[Controlled
lb/hr]]))</f>
        <v>0</v>
      </c>
      <c r="J153" s="51">
        <f>IF(speciated_chemicals_191[[#This Row],[Inert / Not a Contaminant?]]="Yes", 0, speciated_chemicals_191[[#This Row],[Weight Percent]]*(unique_components_190[[#Totals],[Controlled
tpy]]+standard_components_189[[#Totals],[Controlled
tpy]]))</f>
        <v>0</v>
      </c>
    </row>
    <row r="154" spans="1:10" x14ac:dyDescent="0.2">
      <c r="A154" s="103"/>
      <c r="B154" s="51" t="str">
        <f>IFERROR(VLOOKUP(speciated_chemicals_191[[#This Row],[CAS '#]],species[],MATCH("Substance", species[#Headers], 0),FALSE),"No CAS Number Entered")</f>
        <v>No CAS Number Entered</v>
      </c>
      <c r="C154" s="102"/>
      <c r="D154" s="102" t="s">
        <v>12666</v>
      </c>
      <c r="E154" s="102" t="s">
        <v>12666</v>
      </c>
      <c r="F154" s="102" t="s">
        <v>12666</v>
      </c>
      <c r="G154" s="102" t="s">
        <v>12666</v>
      </c>
      <c r="H154" s="164"/>
      <c r="I154" s="51">
        <f>IF(speciated_chemicals_191[[#This Row],[Inert / Not a Contaminant?]]="Yes", 0, speciated_chemicals_191[[#This Row],[Weight Percent]]*(unique_components_190[[#Totals],[Controlled lb/hr]]+standard_components_189[[#Totals],[Controlled
lb/hr]]))</f>
        <v>0</v>
      </c>
      <c r="J154" s="51">
        <f>IF(speciated_chemicals_191[[#This Row],[Inert / Not a Contaminant?]]="Yes", 0, speciated_chemicals_191[[#This Row],[Weight Percent]]*(unique_components_190[[#Totals],[Controlled
tpy]]+standard_components_189[[#Totals],[Controlled
tpy]]))</f>
        <v>0</v>
      </c>
    </row>
    <row r="155" spans="1:10" x14ac:dyDescent="0.2">
      <c r="A155" s="103"/>
      <c r="B155" s="51" t="str">
        <f>IFERROR(VLOOKUP(speciated_chemicals_191[[#This Row],[CAS '#]],species[],MATCH("Substance", species[#Headers], 0),FALSE),"No CAS Number Entered")</f>
        <v>No CAS Number Entered</v>
      </c>
      <c r="C155" s="102"/>
      <c r="D155" s="102" t="s">
        <v>12666</v>
      </c>
      <c r="E155" s="102" t="s">
        <v>12666</v>
      </c>
      <c r="F155" s="102" t="s">
        <v>12666</v>
      </c>
      <c r="G155" s="102" t="s">
        <v>12666</v>
      </c>
      <c r="H155" s="164"/>
      <c r="I155" s="51">
        <f>IF(speciated_chemicals_191[[#This Row],[Inert / Not a Contaminant?]]="Yes", 0, speciated_chemicals_191[[#This Row],[Weight Percent]]*(unique_components_190[[#Totals],[Controlled lb/hr]]+standard_components_189[[#Totals],[Controlled
lb/hr]]))</f>
        <v>0</v>
      </c>
      <c r="J155" s="51">
        <f>IF(speciated_chemicals_191[[#This Row],[Inert / Not a Contaminant?]]="Yes", 0, speciated_chemicals_191[[#This Row],[Weight Percent]]*(unique_components_190[[#Totals],[Controlled
tpy]]+standard_components_189[[#Totals],[Controlled
tpy]]))</f>
        <v>0</v>
      </c>
    </row>
    <row r="156" spans="1:10" x14ac:dyDescent="0.2">
      <c r="A156" s="103"/>
      <c r="B156" s="51" t="str">
        <f>IFERROR(VLOOKUP(speciated_chemicals_191[[#This Row],[CAS '#]],species[],MATCH("Substance", species[#Headers], 0),FALSE),"No CAS Number Entered")</f>
        <v>No CAS Number Entered</v>
      </c>
      <c r="C156" s="102"/>
      <c r="D156" s="102" t="s">
        <v>12666</v>
      </c>
      <c r="E156" s="102" t="s">
        <v>12666</v>
      </c>
      <c r="F156" s="102" t="s">
        <v>12666</v>
      </c>
      <c r="G156" s="102" t="s">
        <v>12666</v>
      </c>
      <c r="H156" s="164"/>
      <c r="I156" s="51">
        <f>IF(speciated_chemicals_191[[#This Row],[Inert / Not a Contaminant?]]="Yes", 0, speciated_chemicals_191[[#This Row],[Weight Percent]]*(unique_components_190[[#Totals],[Controlled lb/hr]]+standard_components_189[[#Totals],[Controlled
lb/hr]]))</f>
        <v>0</v>
      </c>
      <c r="J156" s="51">
        <f>IF(speciated_chemicals_191[[#This Row],[Inert / Not a Contaminant?]]="Yes", 0, speciated_chemicals_191[[#This Row],[Weight Percent]]*(unique_components_190[[#Totals],[Controlled
tpy]]+standard_components_189[[#Totals],[Controlled
tpy]]))</f>
        <v>0</v>
      </c>
    </row>
    <row r="157" spans="1:10" x14ac:dyDescent="0.2">
      <c r="A157" s="103"/>
      <c r="B157" s="51" t="str">
        <f>IFERROR(VLOOKUP(speciated_chemicals_191[[#This Row],[CAS '#]],species[],MATCH("Substance", species[#Headers], 0),FALSE),"No CAS Number Entered")</f>
        <v>No CAS Number Entered</v>
      </c>
      <c r="C157" s="102"/>
      <c r="D157" s="102" t="s">
        <v>12666</v>
      </c>
      <c r="E157" s="102" t="s">
        <v>12666</v>
      </c>
      <c r="F157" s="102" t="s">
        <v>12666</v>
      </c>
      <c r="G157" s="102" t="s">
        <v>12666</v>
      </c>
      <c r="H157" s="164"/>
      <c r="I157" s="51">
        <f>IF(speciated_chemicals_191[[#This Row],[Inert / Not a Contaminant?]]="Yes", 0, speciated_chemicals_191[[#This Row],[Weight Percent]]*(unique_components_190[[#Totals],[Controlled lb/hr]]+standard_components_189[[#Totals],[Controlled
lb/hr]]))</f>
        <v>0</v>
      </c>
      <c r="J157" s="51">
        <f>IF(speciated_chemicals_191[[#This Row],[Inert / Not a Contaminant?]]="Yes", 0, speciated_chemicals_191[[#This Row],[Weight Percent]]*(unique_components_190[[#Totals],[Controlled
tpy]]+standard_components_189[[#Totals],[Controlled
tpy]]))</f>
        <v>0</v>
      </c>
    </row>
    <row r="158" spans="1:10" x14ac:dyDescent="0.2">
      <c r="A158" s="103"/>
      <c r="B158" s="51" t="str">
        <f>IFERROR(VLOOKUP(speciated_chemicals_191[[#This Row],[CAS '#]],species[],MATCH("Substance", species[#Headers], 0),FALSE),"No CAS Number Entered")</f>
        <v>No CAS Number Entered</v>
      </c>
      <c r="C158" s="102"/>
      <c r="D158" s="102" t="s">
        <v>12666</v>
      </c>
      <c r="E158" s="102" t="s">
        <v>12666</v>
      </c>
      <c r="F158" s="102" t="s">
        <v>12666</v>
      </c>
      <c r="G158" s="102" t="s">
        <v>12666</v>
      </c>
      <c r="H158" s="164"/>
      <c r="I158" s="51">
        <f>IF(speciated_chemicals_191[[#This Row],[Inert / Not a Contaminant?]]="Yes", 0, speciated_chemicals_191[[#This Row],[Weight Percent]]*(unique_components_190[[#Totals],[Controlled lb/hr]]+standard_components_189[[#Totals],[Controlled
lb/hr]]))</f>
        <v>0</v>
      </c>
      <c r="J158" s="51">
        <f>IF(speciated_chemicals_191[[#This Row],[Inert / Not a Contaminant?]]="Yes", 0, speciated_chemicals_191[[#This Row],[Weight Percent]]*(unique_components_190[[#Totals],[Controlled
tpy]]+standard_components_189[[#Totals],[Controlled
tpy]]))</f>
        <v>0</v>
      </c>
    </row>
    <row r="159" spans="1:10" x14ac:dyDescent="0.2">
      <c r="A159" s="103"/>
      <c r="B159" s="51" t="str">
        <f>IFERROR(VLOOKUP(speciated_chemicals_191[[#This Row],[CAS '#]],species[],MATCH("Substance", species[#Headers], 0),FALSE),"No CAS Number Entered")</f>
        <v>No CAS Number Entered</v>
      </c>
      <c r="C159" s="102"/>
      <c r="D159" s="102" t="s">
        <v>12666</v>
      </c>
      <c r="E159" s="102" t="s">
        <v>12666</v>
      </c>
      <c r="F159" s="102" t="s">
        <v>12666</v>
      </c>
      <c r="G159" s="102" t="s">
        <v>12666</v>
      </c>
      <c r="H159" s="164"/>
      <c r="I159" s="51">
        <f>IF(speciated_chemicals_191[[#This Row],[Inert / Not a Contaminant?]]="Yes", 0, speciated_chemicals_191[[#This Row],[Weight Percent]]*(unique_components_190[[#Totals],[Controlled lb/hr]]+standard_components_189[[#Totals],[Controlled
lb/hr]]))</f>
        <v>0</v>
      </c>
      <c r="J159" s="51">
        <f>IF(speciated_chemicals_191[[#This Row],[Inert / Not a Contaminant?]]="Yes", 0, speciated_chemicals_191[[#This Row],[Weight Percent]]*(unique_components_190[[#Totals],[Controlled
tpy]]+standard_components_189[[#Totals],[Controlled
tpy]]))</f>
        <v>0</v>
      </c>
    </row>
    <row r="160" spans="1:10" x14ac:dyDescent="0.2">
      <c r="A160" s="103"/>
      <c r="B160" s="51" t="str">
        <f>IFERROR(VLOOKUP(speciated_chemicals_191[[#This Row],[CAS '#]],species[],MATCH("Substance", species[#Headers], 0),FALSE),"No CAS Number Entered")</f>
        <v>No CAS Number Entered</v>
      </c>
      <c r="C160" s="102"/>
      <c r="D160" s="102" t="s">
        <v>12666</v>
      </c>
      <c r="E160" s="102" t="s">
        <v>12666</v>
      </c>
      <c r="F160" s="102" t="s">
        <v>12666</v>
      </c>
      <c r="G160" s="102" t="s">
        <v>12666</v>
      </c>
      <c r="H160" s="164"/>
      <c r="I160" s="51">
        <f>IF(speciated_chemicals_191[[#This Row],[Inert / Not a Contaminant?]]="Yes", 0, speciated_chemicals_191[[#This Row],[Weight Percent]]*(unique_components_190[[#Totals],[Controlled lb/hr]]+standard_components_189[[#Totals],[Controlled
lb/hr]]))</f>
        <v>0</v>
      </c>
      <c r="J160" s="51">
        <f>IF(speciated_chemicals_191[[#This Row],[Inert / Not a Contaminant?]]="Yes", 0, speciated_chemicals_191[[#This Row],[Weight Percent]]*(unique_components_190[[#Totals],[Controlled
tpy]]+standard_components_189[[#Totals],[Controlled
tpy]]))</f>
        <v>0</v>
      </c>
    </row>
    <row r="161" spans="1:10" x14ac:dyDescent="0.2">
      <c r="A161" s="103"/>
      <c r="B161" s="51" t="str">
        <f>IFERROR(VLOOKUP(speciated_chemicals_191[[#This Row],[CAS '#]],species[],MATCH("Substance", species[#Headers], 0),FALSE),"No CAS Number Entered")</f>
        <v>No CAS Number Entered</v>
      </c>
      <c r="C161" s="102"/>
      <c r="D161" s="102" t="s">
        <v>12666</v>
      </c>
      <c r="E161" s="102" t="s">
        <v>12666</v>
      </c>
      <c r="F161" s="102" t="s">
        <v>12666</v>
      </c>
      <c r="G161" s="102" t="s">
        <v>12666</v>
      </c>
      <c r="H161" s="164"/>
      <c r="I161" s="51">
        <f>IF(speciated_chemicals_191[[#This Row],[Inert / Not a Contaminant?]]="Yes", 0, speciated_chemicals_191[[#This Row],[Weight Percent]]*(unique_components_190[[#Totals],[Controlled lb/hr]]+standard_components_189[[#Totals],[Controlled
lb/hr]]))</f>
        <v>0</v>
      </c>
      <c r="J161" s="51">
        <f>IF(speciated_chemicals_191[[#This Row],[Inert / Not a Contaminant?]]="Yes", 0, speciated_chemicals_191[[#This Row],[Weight Percent]]*(unique_components_190[[#Totals],[Controlled
tpy]]+standard_components_189[[#Totals],[Controlled
tpy]]))</f>
        <v>0</v>
      </c>
    </row>
    <row r="162" spans="1:10" x14ac:dyDescent="0.2">
      <c r="A162" s="103"/>
      <c r="B162" s="51" t="str">
        <f>IFERROR(VLOOKUP(speciated_chemicals_191[[#This Row],[CAS '#]],species[],MATCH("Substance", species[#Headers], 0),FALSE),"No CAS Number Entered")</f>
        <v>No CAS Number Entered</v>
      </c>
      <c r="C162" s="102"/>
      <c r="D162" s="102" t="s">
        <v>12666</v>
      </c>
      <c r="E162" s="102" t="s">
        <v>12666</v>
      </c>
      <c r="F162" s="102" t="s">
        <v>12666</v>
      </c>
      <c r="G162" s="102" t="s">
        <v>12666</v>
      </c>
      <c r="H162" s="164"/>
      <c r="I162" s="51">
        <f>IF(speciated_chemicals_191[[#This Row],[Inert / Not a Contaminant?]]="Yes", 0, speciated_chemicals_191[[#This Row],[Weight Percent]]*(unique_components_190[[#Totals],[Controlled lb/hr]]+standard_components_189[[#Totals],[Controlled
lb/hr]]))</f>
        <v>0</v>
      </c>
      <c r="J162" s="51">
        <f>IF(speciated_chemicals_191[[#This Row],[Inert / Not a Contaminant?]]="Yes", 0, speciated_chemicals_191[[#This Row],[Weight Percent]]*(unique_components_190[[#Totals],[Controlled
tpy]]+standard_components_189[[#Totals],[Controlled
tpy]]))</f>
        <v>0</v>
      </c>
    </row>
    <row r="163" spans="1:10" x14ac:dyDescent="0.2">
      <c r="A163" s="103"/>
      <c r="B163" s="51" t="str">
        <f>IFERROR(VLOOKUP(speciated_chemicals_191[[#This Row],[CAS '#]],species[],MATCH("Substance", species[#Headers], 0),FALSE),"No CAS Number Entered")</f>
        <v>No CAS Number Entered</v>
      </c>
      <c r="C163" s="102"/>
      <c r="D163" s="102" t="s">
        <v>12666</v>
      </c>
      <c r="E163" s="102" t="s">
        <v>12666</v>
      </c>
      <c r="F163" s="102" t="s">
        <v>12666</v>
      </c>
      <c r="G163" s="102" t="s">
        <v>12666</v>
      </c>
      <c r="H163" s="164"/>
      <c r="I163" s="51">
        <f>IF(speciated_chemicals_191[[#This Row],[Inert / Not a Contaminant?]]="Yes", 0, speciated_chemicals_191[[#This Row],[Weight Percent]]*(unique_components_190[[#Totals],[Controlled lb/hr]]+standard_components_189[[#Totals],[Controlled
lb/hr]]))</f>
        <v>0</v>
      </c>
      <c r="J163" s="51">
        <f>IF(speciated_chemicals_191[[#This Row],[Inert / Not a Contaminant?]]="Yes", 0, speciated_chemicals_191[[#This Row],[Weight Percent]]*(unique_components_190[[#Totals],[Controlled
tpy]]+standard_components_189[[#Totals],[Controlled
tpy]]))</f>
        <v>0</v>
      </c>
    </row>
    <row r="164" spans="1:10" x14ac:dyDescent="0.2">
      <c r="A164" s="103"/>
      <c r="B164" s="51" t="str">
        <f>IFERROR(VLOOKUP(speciated_chemicals_191[[#This Row],[CAS '#]],species[],MATCH("Substance", species[#Headers], 0),FALSE),"No CAS Number Entered")</f>
        <v>No CAS Number Entered</v>
      </c>
      <c r="C164" s="102"/>
      <c r="D164" s="102" t="s">
        <v>12666</v>
      </c>
      <c r="E164" s="102" t="s">
        <v>12666</v>
      </c>
      <c r="F164" s="102" t="s">
        <v>12666</v>
      </c>
      <c r="G164" s="102" t="s">
        <v>12666</v>
      </c>
      <c r="H164" s="164"/>
      <c r="I164" s="51">
        <f>IF(speciated_chemicals_191[[#This Row],[Inert / Not a Contaminant?]]="Yes", 0, speciated_chemicals_191[[#This Row],[Weight Percent]]*(unique_components_190[[#Totals],[Controlled lb/hr]]+standard_components_189[[#Totals],[Controlled
lb/hr]]))</f>
        <v>0</v>
      </c>
      <c r="J164" s="51">
        <f>IF(speciated_chemicals_191[[#This Row],[Inert / Not a Contaminant?]]="Yes", 0, speciated_chemicals_191[[#This Row],[Weight Percent]]*(unique_components_190[[#Totals],[Controlled
tpy]]+standard_components_189[[#Totals],[Controlled
tpy]]))</f>
        <v>0</v>
      </c>
    </row>
    <row r="165" spans="1:10" x14ac:dyDescent="0.2">
      <c r="A165" s="103"/>
      <c r="B165" s="51" t="str">
        <f>IFERROR(VLOOKUP(speciated_chemicals_191[[#This Row],[CAS '#]],species[],MATCH("Substance", species[#Headers], 0),FALSE),"No CAS Number Entered")</f>
        <v>No CAS Number Entered</v>
      </c>
      <c r="C165" s="102"/>
      <c r="D165" s="102" t="s">
        <v>12666</v>
      </c>
      <c r="E165" s="102" t="s">
        <v>12666</v>
      </c>
      <c r="F165" s="102" t="s">
        <v>12666</v>
      </c>
      <c r="G165" s="102" t="s">
        <v>12666</v>
      </c>
      <c r="H165" s="164"/>
      <c r="I165" s="51">
        <f>IF(speciated_chemicals_191[[#This Row],[Inert / Not a Contaminant?]]="Yes", 0, speciated_chemicals_191[[#This Row],[Weight Percent]]*(unique_components_190[[#Totals],[Controlled lb/hr]]+standard_components_189[[#Totals],[Controlled
lb/hr]]))</f>
        <v>0</v>
      </c>
      <c r="J165" s="51">
        <f>IF(speciated_chemicals_191[[#This Row],[Inert / Not a Contaminant?]]="Yes", 0, speciated_chemicals_191[[#This Row],[Weight Percent]]*(unique_components_190[[#Totals],[Controlled
tpy]]+standard_components_189[[#Totals],[Controlled
tpy]]))</f>
        <v>0</v>
      </c>
    </row>
    <row r="166" spans="1:10" x14ac:dyDescent="0.2">
      <c r="A166" s="103"/>
      <c r="B166" s="51" t="str">
        <f>IFERROR(VLOOKUP(speciated_chemicals_191[[#This Row],[CAS '#]],species[],MATCH("Substance", species[#Headers], 0),FALSE),"No CAS Number Entered")</f>
        <v>No CAS Number Entered</v>
      </c>
      <c r="C166" s="102"/>
      <c r="D166" s="102" t="s">
        <v>12666</v>
      </c>
      <c r="E166" s="102" t="s">
        <v>12666</v>
      </c>
      <c r="F166" s="102" t="s">
        <v>12666</v>
      </c>
      <c r="G166" s="102" t="s">
        <v>12666</v>
      </c>
      <c r="H166" s="164"/>
      <c r="I166" s="51">
        <f>IF(speciated_chemicals_191[[#This Row],[Inert / Not a Contaminant?]]="Yes", 0, speciated_chemicals_191[[#This Row],[Weight Percent]]*(unique_components_190[[#Totals],[Controlled lb/hr]]+standard_components_189[[#Totals],[Controlled
lb/hr]]))</f>
        <v>0</v>
      </c>
      <c r="J166" s="51">
        <f>IF(speciated_chemicals_191[[#This Row],[Inert / Not a Contaminant?]]="Yes", 0, speciated_chemicals_191[[#This Row],[Weight Percent]]*(unique_components_190[[#Totals],[Controlled
tpy]]+standard_components_189[[#Totals],[Controlled
tpy]]))</f>
        <v>0</v>
      </c>
    </row>
    <row r="167" spans="1:10" x14ac:dyDescent="0.2">
      <c r="A167" s="103"/>
      <c r="B167" s="51" t="str">
        <f>IFERROR(VLOOKUP(speciated_chemicals_191[[#This Row],[CAS '#]],species[],MATCH("Substance", species[#Headers], 0),FALSE),"No CAS Number Entered")</f>
        <v>No CAS Number Entered</v>
      </c>
      <c r="C167" s="102"/>
      <c r="D167" s="102" t="s">
        <v>12666</v>
      </c>
      <c r="E167" s="102" t="s">
        <v>12666</v>
      </c>
      <c r="F167" s="102" t="s">
        <v>12666</v>
      </c>
      <c r="G167" s="102" t="s">
        <v>12666</v>
      </c>
      <c r="H167" s="164"/>
      <c r="I167" s="51">
        <f>IF(speciated_chemicals_191[[#This Row],[Inert / Not a Contaminant?]]="Yes", 0, speciated_chemicals_191[[#This Row],[Weight Percent]]*(unique_components_190[[#Totals],[Controlled lb/hr]]+standard_components_189[[#Totals],[Controlled
lb/hr]]))</f>
        <v>0</v>
      </c>
      <c r="J167" s="51">
        <f>IF(speciated_chemicals_191[[#This Row],[Inert / Not a Contaminant?]]="Yes", 0, speciated_chemicals_191[[#This Row],[Weight Percent]]*(unique_components_190[[#Totals],[Controlled
tpy]]+standard_components_189[[#Totals],[Controlled
tpy]]))</f>
        <v>0</v>
      </c>
    </row>
    <row r="168" spans="1:10" x14ac:dyDescent="0.2">
      <c r="A168" s="103"/>
      <c r="B168" s="51" t="str">
        <f>IFERROR(VLOOKUP(speciated_chemicals_191[[#This Row],[CAS '#]],species[],MATCH("Substance", species[#Headers], 0),FALSE),"No CAS Number Entered")</f>
        <v>No CAS Number Entered</v>
      </c>
      <c r="C168" s="102"/>
      <c r="D168" s="102" t="s">
        <v>12666</v>
      </c>
      <c r="E168" s="102" t="s">
        <v>12666</v>
      </c>
      <c r="F168" s="102" t="s">
        <v>12666</v>
      </c>
      <c r="G168" s="102" t="s">
        <v>12666</v>
      </c>
      <c r="H168" s="164"/>
      <c r="I168" s="51">
        <f>IF(speciated_chemicals_191[[#This Row],[Inert / Not a Contaminant?]]="Yes", 0, speciated_chemicals_191[[#This Row],[Weight Percent]]*(unique_components_190[[#Totals],[Controlled lb/hr]]+standard_components_189[[#Totals],[Controlled
lb/hr]]))</f>
        <v>0</v>
      </c>
      <c r="J168" s="51">
        <f>IF(speciated_chemicals_191[[#This Row],[Inert / Not a Contaminant?]]="Yes", 0, speciated_chemicals_191[[#This Row],[Weight Percent]]*(unique_components_190[[#Totals],[Controlled
tpy]]+standard_components_189[[#Totals],[Controlled
tpy]]))</f>
        <v>0</v>
      </c>
    </row>
    <row r="169" spans="1:10" x14ac:dyDescent="0.2">
      <c r="A169" s="103"/>
      <c r="B169" s="51" t="str">
        <f>IFERROR(VLOOKUP(speciated_chemicals_191[[#This Row],[CAS '#]],species[],MATCH("Substance", species[#Headers], 0),FALSE),"No CAS Number Entered")</f>
        <v>No CAS Number Entered</v>
      </c>
      <c r="C169" s="102"/>
      <c r="D169" s="102" t="s">
        <v>12666</v>
      </c>
      <c r="E169" s="102" t="s">
        <v>12666</v>
      </c>
      <c r="F169" s="102" t="s">
        <v>12666</v>
      </c>
      <c r="G169" s="102" t="s">
        <v>12666</v>
      </c>
      <c r="H169" s="164"/>
      <c r="I169" s="51">
        <f>IF(speciated_chemicals_191[[#This Row],[Inert / Not a Contaminant?]]="Yes", 0, speciated_chemicals_191[[#This Row],[Weight Percent]]*(unique_components_190[[#Totals],[Controlled lb/hr]]+standard_components_189[[#Totals],[Controlled
lb/hr]]))</f>
        <v>0</v>
      </c>
      <c r="J169" s="51">
        <f>IF(speciated_chemicals_191[[#This Row],[Inert / Not a Contaminant?]]="Yes", 0, speciated_chemicals_191[[#This Row],[Weight Percent]]*(unique_components_190[[#Totals],[Controlled
tpy]]+standard_components_189[[#Totals],[Controlled
tpy]]))</f>
        <v>0</v>
      </c>
    </row>
    <row r="170" spans="1:10" x14ac:dyDescent="0.2">
      <c r="A170" s="103"/>
      <c r="B170" s="51" t="str">
        <f>IFERROR(VLOOKUP(speciated_chemicals_191[[#This Row],[CAS '#]],species[],MATCH("Substance", species[#Headers], 0),FALSE),"No CAS Number Entered")</f>
        <v>No CAS Number Entered</v>
      </c>
      <c r="C170" s="102"/>
      <c r="D170" s="102" t="s">
        <v>12666</v>
      </c>
      <c r="E170" s="102" t="s">
        <v>12666</v>
      </c>
      <c r="F170" s="102" t="s">
        <v>12666</v>
      </c>
      <c r="G170" s="102" t="s">
        <v>12666</v>
      </c>
      <c r="H170" s="164"/>
      <c r="I170" s="51">
        <f>IF(speciated_chemicals_191[[#This Row],[Inert / Not a Contaminant?]]="Yes", 0, speciated_chemicals_191[[#This Row],[Weight Percent]]*(unique_components_190[[#Totals],[Controlled lb/hr]]+standard_components_189[[#Totals],[Controlled
lb/hr]]))</f>
        <v>0</v>
      </c>
      <c r="J170" s="51">
        <f>IF(speciated_chemicals_191[[#This Row],[Inert / Not a Contaminant?]]="Yes", 0, speciated_chemicals_191[[#This Row],[Weight Percent]]*(unique_components_190[[#Totals],[Controlled
tpy]]+standard_components_189[[#Totals],[Controlled
tpy]]))</f>
        <v>0</v>
      </c>
    </row>
    <row r="171" spans="1:10" x14ac:dyDescent="0.2">
      <c r="A171" s="103"/>
      <c r="B171" s="51" t="str">
        <f>IFERROR(VLOOKUP(speciated_chemicals_191[[#This Row],[CAS '#]],species[],MATCH("Substance", species[#Headers], 0),FALSE),"No CAS Number Entered")</f>
        <v>No CAS Number Entered</v>
      </c>
      <c r="C171" s="102"/>
      <c r="D171" s="102" t="s">
        <v>12666</v>
      </c>
      <c r="E171" s="102" t="s">
        <v>12666</v>
      </c>
      <c r="F171" s="102" t="s">
        <v>12666</v>
      </c>
      <c r="G171" s="102" t="s">
        <v>12666</v>
      </c>
      <c r="H171" s="164"/>
      <c r="I171" s="51">
        <f>IF(speciated_chemicals_191[[#This Row],[Inert / Not a Contaminant?]]="Yes", 0, speciated_chemicals_191[[#This Row],[Weight Percent]]*(unique_components_190[[#Totals],[Controlled lb/hr]]+standard_components_189[[#Totals],[Controlled
lb/hr]]))</f>
        <v>0</v>
      </c>
      <c r="J171" s="51">
        <f>IF(speciated_chemicals_191[[#This Row],[Inert / Not a Contaminant?]]="Yes", 0, speciated_chemicals_191[[#This Row],[Weight Percent]]*(unique_components_190[[#Totals],[Controlled
tpy]]+standard_components_189[[#Totals],[Controlled
tpy]]))</f>
        <v>0</v>
      </c>
    </row>
    <row r="172" spans="1:10" x14ac:dyDescent="0.2">
      <c r="A172" s="103"/>
      <c r="B172" s="51" t="str">
        <f>IFERROR(VLOOKUP(speciated_chemicals_191[[#This Row],[CAS '#]],species[],MATCH("Substance", species[#Headers], 0),FALSE),"No CAS Number Entered")</f>
        <v>No CAS Number Entered</v>
      </c>
      <c r="C172" s="102"/>
      <c r="D172" s="102" t="s">
        <v>12666</v>
      </c>
      <c r="E172" s="102" t="s">
        <v>12666</v>
      </c>
      <c r="F172" s="102" t="s">
        <v>12666</v>
      </c>
      <c r="G172" s="102" t="s">
        <v>12666</v>
      </c>
      <c r="H172" s="164"/>
      <c r="I172" s="51">
        <f>IF(speciated_chemicals_191[[#This Row],[Inert / Not a Contaminant?]]="Yes", 0, speciated_chemicals_191[[#This Row],[Weight Percent]]*(unique_components_190[[#Totals],[Controlled lb/hr]]+standard_components_189[[#Totals],[Controlled
lb/hr]]))</f>
        <v>0</v>
      </c>
      <c r="J172" s="51">
        <f>IF(speciated_chemicals_191[[#This Row],[Inert / Not a Contaminant?]]="Yes", 0, speciated_chemicals_191[[#This Row],[Weight Percent]]*(unique_components_190[[#Totals],[Controlled
tpy]]+standard_components_189[[#Totals],[Controlled
tpy]]))</f>
        <v>0</v>
      </c>
    </row>
    <row r="173" spans="1:10" x14ac:dyDescent="0.2">
      <c r="A173" s="103"/>
      <c r="B173" s="51" t="str">
        <f>IFERROR(VLOOKUP(speciated_chemicals_191[[#This Row],[CAS '#]],species[],MATCH("Substance", species[#Headers], 0),FALSE),"No CAS Number Entered")</f>
        <v>No CAS Number Entered</v>
      </c>
      <c r="C173" s="102"/>
      <c r="D173" s="102" t="s">
        <v>12666</v>
      </c>
      <c r="E173" s="102" t="s">
        <v>12666</v>
      </c>
      <c r="F173" s="102" t="s">
        <v>12666</v>
      </c>
      <c r="G173" s="102" t="s">
        <v>12666</v>
      </c>
      <c r="H173" s="164"/>
      <c r="I173" s="51">
        <f>IF(speciated_chemicals_191[[#This Row],[Inert / Not a Contaminant?]]="Yes", 0, speciated_chemicals_191[[#This Row],[Weight Percent]]*(unique_components_190[[#Totals],[Controlled lb/hr]]+standard_components_189[[#Totals],[Controlled
lb/hr]]))</f>
        <v>0</v>
      </c>
      <c r="J173" s="51">
        <f>IF(speciated_chemicals_191[[#This Row],[Inert / Not a Contaminant?]]="Yes", 0, speciated_chemicals_191[[#This Row],[Weight Percent]]*(unique_components_190[[#Totals],[Controlled
tpy]]+standard_components_189[[#Totals],[Controlled
tpy]]))</f>
        <v>0</v>
      </c>
    </row>
    <row r="174" spans="1:10" x14ac:dyDescent="0.2">
      <c r="A174" s="103"/>
      <c r="B174" s="51" t="str">
        <f>IFERROR(VLOOKUP(speciated_chemicals_191[[#This Row],[CAS '#]],species[],MATCH("Substance", species[#Headers], 0),FALSE),"No CAS Number Entered")</f>
        <v>No CAS Number Entered</v>
      </c>
      <c r="C174" s="102"/>
      <c r="D174" s="102" t="s">
        <v>12666</v>
      </c>
      <c r="E174" s="102" t="s">
        <v>12666</v>
      </c>
      <c r="F174" s="102" t="s">
        <v>12666</v>
      </c>
      <c r="G174" s="102" t="s">
        <v>12666</v>
      </c>
      <c r="H174" s="164"/>
      <c r="I174" s="51">
        <f>IF(speciated_chemicals_191[[#This Row],[Inert / Not a Contaminant?]]="Yes", 0, speciated_chemicals_191[[#This Row],[Weight Percent]]*(unique_components_190[[#Totals],[Controlled lb/hr]]+standard_components_189[[#Totals],[Controlled
lb/hr]]))</f>
        <v>0</v>
      </c>
      <c r="J174" s="51">
        <f>IF(speciated_chemicals_191[[#This Row],[Inert / Not a Contaminant?]]="Yes", 0, speciated_chemicals_191[[#This Row],[Weight Percent]]*(unique_components_190[[#Totals],[Controlled
tpy]]+standard_components_189[[#Totals],[Controlled
tpy]]))</f>
        <v>0</v>
      </c>
    </row>
    <row r="175" spans="1:10" x14ac:dyDescent="0.2">
      <c r="A175" s="103"/>
      <c r="B175" s="51" t="str">
        <f>IFERROR(VLOOKUP(speciated_chemicals_191[[#This Row],[CAS '#]],species[],MATCH("Substance", species[#Headers], 0),FALSE),"No CAS Number Entered")</f>
        <v>No CAS Number Entered</v>
      </c>
      <c r="C175" s="102"/>
      <c r="D175" s="102" t="s">
        <v>12666</v>
      </c>
      <c r="E175" s="102" t="s">
        <v>12666</v>
      </c>
      <c r="F175" s="102" t="s">
        <v>12666</v>
      </c>
      <c r="G175" s="102" t="s">
        <v>12666</v>
      </c>
      <c r="H175" s="164"/>
      <c r="I175" s="51">
        <f>IF(speciated_chemicals_191[[#This Row],[Inert / Not a Contaminant?]]="Yes", 0, speciated_chemicals_191[[#This Row],[Weight Percent]]*(unique_components_190[[#Totals],[Controlled lb/hr]]+standard_components_189[[#Totals],[Controlled
lb/hr]]))</f>
        <v>0</v>
      </c>
      <c r="J175" s="51">
        <f>IF(speciated_chemicals_191[[#This Row],[Inert / Not a Contaminant?]]="Yes", 0, speciated_chemicals_191[[#This Row],[Weight Percent]]*(unique_components_190[[#Totals],[Controlled
tpy]]+standard_components_189[[#Totals],[Controlled
tpy]]))</f>
        <v>0</v>
      </c>
    </row>
    <row r="176" spans="1:10" x14ac:dyDescent="0.2">
      <c r="A176" s="165"/>
      <c r="B176" s="51" t="str">
        <f>IFERROR(VLOOKUP(speciated_chemicals_191[[#This Row],[CAS '#]],species[],MATCH("Substance", species[#Headers], 0),FALSE),"No CAS Number Entered")</f>
        <v>No CAS Number Entered</v>
      </c>
      <c r="C176" s="102"/>
      <c r="D176" s="102" t="s">
        <v>12666</v>
      </c>
      <c r="E176" s="102" t="s">
        <v>12666</v>
      </c>
      <c r="F176" s="102" t="s">
        <v>12666</v>
      </c>
      <c r="G176" s="102" t="s">
        <v>12666</v>
      </c>
      <c r="H176" s="164"/>
      <c r="I176" s="51">
        <f>IF(speciated_chemicals_191[[#This Row],[Inert / Not a Contaminant?]]="Yes", 0, speciated_chemicals_191[[#This Row],[Weight Percent]]*(unique_components_190[[#Totals],[Controlled lb/hr]]+standard_components_189[[#Totals],[Controlled
lb/hr]]))</f>
        <v>0</v>
      </c>
      <c r="J176" s="51">
        <f>IF(speciated_chemicals_191[[#This Row],[Inert / Not a Contaminant?]]="Yes", 0, speciated_chemicals_191[[#This Row],[Weight Percent]]*(unique_components_190[[#Totals],[Controlled
tpy]]+standard_components_189[[#Totals],[Controlled
tpy]]))</f>
        <v>0</v>
      </c>
    </row>
    <row r="177" spans="1:10" x14ac:dyDescent="0.2">
      <c r="A177" s="103"/>
      <c r="B177" s="51" t="str">
        <f>IFERROR(VLOOKUP(speciated_chemicals_191[[#This Row],[CAS '#]],species[],MATCH("Substance", species[#Headers], 0),FALSE),"No CAS Number Entered")</f>
        <v>No CAS Number Entered</v>
      </c>
      <c r="C177" s="102"/>
      <c r="D177" s="102" t="s">
        <v>12666</v>
      </c>
      <c r="E177" s="102" t="s">
        <v>12666</v>
      </c>
      <c r="F177" s="102" t="s">
        <v>12666</v>
      </c>
      <c r="G177" s="102" t="s">
        <v>12666</v>
      </c>
      <c r="H177" s="164"/>
      <c r="I177" s="51">
        <f>IF(speciated_chemicals_191[[#This Row],[Inert / Not a Contaminant?]]="Yes", 0, speciated_chemicals_191[[#This Row],[Weight Percent]]*(unique_components_190[[#Totals],[Controlled lb/hr]]+standard_components_189[[#Totals],[Controlled
lb/hr]]))</f>
        <v>0</v>
      </c>
      <c r="J177" s="51">
        <f>IF(speciated_chemicals_191[[#This Row],[Inert / Not a Contaminant?]]="Yes", 0, speciated_chemicals_191[[#This Row],[Weight Percent]]*(unique_components_190[[#Totals],[Controlled
tpy]]+standard_components_189[[#Totals],[Controlled
tpy]]))</f>
        <v>0</v>
      </c>
    </row>
    <row r="178" spans="1:10" x14ac:dyDescent="0.2">
      <c r="A178" s="103"/>
      <c r="B178" s="51" t="str">
        <f>IFERROR(VLOOKUP(speciated_chemicals_191[[#This Row],[CAS '#]],species[],MATCH("Substance", species[#Headers], 0),FALSE),"No CAS Number Entered")</f>
        <v>No CAS Number Entered</v>
      </c>
      <c r="C178" s="102"/>
      <c r="D178" s="102" t="s">
        <v>12666</v>
      </c>
      <c r="E178" s="102" t="s">
        <v>12666</v>
      </c>
      <c r="F178" s="102" t="s">
        <v>12666</v>
      </c>
      <c r="G178" s="102" t="s">
        <v>12666</v>
      </c>
      <c r="H178" s="164"/>
      <c r="I178" s="51">
        <f>IF(speciated_chemicals_191[[#This Row],[Inert / Not a Contaminant?]]="Yes", 0, speciated_chemicals_191[[#This Row],[Weight Percent]]*(unique_components_190[[#Totals],[Controlled lb/hr]]+standard_components_189[[#Totals],[Controlled
lb/hr]]))</f>
        <v>0</v>
      </c>
      <c r="J178" s="51">
        <f>IF(speciated_chemicals_191[[#This Row],[Inert / Not a Contaminant?]]="Yes", 0, speciated_chemicals_191[[#This Row],[Weight Percent]]*(unique_components_190[[#Totals],[Controlled
tpy]]+standard_components_189[[#Totals],[Controlled
tpy]]))</f>
        <v>0</v>
      </c>
    </row>
    <row r="179" spans="1:10" x14ac:dyDescent="0.2">
      <c r="A179" s="103"/>
      <c r="B179" s="51" t="str">
        <f>IFERROR(VLOOKUP(speciated_chemicals_191[[#This Row],[CAS '#]],species[],MATCH("Substance", species[#Headers], 0),FALSE),"No CAS Number Entered")</f>
        <v>No CAS Number Entered</v>
      </c>
      <c r="C179" s="102"/>
      <c r="D179" s="102" t="s">
        <v>12666</v>
      </c>
      <c r="E179" s="102" t="s">
        <v>12666</v>
      </c>
      <c r="F179" s="102" t="s">
        <v>12666</v>
      </c>
      <c r="G179" s="102" t="s">
        <v>12666</v>
      </c>
      <c r="H179" s="164"/>
      <c r="I179" s="51">
        <f>IF(speciated_chemicals_191[[#This Row],[Inert / Not a Contaminant?]]="Yes", 0, speciated_chemicals_191[[#This Row],[Weight Percent]]*(unique_components_190[[#Totals],[Controlled lb/hr]]+standard_components_189[[#Totals],[Controlled
lb/hr]]))</f>
        <v>0</v>
      </c>
      <c r="J179" s="51">
        <f>IF(speciated_chemicals_191[[#This Row],[Inert / Not a Contaminant?]]="Yes", 0, speciated_chemicals_191[[#This Row],[Weight Percent]]*(unique_components_190[[#Totals],[Controlled
tpy]]+standard_components_189[[#Totals],[Controlled
tpy]]))</f>
        <v>0</v>
      </c>
    </row>
    <row r="180" spans="1:10" x14ac:dyDescent="0.2">
      <c r="A180" s="103"/>
      <c r="B180" s="51" t="str">
        <f>IFERROR(VLOOKUP(speciated_chemicals_191[[#This Row],[CAS '#]],species[],MATCH("Substance", species[#Headers], 0),FALSE),"No CAS Number Entered")</f>
        <v>No CAS Number Entered</v>
      </c>
      <c r="C180" s="102"/>
      <c r="D180" s="102" t="s">
        <v>12666</v>
      </c>
      <c r="E180" s="102" t="s">
        <v>12666</v>
      </c>
      <c r="F180" s="102" t="s">
        <v>12666</v>
      </c>
      <c r="G180" s="102" t="s">
        <v>12666</v>
      </c>
      <c r="H180" s="164"/>
      <c r="I180" s="51">
        <f>IF(speciated_chemicals_191[[#This Row],[Inert / Not a Contaminant?]]="Yes", 0, speciated_chemicals_191[[#This Row],[Weight Percent]]*(unique_components_190[[#Totals],[Controlled lb/hr]]+standard_components_189[[#Totals],[Controlled
lb/hr]]))</f>
        <v>0</v>
      </c>
      <c r="J180" s="51">
        <f>IF(speciated_chemicals_191[[#This Row],[Inert / Not a Contaminant?]]="Yes", 0, speciated_chemicals_191[[#This Row],[Weight Percent]]*(unique_components_190[[#Totals],[Controlled
tpy]]+standard_components_189[[#Totals],[Controlled
tpy]]))</f>
        <v>0</v>
      </c>
    </row>
    <row r="181" spans="1:10" ht="30" x14ac:dyDescent="0.2">
      <c r="A181" s="184" t="s">
        <v>12705</v>
      </c>
      <c r="B181" s="52"/>
      <c r="C181" s="53"/>
      <c r="D181" s="52"/>
      <c r="E181" s="52"/>
      <c r="F181" s="52"/>
      <c r="G181" s="52"/>
      <c r="H181" s="166">
        <f>SUBTOTAL(109,speciated_chemicals_191[Weight Percent])</f>
        <v>0</v>
      </c>
      <c r="I181" s="167">
        <f>SUBTOTAL(109,speciated_chemicals_191[lb/hr])</f>
        <v>0</v>
      </c>
      <c r="J181" s="167">
        <f>SUBTOTAL(109,speciated_chemicals_191[tpy])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MATCH(speciated_ghg_192[[#This Row],[CAS '#]], gwp_table[CAS No.], 0), MATCH("Name", gwp_table[#Headers], 0)),"No CAS Number Entered")</f>
        <v>No CAS Number Entered</v>
      </c>
      <c r="C185" s="79" t="str">
        <f>IFERROR(INDEX(gwp_table[], MATCH(speciated_ghg_192[[#This Row],[CAS '#]], gwp_table[CAS No.], 0), MATCH("Global warming potential", gwp_table[#Headers], 0)),"No CAS Number Entered")</f>
        <v>No CAS Number Entered</v>
      </c>
      <c r="D185" s="219"/>
      <c r="E185" s="79">
        <f>IFERROR(speciated_ghg_192[[#This Row],[Weight Percent]]*(unique_components_190[[#Totals],[Controlled
tpy]]+standard_components_189[[#Totals],[Controlled
tpy]]), "-")</f>
        <v>0</v>
      </c>
      <c r="F185" s="81" t="str">
        <f>IFERROR(speciated_ghg_192[[#This Row],[Mass Emissions (U.S. tons per year)]]*speciated_ghg_192[[#This Row],[Global Warming Potential (GWP)]], "-")</f>
        <v>-</v>
      </c>
      <c r="G185" s="30"/>
      <c r="H185" s="168"/>
      <c r="I185" s="168"/>
    </row>
    <row r="186" spans="1:10" x14ac:dyDescent="0.2">
      <c r="A186" s="210"/>
      <c r="B186" s="79" t="str">
        <f>IFERROR(INDEX(gwp_table[], MATCH(speciated_ghg_192[[#This Row],[CAS '#]], gwp_table[CAS No.], 0), MATCH("Name", gwp_table[#Headers], 0)),"No CAS Number Entered")</f>
        <v>No CAS Number Entered</v>
      </c>
      <c r="C186" s="79" t="str">
        <f>IFERROR(INDEX(gwp_table[], MATCH(speciated_ghg_192[[#This Row],[CAS '#]], gwp_table[CAS No.], 0), MATCH("Global warming potential", gwp_table[#Headers], 0)),"No CAS Number Entered")</f>
        <v>No CAS Number Entered</v>
      </c>
      <c r="D186" s="219"/>
      <c r="E186" s="79">
        <f>IFERROR(speciated_ghg_192[[#This Row],[Weight Percent]]*(unique_components_190[[#Totals],[Controlled
tpy]]+standard_components_189[[#Totals],[Controlled
tpy]]), "-")</f>
        <v>0</v>
      </c>
      <c r="F186" s="81" t="str">
        <f>IFERROR(speciated_ghg_192[[#This Row],[Mass Emissions (U.S. tons per year)]]*speciated_ghg_192[[#This Row],[Global Warming Potential (GWP)]], "-")</f>
        <v>-</v>
      </c>
      <c r="G186" s="30"/>
      <c r="H186" s="168"/>
      <c r="I186" s="168"/>
    </row>
    <row r="187" spans="1:10" x14ac:dyDescent="0.2">
      <c r="A187" s="210"/>
      <c r="B187" s="79" t="str">
        <f>IFERROR(INDEX(gwp_table[], MATCH(speciated_ghg_192[[#This Row],[CAS '#]], gwp_table[CAS No.], 0), MATCH("Name", gwp_table[#Headers], 0)),"No CAS Number Entered")</f>
        <v>No CAS Number Entered</v>
      </c>
      <c r="C187" s="79" t="str">
        <f>IFERROR(INDEX(gwp_table[], MATCH(speciated_ghg_192[[#This Row],[CAS '#]], gwp_table[CAS No.], 0), MATCH("Global warming potential", gwp_table[#Headers], 0)),"No CAS Number Entered")</f>
        <v>No CAS Number Entered</v>
      </c>
      <c r="D187" s="219"/>
      <c r="E187" s="79">
        <f>IFERROR(speciated_ghg_192[[#This Row],[Weight Percent]]*(unique_components_190[[#Totals],[Controlled
tpy]]+standard_components_189[[#Totals],[Controlled
tpy]]), "-")</f>
        <v>0</v>
      </c>
      <c r="F187" s="81" t="str">
        <f>IFERROR(speciated_ghg_192[[#This Row],[Mass Emissions (U.S. tons per year)]]*speciated_ghg_192[[#This Row],[Global Warming Potential (GWP)]], "-")</f>
        <v>-</v>
      </c>
      <c r="G187" s="30"/>
      <c r="H187" s="168"/>
      <c r="I187" s="168"/>
    </row>
    <row r="188" spans="1:10" x14ac:dyDescent="0.2">
      <c r="A188" s="210"/>
      <c r="B188" s="79" t="str">
        <f>IFERROR(INDEX(gwp_table[], MATCH(speciated_ghg_192[[#This Row],[CAS '#]], gwp_table[CAS No.], 0), MATCH("Name", gwp_table[#Headers], 0)),"No CAS Number Entered")</f>
        <v>No CAS Number Entered</v>
      </c>
      <c r="C188" s="79" t="str">
        <f>IFERROR(INDEX(gwp_table[], MATCH(speciated_ghg_192[[#This Row],[CAS '#]], gwp_table[CAS No.], 0), MATCH("Global warming potential", gwp_table[#Headers], 0)),"No CAS Number Entered")</f>
        <v>No CAS Number Entered</v>
      </c>
      <c r="D188" s="219"/>
      <c r="E188" s="79">
        <f>IFERROR(speciated_ghg_192[[#This Row],[Weight Percent]]*(unique_components_190[[#Totals],[Controlled
tpy]]+standard_components_189[[#Totals],[Controlled
tpy]]), "-")</f>
        <v>0</v>
      </c>
      <c r="F188" s="81" t="str">
        <f>IFERROR(speciated_ghg_192[[#This Row],[Mass Emissions (U.S. tons per year)]]*speciated_ghg_192[[#This Row],[Global Warming Potential (GWP)]], "-")</f>
        <v>-</v>
      </c>
      <c r="G188" s="30"/>
      <c r="H188" s="168"/>
      <c r="I188" s="168"/>
    </row>
    <row r="189" spans="1:10" x14ac:dyDescent="0.2">
      <c r="A189" s="210"/>
      <c r="B189" s="79" t="str">
        <f>IFERROR(INDEX(gwp_table[], MATCH(speciated_ghg_192[[#This Row],[CAS '#]], gwp_table[CAS No.], 0), MATCH("Name", gwp_table[#Headers], 0)),"No CAS Number Entered")</f>
        <v>No CAS Number Entered</v>
      </c>
      <c r="C189" s="79" t="str">
        <f>IFERROR(INDEX(gwp_table[], MATCH(speciated_ghg_192[[#This Row],[CAS '#]], gwp_table[CAS No.], 0), MATCH("Global warming potential", gwp_table[#Headers], 0)),"No CAS Number Entered")</f>
        <v>No CAS Number Entered</v>
      </c>
      <c r="D189" s="219"/>
      <c r="E189" s="79">
        <f>IFERROR(speciated_ghg_192[[#This Row],[Weight Percent]]*(unique_components_190[[#Totals],[Controlled
tpy]]+standard_components_189[[#Totals],[Controlled
tpy]]), "-")</f>
        <v>0</v>
      </c>
      <c r="F189" s="81" t="str">
        <f>IFERROR(speciated_ghg_192[[#This Row],[Mass Emissions (U.S. tons per year)]]*speciated_ghg_192[[#This Row],[Global Warming Potential (GWP)]], "-")</f>
        <v>-</v>
      </c>
      <c r="G189" s="30"/>
      <c r="H189" s="168"/>
      <c r="I189" s="168"/>
    </row>
    <row r="190" spans="1:10" x14ac:dyDescent="0.2">
      <c r="A190" s="210"/>
      <c r="B190" s="79" t="str">
        <f>IFERROR(INDEX(gwp_table[], MATCH(speciated_ghg_192[[#This Row],[CAS '#]], gwp_table[CAS No.], 0), MATCH("Name", gwp_table[#Headers], 0)),"No CAS Number Entered")</f>
        <v>No CAS Number Entered</v>
      </c>
      <c r="C190" s="79" t="str">
        <f>IFERROR(INDEX(gwp_table[], MATCH(speciated_ghg_192[[#This Row],[CAS '#]], gwp_table[CAS No.], 0), MATCH("Global warming potential", gwp_table[#Headers], 0)),"No CAS Number Entered")</f>
        <v>No CAS Number Entered</v>
      </c>
      <c r="D190" s="219"/>
      <c r="E190" s="79">
        <f>IFERROR(speciated_ghg_192[[#This Row],[Weight Percent]]*(unique_components_190[[#Totals],[Controlled
tpy]]+standard_components_189[[#Totals],[Controlled
tpy]]), "-")</f>
        <v>0</v>
      </c>
      <c r="F190" s="81" t="str">
        <f>IFERROR(speciated_ghg_192[[#This Row],[Mass Emissions (U.S. tons per year)]]*speciated_ghg_192[[#This Row],[Global Warming Potential (GWP)]], "-")</f>
        <v>-</v>
      </c>
      <c r="G190" s="30"/>
      <c r="H190" s="168"/>
      <c r="I190" s="168"/>
    </row>
    <row r="191" spans="1:10" x14ac:dyDescent="0.2">
      <c r="A191" s="210"/>
      <c r="B191" s="79" t="str">
        <f>IFERROR(INDEX(gwp_table[], MATCH(speciated_ghg_192[[#This Row],[CAS '#]], gwp_table[CAS No.], 0), MATCH("Name", gwp_table[#Headers], 0)),"No CAS Number Entered")</f>
        <v>No CAS Number Entered</v>
      </c>
      <c r="C191" s="79" t="str">
        <f>IFERROR(INDEX(gwp_table[], MATCH(speciated_ghg_192[[#This Row],[CAS '#]], gwp_table[CAS No.], 0), MATCH("Global warming potential", gwp_table[#Headers], 0)),"No CAS Number Entered")</f>
        <v>No CAS Number Entered</v>
      </c>
      <c r="D191" s="219"/>
      <c r="E191" s="79">
        <f>IFERROR(speciated_ghg_192[[#This Row],[Weight Percent]]*(unique_components_190[[#Totals],[Controlled
tpy]]+standard_components_189[[#Totals],[Controlled
tpy]]), "-")</f>
        <v>0</v>
      </c>
      <c r="F191" s="81" t="str">
        <f>IFERROR(speciated_ghg_192[[#This Row],[Mass Emissions (U.S. tons per year)]]*speciated_ghg_192[[#This Row],[Global Warming Potential (GWP)]], "-")</f>
        <v>-</v>
      </c>
      <c r="G191" s="17"/>
    </row>
    <row r="192" spans="1:10" ht="15" x14ac:dyDescent="0.25">
      <c r="A192" s="210"/>
      <c r="B192" s="79" t="str">
        <f>IFERROR(INDEX(gwp_table[], MATCH(speciated_ghg_192[[#This Row],[CAS '#]], gwp_table[CAS No.], 0), MATCH("Name", gwp_table[#Headers], 0)),"No CAS Number Entered")</f>
        <v>No CAS Number Entered</v>
      </c>
      <c r="C192" s="79" t="str">
        <f>IFERROR(INDEX(gwp_table[], MATCH(speciated_ghg_192[[#This Row],[CAS '#]], gwp_table[CAS No.], 0), MATCH("Global warming potential", gwp_table[#Headers], 0)),"No CAS Number Entered")</f>
        <v>No CAS Number Entered</v>
      </c>
      <c r="D192" s="219"/>
      <c r="E192" s="79">
        <f>IFERROR(speciated_ghg_192[[#This Row],[Weight Percent]]*(unique_components_190[[#Totals],[Controlled
tpy]]+standard_components_189[[#Totals],[Controlled
tpy]]), "-")</f>
        <v>0</v>
      </c>
      <c r="F192" s="81" t="str">
        <f>IFERROR(speciated_ghg_192[[#This Row],[Mass Emissions (U.S. tons per year)]]*speciated_ghg_192[[#This Row],[Global Warming Potential (GWP)]], "-")</f>
        <v>-</v>
      </c>
      <c r="G192" s="134"/>
      <c r="H192" s="169"/>
    </row>
    <row r="193" spans="1:9" ht="15" x14ac:dyDescent="0.25">
      <c r="A193" s="210"/>
      <c r="B193" s="79" t="str">
        <f>IFERROR(INDEX(gwp_table[], MATCH(speciated_ghg_192[[#This Row],[CAS '#]], gwp_table[CAS No.], 0), MATCH("Name", gwp_table[#Headers], 0)),"No CAS Number Entered")</f>
        <v>No CAS Number Entered</v>
      </c>
      <c r="C193" s="79" t="str">
        <f>IFERROR(INDEX(gwp_table[], MATCH(speciated_ghg_192[[#This Row],[CAS '#]], gwp_table[CAS No.], 0), MATCH("Global warming potential", gwp_table[#Headers], 0)),"No CAS Number Entered")</f>
        <v>No CAS Number Entered</v>
      </c>
      <c r="D193" s="219"/>
      <c r="E193" s="79">
        <f>IFERROR(speciated_ghg_192[[#This Row],[Weight Percent]]*(unique_components_190[[#Totals],[Controlled
tpy]]+standard_components_189[[#Totals],[Controlled
tpy]]), "-")</f>
        <v>0</v>
      </c>
      <c r="F193" s="81" t="str">
        <f>IFERROR(speciated_ghg_192[[#This Row],[Mass Emissions (U.S. tons per year)]]*speciated_ghg_192[[#This Row],[Global Warming Potential (GWP)]], "-")</f>
        <v>-</v>
      </c>
      <c r="G193" s="134"/>
      <c r="H193" s="169"/>
    </row>
    <row r="194" spans="1:9" ht="15" x14ac:dyDescent="0.25">
      <c r="A194" s="210"/>
      <c r="B194" s="79" t="str">
        <f>IFERROR(INDEX(gwp_table[], MATCH(speciated_ghg_192[[#This Row],[CAS '#]], gwp_table[CAS No.], 0), MATCH("Name", gwp_table[#Headers], 0)),"No CAS Number Entered")</f>
        <v>No CAS Number Entered</v>
      </c>
      <c r="C194" s="79" t="str">
        <f>IFERROR(INDEX(gwp_table[], MATCH(speciated_ghg_192[[#This Row],[CAS '#]], gwp_table[CAS No.], 0), MATCH("Global warming potential", gwp_table[#Headers], 0)),"No CAS Number Entered")</f>
        <v>No CAS Number Entered</v>
      </c>
      <c r="D194" s="219"/>
      <c r="E194" s="79">
        <f>IFERROR(speciated_ghg_192[[#This Row],[Weight Percent]]*(unique_components_190[[#Totals],[Controlled
tpy]]+standard_components_189[[#Totals],[Controlled
tpy]]), "-")</f>
        <v>0</v>
      </c>
      <c r="F194" s="81" t="str">
        <f>IFERROR(speciated_ghg_192[[#This Row],[Mass Emissions (U.S. tons per year)]]*speciated_ghg_192[[#This Row],[Global Warming Potential (GWP)]], "-")</f>
        <v>-</v>
      </c>
      <c r="G194" s="134"/>
      <c r="H194" s="169"/>
    </row>
    <row r="195" spans="1:9" x14ac:dyDescent="0.2">
      <c r="A195" s="210"/>
      <c r="B195" s="79" t="str">
        <f>IFERROR(INDEX(gwp_table[], MATCH(speciated_ghg_192[[#This Row],[CAS '#]], gwp_table[CAS No.], 0), MATCH("Name", gwp_table[#Headers], 0)),"No CAS Number Entered")</f>
        <v>No CAS Number Entered</v>
      </c>
      <c r="C195" s="79" t="str">
        <f>IFERROR(INDEX(gwp_table[], MATCH(speciated_ghg_192[[#This Row],[CAS '#]], gwp_table[CAS No.], 0), MATCH("Global warming potential", gwp_table[#Headers], 0)),"No CAS Number Entered")</f>
        <v>No CAS Number Entered</v>
      </c>
      <c r="D195" s="219"/>
      <c r="E195" s="79">
        <f>IFERROR(speciated_ghg_192[[#This Row],[Weight Percent]]*(unique_components_190[[#Totals],[Controlled
tpy]]+standard_components_189[[#Totals],[Controlled
tpy]]), "-")</f>
        <v>0</v>
      </c>
      <c r="F195" s="81" t="str">
        <f>IFERROR(speciated_ghg_192[[#This Row],[Mass Emissions (U.S. tons per year)]]*speciated_ghg_192[[#This Row],[Global Warming Potential (GWP)]], "-")</f>
        <v>-</v>
      </c>
      <c r="G195" s="69"/>
      <c r="H195" s="169"/>
    </row>
    <row r="196" spans="1:9" x14ac:dyDescent="0.2">
      <c r="A196" s="210"/>
      <c r="B196" s="79" t="str">
        <f>IFERROR(INDEX(gwp_table[], MATCH(speciated_ghg_192[[#This Row],[CAS '#]], gwp_table[CAS No.], 0), MATCH("Name", gwp_table[#Headers], 0)),"No CAS Number Entered")</f>
        <v>No CAS Number Entered</v>
      </c>
      <c r="C196" s="79" t="str">
        <f>IFERROR(INDEX(gwp_table[], MATCH(speciated_ghg_192[[#This Row],[CAS '#]], gwp_table[CAS No.], 0), MATCH("Global warming potential", gwp_table[#Headers], 0)),"No CAS Number Entered")</f>
        <v>No CAS Number Entered</v>
      </c>
      <c r="D196" s="219"/>
      <c r="E196" s="79">
        <f>IFERROR(speciated_ghg_192[[#This Row],[Weight Percent]]*(unique_components_190[[#Totals],[Controlled
tpy]]+standard_components_189[[#Totals],[Controlled
tpy]]), "-")</f>
        <v>0</v>
      </c>
      <c r="F196" s="81" t="str">
        <f>IFERROR(speciated_ghg_192[[#This Row],[Mass Emissions (U.S. tons per year)]]*speciated_ghg_192[[#This Row],[Global Warming Potential (GWP)]], "-")</f>
        <v>-</v>
      </c>
      <c r="G196" s="29"/>
      <c r="H196" s="169"/>
    </row>
    <row r="197" spans="1:9" x14ac:dyDescent="0.2">
      <c r="A197" s="210"/>
      <c r="B197" s="79" t="str">
        <f>IFERROR(INDEX(gwp_table[], MATCH(speciated_ghg_192[[#This Row],[CAS '#]], gwp_table[CAS No.], 0), MATCH("Name", gwp_table[#Headers], 0)),"No CAS Number Entered")</f>
        <v>No CAS Number Entered</v>
      </c>
      <c r="C197" s="79" t="str">
        <f>IFERROR(INDEX(gwp_table[], MATCH(speciated_ghg_192[[#This Row],[CAS '#]], gwp_table[CAS No.], 0), MATCH("Global warming potential", gwp_table[#Headers], 0)),"No CAS Number Entered")</f>
        <v>No CAS Number Entered</v>
      </c>
      <c r="D197" s="219"/>
      <c r="E197" s="79">
        <f>IFERROR(speciated_ghg_192[[#This Row],[Weight Percent]]*(unique_components_190[[#Totals],[Controlled
tpy]]+standard_components_189[[#Totals],[Controlled
tpy]]), "-")</f>
        <v>0</v>
      </c>
      <c r="F197" s="81" t="str">
        <f>IFERROR(speciated_ghg_192[[#This Row],[Mass Emissions (U.S. tons per year)]]*speciated_ghg_192[[#This Row],[Global Warming Potential (GWP)]], "-")</f>
        <v>-</v>
      </c>
      <c r="G197" s="29"/>
      <c r="H197" s="29"/>
      <c r="I197" s="169"/>
    </row>
    <row r="198" spans="1:9" x14ac:dyDescent="0.2">
      <c r="A198" s="210"/>
      <c r="B198" s="79" t="str">
        <f>IFERROR(INDEX(gwp_table[], MATCH(speciated_ghg_192[[#This Row],[CAS '#]], gwp_table[CAS No.], 0), MATCH("Name", gwp_table[#Headers], 0)),"No CAS Number Entered")</f>
        <v>No CAS Number Entered</v>
      </c>
      <c r="C198" s="79" t="str">
        <f>IFERROR(INDEX(gwp_table[], MATCH(speciated_ghg_192[[#This Row],[CAS '#]], gwp_table[CAS No.], 0), MATCH("Global warming potential", gwp_table[#Headers], 0)),"No CAS Number Entered")</f>
        <v>No CAS Number Entered</v>
      </c>
      <c r="D198" s="219"/>
      <c r="E198" s="79">
        <f>IFERROR(speciated_ghg_192[[#This Row],[Weight Percent]]*(unique_components_190[[#Totals],[Controlled
tpy]]+standard_components_189[[#Totals],[Controlled
tpy]]), "-")</f>
        <v>0</v>
      </c>
      <c r="F198" s="81" t="str">
        <f>IFERROR(speciated_ghg_192[[#This Row],[Mass Emissions (U.S. tons per year)]]*speciated_ghg_192[[#This Row],[Global Warming Potential (GWP)]], "-")</f>
        <v>-</v>
      </c>
      <c r="G198" s="29"/>
      <c r="H198" s="29"/>
      <c r="I198" s="169"/>
    </row>
    <row r="199" spans="1:9" x14ac:dyDescent="0.2">
      <c r="A199" s="210"/>
      <c r="B199" s="79" t="str">
        <f>IFERROR(INDEX(gwp_table[], MATCH(speciated_ghg_192[[#This Row],[CAS '#]], gwp_table[CAS No.], 0), MATCH("Name", gwp_table[#Headers], 0)),"No CAS Number Entered")</f>
        <v>No CAS Number Entered</v>
      </c>
      <c r="C199" s="79" t="str">
        <f>IFERROR(INDEX(gwp_table[], MATCH(speciated_ghg_192[[#This Row],[CAS '#]], gwp_table[CAS No.], 0), MATCH("Global warming potential", gwp_table[#Headers], 0)),"No CAS Number Entered")</f>
        <v>No CAS Number Entered</v>
      </c>
      <c r="D199" s="219"/>
      <c r="E199" s="79">
        <f>IFERROR(speciated_ghg_192[[#This Row],[Weight Percent]]*(unique_components_190[[#Totals],[Controlled
tpy]]+standard_components_189[[#Totals],[Controlled
tpy]]), "-")</f>
        <v>0</v>
      </c>
      <c r="F199" s="81" t="str">
        <f>IFERROR(speciated_ghg_192[[#This Row],[Mass Emissions (U.S. tons per year)]]*speciated_ghg_192[[#This Row],[Global Warming Potential (GWP)]], "-")</f>
        <v>-</v>
      </c>
      <c r="G199" s="29"/>
      <c r="H199" s="29"/>
      <c r="I199" s="169"/>
    </row>
    <row r="200" spans="1:9" x14ac:dyDescent="0.2">
      <c r="A200" s="210"/>
      <c r="B200" s="79" t="str">
        <f>IFERROR(INDEX(gwp_table[], MATCH(speciated_ghg_192[[#This Row],[CAS '#]], gwp_table[CAS No.], 0), MATCH("Name", gwp_table[#Headers], 0)),"No CAS Number Entered")</f>
        <v>No CAS Number Entered</v>
      </c>
      <c r="C200" s="79" t="str">
        <f>IFERROR(INDEX(gwp_table[], MATCH(speciated_ghg_192[[#This Row],[CAS '#]], gwp_table[CAS No.], 0), MATCH("Global warming potential", gwp_table[#Headers], 0)),"No CAS Number Entered")</f>
        <v>No CAS Number Entered</v>
      </c>
      <c r="D200" s="219"/>
      <c r="E200" s="79">
        <f>IFERROR(speciated_ghg_192[[#This Row],[Weight Percent]]*(unique_components_190[[#Totals],[Controlled
tpy]]+standard_components_189[[#Totals],[Controlled
tpy]]), "-")</f>
        <v>0</v>
      </c>
      <c r="F200" s="81" t="str">
        <f>IFERROR(speciated_ghg_192[[#This Row],[Mass Emissions (U.S. tons per year)]]*speciated_ghg_192[[#This Row],[Global Warming Potential (GWP)]], "-")</f>
        <v>-</v>
      </c>
      <c r="G200" s="29"/>
      <c r="H200" s="29"/>
      <c r="I200" s="169"/>
    </row>
    <row r="201" spans="1:9" x14ac:dyDescent="0.2">
      <c r="A201" s="210"/>
      <c r="B201" s="79" t="str">
        <f>IFERROR(INDEX(gwp_table[], MATCH(speciated_ghg_192[[#This Row],[CAS '#]], gwp_table[CAS No.], 0), MATCH("Name", gwp_table[#Headers], 0)),"No CAS Number Entered")</f>
        <v>No CAS Number Entered</v>
      </c>
      <c r="C201" s="79" t="str">
        <f>IFERROR(INDEX(gwp_table[], MATCH(speciated_ghg_192[[#This Row],[CAS '#]], gwp_table[CAS No.], 0), MATCH("Global warming potential", gwp_table[#Headers], 0)),"No CAS Number Entered")</f>
        <v>No CAS Number Entered</v>
      </c>
      <c r="D201" s="219"/>
      <c r="E201" s="79">
        <f>IFERROR(speciated_ghg_192[[#This Row],[Weight Percent]]*(unique_components_190[[#Totals],[Controlled
tpy]]+standard_components_189[[#Totals],[Controlled
tpy]]), "-")</f>
        <v>0</v>
      </c>
      <c r="F201" s="81" t="str">
        <f>IFERROR(speciated_ghg_192[[#This Row],[Mass Emissions (U.S. tons per year)]]*speciated_ghg_192[[#This Row],[Global Warming Potential (GWP)]], "-")</f>
        <v>-</v>
      </c>
      <c r="G201" s="169"/>
      <c r="H201" s="169"/>
      <c r="I201" s="169"/>
    </row>
    <row r="202" spans="1:9" x14ac:dyDescent="0.2">
      <c r="A202" s="210"/>
      <c r="B202" s="79" t="str">
        <f>IFERROR(INDEX(gwp_table[], MATCH(speciated_ghg_192[[#This Row],[CAS '#]], gwp_table[CAS No.], 0), MATCH("Name", gwp_table[#Headers], 0)),"No CAS Number Entered")</f>
        <v>No CAS Number Entered</v>
      </c>
      <c r="C202" s="79" t="str">
        <f>IFERROR(INDEX(gwp_table[], MATCH(speciated_ghg_192[[#This Row],[CAS '#]], gwp_table[CAS No.], 0), MATCH("Global warming potential", gwp_table[#Headers], 0)),"No CAS Number Entered")</f>
        <v>No CAS Number Entered</v>
      </c>
      <c r="D202" s="219"/>
      <c r="E202" s="79">
        <f>IFERROR(speciated_ghg_192[[#This Row],[Weight Percent]]*(unique_components_190[[#Totals],[Controlled
tpy]]+standard_components_189[[#Totals],[Controlled
tpy]]), "-")</f>
        <v>0</v>
      </c>
      <c r="F202" s="81" t="str">
        <f>IFERROR(speciated_ghg_192[[#This Row],[Mass Emissions (U.S. tons per year)]]*speciated_ghg_192[[#This Row],[Global Warming Potential (GWP)]], "-")</f>
        <v>-</v>
      </c>
      <c r="G202" s="169"/>
      <c r="H202" s="169"/>
      <c r="I202" s="169"/>
    </row>
    <row r="203" spans="1:9" x14ac:dyDescent="0.2">
      <c r="A203" s="210"/>
      <c r="B203" s="79" t="str">
        <f>IFERROR(INDEX(gwp_table[], MATCH(speciated_ghg_192[[#This Row],[CAS '#]], gwp_table[CAS No.], 0), MATCH("Name", gwp_table[#Headers], 0)),"No CAS Number Entered")</f>
        <v>No CAS Number Entered</v>
      </c>
      <c r="C203" s="79" t="str">
        <f>IFERROR(INDEX(gwp_table[], MATCH(speciated_ghg_192[[#This Row],[CAS '#]], gwp_table[CAS No.], 0), MATCH("Global warming potential", gwp_table[#Headers], 0)),"No CAS Number Entered")</f>
        <v>No CAS Number Entered</v>
      </c>
      <c r="D203" s="219"/>
      <c r="E203" s="79">
        <f>IFERROR(speciated_ghg_192[[#This Row],[Weight Percent]]*(unique_components_190[[#Totals],[Controlled
tpy]]+standard_components_189[[#Totals],[Controlled
tpy]]), "-")</f>
        <v>0</v>
      </c>
      <c r="F203" s="81" t="str">
        <f>IFERROR(speciated_ghg_192[[#This Row],[Mass Emissions (U.S. tons per year)]]*speciated_ghg_192[[#This Row],[Global Warming Potential (GWP)]], "-")</f>
        <v>-</v>
      </c>
      <c r="G203" s="169"/>
      <c r="H203" s="169"/>
      <c r="I203" s="169"/>
    </row>
    <row r="204" spans="1:9" ht="30" x14ac:dyDescent="0.25">
      <c r="A204" s="185" t="s">
        <v>13321</v>
      </c>
      <c r="B204" s="77"/>
      <c r="C204" s="77"/>
      <c r="D204" s="77"/>
      <c r="E204" s="80">
        <f>SUBTOTAL(109,speciated_ghg_192[Mass Emissions (U.S. tons per year)])</f>
        <v>0</v>
      </c>
      <c r="F204" s="82">
        <f>SUBTOTAL(109,speciated_ghg_192[CO2e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speciated_chemicals_191[[#Totals],[lb/hr]]</f>
        <v>0</v>
      </c>
      <c r="C207" s="134"/>
      <c r="D207" s="134"/>
      <c r="E207" s="134"/>
      <c r="F207" s="134"/>
      <c r="G207" s="169"/>
      <c r="H207" s="169"/>
    </row>
    <row r="208" spans="1:9" ht="29.25" x14ac:dyDescent="0.25">
      <c r="A208" s="174" t="s">
        <v>13320</v>
      </c>
      <c r="B208" s="175">
        <f>speciated_chemicals_191[[#Totals],[tpy]]</f>
        <v>0</v>
      </c>
      <c r="C208" s="134"/>
      <c r="D208" s="134"/>
      <c r="E208" s="134"/>
      <c r="F208" s="134"/>
      <c r="G208" s="169"/>
      <c r="H208" s="169"/>
    </row>
    <row r="209" spans="1:8" ht="15" x14ac:dyDescent="0.25">
      <c r="A209" s="126" t="s">
        <v>13277</v>
      </c>
      <c r="B209" s="128">
        <f>SUMIF(speciated_chemicals_191[VOC?],"Yes",speciated_chemicals_191[lb/hr])</f>
        <v>0</v>
      </c>
      <c r="C209" s="134"/>
      <c r="D209" s="29"/>
      <c r="E209" s="29"/>
      <c r="F209" s="29"/>
      <c r="G209" s="169"/>
      <c r="H209" s="169"/>
    </row>
    <row r="210" spans="1:8" ht="15" x14ac:dyDescent="0.25">
      <c r="A210" s="126" t="s">
        <v>12669</v>
      </c>
      <c r="B210" s="128">
        <f>SUMIF(speciated_chemicals_191[VOC?],"Yes",speciated_chemicals_191[tpy])</f>
        <v>0</v>
      </c>
      <c r="C210" s="134"/>
      <c r="D210" s="29"/>
      <c r="E210" s="29"/>
      <c r="F210" s="29"/>
      <c r="G210" s="169"/>
      <c r="H210" s="169"/>
    </row>
    <row r="211" spans="1:8" ht="15" x14ac:dyDescent="0.25">
      <c r="A211" s="126" t="s">
        <v>12775</v>
      </c>
      <c r="B211" s="128">
        <f>SUMIF(speciated_chemicals_191[Inorganic?],"Yes",speciated_chemicals_191[lb/hr])</f>
        <v>0</v>
      </c>
      <c r="C211" s="134"/>
      <c r="D211" s="29"/>
      <c r="E211" s="29"/>
      <c r="F211" s="29"/>
      <c r="G211" s="169"/>
      <c r="H211" s="169"/>
    </row>
    <row r="212" spans="1:8" ht="15" x14ac:dyDescent="0.25">
      <c r="A212" s="126" t="s">
        <v>12770</v>
      </c>
      <c r="B212" s="128">
        <f>SUMIF(speciated_chemicals_191[Inorganic?],"Yes",speciated_chemicals_191[tpy])</f>
        <v>0</v>
      </c>
      <c r="C212" s="134"/>
      <c r="D212" s="29"/>
      <c r="E212" s="29"/>
      <c r="F212" s="29"/>
      <c r="G212" s="169"/>
      <c r="H212" s="169"/>
    </row>
    <row r="213" spans="1:8" ht="15" x14ac:dyDescent="0.25">
      <c r="A213" s="126" t="s">
        <v>13276</v>
      </c>
      <c r="B213" s="128">
        <f>SUMIF(speciated_chemicals_191[VOC-Exempt Solvent?],"Yes",speciated_chemicals_191[lb/hr])</f>
        <v>0</v>
      </c>
      <c r="C213" s="134"/>
      <c r="D213" s="29"/>
      <c r="E213" s="29"/>
      <c r="F213" s="29"/>
      <c r="G213" s="169"/>
      <c r="H213" s="169"/>
    </row>
    <row r="214" spans="1:8" ht="15" x14ac:dyDescent="0.25">
      <c r="A214" s="126" t="s">
        <v>13278</v>
      </c>
      <c r="B214" s="128">
        <f>SUMIF(speciated_chemicals_191[VOC-Exempt Solvent?],"Yes",speciated_chemicals_191[tpy])</f>
        <v>0</v>
      </c>
      <c r="C214" s="134"/>
      <c r="D214" s="29"/>
      <c r="E214" s="29"/>
      <c r="F214" s="29"/>
      <c r="G214" s="169"/>
      <c r="H214" s="169"/>
    </row>
    <row r="215" spans="1:8" ht="15" x14ac:dyDescent="0.25">
      <c r="A215" s="127" t="s">
        <v>13280</v>
      </c>
      <c r="B215" s="176">
        <f>speciated_ghg_192[[#Totals],[Mass Emissions (U.S. tons per year)]]</f>
        <v>0</v>
      </c>
      <c r="C215" s="134"/>
      <c r="D215" s="29"/>
      <c r="E215" s="29"/>
      <c r="F215" s="29"/>
      <c r="G215" s="169"/>
      <c r="H215" s="169"/>
    </row>
    <row r="216" spans="1:8" ht="18.75" x14ac:dyDescent="0.35">
      <c r="A216" s="127" t="s">
        <v>13281</v>
      </c>
      <c r="B216" s="176">
        <f>speciated_ghg_192[[#Totals],[CO2e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bg3iU/9L3iTcPwx010XhwedMmosPWjl1lpKEHFpno15054lMtdpuQcrAr9JXti1tbVoNkam3mtLV76vWHgdD/Q==" saltValue="BmmkRxo2voFk+CugAoGy0g==" spinCount="100000" sheet="1" objects="1" scenarios="1" formatColumns="0" formatRows="0" autoFilter="0"/>
  <conditionalFormatting sqref="A21:H21">
    <cfRule type="expression" dxfId="676" priority="5">
      <formula>$F$19="No"</formula>
    </cfRule>
  </conditionalFormatting>
  <conditionalFormatting sqref="A105:E106 F106:G126">
    <cfRule type="expression" dxfId="675" priority="4">
      <formula>$E$104="no"</formula>
    </cfRule>
  </conditionalFormatting>
  <conditionalFormatting sqref="C131:C180">
    <cfRule type="expression" dxfId="674" priority="3">
      <formula>NOT(B131="Other (Please specify):")</formula>
    </cfRule>
  </conditionalFormatting>
  <conditionalFormatting sqref="A107:E126">
    <cfRule type="expression" dxfId="673" priority="2">
      <formula>$A$58="No"</formula>
    </cfRule>
  </conditionalFormatting>
  <conditionalFormatting sqref="A107:E126 A206:B214 A215:A216">
    <cfRule type="expression" dxfId="672"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A0C06888-4EE3-4F31-B7C0-42CD56D290A3}"/>
    <dataValidation type="list" allowBlank="1" showInputMessage="1" showErrorMessage="1" sqref="E104:H104 B10" xr:uid="{7D0AE62D-0CC4-4198-B7C4-6A57FB80B5F0}">
      <formula1>"Yes,No"</formula1>
    </dataValidation>
    <dataValidation type="list" allowBlank="1" showInputMessage="1" showErrorMessage="1" sqref="F19:H20" xr:uid="{8744CD04-66D3-4B42-B54A-EFB540144C4F}">
      <formula1>"No,Yes - 75%,Yes - 95%"</formula1>
    </dataValidation>
    <dataValidation type="list" allowBlank="1" showInputMessage="1" showErrorMessage="1" sqref="F18" xr:uid="{AD5A76A8-75E5-4CAA-B688-147E7ECBBF92}">
      <formula1>IF(#REF!="SOCMI Non-leaker",ListNone,ListInspection)</formula1>
    </dataValidation>
    <dataValidation type="list" allowBlank="1" showInputMessage="1" showErrorMessage="1" sqref="F16:F17" xr:uid="{7A4B0D37-74DA-45E7-8307-07900DD2074A}">
      <formula1>IF(#REF!="SOCMI Non-Leaker",ListNone,ListInstrument)</formula1>
    </dataValidation>
    <dataValidation type="list" allowBlank="1" showInputMessage="1" prompt="Please specify whether the substance is a volatile organic compound (VOC); methane and ethane are not classifed as VOCs" sqref="D132:D180" xr:uid="{CE53CA70-C37B-4D47-BE60-FFF5B0A32FD3}">
      <formula1>"Yes,No"</formula1>
    </dataValidation>
    <dataValidation allowBlank="1" showInputMessage="1" showErrorMessage="1" prompt="Enter the weight percent of the substance" sqref="H178:H180 H132:H176" xr:uid="{7497814C-010A-4791-AB0F-79B107C04A45}"/>
    <dataValidation type="list" allowBlank="1" showInputMessage="1" showErrorMessage="1" prompt="Enter or select Chemical Abstracts Service number; select &quot;N/A&quot; if a CAS # is not applicable" sqref="A131:A175 A177:A180" xr:uid="{90FFD240-FCC2-4631-BD73-C481BEC334C4}">
      <formula1>SpeciesList</formula1>
    </dataValidation>
    <dataValidation type="list" allowBlank="1" showInputMessage="1" prompt="Select other species from dropdown" sqref="C131:C180" xr:uid="{08330773-A49C-450E-9633-1AC2D9028CB1}">
      <formula1>NoCASList</formula1>
    </dataValidation>
    <dataValidation allowBlank="1" showInputMessage="1" showErrorMessage="1" prompt="Proposed control efficiency (0-1)" sqref="E107:E126" xr:uid="{878CF3F6-01BE-45F0-9DBF-2E339B7B9780}"/>
    <dataValidation allowBlank="1" showInputMessage="1" showErrorMessage="1" prompt="Count of unique component" sqref="C107:C126" xr:uid="{B7A65F6A-2DAD-4018-A890-31FD014E6CAB}"/>
    <dataValidation allowBlank="1" showInputMessage="1" showErrorMessage="1" prompt="Type of service (e.g. gas, vapor, or liquid)" sqref="B107:B126" xr:uid="{096DD4B7-47B0-483F-8056-C3BD728C5662}"/>
    <dataValidation allowBlank="1" showInputMessage="1" showErrorMessage="1" prompt="Name of unique component" sqref="A107:A126" xr:uid="{C0751E4C-11B5-48C9-9897-F1D0D81A0E30}"/>
    <dataValidation type="list" allowBlank="1" showInputMessage="1" showErrorMessage="1" sqref="B13" xr:uid="{9D36B238-8198-47C6-82B9-62E901C13FCC}">
      <formula1>industry_names</formula1>
    </dataValidation>
    <dataValidation type="list" allowBlank="1" showInputMessage="1" showErrorMessage="1" sqref="B19" xr:uid="{638CF272-43E5-4C43-A3C0-EB647AD7B95D}">
      <formula1>yes_no_list</formula1>
    </dataValidation>
    <dataValidation type="list" allowBlank="1" showInputMessage="1" showErrorMessage="1" sqref="B20" xr:uid="{63CDC8A9-1A6B-43A0-BD96-DA888006C1F9}">
      <formula1>process_drains_effs</formula1>
    </dataValidation>
    <dataValidation allowBlank="1" showInputMessage="1" showErrorMessage="1" prompt="Proposed emission factor" sqref="D107:D126" xr:uid="{086C6306-1C78-4DF9-91A4-8D5F0740A1C6}"/>
    <dataValidation type="list" allowBlank="1" showInputMessage="1" prompt="Please specify if the substance is an inert substance or is not considered a contaminant (e.g. steam)" sqref="G131:G180" xr:uid="{CD82C197-9A85-4981-AFA8-D6E6FBBF2389}">
      <formula1>"Yes,No"</formula1>
    </dataValidation>
    <dataValidation type="list" allowBlank="1" showInputMessage="1" showErrorMessage="1" prompt="Please select from the dropdown" sqref="B104" xr:uid="{EA00BA81-908E-4779-BC70-10FE28A9926A}">
      <formula1>yes_no_list</formula1>
    </dataValidation>
    <dataValidation allowBlank="1" showInputMessage="1" showErrorMessage="1" prompt="Provide justification" sqref="B105" xr:uid="{80B9F38B-F4CF-495E-B15A-1D87C67A3888}"/>
    <dataValidation type="list" showInputMessage="1" prompt="Please specify whether the substance is a volatile organic compound (VOC); methane and ethane are not classifed as VOCs" sqref="D131" xr:uid="{4AF3325A-888D-4E7E-A612-F2D7D0E4253C}">
      <formula1>"Yes,No"</formula1>
    </dataValidation>
    <dataValidation type="list" showInputMessage="1" prompt="Please specify whether the substance is an inorganic contaminant (e.g. ammonia or chlorine gas)" sqref="E131:E180" xr:uid="{C7E04132-9910-4250-A005-D216503F0FE2}">
      <formula1>"Yes,No"</formula1>
    </dataValidation>
    <dataValidation type="list" allowBlank="1" showInputMessage="1" prompt="Please specify whether the substance is an VOC-exempt solvent." sqref="F131:F180" xr:uid="{1EFC6135-4D76-4D07-A0A4-1E90A6F379C7}">
      <formula1>"Yes,No"</formula1>
    </dataValidation>
    <dataValidation type="list" allowBlank="1" showInputMessage="1" showErrorMessage="1" prompt="Enter or select Chemical Abstracts Service number; select &quot;N/A&quot; if a CAS # is not applicable" sqref="A185:A203 A176" xr:uid="{DC8054E6-90E1-45A5-A930-961C71203D2D}">
      <formula1>gwp_table_cas</formula1>
    </dataValidation>
    <dataValidation type="decimal" allowBlank="1" showInputMessage="1" showErrorMessage="1" prompt="Enter the weight percent of the substance" sqref="H177" xr:uid="{56712B3E-7270-42FC-B887-81DE28B048B4}">
      <formula1>0</formula1>
      <formula2>1</formula2>
    </dataValidation>
    <dataValidation type="decimal" operator="greaterThan" allowBlank="1" showInputMessage="1" showErrorMessage="1" prompt="Enter the weight percent of the substance" sqref="H131 D185:D203" xr:uid="{B2FCCD01-2B02-4D54-9FB9-D2192F86E9A7}">
      <formula1>0</formula1>
    </dataValidation>
    <dataValidation type="list" allowBlank="1" showInputMessage="1" showErrorMessage="1" sqref="B18" xr:uid="{54A48256-8523-4F6D-A88F-32180CC68A2D}">
      <formula1>inspection_ldar_list</formula1>
    </dataValidation>
    <dataValidation type="list" allowBlank="1" showInputMessage="1" showErrorMessage="1" sqref="B17" xr:uid="{D23E4496-0BFE-4B50-94E4-AD07C1799B36}">
      <formula1>connector_ldar_list</formula1>
    </dataValidation>
    <dataValidation type="list" allowBlank="1" showInputMessage="1" showErrorMessage="1" sqref="B16" xr:uid="{596DD899-5D5E-43B7-A835-6B235065E7FA}">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167F5-BCE2-4357-984F-5BFD3A300672}">
  <sheetPr codeName="Sheet26">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INDEX((standard_components_193[[#This Row],[Component]]=factor_eff_table[Component])*(standard_components_193[[#This Row],[Service]]=factor_eff_table[Service]), 0, 1), 0)),
 "-")</f>
        <v>-</v>
      </c>
      <c r="E25" s="145" t="str" cm="1">
        <f t="array" ref="E2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25" s="145" t="str" cm="1">
        <f t="array" ref="F2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25" s="145" t="str" cm="1">
        <f t="array" ref="G2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2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2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INDEX((standard_components_193[[#This Row],[Component]]=factor_eff_table[Component])*(standard_components_193[[#This Row],[Service]]=factor_eff_table[Service]), 0, 1), 0)),
 "-")</f>
        <v>-</v>
      </c>
      <c r="E26" s="145" t="str" cm="1">
        <f t="array" ref="E2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26" s="145" t="str" cm="1">
        <f t="array" ref="F2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26" s="145" t="str" cm="1">
        <f t="array" ref="G2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2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2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INDEX((standard_components_193[[#This Row],[Component]]=factor_eff_table[Component])*(standard_components_193[[#This Row],[Service]]=factor_eff_table[Service]), 0, 1), 0)),
 "-")</f>
        <v>-</v>
      </c>
      <c r="E27" s="145" t="str" cm="1">
        <f t="array" ref="E2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27" s="145" t="str" cm="1">
        <f t="array" ref="F2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27" s="145" t="str" cm="1">
        <f t="array" ref="G2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2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2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INDEX((standard_components_193[[#This Row],[Component]]=factor_eff_table[Component])*(standard_components_193[[#This Row],[Service]]=factor_eff_table[Service]), 0, 1), 0)),
 "-")</f>
        <v>-</v>
      </c>
      <c r="E28" s="145" t="str" cm="1">
        <f t="array" ref="E2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28" s="145" t="str" cm="1">
        <f t="array" ref="F2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28" s="145" t="str" cm="1">
        <f t="array" ref="G2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2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2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INDEX((standard_components_193[[#This Row],[Component]]=factor_eff_table[Component])*(standard_components_193[[#This Row],[Service]]=factor_eff_table[Service]), 0, 1), 0)),
 "-")</f>
        <v>-</v>
      </c>
      <c r="E29" s="145" t="str" cm="1">
        <f t="array" ref="E2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29" s="145" t="str" cm="1">
        <f t="array" ref="F2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29" s="145" t="str" cm="1">
        <f t="array" ref="G2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2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2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INDEX((standard_components_193[[#This Row],[Component]]=factor_eff_table[Component])*(standard_components_193[[#This Row],[Service]]=factor_eff_table[Service]), 0, 1), 0)),
 "-")</f>
        <v>-</v>
      </c>
      <c r="E30" s="145" t="str" cm="1">
        <f t="array" ref="E3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0" s="145" t="str" cm="1">
        <f t="array" ref="F3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0" s="145" t="str" cm="1">
        <f t="array" ref="G3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INDEX((standard_components_193[[#This Row],[Component]]=factor_eff_table[Component])*(standard_components_193[[#This Row],[Service]]=factor_eff_table[Service]), 0, 1), 0)),
 "-")</f>
        <v>-</v>
      </c>
      <c r="E31" s="145" t="str" cm="1">
        <f t="array" ref="E3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1" s="145" t="str" cm="1">
        <f t="array" ref="F3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1" s="145" t="str" cm="1">
        <f t="array" ref="G3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INDEX((standard_components_193[[#This Row],[Component]]=factor_eff_table[Component])*(standard_components_193[[#This Row],[Service]]=factor_eff_table[Service]), 0, 1), 0)),
 "-")</f>
        <v>-</v>
      </c>
      <c r="E32" s="145" t="str" cm="1">
        <f t="array" ref="E3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2" s="145" t="str" cm="1">
        <f t="array" ref="F3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2" s="145" t="str" cm="1">
        <f t="array" ref="G3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INDEX((standard_components_193[[#This Row],[Component]]=factor_eff_table[Component])*(standard_components_193[[#This Row],[Service]]=factor_eff_table[Service]), 0, 1), 0)),
 "-")</f>
        <v>-</v>
      </c>
      <c r="E33" s="145" t="str" cm="1">
        <f t="array" ref="E3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3" s="145" t="str" cm="1">
        <f t="array" ref="F3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3" s="145" t="str" cm="1">
        <f t="array" ref="G3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INDEX((standard_components_193[[#This Row],[Component]]=factor_eff_table[Component])*(standard_components_193[[#This Row],[Service]]=factor_eff_table[Service]), 0, 1), 0)),
 "-")</f>
        <v>-</v>
      </c>
      <c r="E34" s="145" t="str" cm="1">
        <f t="array" ref="E3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4" s="145" t="str" cm="1">
        <f t="array" ref="F3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4" s="145" t="str" cm="1">
        <f t="array" ref="G3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INDEX((standard_components_193[[#This Row],[Component]]=factor_eff_table[Component])*(standard_components_193[[#This Row],[Service]]=factor_eff_table[Service]), 0, 1), 0)),
 "-")</f>
        <v>-</v>
      </c>
      <c r="E35" s="145" t="str" cm="1">
        <f t="array" ref="E3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5" s="145" t="str" cm="1">
        <f t="array" ref="F3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5" s="145" t="str" cm="1">
        <f t="array" ref="G3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INDEX((standard_components_193[[#This Row],[Component]]=factor_eff_table[Component])*(standard_components_193[[#This Row],[Service]]=factor_eff_table[Service]), 0, 1), 0)),
 "-")</f>
        <v>-</v>
      </c>
      <c r="E36" s="145" t="str" cm="1">
        <f t="array" ref="E3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6" s="145" t="str" cm="1">
        <f t="array" ref="F3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6" s="145" t="str" cm="1">
        <f t="array" ref="G3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INDEX((standard_components_193[[#This Row],[Component]]=factor_eff_table[Component])*(standard_components_193[[#This Row],[Service]]=factor_eff_table[Service]), 0, 1), 0)),
 "-")</f>
        <v>-</v>
      </c>
      <c r="E37" s="145" t="str" cm="1">
        <f t="array" ref="E3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7" s="145" t="str" cm="1">
        <f t="array" ref="F3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7" s="145" t="str" cm="1">
        <f t="array" ref="G3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INDEX((standard_components_193[[#This Row],[Component]]=factor_eff_table[Component])*(standard_components_193[[#This Row],[Service]]=factor_eff_table[Service]), 0, 1), 0)),
 "-")</f>
        <v>-</v>
      </c>
      <c r="E38" s="145" t="str" cm="1">
        <f t="array" ref="E3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8" s="145" t="str" cm="1">
        <f t="array" ref="F3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8" s="145" t="str" cm="1">
        <f t="array" ref="G3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INDEX((standard_components_193[[#This Row],[Component]]=factor_eff_table[Component])*(standard_components_193[[#This Row],[Service]]=factor_eff_table[Service]), 0, 1), 0)),
 "-")</f>
        <v>-</v>
      </c>
      <c r="E39" s="145" t="str" cm="1">
        <f t="array" ref="E3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39" s="145" t="str" cm="1">
        <f t="array" ref="F3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39" s="145" t="str" cm="1">
        <f t="array" ref="G3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3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3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INDEX((standard_components_193[[#This Row],[Component]]=factor_eff_table[Component])*(standard_components_193[[#This Row],[Service]]=factor_eff_table[Service]), 0, 1), 0)),
 "-")</f>
        <v>-</v>
      </c>
      <c r="E40" s="145" t="str" cm="1">
        <f t="array" ref="E4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0" s="145" t="str" cm="1">
        <f t="array" ref="F4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0" s="145" t="str" cm="1">
        <f t="array" ref="G4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INDEX((standard_components_193[[#This Row],[Component]]=factor_eff_table[Component])*(standard_components_193[[#This Row],[Service]]=factor_eff_table[Service]), 0, 1), 0)),
 "-")</f>
        <v>-</v>
      </c>
      <c r="E41" s="145" t="str" cm="1">
        <f t="array" ref="E4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1" s="145" t="str" cm="1">
        <f t="array" ref="F4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1" s="145" t="str" cm="1">
        <f t="array" ref="G4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INDEX((standard_components_193[[#This Row],[Component]]=factor_eff_table[Component])*(standard_components_193[[#This Row],[Service]]=factor_eff_table[Service]), 0, 1), 0)),
 "-")</f>
        <v>-</v>
      </c>
      <c r="E42" s="145" t="str" cm="1">
        <f t="array" ref="E4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2" s="145" t="str" cm="1">
        <f t="array" ref="F4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2" s="145" t="str" cm="1">
        <f t="array" ref="G4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INDEX((standard_components_193[[#This Row],[Component]]=factor_eff_table[Component])*(standard_components_193[[#This Row],[Service]]=factor_eff_table[Service]), 0, 1), 0)),
 "-")</f>
        <v>-</v>
      </c>
      <c r="E43" s="145" t="str" cm="1">
        <f t="array" ref="E4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3" s="145" t="str" cm="1">
        <f t="array" ref="F4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3" s="145" t="str" cm="1">
        <f t="array" ref="G4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INDEX((standard_components_193[[#This Row],[Component]]=factor_eff_table[Component])*(standard_components_193[[#This Row],[Service]]=factor_eff_table[Service]), 0, 1), 0)),
 "-")</f>
        <v>-</v>
      </c>
      <c r="E44" s="145" t="str" cm="1">
        <f t="array" ref="E4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4" s="145" t="str" cm="1">
        <f t="array" ref="F4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4" s="145" t="str" cm="1">
        <f t="array" ref="G4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INDEX((standard_components_193[[#This Row],[Component]]=factor_eff_table[Component])*(standard_components_193[[#This Row],[Service]]=factor_eff_table[Service]), 0, 1), 0)),
 "-")</f>
        <v>-</v>
      </c>
      <c r="E45" s="145" t="str" cm="1">
        <f t="array" ref="E4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5" s="145" t="str" cm="1">
        <f t="array" ref="F4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5" s="145" t="str" cm="1">
        <f t="array" ref="G4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INDEX((standard_components_193[[#This Row],[Component]]=factor_eff_table[Component])*(standard_components_193[[#This Row],[Service]]=factor_eff_table[Service]), 0, 1), 0)),
 "-")</f>
        <v>-</v>
      </c>
      <c r="E46" s="145" t="str" cm="1">
        <f t="array" ref="E4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6" s="145" t="str" cm="1">
        <f t="array" ref="F4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6" s="145" t="str" cm="1">
        <f t="array" ref="G4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INDEX((standard_components_193[[#This Row],[Component]]=factor_eff_table[Component])*(standard_components_193[[#This Row],[Service]]=factor_eff_table[Service]), 0, 1), 0)),
 "-")</f>
        <v>-</v>
      </c>
      <c r="E47" s="145" t="str" cm="1">
        <f t="array" ref="E4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7" s="145" t="str" cm="1">
        <f t="array" ref="F4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7" s="145" t="str" cm="1">
        <f t="array" ref="G4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INDEX((standard_components_193[[#This Row],[Component]]=factor_eff_table[Component])*(standard_components_193[[#This Row],[Service]]=factor_eff_table[Service]), 0, 1), 0)),
 "-")</f>
        <v>-</v>
      </c>
      <c r="E48" s="145" t="str" cm="1">
        <f t="array" ref="E4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8" s="145" t="str" cm="1">
        <f t="array" ref="F4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8" s="145" t="str" cm="1">
        <f t="array" ref="G4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INDEX((standard_components_193[[#This Row],[Component]]=factor_eff_table[Component])*(standard_components_193[[#This Row],[Service]]=factor_eff_table[Service]), 0, 1), 0)),
 "-")</f>
        <v>-</v>
      </c>
      <c r="E49" s="145" t="str" cm="1">
        <f t="array" ref="E4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49" s="145" t="str" cm="1">
        <f t="array" ref="F4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49" s="145" t="str" cm="1">
        <f t="array" ref="G4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4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4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INDEX((standard_components_193[[#This Row],[Component]]=factor_eff_table[Component])*(standard_components_193[[#This Row],[Service]]=factor_eff_table[Service]), 0, 1), 0)),
 "-")</f>
        <v>-</v>
      </c>
      <c r="E50" s="145" t="str" cm="1">
        <f t="array" ref="E5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0" s="145" t="str" cm="1">
        <f t="array" ref="F5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0" s="145" t="str" cm="1">
        <f t="array" ref="G5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INDEX((standard_components_193[[#This Row],[Component]]=factor_eff_table[Component])*(standard_components_193[[#This Row],[Service]]=factor_eff_table[Service]), 0, 1), 0)),
 "-")</f>
        <v>-</v>
      </c>
      <c r="E51" s="145" t="str" cm="1">
        <f t="array" ref="E5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1" s="145" t="str" cm="1">
        <f t="array" ref="F5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1" s="145" t="str" cm="1">
        <f t="array" ref="G5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INDEX((standard_components_193[[#This Row],[Component]]=factor_eff_table[Component])*(standard_components_193[[#This Row],[Service]]=factor_eff_table[Service]), 0, 1), 0)),
 "-")</f>
        <v>-</v>
      </c>
      <c r="E52" s="145" t="str" cm="1">
        <f t="array" ref="E5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2" s="145" t="str" cm="1">
        <f t="array" ref="F5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2" s="145" t="str" cm="1">
        <f t="array" ref="G5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INDEX((standard_components_193[[#This Row],[Component]]=factor_eff_table[Component])*(standard_components_193[[#This Row],[Service]]=factor_eff_table[Service]), 0, 1), 0)),
 "-")</f>
        <v>-</v>
      </c>
      <c r="E53" s="145" t="str" cm="1">
        <f t="array" ref="E5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3" s="145" t="str" cm="1">
        <f t="array" ref="F5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3" s="145" t="str" cm="1">
        <f t="array" ref="G5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INDEX((standard_components_193[[#This Row],[Component]]=factor_eff_table[Component])*(standard_components_193[[#This Row],[Service]]=factor_eff_table[Service]), 0, 1), 0)),
 "-")</f>
        <v>-</v>
      </c>
      <c r="E54" s="145" t="str" cm="1">
        <f t="array" ref="E5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4" s="145" t="str" cm="1">
        <f t="array" ref="F5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4" s="145" t="str" cm="1">
        <f t="array" ref="G5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INDEX((standard_components_193[[#This Row],[Component]]=factor_eff_table[Component])*(standard_components_193[[#This Row],[Service]]=factor_eff_table[Service]), 0, 1), 0)),
 "-")</f>
        <v>-</v>
      </c>
      <c r="E55" s="145" t="str" cm="1">
        <f t="array" ref="E5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5" s="145" t="str" cm="1">
        <f t="array" ref="F5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5" s="145" t="str" cm="1">
        <f t="array" ref="G5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INDEX((standard_components_193[[#This Row],[Component]]=factor_eff_table[Component])*(standard_components_193[[#This Row],[Service]]=factor_eff_table[Service]), 0, 1), 0)),
 "-")</f>
        <v>-</v>
      </c>
      <c r="E56" s="145" t="str" cm="1">
        <f t="array" ref="E5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6" s="145" t="str" cm="1">
        <f t="array" ref="F5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6" s="145" t="str" cm="1">
        <f t="array" ref="G5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INDEX((standard_components_193[[#This Row],[Component]]=factor_eff_table[Component])*(standard_components_193[[#This Row],[Service]]=factor_eff_table[Service]), 0, 1), 0)),
 "-")</f>
        <v>-</v>
      </c>
      <c r="E57" s="145" t="str" cm="1">
        <f t="array" ref="E5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7" s="145" t="str" cm="1">
        <f t="array" ref="F5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7" s="145" t="str" cm="1">
        <f t="array" ref="G5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INDEX((standard_components_193[[#This Row],[Component]]=factor_eff_table[Component])*(standard_components_193[[#This Row],[Service]]=factor_eff_table[Service]), 0, 1), 0)),
 "-")</f>
        <v>-</v>
      </c>
      <c r="E58" s="145" t="str" cm="1">
        <f t="array" ref="E5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8" s="145" t="str" cm="1">
        <f t="array" ref="F5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8" s="145" t="str" cm="1">
        <f t="array" ref="G5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INDEX((standard_components_193[[#This Row],[Component]]=factor_eff_table[Component])*(standard_components_193[[#This Row],[Service]]=factor_eff_table[Service]), 0, 1), 0)),
 "-")</f>
        <v>-</v>
      </c>
      <c r="E59" s="145" t="str" cm="1">
        <f t="array" ref="E5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59" s="145" t="str" cm="1">
        <f t="array" ref="F5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59" s="145" t="str" cm="1">
        <f t="array" ref="G5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5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5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INDEX((standard_components_193[[#This Row],[Component]]=factor_eff_table[Component])*(standard_components_193[[#This Row],[Service]]=factor_eff_table[Service]), 0, 1), 0)),
 "-")</f>
        <v>-</v>
      </c>
      <c r="E60" s="145" t="str" cm="1">
        <f t="array" ref="E6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0" s="145" t="str" cm="1">
        <f t="array" ref="F6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0" s="145" t="str" cm="1">
        <f t="array" ref="G6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INDEX((standard_components_193[[#This Row],[Component]]=factor_eff_table[Component])*(standard_components_193[[#This Row],[Service]]=factor_eff_table[Service]), 0, 1), 0)),
 "-")</f>
        <v>-</v>
      </c>
      <c r="E61" s="145" t="str" cm="1">
        <f t="array" ref="E6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1" s="145" t="str" cm="1">
        <f t="array" ref="F6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1" s="145" t="str" cm="1">
        <f t="array" ref="G6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INDEX((standard_components_193[[#This Row],[Component]]=factor_eff_table[Component])*(standard_components_193[[#This Row],[Service]]=factor_eff_table[Service]), 0, 1), 0)),
 "-")</f>
        <v>-</v>
      </c>
      <c r="E62" s="145" t="str" cm="1">
        <f t="array" ref="E6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2" s="145" t="str" cm="1">
        <f t="array" ref="F6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2" s="145" t="str" cm="1">
        <f t="array" ref="G6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INDEX((standard_components_193[[#This Row],[Component]]=factor_eff_table[Component])*(standard_components_193[[#This Row],[Service]]=factor_eff_table[Service]), 0, 1), 0)),
 "-")</f>
        <v>-</v>
      </c>
      <c r="E63" s="145" t="str" cm="1">
        <f t="array" ref="E6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3" s="145" t="str" cm="1">
        <f t="array" ref="F6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3" s="145" t="str" cm="1">
        <f t="array" ref="G6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INDEX((standard_components_193[[#This Row],[Component]]=factor_eff_table[Component])*(standard_components_193[[#This Row],[Service]]=factor_eff_table[Service]), 0, 1), 0)),
 "-")</f>
        <v>-</v>
      </c>
      <c r="E64" s="145" t="str" cm="1">
        <f t="array" ref="E6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4" s="145" t="str" cm="1">
        <f t="array" ref="F6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4" s="145" t="str" cm="1">
        <f t="array" ref="G6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INDEX((standard_components_193[[#This Row],[Component]]=factor_eff_table[Component])*(standard_components_193[[#This Row],[Service]]=factor_eff_table[Service]), 0, 1), 0)),
 "-")</f>
        <v>-</v>
      </c>
      <c r="E65" s="145" t="str" cm="1">
        <f t="array" ref="E6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5" s="145" t="str" cm="1">
        <f t="array" ref="F6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5" s="145" t="str" cm="1">
        <f t="array" ref="G6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INDEX((standard_components_193[[#This Row],[Component]]=factor_eff_table[Component])*(standard_components_193[[#This Row],[Service]]=factor_eff_table[Service]), 0, 1), 0)),
 "-")</f>
        <v>-</v>
      </c>
      <c r="E66" s="145" t="str" cm="1">
        <f t="array" ref="E6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6" s="145" t="str" cm="1">
        <f t="array" ref="F6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6" s="145" t="str" cm="1">
        <f t="array" ref="G6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INDEX((standard_components_193[[#This Row],[Component]]=factor_eff_table[Component])*(standard_components_193[[#This Row],[Service]]=factor_eff_table[Service]), 0, 1), 0)),
 "-")</f>
        <v>-</v>
      </c>
      <c r="E67" s="145" t="str" cm="1">
        <f t="array" ref="E6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7" s="145" t="str" cm="1">
        <f t="array" ref="F6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7" s="145" t="str" cm="1">
        <f t="array" ref="G6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INDEX((standard_components_193[[#This Row],[Component]]=factor_eff_table[Component])*(standard_components_193[[#This Row],[Service]]=factor_eff_table[Service]), 0, 1), 0)),
 "-")</f>
        <v>-</v>
      </c>
      <c r="E68" s="145" t="str" cm="1">
        <f t="array" ref="E6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8" s="145" t="str" cm="1">
        <f t="array" ref="F6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8" s="145" t="str" cm="1">
        <f t="array" ref="G6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INDEX((standard_components_193[[#This Row],[Component]]=factor_eff_table[Component])*(standard_components_193[[#This Row],[Service]]=factor_eff_table[Service]), 0, 1), 0)),
 "-")</f>
        <v>-</v>
      </c>
      <c r="E69" s="145" t="str" cm="1">
        <f t="array" ref="E6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69" s="145" t="str" cm="1">
        <f t="array" ref="F6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69" s="145" t="str" cm="1">
        <f t="array" ref="G6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6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6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INDEX((standard_components_193[[#This Row],[Component]]=factor_eff_table[Component])*(standard_components_193[[#This Row],[Service]]=factor_eff_table[Service]), 0, 1), 0)),
 "-")</f>
        <v>-</v>
      </c>
      <c r="E70" s="145" t="str" cm="1">
        <f t="array" ref="E7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0" s="145" t="str" cm="1">
        <f t="array" ref="F7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0" s="145" t="str" cm="1">
        <f t="array" ref="G7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INDEX((standard_components_193[[#This Row],[Component]]=factor_eff_table[Component])*(standard_components_193[[#This Row],[Service]]=factor_eff_table[Service]), 0, 1), 0)),
 "-")</f>
        <v>-</v>
      </c>
      <c r="E71" s="145" t="str" cm="1">
        <f t="array" ref="E7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1" s="145" t="str" cm="1">
        <f t="array" ref="F7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1" s="145" t="str" cm="1">
        <f t="array" ref="G7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INDEX((standard_components_193[[#This Row],[Component]]=factor_eff_table[Component])*(standard_components_193[[#This Row],[Service]]=factor_eff_table[Service]), 0, 1), 0)),
 "-")</f>
        <v>-</v>
      </c>
      <c r="E72" s="145" t="str" cm="1">
        <f t="array" ref="E7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2" s="145" t="str" cm="1">
        <f t="array" ref="F7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2" s="145" t="str" cm="1">
        <f t="array" ref="G7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INDEX((standard_components_193[[#This Row],[Component]]=factor_eff_table[Component])*(standard_components_193[[#This Row],[Service]]=factor_eff_table[Service]), 0, 1), 0)),
 "-")</f>
        <v>-</v>
      </c>
      <c r="E73" s="145" t="str" cm="1">
        <f t="array" ref="E7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3" s="145" t="str" cm="1">
        <f t="array" ref="F7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3" s="145" t="str" cm="1">
        <f t="array" ref="G7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INDEX((standard_components_193[[#This Row],[Component]]=factor_eff_table[Component])*(standard_components_193[[#This Row],[Service]]=factor_eff_table[Service]), 0, 1), 0)),
 "-")</f>
        <v>-</v>
      </c>
      <c r="E74" s="145" t="str" cm="1">
        <f t="array" ref="E7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4" s="145" t="str" cm="1">
        <f t="array" ref="F7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4" s="145" t="str" cm="1">
        <f t="array" ref="G7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INDEX((standard_components_193[[#This Row],[Component]]=factor_eff_table[Component])*(standard_components_193[[#This Row],[Service]]=factor_eff_table[Service]), 0, 1), 0)),
 "-")</f>
        <v>-</v>
      </c>
      <c r="E75" s="145" t="str" cm="1">
        <f t="array" ref="E7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5" s="145" t="str" cm="1">
        <f t="array" ref="F7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5" s="145" t="str" cm="1">
        <f t="array" ref="G7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INDEX((standard_components_193[[#This Row],[Component]]=factor_eff_table[Component])*(standard_components_193[[#This Row],[Service]]=factor_eff_table[Service]), 0, 1), 0)),
 "-")</f>
        <v>-</v>
      </c>
      <c r="E76" s="145" t="str" cm="1">
        <f t="array" ref="E7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6" s="145" t="str" cm="1">
        <f t="array" ref="F7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6" s="145" t="str" cm="1">
        <f t="array" ref="G7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INDEX((standard_components_193[[#This Row],[Component]]=factor_eff_table[Component])*(standard_components_193[[#This Row],[Service]]=factor_eff_table[Service]), 0, 1), 0)),
 "-")</f>
        <v>-</v>
      </c>
      <c r="E77" s="145" t="str" cm="1">
        <f t="array" ref="E7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7" s="145" t="str" cm="1">
        <f t="array" ref="F7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7" s="145" t="str" cm="1">
        <f t="array" ref="G7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INDEX((standard_components_193[[#This Row],[Component]]=factor_eff_table[Component])*(standard_components_193[[#This Row],[Service]]=factor_eff_table[Service]), 0, 1), 0)),
 "-")</f>
        <v>-</v>
      </c>
      <c r="E78" s="145" t="str" cm="1">
        <f t="array" ref="E7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8" s="145" t="str" cm="1">
        <f t="array" ref="F7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8" s="145" t="str" cm="1">
        <f t="array" ref="G7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INDEX((standard_components_193[[#This Row],[Component]]=factor_eff_table[Component])*(standard_components_193[[#This Row],[Service]]=factor_eff_table[Service]), 0, 1), 0)),
 "-")</f>
        <v>-</v>
      </c>
      <c r="E79" s="145" t="str" cm="1">
        <f t="array" ref="E7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79" s="145" t="str" cm="1">
        <f t="array" ref="F7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79" s="145" t="str" cm="1">
        <f t="array" ref="G7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7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7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INDEX((standard_components_193[[#This Row],[Component]]=factor_eff_table[Component])*(standard_components_193[[#This Row],[Service]]=factor_eff_table[Service]), 0, 1), 0)),
 "-")</f>
        <v>-</v>
      </c>
      <c r="E80" s="145" t="str" cm="1">
        <f t="array" ref="E8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0" s="145" t="str" cm="1">
        <f t="array" ref="F8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0" s="145" t="str" cm="1">
        <f t="array" ref="G8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INDEX((standard_components_193[[#This Row],[Component]]=factor_eff_table[Component])*(standard_components_193[[#This Row],[Service]]=factor_eff_table[Service]), 0, 1), 0)),
 "-")</f>
        <v>-</v>
      </c>
      <c r="E81" s="145" t="str" cm="1">
        <f t="array" ref="E8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1" s="145" t="str" cm="1">
        <f t="array" ref="F8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1" s="145" t="str" cm="1">
        <f t="array" ref="G8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INDEX((standard_components_193[[#This Row],[Component]]=factor_eff_table[Component])*(standard_components_193[[#This Row],[Service]]=factor_eff_table[Service]), 0, 1), 0)),
 "-")</f>
        <v>-</v>
      </c>
      <c r="E82" s="145" t="str" cm="1">
        <f t="array" ref="E8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2" s="145" t="str" cm="1">
        <f t="array" ref="F8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2" s="145" t="str" cm="1">
        <f t="array" ref="G8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INDEX((standard_components_193[[#This Row],[Component]]=factor_eff_table[Component])*(standard_components_193[[#This Row],[Service]]=factor_eff_table[Service]), 0, 1), 0)),
 "-")</f>
        <v>-</v>
      </c>
      <c r="E83" s="145" t="str" cm="1">
        <f t="array" ref="E8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3" s="145" t="str" cm="1">
        <f t="array" ref="F8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3" s="145" t="str" cm="1">
        <f t="array" ref="G8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INDEX((standard_components_193[[#This Row],[Component]]=factor_eff_table[Component])*(standard_components_193[[#This Row],[Service]]=factor_eff_table[Service]), 0, 1), 0)),
 "-")</f>
        <v>-</v>
      </c>
      <c r="E84" s="145" t="str" cm="1">
        <f t="array" ref="E8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4" s="145" t="str" cm="1">
        <f t="array" ref="F8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4" s="145" t="str" cm="1">
        <f t="array" ref="G8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INDEX((standard_components_193[[#This Row],[Component]]=factor_eff_table[Component])*(standard_components_193[[#This Row],[Service]]=factor_eff_table[Service]), 0, 1), 0)),
 "-")</f>
        <v>-</v>
      </c>
      <c r="E85" s="145" t="str" cm="1">
        <f t="array" ref="E8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5" s="145" t="str" cm="1">
        <f t="array" ref="F8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5" s="145" t="str" cm="1">
        <f t="array" ref="G8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INDEX((standard_components_193[[#This Row],[Component]]=factor_eff_table[Component])*(standard_components_193[[#This Row],[Service]]=factor_eff_table[Service]), 0, 1), 0)),
 "-")</f>
        <v>-</v>
      </c>
      <c r="E86" s="145" t="str" cm="1">
        <f t="array" ref="E8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6" s="145" t="str" cm="1">
        <f t="array" ref="F8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6" s="145" t="str" cm="1">
        <f t="array" ref="G8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INDEX((standard_components_193[[#This Row],[Component]]=factor_eff_table[Component])*(standard_components_193[[#This Row],[Service]]=factor_eff_table[Service]), 0, 1), 0)),
 "-")</f>
        <v>-</v>
      </c>
      <c r="E87" s="145" t="str" cm="1">
        <f t="array" ref="E8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7" s="145" t="str" cm="1">
        <f t="array" ref="F8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7" s="145" t="str" cm="1">
        <f t="array" ref="G8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INDEX((standard_components_193[[#This Row],[Component]]=factor_eff_table[Component])*(standard_components_193[[#This Row],[Service]]=factor_eff_table[Service]), 0, 1), 0)),
 "-")</f>
        <v>-</v>
      </c>
      <c r="E88" s="145" t="str" cm="1">
        <f t="array" ref="E8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8" s="145" t="str" cm="1">
        <f t="array" ref="F8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8" s="145" t="str" cm="1">
        <f t="array" ref="G8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INDEX((standard_components_193[[#This Row],[Component]]=factor_eff_table[Component])*(standard_components_193[[#This Row],[Service]]=factor_eff_table[Service]), 0, 1), 0)),
 "-")</f>
        <v>-</v>
      </c>
      <c r="E89" s="145" t="str" cm="1">
        <f t="array" ref="E8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89" s="145" t="str" cm="1">
        <f t="array" ref="F8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89" s="145" t="str" cm="1">
        <f t="array" ref="G8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8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8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INDEX((standard_components_193[[#This Row],[Component]]=factor_eff_table[Component])*(standard_components_193[[#This Row],[Service]]=factor_eff_table[Service]), 0, 1), 0)),
 "-")</f>
        <v>-</v>
      </c>
      <c r="E90" s="145" t="str" cm="1">
        <f t="array" ref="E9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0" s="145" t="str" cm="1">
        <f t="array" ref="F9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0" s="145" t="str" cm="1">
        <f t="array" ref="G9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INDEX((standard_components_193[[#This Row],[Component]]=factor_eff_table[Component])*(standard_components_193[[#This Row],[Service]]=factor_eff_table[Service]), 0, 1), 0)),
 "-")</f>
        <v>-</v>
      </c>
      <c r="E91" s="145" t="str" cm="1">
        <f t="array" ref="E91">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1" s="145" t="str" cm="1">
        <f t="array" ref="F91">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1" s="145" t="str" cm="1">
        <f t="array" ref="G91">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1"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1"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INDEX((standard_components_193[[#This Row],[Component]]=factor_eff_table[Component])*(standard_components_193[[#This Row],[Service]]=factor_eff_table[Service]), 0, 1), 0)),
 "-")</f>
        <v>-</v>
      </c>
      <c r="E92" s="145" t="str" cm="1">
        <f t="array" ref="E92">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2" s="145" t="str" cm="1">
        <f t="array" ref="F92">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2" s="145" t="str" cm="1">
        <f t="array" ref="G92">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2"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2"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INDEX((standard_components_193[[#This Row],[Component]]=factor_eff_table[Component])*(standard_components_193[[#This Row],[Service]]=factor_eff_table[Service]), 0, 1), 0)),
 "-")</f>
        <v>-</v>
      </c>
      <c r="E93" s="145" t="str" cm="1">
        <f t="array" ref="E93">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3" s="145" t="str" cm="1">
        <f t="array" ref="F93">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3" s="145" t="str" cm="1">
        <f t="array" ref="G93">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3"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3"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INDEX((standard_components_193[[#This Row],[Component]]=factor_eff_table[Component])*(standard_components_193[[#This Row],[Service]]=factor_eff_table[Service]), 0, 1), 0)),
 "-")</f>
        <v>-</v>
      </c>
      <c r="E94" s="145" t="str" cm="1">
        <f t="array" ref="E94">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4" s="145" t="str" cm="1">
        <f t="array" ref="F94">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4" s="145" t="str" cm="1">
        <f t="array" ref="G94">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4"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4"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INDEX((standard_components_193[[#This Row],[Component]]=factor_eff_table[Component])*(standard_components_193[[#This Row],[Service]]=factor_eff_table[Service]), 0, 1), 0)),
 "-")</f>
        <v>-</v>
      </c>
      <c r="E95" s="145" t="str" cm="1">
        <f t="array" ref="E95">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5" s="145" t="str" cm="1">
        <f t="array" ref="F95">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5" s="145" t="str" cm="1">
        <f t="array" ref="G95">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5"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5"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INDEX((standard_components_193[[#This Row],[Component]]=factor_eff_table[Component])*(standard_components_193[[#This Row],[Service]]=factor_eff_table[Service]), 0, 1), 0)),
 "-")</f>
        <v>-</v>
      </c>
      <c r="E96" s="145" t="str" cm="1">
        <f t="array" ref="E96">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6" s="145" t="str" cm="1">
        <f t="array" ref="F96">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6" s="145" t="str" cm="1">
        <f t="array" ref="G96">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6"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6"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INDEX((standard_components_193[[#This Row],[Component]]=factor_eff_table[Component])*(standard_components_193[[#This Row],[Service]]=factor_eff_table[Service]), 0, 1), 0)),
 "-")</f>
        <v>-</v>
      </c>
      <c r="E97" s="145" t="str" cm="1">
        <f t="array" ref="E97">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7" s="145" t="str" cm="1">
        <f t="array" ref="F97">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7" s="145" t="str" cm="1">
        <f t="array" ref="G97">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7"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7"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INDEX((standard_components_193[[#This Row],[Component]]=factor_eff_table[Component])*(standard_components_193[[#This Row],[Service]]=factor_eff_table[Service]), 0, 1), 0)),
 "-")</f>
        <v>-</v>
      </c>
      <c r="E98" s="145" t="str" cm="1">
        <f t="array" ref="E98">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8" s="145" t="str" cm="1">
        <f t="array" ref="F98">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8" s="145" t="str" cm="1">
        <f t="array" ref="G98">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8"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8"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INDEX((standard_components_193[[#This Row],[Component]]=factor_eff_table[Component])*(standard_components_193[[#This Row],[Service]]=factor_eff_table[Service]), 0, 1), 0)),
 "-")</f>
        <v>-</v>
      </c>
      <c r="E99" s="145" t="str" cm="1">
        <f t="array" ref="E99">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99" s="145" t="str" cm="1">
        <f t="array" ref="F99">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99" s="145" t="str" cm="1">
        <f t="array" ref="G99">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99"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99"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INDEX((standard_components_193[[#This Row],[Component]]=factor_eff_table[Component])*(standard_components_193[[#This Row],[Service]]=factor_eff_table[Service]), 0, 1), 0)),
 "-")</f>
        <v>-</v>
      </c>
      <c r="E100" s="145" t="str" cm="1">
        <f t="array" ref="E100">IF(AND(process_drain_bool="Yes",LEFT(standard_components_193[[#This Row],[Component]], LEN("Process drains"))="Process Drains", ISBLANK(instrument_ldar)=FALSE), process_drain_eff,
IFERROR(
INDEX(
INDEX(factor_eff_table[], , MATCH(instrument_ldar, factor_eff_table[#Headers], 0)),
MATCH(1, INDEX((standard_components_193[[#This Row],[Component]]=factor_eff_table[Component])*(standard_components_193[[#This Row],[Service]]=factor_eff_table[Service]), 0, 1), 0)),
 "-"))</f>
        <v>-</v>
      </c>
      <c r="F100" s="145" t="str" cm="1">
        <f t="array" ref="F100">IF(AND(process_drain_bool="Yes",LEFT(standard_components_193[[#This Row],[Component]], LEN("Process drains"))="Process Drains", ISBLANK(connector_ldar)=FALSE), process_drain_eff,
IFERROR(
INDEX(
INDEX(factor_eff_table[], , MATCH(connector_ldar, factor_eff_table[#Headers], 0)),
MATCH(1, INDEX((standard_components_193[[#This Row],[Component]]=factor_eff_table[Component])*(standard_components_193[[#This Row],[Service]]=factor_eff_table[Service]), 0, 1), 0)),
 "-"))</f>
        <v>-</v>
      </c>
      <c r="G100" s="145" t="str" cm="1">
        <f t="array" ref="G100">IF(AND(process_drain_bool="Yes",LEFT(standard_components_193[[#This Row],[Component]], LEN("Process Drains"))="Process Drains", ISBLANK(inspection_ldar)=FALSE), process_drain_eff,
IFERROR(
INDEX(
INDEX(factor_eff_table[], , MATCH(inspection_ldar, factor_eff_table[#Headers], 0)),
MATCH(1, INDEX((standard_components_193[[#This Row],[Component]]=factor_eff_table[Component])*(standard_components_193[[#This Row],[Service]]=factor_eff_table[Service]), 0, 1), 0)),
 "-"))</f>
        <v>-</v>
      </c>
      <c r="H100" s="146" t="str">
        <f>IF(standard_components_193[[#This Row],[Component]]="Sampling Connections (annual) [2]", "N/A",
 IF(standard_components_193[[#This Row],[Component]]="Sampling Connections (hourly) [1]", standard_components_193[[#This Row],[Count]]*standard_components_193[[#This Row],[Industry Emission Factor]],
IFERROR(standard_components_193[[#This Row],[Count]]*standard_components_193[[#This Row],[Industry Emission Factor]]*MIN(1-standard_components_193[[#This Row],[Instrument Monitoring LDAR Control Efficiency]], 1-standard_components_193[[#This Row],[Physical Inspection LDAR Control Efficiency]], 1-standard_components_193[[#This Row],[Connector Monitoring LDAR Control Efficiency]]), "-")))</f>
        <v>-</v>
      </c>
      <c r="I100" s="146" t="str">
        <f>IF(standard_components_193[[#This Row],[Component]]="Sampling Connections (hourly) [1]", "N/A",
 IF(standard_components_193[[#This Row],[Component]]="Sampling Connections (annual) [2]", standard_components_193[[#This Row],[Count]]*standard_components_193[[#This Row],[Industry Emission Factor]]/stons_to_lbs,
 IFERROR(years_to_hrs/stons_to_lbs*standard_components_193[[#This Row],[Controlled
lb/hr]], "-")))</f>
        <v>-</v>
      </c>
    </row>
    <row r="101" spans="1:9" ht="15" x14ac:dyDescent="0.25">
      <c r="A101" s="147" t="s">
        <v>12776</v>
      </c>
      <c r="B101" s="148"/>
      <c r="C101" s="149">
        <f>SUBTOTAL(109,standard_components_193[Count])</f>
        <v>0</v>
      </c>
      <c r="D101" s="150"/>
      <c r="E101" s="150"/>
      <c r="F101" s="150"/>
      <c r="G101" s="150"/>
      <c r="H101" s="151">
        <f>SUBTOTAL(109,standard_components_193[Controlled
lb/hr])</f>
        <v>0</v>
      </c>
      <c r="I101" s="151">
        <f>SUBTOTAL(109,standard_components_193[Controlled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unique_components_194[[#This Row],[Count]]*unique_components_194[[#This Row],[Proposed Emission Factor]]*(1-unique_components_194[[#This Row],[Proposed Control Efficiency]])</f>
        <v>0</v>
      </c>
      <c r="G107" s="155">
        <f>IFERROR(unique_components_194[[#This Row],[Controlled lb/hr]]*4.38,"")</f>
        <v>0</v>
      </c>
    </row>
    <row r="108" spans="1:9" x14ac:dyDescent="0.2">
      <c r="A108" s="103"/>
      <c r="B108" s="104"/>
      <c r="C108" s="153"/>
      <c r="D108" s="154"/>
      <c r="E108" s="154"/>
      <c r="F108" s="146">
        <f>unique_components_194[[#This Row],[Count]]*unique_components_194[[#This Row],[Proposed Emission Factor]]*(1-unique_components_194[[#This Row],[Proposed Control Efficiency]])</f>
        <v>0</v>
      </c>
      <c r="G108" s="155">
        <f>IFERROR(unique_components_194[[#This Row],[Controlled lb/hr]]*4.38,"")</f>
        <v>0</v>
      </c>
    </row>
    <row r="109" spans="1:9" x14ac:dyDescent="0.2">
      <c r="A109" s="103"/>
      <c r="B109" s="104"/>
      <c r="C109" s="153"/>
      <c r="D109" s="154"/>
      <c r="E109" s="154"/>
      <c r="F109" s="146">
        <f>unique_components_194[[#This Row],[Count]]*unique_components_194[[#This Row],[Proposed Emission Factor]]*(1-unique_components_194[[#This Row],[Proposed Control Efficiency]])</f>
        <v>0</v>
      </c>
      <c r="G109" s="155">
        <f>IFERROR(unique_components_194[[#This Row],[Controlled lb/hr]]*4.38,"")</f>
        <v>0</v>
      </c>
    </row>
    <row r="110" spans="1:9" x14ac:dyDescent="0.2">
      <c r="A110" s="103"/>
      <c r="B110" s="104"/>
      <c r="C110" s="153"/>
      <c r="D110" s="154"/>
      <c r="E110" s="154"/>
      <c r="F110" s="146">
        <f>unique_components_194[[#This Row],[Count]]*unique_components_194[[#This Row],[Proposed Emission Factor]]*(1-unique_components_194[[#This Row],[Proposed Control Efficiency]])</f>
        <v>0</v>
      </c>
      <c r="G110" s="155">
        <f>IFERROR(unique_components_194[[#This Row],[Controlled lb/hr]]*4.38,"")</f>
        <v>0</v>
      </c>
    </row>
    <row r="111" spans="1:9" x14ac:dyDescent="0.2">
      <c r="A111" s="103"/>
      <c r="B111" s="104"/>
      <c r="C111" s="153"/>
      <c r="D111" s="154"/>
      <c r="E111" s="154"/>
      <c r="F111" s="146">
        <f>unique_components_194[[#This Row],[Count]]*unique_components_194[[#This Row],[Proposed Emission Factor]]*(1-unique_components_194[[#This Row],[Proposed Control Efficiency]])</f>
        <v>0</v>
      </c>
      <c r="G111" s="155">
        <f>IFERROR(unique_components_194[[#This Row],[Controlled lb/hr]]*4.38,"")</f>
        <v>0</v>
      </c>
    </row>
    <row r="112" spans="1:9" x14ac:dyDescent="0.2">
      <c r="A112" s="103"/>
      <c r="B112" s="104"/>
      <c r="C112" s="153"/>
      <c r="D112" s="154"/>
      <c r="E112" s="154"/>
      <c r="F112" s="146">
        <f>unique_components_194[[#This Row],[Count]]*unique_components_194[[#This Row],[Proposed Emission Factor]]*(1-unique_components_194[[#This Row],[Proposed Control Efficiency]])</f>
        <v>0</v>
      </c>
      <c r="G112" s="155">
        <f>IFERROR(unique_components_194[[#This Row],[Controlled lb/hr]]*4.38,"")</f>
        <v>0</v>
      </c>
    </row>
    <row r="113" spans="1:8" x14ac:dyDescent="0.2">
      <c r="A113" s="103"/>
      <c r="B113" s="104"/>
      <c r="C113" s="153"/>
      <c r="D113" s="154"/>
      <c r="E113" s="154"/>
      <c r="F113" s="146">
        <f>unique_components_194[[#This Row],[Count]]*unique_components_194[[#This Row],[Proposed Emission Factor]]*(1-unique_components_194[[#This Row],[Proposed Control Efficiency]])</f>
        <v>0</v>
      </c>
      <c r="G113" s="155">
        <f>IFERROR(unique_components_194[[#This Row],[Controlled lb/hr]]*4.38,"")</f>
        <v>0</v>
      </c>
    </row>
    <row r="114" spans="1:8" x14ac:dyDescent="0.2">
      <c r="A114" s="103"/>
      <c r="B114" s="104"/>
      <c r="C114" s="153"/>
      <c r="D114" s="154"/>
      <c r="E114" s="154"/>
      <c r="F114" s="146">
        <f>unique_components_194[[#This Row],[Count]]*unique_components_194[[#This Row],[Proposed Emission Factor]]*(1-unique_components_194[[#This Row],[Proposed Control Efficiency]])</f>
        <v>0</v>
      </c>
      <c r="G114" s="155">
        <f>IFERROR(unique_components_194[[#This Row],[Controlled lb/hr]]*4.38,"")</f>
        <v>0</v>
      </c>
    </row>
    <row r="115" spans="1:8" x14ac:dyDescent="0.2">
      <c r="A115" s="103"/>
      <c r="B115" s="104"/>
      <c r="C115" s="153"/>
      <c r="D115" s="154"/>
      <c r="E115" s="154"/>
      <c r="F115" s="146">
        <f>unique_components_194[[#This Row],[Count]]*unique_components_194[[#This Row],[Proposed Emission Factor]]*(1-unique_components_194[[#This Row],[Proposed Control Efficiency]])</f>
        <v>0</v>
      </c>
      <c r="G115" s="155">
        <f>IFERROR(unique_components_194[[#This Row],[Controlled lb/hr]]*4.38,"")</f>
        <v>0</v>
      </c>
    </row>
    <row r="116" spans="1:8" x14ac:dyDescent="0.2">
      <c r="A116" s="103"/>
      <c r="B116" s="104"/>
      <c r="C116" s="153"/>
      <c r="D116" s="154"/>
      <c r="E116" s="154"/>
      <c r="F116" s="146">
        <f>unique_components_194[[#This Row],[Count]]*unique_components_194[[#This Row],[Proposed Emission Factor]]*(1-unique_components_194[[#This Row],[Proposed Control Efficiency]])</f>
        <v>0</v>
      </c>
      <c r="G116" s="155">
        <f>IFERROR(unique_components_194[[#This Row],[Controlled lb/hr]]*4.38,"")</f>
        <v>0</v>
      </c>
    </row>
    <row r="117" spans="1:8" x14ac:dyDescent="0.2">
      <c r="A117" s="103"/>
      <c r="B117" s="104"/>
      <c r="C117" s="153"/>
      <c r="D117" s="154"/>
      <c r="E117" s="154"/>
      <c r="F117" s="146">
        <f>unique_components_194[[#This Row],[Count]]*unique_components_194[[#This Row],[Proposed Emission Factor]]*(1-unique_components_194[[#This Row],[Proposed Control Efficiency]])</f>
        <v>0</v>
      </c>
      <c r="G117" s="155">
        <f>IFERROR(unique_components_194[[#This Row],[Controlled lb/hr]]*4.38,"")</f>
        <v>0</v>
      </c>
    </row>
    <row r="118" spans="1:8" x14ac:dyDescent="0.2">
      <c r="A118" s="103"/>
      <c r="B118" s="104"/>
      <c r="C118" s="153"/>
      <c r="D118" s="154"/>
      <c r="E118" s="154"/>
      <c r="F118" s="146">
        <f>unique_components_194[[#This Row],[Count]]*unique_components_194[[#This Row],[Proposed Emission Factor]]*(1-unique_components_194[[#This Row],[Proposed Control Efficiency]])</f>
        <v>0</v>
      </c>
      <c r="G118" s="155">
        <f>IFERROR(unique_components_194[[#This Row],[Controlled lb/hr]]*4.38,"")</f>
        <v>0</v>
      </c>
    </row>
    <row r="119" spans="1:8" x14ac:dyDescent="0.2">
      <c r="A119" s="103"/>
      <c r="B119" s="104"/>
      <c r="C119" s="153"/>
      <c r="D119" s="154"/>
      <c r="E119" s="154"/>
      <c r="F119" s="146">
        <f>unique_components_194[[#This Row],[Count]]*unique_components_194[[#This Row],[Proposed Emission Factor]]*(1-unique_components_194[[#This Row],[Proposed Control Efficiency]])</f>
        <v>0</v>
      </c>
      <c r="G119" s="155">
        <f>IFERROR(unique_components_194[[#This Row],[Controlled lb/hr]]*4.38,"")</f>
        <v>0</v>
      </c>
    </row>
    <row r="120" spans="1:8" x14ac:dyDescent="0.2">
      <c r="A120" s="103"/>
      <c r="B120" s="104"/>
      <c r="C120" s="153"/>
      <c r="D120" s="154"/>
      <c r="E120" s="154"/>
      <c r="F120" s="146">
        <f>unique_components_194[[#This Row],[Count]]*unique_components_194[[#This Row],[Proposed Emission Factor]]*(1-unique_components_194[[#This Row],[Proposed Control Efficiency]])</f>
        <v>0</v>
      </c>
      <c r="G120" s="155">
        <f>IFERROR(unique_components_194[[#This Row],[Controlled lb/hr]]*4.38,"")</f>
        <v>0</v>
      </c>
    </row>
    <row r="121" spans="1:8" x14ac:dyDescent="0.2">
      <c r="A121" s="103"/>
      <c r="B121" s="104"/>
      <c r="C121" s="153"/>
      <c r="D121" s="154"/>
      <c r="E121" s="154"/>
      <c r="F121" s="146">
        <f>unique_components_194[[#This Row],[Count]]*unique_components_194[[#This Row],[Proposed Emission Factor]]*(1-unique_components_194[[#This Row],[Proposed Control Efficiency]])</f>
        <v>0</v>
      </c>
      <c r="G121" s="155">
        <f>IFERROR(unique_components_194[[#This Row],[Controlled lb/hr]]*4.38,"")</f>
        <v>0</v>
      </c>
    </row>
    <row r="122" spans="1:8" x14ac:dyDescent="0.2">
      <c r="A122" s="103"/>
      <c r="B122" s="104"/>
      <c r="C122" s="153"/>
      <c r="D122" s="154"/>
      <c r="E122" s="154"/>
      <c r="F122" s="146">
        <f>unique_components_194[[#This Row],[Count]]*unique_components_194[[#This Row],[Proposed Emission Factor]]*(1-unique_components_194[[#This Row],[Proposed Control Efficiency]])</f>
        <v>0</v>
      </c>
      <c r="G122" s="155">
        <f>IFERROR(unique_components_194[[#This Row],[Controlled lb/hr]]*4.38,"")</f>
        <v>0</v>
      </c>
    </row>
    <row r="123" spans="1:8" x14ac:dyDescent="0.2">
      <c r="A123" s="103"/>
      <c r="B123" s="104"/>
      <c r="C123" s="153"/>
      <c r="D123" s="154"/>
      <c r="E123" s="154"/>
      <c r="F123" s="146">
        <f>unique_components_194[[#This Row],[Count]]*unique_components_194[[#This Row],[Proposed Emission Factor]]*(1-unique_components_194[[#This Row],[Proposed Control Efficiency]])</f>
        <v>0</v>
      </c>
      <c r="G123" s="155">
        <f>IFERROR(unique_components_194[[#This Row],[Controlled lb/hr]]*4.38,"")</f>
        <v>0</v>
      </c>
    </row>
    <row r="124" spans="1:8" x14ac:dyDescent="0.2">
      <c r="A124" s="103"/>
      <c r="B124" s="104"/>
      <c r="C124" s="153"/>
      <c r="D124" s="154"/>
      <c r="E124" s="154"/>
      <c r="F124" s="146">
        <f>unique_components_194[[#This Row],[Count]]*unique_components_194[[#This Row],[Proposed Emission Factor]]*(1-unique_components_194[[#This Row],[Proposed Control Efficiency]])</f>
        <v>0</v>
      </c>
      <c r="G124" s="155">
        <f>IFERROR(unique_components_194[[#This Row],[Controlled lb/hr]]*4.38,"")</f>
        <v>0</v>
      </c>
    </row>
    <row r="125" spans="1:8" x14ac:dyDescent="0.2">
      <c r="A125" s="103"/>
      <c r="B125" s="104"/>
      <c r="C125" s="153"/>
      <c r="D125" s="154"/>
      <c r="E125" s="154"/>
      <c r="F125" s="146">
        <f>unique_components_194[[#This Row],[Count]]*unique_components_194[[#This Row],[Proposed Emission Factor]]*(1-unique_components_194[[#This Row],[Proposed Control Efficiency]])</f>
        <v>0</v>
      </c>
      <c r="G125" s="155">
        <f>IFERROR(unique_components_194[[#This Row],[Controlled lb/hr]]*4.38,"")</f>
        <v>0</v>
      </c>
    </row>
    <row r="126" spans="1:8" x14ac:dyDescent="0.2">
      <c r="A126" s="105"/>
      <c r="B126" s="106"/>
      <c r="C126" s="156"/>
      <c r="D126" s="154"/>
      <c r="E126" s="157"/>
      <c r="F126" s="158">
        <f>unique_components_194[[#This Row],[Count]]*unique_components_194[[#This Row],[Proposed Emission Factor]]*(1-unique_components_194[[#This Row],[Proposed Control Efficiency]])</f>
        <v>0</v>
      </c>
      <c r="G126" s="159">
        <f>IFERROR(unique_components_194[[#This Row],[Controlled lb/hr]]*4.38,"")</f>
        <v>0</v>
      </c>
    </row>
    <row r="127" spans="1:8" ht="30" x14ac:dyDescent="0.2">
      <c r="A127" s="57" t="s">
        <v>13297</v>
      </c>
      <c r="B127" s="54"/>
      <c r="C127" s="160">
        <f>SUBTOTAL(109,unique_components_194[Count])</f>
        <v>0</v>
      </c>
      <c r="D127" s="161"/>
      <c r="E127" s="161"/>
      <c r="F127" s="162">
        <f>SUBTOTAL(109,unique_components_194[Controlled lb/hr])</f>
        <v>0</v>
      </c>
      <c r="G127" s="162">
        <f>SUBTOTAL(109,unique_components_194[Controlled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IFERROR(VLOOKUP(speciated_chemicals_195[[#This Row],[CAS '#]],species[],MATCH("Substance", species[#Headers], 0),FALSE),"No CAS Number Entered")</f>
        <v>No CAS Number Entered</v>
      </c>
      <c r="C131" s="102"/>
      <c r="D131" s="102" t="s">
        <v>12666</v>
      </c>
      <c r="E131" s="102" t="s">
        <v>12666</v>
      </c>
      <c r="F131" s="102" t="s">
        <v>12666</v>
      </c>
      <c r="G131" s="102" t="s">
        <v>12666</v>
      </c>
      <c r="H131" s="164"/>
      <c r="I131" s="51">
        <f>IF(speciated_chemicals_195[[#This Row],[Inert / Not a Contaminant?]]="Yes", 0, speciated_chemicals_195[[#This Row],[Weight Percent]]*(unique_components_194[[#Totals],[Controlled lb/hr]]+standard_components_193[[#Totals],[Controlled
lb/hr]]))</f>
        <v>0</v>
      </c>
      <c r="J131" s="51">
        <f>IF(speciated_chemicals_195[[#This Row],[Inert / Not a Contaminant?]]="Yes", 0, speciated_chemicals_195[[#This Row],[Weight Percent]]*(unique_components_194[[#Totals],[Controlled
tpy]]+standard_components_193[[#Totals],[Controlled
tpy]]))</f>
        <v>0</v>
      </c>
    </row>
    <row r="132" spans="1:10" x14ac:dyDescent="0.2">
      <c r="A132" s="103"/>
      <c r="B132" s="51" t="str">
        <f>IFERROR(VLOOKUP(speciated_chemicals_195[[#This Row],[CAS '#]],species[],MATCH("Substance", species[#Headers], 0),FALSE),"No CAS Number Entered")</f>
        <v>No CAS Number Entered</v>
      </c>
      <c r="C132" s="102"/>
      <c r="D132" s="102" t="s">
        <v>12666</v>
      </c>
      <c r="E132" s="102" t="s">
        <v>12666</v>
      </c>
      <c r="F132" s="102" t="s">
        <v>12666</v>
      </c>
      <c r="G132" s="102" t="s">
        <v>12666</v>
      </c>
      <c r="H132" s="164"/>
      <c r="I132" s="51">
        <f>IF(speciated_chemicals_195[[#This Row],[Inert / Not a Contaminant?]]="Yes", 0, speciated_chemicals_195[[#This Row],[Weight Percent]]*(unique_components_194[[#Totals],[Controlled lb/hr]]+standard_components_193[[#Totals],[Controlled
lb/hr]]))</f>
        <v>0</v>
      </c>
      <c r="J132" s="51">
        <f>IF(speciated_chemicals_195[[#This Row],[Inert / Not a Contaminant?]]="Yes", 0, speciated_chemicals_195[[#This Row],[Weight Percent]]*(unique_components_194[[#Totals],[Controlled
tpy]]+standard_components_193[[#Totals],[Controlled
tpy]]))</f>
        <v>0</v>
      </c>
    </row>
    <row r="133" spans="1:10" x14ac:dyDescent="0.2">
      <c r="A133" s="103"/>
      <c r="B133" s="51" t="str">
        <f>IFERROR(VLOOKUP(speciated_chemicals_195[[#This Row],[CAS '#]],species[],MATCH("Substance", species[#Headers], 0),FALSE),"No CAS Number Entered")</f>
        <v>No CAS Number Entered</v>
      </c>
      <c r="C133" s="102"/>
      <c r="D133" s="102" t="s">
        <v>12666</v>
      </c>
      <c r="E133" s="102" t="s">
        <v>12666</v>
      </c>
      <c r="F133" s="102" t="s">
        <v>12666</v>
      </c>
      <c r="G133" s="102" t="s">
        <v>12666</v>
      </c>
      <c r="H133" s="164"/>
      <c r="I133" s="51">
        <f>IF(speciated_chemicals_195[[#This Row],[Inert / Not a Contaminant?]]="Yes", 0, speciated_chemicals_195[[#This Row],[Weight Percent]]*(unique_components_194[[#Totals],[Controlled lb/hr]]+standard_components_193[[#Totals],[Controlled
lb/hr]]))</f>
        <v>0</v>
      </c>
      <c r="J133" s="51">
        <f>IF(speciated_chemicals_195[[#This Row],[Inert / Not a Contaminant?]]="Yes", 0, speciated_chemicals_195[[#This Row],[Weight Percent]]*(unique_components_194[[#Totals],[Controlled
tpy]]+standard_components_193[[#Totals],[Controlled
tpy]]))</f>
        <v>0</v>
      </c>
    </row>
    <row r="134" spans="1:10" x14ac:dyDescent="0.2">
      <c r="A134" s="103"/>
      <c r="B134" s="51" t="str">
        <f>IFERROR(VLOOKUP(speciated_chemicals_195[[#This Row],[CAS '#]],species[],MATCH("Substance", species[#Headers], 0),FALSE),"No CAS Number Entered")</f>
        <v>No CAS Number Entered</v>
      </c>
      <c r="C134" s="102"/>
      <c r="D134" s="102" t="s">
        <v>12666</v>
      </c>
      <c r="E134" s="102" t="s">
        <v>12666</v>
      </c>
      <c r="F134" s="102" t="s">
        <v>12666</v>
      </c>
      <c r="G134" s="102" t="s">
        <v>12666</v>
      </c>
      <c r="H134" s="164"/>
      <c r="I134" s="51">
        <f>IF(speciated_chemicals_195[[#This Row],[Inert / Not a Contaminant?]]="Yes", 0, speciated_chemicals_195[[#This Row],[Weight Percent]]*(unique_components_194[[#Totals],[Controlled lb/hr]]+standard_components_193[[#Totals],[Controlled
lb/hr]]))</f>
        <v>0</v>
      </c>
      <c r="J134" s="51">
        <f>IF(speciated_chemicals_195[[#This Row],[Inert / Not a Contaminant?]]="Yes", 0, speciated_chemicals_195[[#This Row],[Weight Percent]]*(unique_components_194[[#Totals],[Controlled
tpy]]+standard_components_193[[#Totals],[Controlled
tpy]]))</f>
        <v>0</v>
      </c>
    </row>
    <row r="135" spans="1:10" x14ac:dyDescent="0.2">
      <c r="A135" s="103"/>
      <c r="B135" s="51" t="str">
        <f>IFERROR(VLOOKUP(speciated_chemicals_195[[#This Row],[CAS '#]],species[],MATCH("Substance", species[#Headers], 0),FALSE),"No CAS Number Entered")</f>
        <v>No CAS Number Entered</v>
      </c>
      <c r="C135" s="102"/>
      <c r="D135" s="102" t="s">
        <v>12666</v>
      </c>
      <c r="E135" s="102" t="s">
        <v>12666</v>
      </c>
      <c r="F135" s="102" t="s">
        <v>12666</v>
      </c>
      <c r="G135" s="102" t="s">
        <v>12666</v>
      </c>
      <c r="H135" s="164"/>
      <c r="I135" s="51">
        <f>IF(speciated_chemicals_195[[#This Row],[Inert / Not a Contaminant?]]="Yes", 0, speciated_chemicals_195[[#This Row],[Weight Percent]]*(unique_components_194[[#Totals],[Controlled lb/hr]]+standard_components_193[[#Totals],[Controlled
lb/hr]]))</f>
        <v>0</v>
      </c>
      <c r="J135" s="51">
        <f>IF(speciated_chemicals_195[[#This Row],[Inert / Not a Contaminant?]]="Yes", 0, speciated_chemicals_195[[#This Row],[Weight Percent]]*(unique_components_194[[#Totals],[Controlled
tpy]]+standard_components_193[[#Totals],[Controlled
tpy]]))</f>
        <v>0</v>
      </c>
    </row>
    <row r="136" spans="1:10" x14ac:dyDescent="0.2">
      <c r="A136" s="103"/>
      <c r="B136" s="51" t="str">
        <f>IFERROR(VLOOKUP(speciated_chemicals_195[[#This Row],[CAS '#]],species[],MATCH("Substance", species[#Headers], 0),FALSE),"No CAS Number Entered")</f>
        <v>No CAS Number Entered</v>
      </c>
      <c r="C136" s="102"/>
      <c r="D136" s="102" t="s">
        <v>12666</v>
      </c>
      <c r="E136" s="102" t="s">
        <v>12666</v>
      </c>
      <c r="F136" s="102" t="s">
        <v>12666</v>
      </c>
      <c r="G136" s="102" t="s">
        <v>12666</v>
      </c>
      <c r="H136" s="164"/>
      <c r="I136" s="51">
        <f>IF(speciated_chemicals_195[[#This Row],[Inert / Not a Contaminant?]]="Yes", 0, speciated_chemicals_195[[#This Row],[Weight Percent]]*(unique_components_194[[#Totals],[Controlled lb/hr]]+standard_components_193[[#Totals],[Controlled
lb/hr]]))</f>
        <v>0</v>
      </c>
      <c r="J136" s="51">
        <f>IF(speciated_chemicals_195[[#This Row],[Inert / Not a Contaminant?]]="Yes", 0, speciated_chemicals_195[[#This Row],[Weight Percent]]*(unique_components_194[[#Totals],[Controlled
tpy]]+standard_components_193[[#Totals],[Controlled
tpy]]))</f>
        <v>0</v>
      </c>
    </row>
    <row r="137" spans="1:10" x14ac:dyDescent="0.2">
      <c r="A137" s="103"/>
      <c r="B137" s="51" t="str">
        <f>IFERROR(VLOOKUP(speciated_chemicals_195[[#This Row],[CAS '#]],species[],MATCH("Substance", species[#Headers], 0),FALSE),"No CAS Number Entered")</f>
        <v>No CAS Number Entered</v>
      </c>
      <c r="C137" s="102"/>
      <c r="D137" s="102" t="s">
        <v>12666</v>
      </c>
      <c r="E137" s="102" t="s">
        <v>12666</v>
      </c>
      <c r="F137" s="102" t="s">
        <v>12666</v>
      </c>
      <c r="G137" s="102" t="s">
        <v>12666</v>
      </c>
      <c r="H137" s="164"/>
      <c r="I137" s="51">
        <f>IF(speciated_chemicals_195[[#This Row],[Inert / Not a Contaminant?]]="Yes", 0, speciated_chemicals_195[[#This Row],[Weight Percent]]*(unique_components_194[[#Totals],[Controlled lb/hr]]+standard_components_193[[#Totals],[Controlled
lb/hr]]))</f>
        <v>0</v>
      </c>
      <c r="J137" s="51">
        <f>IF(speciated_chemicals_195[[#This Row],[Inert / Not a Contaminant?]]="Yes", 0, speciated_chemicals_195[[#This Row],[Weight Percent]]*(unique_components_194[[#Totals],[Controlled
tpy]]+standard_components_193[[#Totals],[Controlled
tpy]]))</f>
        <v>0</v>
      </c>
    </row>
    <row r="138" spans="1:10" x14ac:dyDescent="0.2">
      <c r="A138" s="103"/>
      <c r="B138" s="51" t="str">
        <f>IFERROR(VLOOKUP(speciated_chemicals_195[[#This Row],[CAS '#]],species[],MATCH("Substance", species[#Headers], 0),FALSE),"No CAS Number Entered")</f>
        <v>No CAS Number Entered</v>
      </c>
      <c r="C138" s="102"/>
      <c r="D138" s="102" t="s">
        <v>12666</v>
      </c>
      <c r="E138" s="102" t="s">
        <v>12666</v>
      </c>
      <c r="F138" s="102" t="s">
        <v>12666</v>
      </c>
      <c r="G138" s="102" t="s">
        <v>12666</v>
      </c>
      <c r="H138" s="164"/>
      <c r="I138" s="51">
        <f>IF(speciated_chemicals_195[[#This Row],[Inert / Not a Contaminant?]]="Yes", 0, speciated_chemicals_195[[#This Row],[Weight Percent]]*(unique_components_194[[#Totals],[Controlled lb/hr]]+standard_components_193[[#Totals],[Controlled
lb/hr]]))</f>
        <v>0</v>
      </c>
      <c r="J138" s="51">
        <f>IF(speciated_chemicals_195[[#This Row],[Inert / Not a Contaminant?]]="Yes", 0, speciated_chemicals_195[[#This Row],[Weight Percent]]*(unique_components_194[[#Totals],[Controlled
tpy]]+standard_components_193[[#Totals],[Controlled
tpy]]))</f>
        <v>0</v>
      </c>
    </row>
    <row r="139" spans="1:10" x14ac:dyDescent="0.2">
      <c r="A139" s="103"/>
      <c r="B139" s="51" t="str">
        <f>IFERROR(VLOOKUP(speciated_chemicals_195[[#This Row],[CAS '#]],species[],MATCH("Substance", species[#Headers], 0),FALSE),"No CAS Number Entered")</f>
        <v>No CAS Number Entered</v>
      </c>
      <c r="C139" s="102"/>
      <c r="D139" s="102" t="s">
        <v>12666</v>
      </c>
      <c r="E139" s="102" t="s">
        <v>12666</v>
      </c>
      <c r="F139" s="102" t="s">
        <v>12666</v>
      </c>
      <c r="G139" s="102" t="s">
        <v>12666</v>
      </c>
      <c r="H139" s="164"/>
      <c r="I139" s="51">
        <f>IF(speciated_chemicals_195[[#This Row],[Inert / Not a Contaminant?]]="Yes", 0, speciated_chemicals_195[[#This Row],[Weight Percent]]*(unique_components_194[[#Totals],[Controlled lb/hr]]+standard_components_193[[#Totals],[Controlled
lb/hr]]))</f>
        <v>0</v>
      </c>
      <c r="J139" s="51">
        <f>IF(speciated_chemicals_195[[#This Row],[Inert / Not a Contaminant?]]="Yes", 0, speciated_chemicals_195[[#This Row],[Weight Percent]]*(unique_components_194[[#Totals],[Controlled
tpy]]+standard_components_193[[#Totals],[Controlled
tpy]]))</f>
        <v>0</v>
      </c>
    </row>
    <row r="140" spans="1:10" x14ac:dyDescent="0.2">
      <c r="A140" s="103"/>
      <c r="B140" s="51" t="str">
        <f>IFERROR(VLOOKUP(speciated_chemicals_195[[#This Row],[CAS '#]],species[],MATCH("Substance", species[#Headers], 0),FALSE),"No CAS Number Entered")</f>
        <v>No CAS Number Entered</v>
      </c>
      <c r="C140" s="102"/>
      <c r="D140" s="102" t="s">
        <v>12666</v>
      </c>
      <c r="E140" s="102" t="s">
        <v>12666</v>
      </c>
      <c r="F140" s="102" t="s">
        <v>12666</v>
      </c>
      <c r="G140" s="102" t="s">
        <v>12666</v>
      </c>
      <c r="H140" s="164"/>
      <c r="I140" s="51">
        <f>IF(speciated_chemicals_195[[#This Row],[Inert / Not a Contaminant?]]="Yes", 0, speciated_chemicals_195[[#This Row],[Weight Percent]]*(unique_components_194[[#Totals],[Controlled lb/hr]]+standard_components_193[[#Totals],[Controlled
lb/hr]]))</f>
        <v>0</v>
      </c>
      <c r="J140" s="51">
        <f>IF(speciated_chemicals_195[[#This Row],[Inert / Not a Contaminant?]]="Yes", 0, speciated_chemicals_195[[#This Row],[Weight Percent]]*(unique_components_194[[#Totals],[Controlled
tpy]]+standard_components_193[[#Totals],[Controlled
tpy]]))</f>
        <v>0</v>
      </c>
    </row>
    <row r="141" spans="1:10" x14ac:dyDescent="0.2">
      <c r="A141" s="103"/>
      <c r="B141" s="51" t="str">
        <f>IFERROR(VLOOKUP(speciated_chemicals_195[[#This Row],[CAS '#]],species[],MATCH("Substance", species[#Headers], 0),FALSE),"No CAS Number Entered")</f>
        <v>No CAS Number Entered</v>
      </c>
      <c r="C141" s="102"/>
      <c r="D141" s="102" t="s">
        <v>12666</v>
      </c>
      <c r="E141" s="102" t="s">
        <v>12666</v>
      </c>
      <c r="F141" s="102" t="s">
        <v>12666</v>
      </c>
      <c r="G141" s="102" t="s">
        <v>12666</v>
      </c>
      <c r="H141" s="164"/>
      <c r="I141" s="51">
        <f>IF(speciated_chemicals_195[[#This Row],[Inert / Not a Contaminant?]]="Yes", 0, speciated_chemicals_195[[#This Row],[Weight Percent]]*(unique_components_194[[#Totals],[Controlled lb/hr]]+standard_components_193[[#Totals],[Controlled
lb/hr]]))</f>
        <v>0</v>
      </c>
      <c r="J141" s="51">
        <f>IF(speciated_chemicals_195[[#This Row],[Inert / Not a Contaminant?]]="Yes", 0, speciated_chemicals_195[[#This Row],[Weight Percent]]*(unique_components_194[[#Totals],[Controlled
tpy]]+standard_components_193[[#Totals],[Controlled
tpy]]))</f>
        <v>0</v>
      </c>
    </row>
    <row r="142" spans="1:10" x14ac:dyDescent="0.2">
      <c r="A142" s="103"/>
      <c r="B142" s="51" t="str">
        <f>IFERROR(VLOOKUP(speciated_chemicals_195[[#This Row],[CAS '#]],species[],MATCH("Substance", species[#Headers], 0),FALSE),"No CAS Number Entered")</f>
        <v>No CAS Number Entered</v>
      </c>
      <c r="C142" s="102"/>
      <c r="D142" s="102" t="s">
        <v>12666</v>
      </c>
      <c r="E142" s="102" t="s">
        <v>12666</v>
      </c>
      <c r="F142" s="102" t="s">
        <v>12666</v>
      </c>
      <c r="G142" s="102" t="s">
        <v>12666</v>
      </c>
      <c r="H142" s="164"/>
      <c r="I142" s="51">
        <f>IF(speciated_chemicals_195[[#This Row],[Inert / Not a Contaminant?]]="Yes", 0, speciated_chemicals_195[[#This Row],[Weight Percent]]*(unique_components_194[[#Totals],[Controlled lb/hr]]+standard_components_193[[#Totals],[Controlled
lb/hr]]))</f>
        <v>0</v>
      </c>
      <c r="J142" s="51">
        <f>IF(speciated_chemicals_195[[#This Row],[Inert / Not a Contaminant?]]="Yes", 0, speciated_chemicals_195[[#This Row],[Weight Percent]]*(unique_components_194[[#Totals],[Controlled
tpy]]+standard_components_193[[#Totals],[Controlled
tpy]]))</f>
        <v>0</v>
      </c>
    </row>
    <row r="143" spans="1:10" x14ac:dyDescent="0.2">
      <c r="A143" s="103"/>
      <c r="B143" s="51" t="str">
        <f>IFERROR(VLOOKUP(speciated_chemicals_195[[#This Row],[CAS '#]],species[],MATCH("Substance", species[#Headers], 0),FALSE),"No CAS Number Entered")</f>
        <v>No CAS Number Entered</v>
      </c>
      <c r="C143" s="102"/>
      <c r="D143" s="102" t="s">
        <v>12666</v>
      </c>
      <c r="E143" s="102" t="s">
        <v>12666</v>
      </c>
      <c r="F143" s="102" t="s">
        <v>12666</v>
      </c>
      <c r="G143" s="102" t="s">
        <v>12666</v>
      </c>
      <c r="H143" s="164"/>
      <c r="I143" s="51">
        <f>IF(speciated_chemicals_195[[#This Row],[Inert / Not a Contaminant?]]="Yes", 0, speciated_chemicals_195[[#This Row],[Weight Percent]]*(unique_components_194[[#Totals],[Controlled lb/hr]]+standard_components_193[[#Totals],[Controlled
lb/hr]]))</f>
        <v>0</v>
      </c>
      <c r="J143" s="51">
        <f>IF(speciated_chemicals_195[[#This Row],[Inert / Not a Contaminant?]]="Yes", 0, speciated_chemicals_195[[#This Row],[Weight Percent]]*(unique_components_194[[#Totals],[Controlled
tpy]]+standard_components_193[[#Totals],[Controlled
tpy]]))</f>
        <v>0</v>
      </c>
    </row>
    <row r="144" spans="1:10" x14ac:dyDescent="0.2">
      <c r="A144" s="103"/>
      <c r="B144" s="51" t="str">
        <f>IFERROR(VLOOKUP(speciated_chemicals_195[[#This Row],[CAS '#]],species[],MATCH("Substance", species[#Headers], 0),FALSE),"No CAS Number Entered")</f>
        <v>No CAS Number Entered</v>
      </c>
      <c r="C144" s="102"/>
      <c r="D144" s="102" t="s">
        <v>12666</v>
      </c>
      <c r="E144" s="102" t="s">
        <v>12666</v>
      </c>
      <c r="F144" s="102" t="s">
        <v>12666</v>
      </c>
      <c r="G144" s="102" t="s">
        <v>12666</v>
      </c>
      <c r="H144" s="164"/>
      <c r="I144" s="51">
        <f>IF(speciated_chemicals_195[[#This Row],[Inert / Not a Contaminant?]]="Yes", 0, speciated_chemicals_195[[#This Row],[Weight Percent]]*(unique_components_194[[#Totals],[Controlled lb/hr]]+standard_components_193[[#Totals],[Controlled
lb/hr]]))</f>
        <v>0</v>
      </c>
      <c r="J144" s="51">
        <f>IF(speciated_chemicals_195[[#This Row],[Inert / Not a Contaminant?]]="Yes", 0, speciated_chemicals_195[[#This Row],[Weight Percent]]*(unique_components_194[[#Totals],[Controlled
tpy]]+standard_components_193[[#Totals],[Controlled
tpy]]))</f>
        <v>0</v>
      </c>
    </row>
    <row r="145" spans="1:10" x14ac:dyDescent="0.2">
      <c r="A145" s="103"/>
      <c r="B145" s="51" t="str">
        <f>IFERROR(VLOOKUP(speciated_chemicals_195[[#This Row],[CAS '#]],species[],MATCH("Substance", species[#Headers], 0),FALSE),"No CAS Number Entered")</f>
        <v>No CAS Number Entered</v>
      </c>
      <c r="C145" s="102"/>
      <c r="D145" s="102" t="s">
        <v>12666</v>
      </c>
      <c r="E145" s="102" t="s">
        <v>12666</v>
      </c>
      <c r="F145" s="102" t="s">
        <v>12666</v>
      </c>
      <c r="G145" s="102" t="s">
        <v>12666</v>
      </c>
      <c r="H145" s="164"/>
      <c r="I145" s="51">
        <f>IF(speciated_chemicals_195[[#This Row],[Inert / Not a Contaminant?]]="Yes", 0, speciated_chemicals_195[[#This Row],[Weight Percent]]*(unique_components_194[[#Totals],[Controlled lb/hr]]+standard_components_193[[#Totals],[Controlled
lb/hr]]))</f>
        <v>0</v>
      </c>
      <c r="J145" s="51">
        <f>IF(speciated_chemicals_195[[#This Row],[Inert / Not a Contaminant?]]="Yes", 0, speciated_chemicals_195[[#This Row],[Weight Percent]]*(unique_components_194[[#Totals],[Controlled
tpy]]+standard_components_193[[#Totals],[Controlled
tpy]]))</f>
        <v>0</v>
      </c>
    </row>
    <row r="146" spans="1:10" x14ac:dyDescent="0.2">
      <c r="A146" s="103"/>
      <c r="B146" s="51" t="str">
        <f>IFERROR(VLOOKUP(speciated_chemicals_195[[#This Row],[CAS '#]],species[],MATCH("Substance", species[#Headers], 0),FALSE),"No CAS Number Entered")</f>
        <v>No CAS Number Entered</v>
      </c>
      <c r="C146" s="102"/>
      <c r="D146" s="102" t="s">
        <v>12666</v>
      </c>
      <c r="E146" s="102" t="s">
        <v>12666</v>
      </c>
      <c r="F146" s="102" t="s">
        <v>12666</v>
      </c>
      <c r="G146" s="102" t="s">
        <v>12666</v>
      </c>
      <c r="H146" s="164"/>
      <c r="I146" s="51">
        <f>IF(speciated_chemicals_195[[#This Row],[Inert / Not a Contaminant?]]="Yes", 0, speciated_chemicals_195[[#This Row],[Weight Percent]]*(unique_components_194[[#Totals],[Controlled lb/hr]]+standard_components_193[[#Totals],[Controlled
lb/hr]]))</f>
        <v>0</v>
      </c>
      <c r="J146" s="51">
        <f>IF(speciated_chemicals_195[[#This Row],[Inert / Not a Contaminant?]]="Yes", 0, speciated_chemicals_195[[#This Row],[Weight Percent]]*(unique_components_194[[#Totals],[Controlled
tpy]]+standard_components_193[[#Totals],[Controlled
tpy]]))</f>
        <v>0</v>
      </c>
    </row>
    <row r="147" spans="1:10" x14ac:dyDescent="0.2">
      <c r="A147" s="103"/>
      <c r="B147" s="51" t="str">
        <f>IFERROR(VLOOKUP(speciated_chemicals_195[[#This Row],[CAS '#]],species[],MATCH("Substance", species[#Headers], 0),FALSE),"No CAS Number Entered")</f>
        <v>No CAS Number Entered</v>
      </c>
      <c r="C147" s="102"/>
      <c r="D147" s="102" t="s">
        <v>12666</v>
      </c>
      <c r="E147" s="102" t="s">
        <v>12666</v>
      </c>
      <c r="F147" s="102" t="s">
        <v>12666</v>
      </c>
      <c r="G147" s="102" t="s">
        <v>12666</v>
      </c>
      <c r="H147" s="164"/>
      <c r="I147" s="51">
        <f>IF(speciated_chemicals_195[[#This Row],[Inert / Not a Contaminant?]]="Yes", 0, speciated_chemicals_195[[#This Row],[Weight Percent]]*(unique_components_194[[#Totals],[Controlled lb/hr]]+standard_components_193[[#Totals],[Controlled
lb/hr]]))</f>
        <v>0</v>
      </c>
      <c r="J147" s="51">
        <f>IF(speciated_chemicals_195[[#This Row],[Inert / Not a Contaminant?]]="Yes", 0, speciated_chemicals_195[[#This Row],[Weight Percent]]*(unique_components_194[[#Totals],[Controlled
tpy]]+standard_components_193[[#Totals],[Controlled
tpy]]))</f>
        <v>0</v>
      </c>
    </row>
    <row r="148" spans="1:10" x14ac:dyDescent="0.2">
      <c r="A148" s="103"/>
      <c r="B148" s="51" t="str">
        <f>IFERROR(VLOOKUP(speciated_chemicals_195[[#This Row],[CAS '#]],species[],MATCH("Substance", species[#Headers], 0),FALSE),"No CAS Number Entered")</f>
        <v>No CAS Number Entered</v>
      </c>
      <c r="C148" s="102"/>
      <c r="D148" s="102" t="s">
        <v>12666</v>
      </c>
      <c r="E148" s="102" t="s">
        <v>12666</v>
      </c>
      <c r="F148" s="102" t="s">
        <v>12666</v>
      </c>
      <c r="G148" s="102" t="s">
        <v>12666</v>
      </c>
      <c r="H148" s="164"/>
      <c r="I148" s="51">
        <f>IF(speciated_chemicals_195[[#This Row],[Inert / Not a Contaminant?]]="Yes", 0, speciated_chemicals_195[[#This Row],[Weight Percent]]*(unique_components_194[[#Totals],[Controlled lb/hr]]+standard_components_193[[#Totals],[Controlled
lb/hr]]))</f>
        <v>0</v>
      </c>
      <c r="J148" s="51">
        <f>IF(speciated_chemicals_195[[#This Row],[Inert / Not a Contaminant?]]="Yes", 0, speciated_chemicals_195[[#This Row],[Weight Percent]]*(unique_components_194[[#Totals],[Controlled
tpy]]+standard_components_193[[#Totals],[Controlled
tpy]]))</f>
        <v>0</v>
      </c>
    </row>
    <row r="149" spans="1:10" x14ac:dyDescent="0.2">
      <c r="A149" s="103"/>
      <c r="B149" s="51" t="str">
        <f>IFERROR(VLOOKUP(speciated_chemicals_195[[#This Row],[CAS '#]],species[],MATCH("Substance", species[#Headers], 0),FALSE),"No CAS Number Entered")</f>
        <v>No CAS Number Entered</v>
      </c>
      <c r="C149" s="102"/>
      <c r="D149" s="102" t="s">
        <v>12666</v>
      </c>
      <c r="E149" s="102" t="s">
        <v>12666</v>
      </c>
      <c r="F149" s="102" t="s">
        <v>12666</v>
      </c>
      <c r="G149" s="102" t="s">
        <v>12666</v>
      </c>
      <c r="H149" s="164"/>
      <c r="I149" s="51">
        <f>IF(speciated_chemicals_195[[#This Row],[Inert / Not a Contaminant?]]="Yes", 0, speciated_chemicals_195[[#This Row],[Weight Percent]]*(unique_components_194[[#Totals],[Controlled lb/hr]]+standard_components_193[[#Totals],[Controlled
lb/hr]]))</f>
        <v>0</v>
      </c>
      <c r="J149" s="51">
        <f>IF(speciated_chemicals_195[[#This Row],[Inert / Not a Contaminant?]]="Yes", 0, speciated_chemicals_195[[#This Row],[Weight Percent]]*(unique_components_194[[#Totals],[Controlled
tpy]]+standard_components_193[[#Totals],[Controlled
tpy]]))</f>
        <v>0</v>
      </c>
    </row>
    <row r="150" spans="1:10" x14ac:dyDescent="0.2">
      <c r="A150" s="103"/>
      <c r="B150" s="51" t="str">
        <f>IFERROR(VLOOKUP(speciated_chemicals_195[[#This Row],[CAS '#]],species[],MATCH("Substance", species[#Headers], 0),FALSE),"No CAS Number Entered")</f>
        <v>No CAS Number Entered</v>
      </c>
      <c r="C150" s="102"/>
      <c r="D150" s="102" t="s">
        <v>12666</v>
      </c>
      <c r="E150" s="102" t="s">
        <v>12666</v>
      </c>
      <c r="F150" s="102" t="s">
        <v>12666</v>
      </c>
      <c r="G150" s="102" t="s">
        <v>12666</v>
      </c>
      <c r="H150" s="164"/>
      <c r="I150" s="51">
        <f>IF(speciated_chemicals_195[[#This Row],[Inert / Not a Contaminant?]]="Yes", 0, speciated_chemicals_195[[#This Row],[Weight Percent]]*(unique_components_194[[#Totals],[Controlled lb/hr]]+standard_components_193[[#Totals],[Controlled
lb/hr]]))</f>
        <v>0</v>
      </c>
      <c r="J150" s="51">
        <f>IF(speciated_chemicals_195[[#This Row],[Inert / Not a Contaminant?]]="Yes", 0, speciated_chemicals_195[[#This Row],[Weight Percent]]*(unique_components_194[[#Totals],[Controlled
tpy]]+standard_components_193[[#Totals],[Controlled
tpy]]))</f>
        <v>0</v>
      </c>
    </row>
    <row r="151" spans="1:10" x14ac:dyDescent="0.2">
      <c r="A151" s="103"/>
      <c r="B151" s="51" t="str">
        <f>IFERROR(VLOOKUP(speciated_chemicals_195[[#This Row],[CAS '#]],species[],MATCH("Substance", species[#Headers], 0),FALSE),"No CAS Number Entered")</f>
        <v>No CAS Number Entered</v>
      </c>
      <c r="C151" s="102"/>
      <c r="D151" s="102" t="s">
        <v>12666</v>
      </c>
      <c r="E151" s="102" t="s">
        <v>12666</v>
      </c>
      <c r="F151" s="102" t="s">
        <v>12666</v>
      </c>
      <c r="G151" s="102" t="s">
        <v>12666</v>
      </c>
      <c r="H151" s="164"/>
      <c r="I151" s="51">
        <f>IF(speciated_chemicals_195[[#This Row],[Inert / Not a Contaminant?]]="Yes", 0, speciated_chemicals_195[[#This Row],[Weight Percent]]*(unique_components_194[[#Totals],[Controlled lb/hr]]+standard_components_193[[#Totals],[Controlled
lb/hr]]))</f>
        <v>0</v>
      </c>
      <c r="J151" s="51">
        <f>IF(speciated_chemicals_195[[#This Row],[Inert / Not a Contaminant?]]="Yes", 0, speciated_chemicals_195[[#This Row],[Weight Percent]]*(unique_components_194[[#Totals],[Controlled
tpy]]+standard_components_193[[#Totals],[Controlled
tpy]]))</f>
        <v>0</v>
      </c>
    </row>
    <row r="152" spans="1:10" x14ac:dyDescent="0.2">
      <c r="A152" s="103"/>
      <c r="B152" s="51" t="str">
        <f>IFERROR(VLOOKUP(speciated_chemicals_195[[#This Row],[CAS '#]],species[],MATCH("Substance", species[#Headers], 0),FALSE),"No CAS Number Entered")</f>
        <v>No CAS Number Entered</v>
      </c>
      <c r="C152" s="102"/>
      <c r="D152" s="102" t="s">
        <v>12666</v>
      </c>
      <c r="E152" s="102" t="s">
        <v>12666</v>
      </c>
      <c r="F152" s="102" t="s">
        <v>12666</v>
      </c>
      <c r="G152" s="102" t="s">
        <v>12666</v>
      </c>
      <c r="H152" s="164"/>
      <c r="I152" s="51">
        <f>IF(speciated_chemicals_195[[#This Row],[Inert / Not a Contaminant?]]="Yes", 0, speciated_chemicals_195[[#This Row],[Weight Percent]]*(unique_components_194[[#Totals],[Controlled lb/hr]]+standard_components_193[[#Totals],[Controlled
lb/hr]]))</f>
        <v>0</v>
      </c>
      <c r="J152" s="51">
        <f>IF(speciated_chemicals_195[[#This Row],[Inert / Not a Contaminant?]]="Yes", 0, speciated_chemicals_195[[#This Row],[Weight Percent]]*(unique_components_194[[#Totals],[Controlled
tpy]]+standard_components_193[[#Totals],[Controlled
tpy]]))</f>
        <v>0</v>
      </c>
    </row>
    <row r="153" spans="1:10" x14ac:dyDescent="0.2">
      <c r="A153" s="103"/>
      <c r="B153" s="51" t="str">
        <f>IFERROR(VLOOKUP(speciated_chemicals_195[[#This Row],[CAS '#]],species[],MATCH("Substance", species[#Headers], 0),FALSE),"No CAS Number Entered")</f>
        <v>No CAS Number Entered</v>
      </c>
      <c r="C153" s="102"/>
      <c r="D153" s="102" t="s">
        <v>12666</v>
      </c>
      <c r="E153" s="102" t="s">
        <v>12666</v>
      </c>
      <c r="F153" s="102" t="s">
        <v>12666</v>
      </c>
      <c r="G153" s="102" t="s">
        <v>12666</v>
      </c>
      <c r="H153" s="164"/>
      <c r="I153" s="51">
        <f>IF(speciated_chemicals_195[[#This Row],[Inert / Not a Contaminant?]]="Yes", 0, speciated_chemicals_195[[#This Row],[Weight Percent]]*(unique_components_194[[#Totals],[Controlled lb/hr]]+standard_components_193[[#Totals],[Controlled
lb/hr]]))</f>
        <v>0</v>
      </c>
      <c r="J153" s="51">
        <f>IF(speciated_chemicals_195[[#This Row],[Inert / Not a Contaminant?]]="Yes", 0, speciated_chemicals_195[[#This Row],[Weight Percent]]*(unique_components_194[[#Totals],[Controlled
tpy]]+standard_components_193[[#Totals],[Controlled
tpy]]))</f>
        <v>0</v>
      </c>
    </row>
    <row r="154" spans="1:10" x14ac:dyDescent="0.2">
      <c r="A154" s="103"/>
      <c r="B154" s="51" t="str">
        <f>IFERROR(VLOOKUP(speciated_chemicals_195[[#This Row],[CAS '#]],species[],MATCH("Substance", species[#Headers], 0),FALSE),"No CAS Number Entered")</f>
        <v>No CAS Number Entered</v>
      </c>
      <c r="C154" s="102"/>
      <c r="D154" s="102" t="s">
        <v>12666</v>
      </c>
      <c r="E154" s="102" t="s">
        <v>12666</v>
      </c>
      <c r="F154" s="102" t="s">
        <v>12666</v>
      </c>
      <c r="G154" s="102" t="s">
        <v>12666</v>
      </c>
      <c r="H154" s="164"/>
      <c r="I154" s="51">
        <f>IF(speciated_chemicals_195[[#This Row],[Inert / Not a Contaminant?]]="Yes", 0, speciated_chemicals_195[[#This Row],[Weight Percent]]*(unique_components_194[[#Totals],[Controlled lb/hr]]+standard_components_193[[#Totals],[Controlled
lb/hr]]))</f>
        <v>0</v>
      </c>
      <c r="J154" s="51">
        <f>IF(speciated_chemicals_195[[#This Row],[Inert / Not a Contaminant?]]="Yes", 0, speciated_chemicals_195[[#This Row],[Weight Percent]]*(unique_components_194[[#Totals],[Controlled
tpy]]+standard_components_193[[#Totals],[Controlled
tpy]]))</f>
        <v>0</v>
      </c>
    </row>
    <row r="155" spans="1:10" x14ac:dyDescent="0.2">
      <c r="A155" s="103"/>
      <c r="B155" s="51" t="str">
        <f>IFERROR(VLOOKUP(speciated_chemicals_195[[#This Row],[CAS '#]],species[],MATCH("Substance", species[#Headers], 0),FALSE),"No CAS Number Entered")</f>
        <v>No CAS Number Entered</v>
      </c>
      <c r="C155" s="102"/>
      <c r="D155" s="102" t="s">
        <v>12666</v>
      </c>
      <c r="E155" s="102" t="s">
        <v>12666</v>
      </c>
      <c r="F155" s="102" t="s">
        <v>12666</v>
      </c>
      <c r="G155" s="102" t="s">
        <v>12666</v>
      </c>
      <c r="H155" s="164"/>
      <c r="I155" s="51">
        <f>IF(speciated_chemicals_195[[#This Row],[Inert / Not a Contaminant?]]="Yes", 0, speciated_chemicals_195[[#This Row],[Weight Percent]]*(unique_components_194[[#Totals],[Controlled lb/hr]]+standard_components_193[[#Totals],[Controlled
lb/hr]]))</f>
        <v>0</v>
      </c>
      <c r="J155" s="51">
        <f>IF(speciated_chemicals_195[[#This Row],[Inert / Not a Contaminant?]]="Yes", 0, speciated_chemicals_195[[#This Row],[Weight Percent]]*(unique_components_194[[#Totals],[Controlled
tpy]]+standard_components_193[[#Totals],[Controlled
tpy]]))</f>
        <v>0</v>
      </c>
    </row>
    <row r="156" spans="1:10" x14ac:dyDescent="0.2">
      <c r="A156" s="103"/>
      <c r="B156" s="51" t="str">
        <f>IFERROR(VLOOKUP(speciated_chemicals_195[[#This Row],[CAS '#]],species[],MATCH("Substance", species[#Headers], 0),FALSE),"No CAS Number Entered")</f>
        <v>No CAS Number Entered</v>
      </c>
      <c r="C156" s="102"/>
      <c r="D156" s="102" t="s">
        <v>12666</v>
      </c>
      <c r="E156" s="102" t="s">
        <v>12666</v>
      </c>
      <c r="F156" s="102" t="s">
        <v>12666</v>
      </c>
      <c r="G156" s="102" t="s">
        <v>12666</v>
      </c>
      <c r="H156" s="164"/>
      <c r="I156" s="51">
        <f>IF(speciated_chemicals_195[[#This Row],[Inert / Not a Contaminant?]]="Yes", 0, speciated_chemicals_195[[#This Row],[Weight Percent]]*(unique_components_194[[#Totals],[Controlled lb/hr]]+standard_components_193[[#Totals],[Controlled
lb/hr]]))</f>
        <v>0</v>
      </c>
      <c r="J156" s="51">
        <f>IF(speciated_chemicals_195[[#This Row],[Inert / Not a Contaminant?]]="Yes", 0, speciated_chemicals_195[[#This Row],[Weight Percent]]*(unique_components_194[[#Totals],[Controlled
tpy]]+standard_components_193[[#Totals],[Controlled
tpy]]))</f>
        <v>0</v>
      </c>
    </row>
    <row r="157" spans="1:10" x14ac:dyDescent="0.2">
      <c r="A157" s="103"/>
      <c r="B157" s="51" t="str">
        <f>IFERROR(VLOOKUP(speciated_chemicals_195[[#This Row],[CAS '#]],species[],MATCH("Substance", species[#Headers], 0),FALSE),"No CAS Number Entered")</f>
        <v>No CAS Number Entered</v>
      </c>
      <c r="C157" s="102"/>
      <c r="D157" s="102" t="s">
        <v>12666</v>
      </c>
      <c r="E157" s="102" t="s">
        <v>12666</v>
      </c>
      <c r="F157" s="102" t="s">
        <v>12666</v>
      </c>
      <c r="G157" s="102" t="s">
        <v>12666</v>
      </c>
      <c r="H157" s="164"/>
      <c r="I157" s="51">
        <f>IF(speciated_chemicals_195[[#This Row],[Inert / Not a Contaminant?]]="Yes", 0, speciated_chemicals_195[[#This Row],[Weight Percent]]*(unique_components_194[[#Totals],[Controlled lb/hr]]+standard_components_193[[#Totals],[Controlled
lb/hr]]))</f>
        <v>0</v>
      </c>
      <c r="J157" s="51">
        <f>IF(speciated_chemicals_195[[#This Row],[Inert / Not a Contaminant?]]="Yes", 0, speciated_chemicals_195[[#This Row],[Weight Percent]]*(unique_components_194[[#Totals],[Controlled
tpy]]+standard_components_193[[#Totals],[Controlled
tpy]]))</f>
        <v>0</v>
      </c>
    </row>
    <row r="158" spans="1:10" x14ac:dyDescent="0.2">
      <c r="A158" s="103"/>
      <c r="B158" s="51" t="str">
        <f>IFERROR(VLOOKUP(speciated_chemicals_195[[#This Row],[CAS '#]],species[],MATCH("Substance", species[#Headers], 0),FALSE),"No CAS Number Entered")</f>
        <v>No CAS Number Entered</v>
      </c>
      <c r="C158" s="102"/>
      <c r="D158" s="102" t="s">
        <v>12666</v>
      </c>
      <c r="E158" s="102" t="s">
        <v>12666</v>
      </c>
      <c r="F158" s="102" t="s">
        <v>12666</v>
      </c>
      <c r="G158" s="102" t="s">
        <v>12666</v>
      </c>
      <c r="H158" s="164"/>
      <c r="I158" s="51">
        <f>IF(speciated_chemicals_195[[#This Row],[Inert / Not a Contaminant?]]="Yes", 0, speciated_chemicals_195[[#This Row],[Weight Percent]]*(unique_components_194[[#Totals],[Controlled lb/hr]]+standard_components_193[[#Totals],[Controlled
lb/hr]]))</f>
        <v>0</v>
      </c>
      <c r="J158" s="51">
        <f>IF(speciated_chemicals_195[[#This Row],[Inert / Not a Contaminant?]]="Yes", 0, speciated_chemicals_195[[#This Row],[Weight Percent]]*(unique_components_194[[#Totals],[Controlled
tpy]]+standard_components_193[[#Totals],[Controlled
tpy]]))</f>
        <v>0</v>
      </c>
    </row>
    <row r="159" spans="1:10" x14ac:dyDescent="0.2">
      <c r="A159" s="103"/>
      <c r="B159" s="51" t="str">
        <f>IFERROR(VLOOKUP(speciated_chemicals_195[[#This Row],[CAS '#]],species[],MATCH("Substance", species[#Headers], 0),FALSE),"No CAS Number Entered")</f>
        <v>No CAS Number Entered</v>
      </c>
      <c r="C159" s="102"/>
      <c r="D159" s="102" t="s">
        <v>12666</v>
      </c>
      <c r="E159" s="102" t="s">
        <v>12666</v>
      </c>
      <c r="F159" s="102" t="s">
        <v>12666</v>
      </c>
      <c r="G159" s="102" t="s">
        <v>12666</v>
      </c>
      <c r="H159" s="164"/>
      <c r="I159" s="51">
        <f>IF(speciated_chemicals_195[[#This Row],[Inert / Not a Contaminant?]]="Yes", 0, speciated_chemicals_195[[#This Row],[Weight Percent]]*(unique_components_194[[#Totals],[Controlled lb/hr]]+standard_components_193[[#Totals],[Controlled
lb/hr]]))</f>
        <v>0</v>
      </c>
      <c r="J159" s="51">
        <f>IF(speciated_chemicals_195[[#This Row],[Inert / Not a Contaminant?]]="Yes", 0, speciated_chemicals_195[[#This Row],[Weight Percent]]*(unique_components_194[[#Totals],[Controlled
tpy]]+standard_components_193[[#Totals],[Controlled
tpy]]))</f>
        <v>0</v>
      </c>
    </row>
    <row r="160" spans="1:10" x14ac:dyDescent="0.2">
      <c r="A160" s="103"/>
      <c r="B160" s="51" t="str">
        <f>IFERROR(VLOOKUP(speciated_chemicals_195[[#This Row],[CAS '#]],species[],MATCH("Substance", species[#Headers], 0),FALSE),"No CAS Number Entered")</f>
        <v>No CAS Number Entered</v>
      </c>
      <c r="C160" s="102"/>
      <c r="D160" s="102" t="s">
        <v>12666</v>
      </c>
      <c r="E160" s="102" t="s">
        <v>12666</v>
      </c>
      <c r="F160" s="102" t="s">
        <v>12666</v>
      </c>
      <c r="G160" s="102" t="s">
        <v>12666</v>
      </c>
      <c r="H160" s="164"/>
      <c r="I160" s="51">
        <f>IF(speciated_chemicals_195[[#This Row],[Inert / Not a Contaminant?]]="Yes", 0, speciated_chemicals_195[[#This Row],[Weight Percent]]*(unique_components_194[[#Totals],[Controlled lb/hr]]+standard_components_193[[#Totals],[Controlled
lb/hr]]))</f>
        <v>0</v>
      </c>
      <c r="J160" s="51">
        <f>IF(speciated_chemicals_195[[#This Row],[Inert / Not a Contaminant?]]="Yes", 0, speciated_chemicals_195[[#This Row],[Weight Percent]]*(unique_components_194[[#Totals],[Controlled
tpy]]+standard_components_193[[#Totals],[Controlled
tpy]]))</f>
        <v>0</v>
      </c>
    </row>
    <row r="161" spans="1:10" x14ac:dyDescent="0.2">
      <c r="A161" s="103"/>
      <c r="B161" s="51" t="str">
        <f>IFERROR(VLOOKUP(speciated_chemicals_195[[#This Row],[CAS '#]],species[],MATCH("Substance", species[#Headers], 0),FALSE),"No CAS Number Entered")</f>
        <v>No CAS Number Entered</v>
      </c>
      <c r="C161" s="102"/>
      <c r="D161" s="102" t="s">
        <v>12666</v>
      </c>
      <c r="E161" s="102" t="s">
        <v>12666</v>
      </c>
      <c r="F161" s="102" t="s">
        <v>12666</v>
      </c>
      <c r="G161" s="102" t="s">
        <v>12666</v>
      </c>
      <c r="H161" s="164"/>
      <c r="I161" s="51">
        <f>IF(speciated_chemicals_195[[#This Row],[Inert / Not a Contaminant?]]="Yes", 0, speciated_chemicals_195[[#This Row],[Weight Percent]]*(unique_components_194[[#Totals],[Controlled lb/hr]]+standard_components_193[[#Totals],[Controlled
lb/hr]]))</f>
        <v>0</v>
      </c>
      <c r="J161" s="51">
        <f>IF(speciated_chemicals_195[[#This Row],[Inert / Not a Contaminant?]]="Yes", 0, speciated_chemicals_195[[#This Row],[Weight Percent]]*(unique_components_194[[#Totals],[Controlled
tpy]]+standard_components_193[[#Totals],[Controlled
tpy]]))</f>
        <v>0</v>
      </c>
    </row>
    <row r="162" spans="1:10" x14ac:dyDescent="0.2">
      <c r="A162" s="103"/>
      <c r="B162" s="51" t="str">
        <f>IFERROR(VLOOKUP(speciated_chemicals_195[[#This Row],[CAS '#]],species[],MATCH("Substance", species[#Headers], 0),FALSE),"No CAS Number Entered")</f>
        <v>No CAS Number Entered</v>
      </c>
      <c r="C162" s="102"/>
      <c r="D162" s="102" t="s">
        <v>12666</v>
      </c>
      <c r="E162" s="102" t="s">
        <v>12666</v>
      </c>
      <c r="F162" s="102" t="s">
        <v>12666</v>
      </c>
      <c r="G162" s="102" t="s">
        <v>12666</v>
      </c>
      <c r="H162" s="164"/>
      <c r="I162" s="51">
        <f>IF(speciated_chemicals_195[[#This Row],[Inert / Not a Contaminant?]]="Yes", 0, speciated_chemicals_195[[#This Row],[Weight Percent]]*(unique_components_194[[#Totals],[Controlled lb/hr]]+standard_components_193[[#Totals],[Controlled
lb/hr]]))</f>
        <v>0</v>
      </c>
      <c r="J162" s="51">
        <f>IF(speciated_chemicals_195[[#This Row],[Inert / Not a Contaminant?]]="Yes", 0, speciated_chemicals_195[[#This Row],[Weight Percent]]*(unique_components_194[[#Totals],[Controlled
tpy]]+standard_components_193[[#Totals],[Controlled
tpy]]))</f>
        <v>0</v>
      </c>
    </row>
    <row r="163" spans="1:10" x14ac:dyDescent="0.2">
      <c r="A163" s="103"/>
      <c r="B163" s="51" t="str">
        <f>IFERROR(VLOOKUP(speciated_chemicals_195[[#This Row],[CAS '#]],species[],MATCH("Substance", species[#Headers], 0),FALSE),"No CAS Number Entered")</f>
        <v>No CAS Number Entered</v>
      </c>
      <c r="C163" s="102"/>
      <c r="D163" s="102" t="s">
        <v>12666</v>
      </c>
      <c r="E163" s="102" t="s">
        <v>12666</v>
      </c>
      <c r="F163" s="102" t="s">
        <v>12666</v>
      </c>
      <c r="G163" s="102" t="s">
        <v>12666</v>
      </c>
      <c r="H163" s="164"/>
      <c r="I163" s="51">
        <f>IF(speciated_chemicals_195[[#This Row],[Inert / Not a Contaminant?]]="Yes", 0, speciated_chemicals_195[[#This Row],[Weight Percent]]*(unique_components_194[[#Totals],[Controlled lb/hr]]+standard_components_193[[#Totals],[Controlled
lb/hr]]))</f>
        <v>0</v>
      </c>
      <c r="J163" s="51">
        <f>IF(speciated_chemicals_195[[#This Row],[Inert / Not a Contaminant?]]="Yes", 0, speciated_chemicals_195[[#This Row],[Weight Percent]]*(unique_components_194[[#Totals],[Controlled
tpy]]+standard_components_193[[#Totals],[Controlled
tpy]]))</f>
        <v>0</v>
      </c>
    </row>
    <row r="164" spans="1:10" x14ac:dyDescent="0.2">
      <c r="A164" s="103"/>
      <c r="B164" s="51" t="str">
        <f>IFERROR(VLOOKUP(speciated_chemicals_195[[#This Row],[CAS '#]],species[],MATCH("Substance", species[#Headers], 0),FALSE),"No CAS Number Entered")</f>
        <v>No CAS Number Entered</v>
      </c>
      <c r="C164" s="102"/>
      <c r="D164" s="102" t="s">
        <v>12666</v>
      </c>
      <c r="E164" s="102" t="s">
        <v>12666</v>
      </c>
      <c r="F164" s="102" t="s">
        <v>12666</v>
      </c>
      <c r="G164" s="102" t="s">
        <v>12666</v>
      </c>
      <c r="H164" s="164"/>
      <c r="I164" s="51">
        <f>IF(speciated_chemicals_195[[#This Row],[Inert / Not a Contaminant?]]="Yes", 0, speciated_chemicals_195[[#This Row],[Weight Percent]]*(unique_components_194[[#Totals],[Controlled lb/hr]]+standard_components_193[[#Totals],[Controlled
lb/hr]]))</f>
        <v>0</v>
      </c>
      <c r="J164" s="51">
        <f>IF(speciated_chemicals_195[[#This Row],[Inert / Not a Contaminant?]]="Yes", 0, speciated_chemicals_195[[#This Row],[Weight Percent]]*(unique_components_194[[#Totals],[Controlled
tpy]]+standard_components_193[[#Totals],[Controlled
tpy]]))</f>
        <v>0</v>
      </c>
    </row>
    <row r="165" spans="1:10" x14ac:dyDescent="0.2">
      <c r="A165" s="103"/>
      <c r="B165" s="51" t="str">
        <f>IFERROR(VLOOKUP(speciated_chemicals_195[[#This Row],[CAS '#]],species[],MATCH("Substance", species[#Headers], 0),FALSE),"No CAS Number Entered")</f>
        <v>No CAS Number Entered</v>
      </c>
      <c r="C165" s="102"/>
      <c r="D165" s="102" t="s">
        <v>12666</v>
      </c>
      <c r="E165" s="102" t="s">
        <v>12666</v>
      </c>
      <c r="F165" s="102" t="s">
        <v>12666</v>
      </c>
      <c r="G165" s="102" t="s">
        <v>12666</v>
      </c>
      <c r="H165" s="164"/>
      <c r="I165" s="51">
        <f>IF(speciated_chemicals_195[[#This Row],[Inert / Not a Contaminant?]]="Yes", 0, speciated_chemicals_195[[#This Row],[Weight Percent]]*(unique_components_194[[#Totals],[Controlled lb/hr]]+standard_components_193[[#Totals],[Controlled
lb/hr]]))</f>
        <v>0</v>
      </c>
      <c r="J165" s="51">
        <f>IF(speciated_chemicals_195[[#This Row],[Inert / Not a Contaminant?]]="Yes", 0, speciated_chemicals_195[[#This Row],[Weight Percent]]*(unique_components_194[[#Totals],[Controlled
tpy]]+standard_components_193[[#Totals],[Controlled
tpy]]))</f>
        <v>0</v>
      </c>
    </row>
    <row r="166" spans="1:10" x14ac:dyDescent="0.2">
      <c r="A166" s="103"/>
      <c r="B166" s="51" t="str">
        <f>IFERROR(VLOOKUP(speciated_chemicals_195[[#This Row],[CAS '#]],species[],MATCH("Substance", species[#Headers], 0),FALSE),"No CAS Number Entered")</f>
        <v>No CAS Number Entered</v>
      </c>
      <c r="C166" s="102"/>
      <c r="D166" s="102" t="s">
        <v>12666</v>
      </c>
      <c r="E166" s="102" t="s">
        <v>12666</v>
      </c>
      <c r="F166" s="102" t="s">
        <v>12666</v>
      </c>
      <c r="G166" s="102" t="s">
        <v>12666</v>
      </c>
      <c r="H166" s="164"/>
      <c r="I166" s="51">
        <f>IF(speciated_chemicals_195[[#This Row],[Inert / Not a Contaminant?]]="Yes", 0, speciated_chemicals_195[[#This Row],[Weight Percent]]*(unique_components_194[[#Totals],[Controlled lb/hr]]+standard_components_193[[#Totals],[Controlled
lb/hr]]))</f>
        <v>0</v>
      </c>
      <c r="J166" s="51">
        <f>IF(speciated_chemicals_195[[#This Row],[Inert / Not a Contaminant?]]="Yes", 0, speciated_chemicals_195[[#This Row],[Weight Percent]]*(unique_components_194[[#Totals],[Controlled
tpy]]+standard_components_193[[#Totals],[Controlled
tpy]]))</f>
        <v>0</v>
      </c>
    </row>
    <row r="167" spans="1:10" x14ac:dyDescent="0.2">
      <c r="A167" s="103"/>
      <c r="B167" s="51" t="str">
        <f>IFERROR(VLOOKUP(speciated_chemicals_195[[#This Row],[CAS '#]],species[],MATCH("Substance", species[#Headers], 0),FALSE),"No CAS Number Entered")</f>
        <v>No CAS Number Entered</v>
      </c>
      <c r="C167" s="102"/>
      <c r="D167" s="102" t="s">
        <v>12666</v>
      </c>
      <c r="E167" s="102" t="s">
        <v>12666</v>
      </c>
      <c r="F167" s="102" t="s">
        <v>12666</v>
      </c>
      <c r="G167" s="102" t="s">
        <v>12666</v>
      </c>
      <c r="H167" s="164"/>
      <c r="I167" s="51">
        <f>IF(speciated_chemicals_195[[#This Row],[Inert / Not a Contaminant?]]="Yes", 0, speciated_chemicals_195[[#This Row],[Weight Percent]]*(unique_components_194[[#Totals],[Controlled lb/hr]]+standard_components_193[[#Totals],[Controlled
lb/hr]]))</f>
        <v>0</v>
      </c>
      <c r="J167" s="51">
        <f>IF(speciated_chemicals_195[[#This Row],[Inert / Not a Contaminant?]]="Yes", 0, speciated_chemicals_195[[#This Row],[Weight Percent]]*(unique_components_194[[#Totals],[Controlled
tpy]]+standard_components_193[[#Totals],[Controlled
tpy]]))</f>
        <v>0</v>
      </c>
    </row>
    <row r="168" spans="1:10" x14ac:dyDescent="0.2">
      <c r="A168" s="103"/>
      <c r="B168" s="51" t="str">
        <f>IFERROR(VLOOKUP(speciated_chemicals_195[[#This Row],[CAS '#]],species[],MATCH("Substance", species[#Headers], 0),FALSE),"No CAS Number Entered")</f>
        <v>No CAS Number Entered</v>
      </c>
      <c r="C168" s="102"/>
      <c r="D168" s="102" t="s">
        <v>12666</v>
      </c>
      <c r="E168" s="102" t="s">
        <v>12666</v>
      </c>
      <c r="F168" s="102" t="s">
        <v>12666</v>
      </c>
      <c r="G168" s="102" t="s">
        <v>12666</v>
      </c>
      <c r="H168" s="164"/>
      <c r="I168" s="51">
        <f>IF(speciated_chemicals_195[[#This Row],[Inert / Not a Contaminant?]]="Yes", 0, speciated_chemicals_195[[#This Row],[Weight Percent]]*(unique_components_194[[#Totals],[Controlled lb/hr]]+standard_components_193[[#Totals],[Controlled
lb/hr]]))</f>
        <v>0</v>
      </c>
      <c r="J168" s="51">
        <f>IF(speciated_chemicals_195[[#This Row],[Inert / Not a Contaminant?]]="Yes", 0, speciated_chemicals_195[[#This Row],[Weight Percent]]*(unique_components_194[[#Totals],[Controlled
tpy]]+standard_components_193[[#Totals],[Controlled
tpy]]))</f>
        <v>0</v>
      </c>
    </row>
    <row r="169" spans="1:10" x14ac:dyDescent="0.2">
      <c r="A169" s="103"/>
      <c r="B169" s="51" t="str">
        <f>IFERROR(VLOOKUP(speciated_chemicals_195[[#This Row],[CAS '#]],species[],MATCH("Substance", species[#Headers], 0),FALSE),"No CAS Number Entered")</f>
        <v>No CAS Number Entered</v>
      </c>
      <c r="C169" s="102"/>
      <c r="D169" s="102" t="s">
        <v>12666</v>
      </c>
      <c r="E169" s="102" t="s">
        <v>12666</v>
      </c>
      <c r="F169" s="102" t="s">
        <v>12666</v>
      </c>
      <c r="G169" s="102" t="s">
        <v>12666</v>
      </c>
      <c r="H169" s="164"/>
      <c r="I169" s="51">
        <f>IF(speciated_chemicals_195[[#This Row],[Inert / Not a Contaminant?]]="Yes", 0, speciated_chemicals_195[[#This Row],[Weight Percent]]*(unique_components_194[[#Totals],[Controlled lb/hr]]+standard_components_193[[#Totals],[Controlled
lb/hr]]))</f>
        <v>0</v>
      </c>
      <c r="J169" s="51">
        <f>IF(speciated_chemicals_195[[#This Row],[Inert / Not a Contaminant?]]="Yes", 0, speciated_chemicals_195[[#This Row],[Weight Percent]]*(unique_components_194[[#Totals],[Controlled
tpy]]+standard_components_193[[#Totals],[Controlled
tpy]]))</f>
        <v>0</v>
      </c>
    </row>
    <row r="170" spans="1:10" x14ac:dyDescent="0.2">
      <c r="A170" s="103"/>
      <c r="B170" s="51" t="str">
        <f>IFERROR(VLOOKUP(speciated_chemicals_195[[#This Row],[CAS '#]],species[],MATCH("Substance", species[#Headers], 0),FALSE),"No CAS Number Entered")</f>
        <v>No CAS Number Entered</v>
      </c>
      <c r="C170" s="102"/>
      <c r="D170" s="102" t="s">
        <v>12666</v>
      </c>
      <c r="E170" s="102" t="s">
        <v>12666</v>
      </c>
      <c r="F170" s="102" t="s">
        <v>12666</v>
      </c>
      <c r="G170" s="102" t="s">
        <v>12666</v>
      </c>
      <c r="H170" s="164"/>
      <c r="I170" s="51">
        <f>IF(speciated_chemicals_195[[#This Row],[Inert / Not a Contaminant?]]="Yes", 0, speciated_chemicals_195[[#This Row],[Weight Percent]]*(unique_components_194[[#Totals],[Controlled lb/hr]]+standard_components_193[[#Totals],[Controlled
lb/hr]]))</f>
        <v>0</v>
      </c>
      <c r="J170" s="51">
        <f>IF(speciated_chemicals_195[[#This Row],[Inert / Not a Contaminant?]]="Yes", 0, speciated_chemicals_195[[#This Row],[Weight Percent]]*(unique_components_194[[#Totals],[Controlled
tpy]]+standard_components_193[[#Totals],[Controlled
tpy]]))</f>
        <v>0</v>
      </c>
    </row>
    <row r="171" spans="1:10" x14ac:dyDescent="0.2">
      <c r="A171" s="103"/>
      <c r="B171" s="51" t="str">
        <f>IFERROR(VLOOKUP(speciated_chemicals_195[[#This Row],[CAS '#]],species[],MATCH("Substance", species[#Headers], 0),FALSE),"No CAS Number Entered")</f>
        <v>No CAS Number Entered</v>
      </c>
      <c r="C171" s="102"/>
      <c r="D171" s="102" t="s">
        <v>12666</v>
      </c>
      <c r="E171" s="102" t="s">
        <v>12666</v>
      </c>
      <c r="F171" s="102" t="s">
        <v>12666</v>
      </c>
      <c r="G171" s="102" t="s">
        <v>12666</v>
      </c>
      <c r="H171" s="164"/>
      <c r="I171" s="51">
        <f>IF(speciated_chemicals_195[[#This Row],[Inert / Not a Contaminant?]]="Yes", 0, speciated_chemicals_195[[#This Row],[Weight Percent]]*(unique_components_194[[#Totals],[Controlled lb/hr]]+standard_components_193[[#Totals],[Controlled
lb/hr]]))</f>
        <v>0</v>
      </c>
      <c r="J171" s="51">
        <f>IF(speciated_chemicals_195[[#This Row],[Inert / Not a Contaminant?]]="Yes", 0, speciated_chemicals_195[[#This Row],[Weight Percent]]*(unique_components_194[[#Totals],[Controlled
tpy]]+standard_components_193[[#Totals],[Controlled
tpy]]))</f>
        <v>0</v>
      </c>
    </row>
    <row r="172" spans="1:10" x14ac:dyDescent="0.2">
      <c r="A172" s="103"/>
      <c r="B172" s="51" t="str">
        <f>IFERROR(VLOOKUP(speciated_chemicals_195[[#This Row],[CAS '#]],species[],MATCH("Substance", species[#Headers], 0),FALSE),"No CAS Number Entered")</f>
        <v>No CAS Number Entered</v>
      </c>
      <c r="C172" s="102"/>
      <c r="D172" s="102" t="s">
        <v>12666</v>
      </c>
      <c r="E172" s="102" t="s">
        <v>12666</v>
      </c>
      <c r="F172" s="102" t="s">
        <v>12666</v>
      </c>
      <c r="G172" s="102" t="s">
        <v>12666</v>
      </c>
      <c r="H172" s="164"/>
      <c r="I172" s="51">
        <f>IF(speciated_chemicals_195[[#This Row],[Inert / Not a Contaminant?]]="Yes", 0, speciated_chemicals_195[[#This Row],[Weight Percent]]*(unique_components_194[[#Totals],[Controlled lb/hr]]+standard_components_193[[#Totals],[Controlled
lb/hr]]))</f>
        <v>0</v>
      </c>
      <c r="J172" s="51">
        <f>IF(speciated_chemicals_195[[#This Row],[Inert / Not a Contaminant?]]="Yes", 0, speciated_chemicals_195[[#This Row],[Weight Percent]]*(unique_components_194[[#Totals],[Controlled
tpy]]+standard_components_193[[#Totals],[Controlled
tpy]]))</f>
        <v>0</v>
      </c>
    </row>
    <row r="173" spans="1:10" x14ac:dyDescent="0.2">
      <c r="A173" s="103"/>
      <c r="B173" s="51" t="str">
        <f>IFERROR(VLOOKUP(speciated_chemicals_195[[#This Row],[CAS '#]],species[],MATCH("Substance", species[#Headers], 0),FALSE),"No CAS Number Entered")</f>
        <v>No CAS Number Entered</v>
      </c>
      <c r="C173" s="102"/>
      <c r="D173" s="102" t="s">
        <v>12666</v>
      </c>
      <c r="E173" s="102" t="s">
        <v>12666</v>
      </c>
      <c r="F173" s="102" t="s">
        <v>12666</v>
      </c>
      <c r="G173" s="102" t="s">
        <v>12666</v>
      </c>
      <c r="H173" s="164"/>
      <c r="I173" s="51">
        <f>IF(speciated_chemicals_195[[#This Row],[Inert / Not a Contaminant?]]="Yes", 0, speciated_chemicals_195[[#This Row],[Weight Percent]]*(unique_components_194[[#Totals],[Controlled lb/hr]]+standard_components_193[[#Totals],[Controlled
lb/hr]]))</f>
        <v>0</v>
      </c>
      <c r="J173" s="51">
        <f>IF(speciated_chemicals_195[[#This Row],[Inert / Not a Contaminant?]]="Yes", 0, speciated_chemicals_195[[#This Row],[Weight Percent]]*(unique_components_194[[#Totals],[Controlled
tpy]]+standard_components_193[[#Totals],[Controlled
tpy]]))</f>
        <v>0</v>
      </c>
    </row>
    <row r="174" spans="1:10" x14ac:dyDescent="0.2">
      <c r="A174" s="103"/>
      <c r="B174" s="51" t="str">
        <f>IFERROR(VLOOKUP(speciated_chemicals_195[[#This Row],[CAS '#]],species[],MATCH("Substance", species[#Headers], 0),FALSE),"No CAS Number Entered")</f>
        <v>No CAS Number Entered</v>
      </c>
      <c r="C174" s="102"/>
      <c r="D174" s="102" t="s">
        <v>12666</v>
      </c>
      <c r="E174" s="102" t="s">
        <v>12666</v>
      </c>
      <c r="F174" s="102" t="s">
        <v>12666</v>
      </c>
      <c r="G174" s="102" t="s">
        <v>12666</v>
      </c>
      <c r="H174" s="164"/>
      <c r="I174" s="51">
        <f>IF(speciated_chemicals_195[[#This Row],[Inert / Not a Contaminant?]]="Yes", 0, speciated_chemicals_195[[#This Row],[Weight Percent]]*(unique_components_194[[#Totals],[Controlled lb/hr]]+standard_components_193[[#Totals],[Controlled
lb/hr]]))</f>
        <v>0</v>
      </c>
      <c r="J174" s="51">
        <f>IF(speciated_chemicals_195[[#This Row],[Inert / Not a Contaminant?]]="Yes", 0, speciated_chemicals_195[[#This Row],[Weight Percent]]*(unique_components_194[[#Totals],[Controlled
tpy]]+standard_components_193[[#Totals],[Controlled
tpy]]))</f>
        <v>0</v>
      </c>
    </row>
    <row r="175" spans="1:10" x14ac:dyDescent="0.2">
      <c r="A175" s="103"/>
      <c r="B175" s="51" t="str">
        <f>IFERROR(VLOOKUP(speciated_chemicals_195[[#This Row],[CAS '#]],species[],MATCH("Substance", species[#Headers], 0),FALSE),"No CAS Number Entered")</f>
        <v>No CAS Number Entered</v>
      </c>
      <c r="C175" s="102"/>
      <c r="D175" s="102" t="s">
        <v>12666</v>
      </c>
      <c r="E175" s="102" t="s">
        <v>12666</v>
      </c>
      <c r="F175" s="102" t="s">
        <v>12666</v>
      </c>
      <c r="G175" s="102" t="s">
        <v>12666</v>
      </c>
      <c r="H175" s="164"/>
      <c r="I175" s="51">
        <f>IF(speciated_chemicals_195[[#This Row],[Inert / Not a Contaminant?]]="Yes", 0, speciated_chemicals_195[[#This Row],[Weight Percent]]*(unique_components_194[[#Totals],[Controlled lb/hr]]+standard_components_193[[#Totals],[Controlled
lb/hr]]))</f>
        <v>0</v>
      </c>
      <c r="J175" s="51">
        <f>IF(speciated_chemicals_195[[#This Row],[Inert / Not a Contaminant?]]="Yes", 0, speciated_chemicals_195[[#This Row],[Weight Percent]]*(unique_components_194[[#Totals],[Controlled
tpy]]+standard_components_193[[#Totals],[Controlled
tpy]]))</f>
        <v>0</v>
      </c>
    </row>
    <row r="176" spans="1:10" x14ac:dyDescent="0.2">
      <c r="A176" s="165"/>
      <c r="B176" s="51" t="str">
        <f>IFERROR(VLOOKUP(speciated_chemicals_195[[#This Row],[CAS '#]],species[],MATCH("Substance", species[#Headers], 0),FALSE),"No CAS Number Entered")</f>
        <v>No CAS Number Entered</v>
      </c>
      <c r="C176" s="102"/>
      <c r="D176" s="102" t="s">
        <v>12666</v>
      </c>
      <c r="E176" s="102" t="s">
        <v>12666</v>
      </c>
      <c r="F176" s="102" t="s">
        <v>12666</v>
      </c>
      <c r="G176" s="102" t="s">
        <v>12666</v>
      </c>
      <c r="H176" s="164"/>
      <c r="I176" s="51">
        <f>IF(speciated_chemicals_195[[#This Row],[Inert / Not a Contaminant?]]="Yes", 0, speciated_chemicals_195[[#This Row],[Weight Percent]]*(unique_components_194[[#Totals],[Controlled lb/hr]]+standard_components_193[[#Totals],[Controlled
lb/hr]]))</f>
        <v>0</v>
      </c>
      <c r="J176" s="51">
        <f>IF(speciated_chemicals_195[[#This Row],[Inert / Not a Contaminant?]]="Yes", 0, speciated_chemicals_195[[#This Row],[Weight Percent]]*(unique_components_194[[#Totals],[Controlled
tpy]]+standard_components_193[[#Totals],[Controlled
tpy]]))</f>
        <v>0</v>
      </c>
    </row>
    <row r="177" spans="1:10" x14ac:dyDescent="0.2">
      <c r="A177" s="103"/>
      <c r="B177" s="51" t="str">
        <f>IFERROR(VLOOKUP(speciated_chemicals_195[[#This Row],[CAS '#]],species[],MATCH("Substance", species[#Headers], 0),FALSE),"No CAS Number Entered")</f>
        <v>No CAS Number Entered</v>
      </c>
      <c r="C177" s="102"/>
      <c r="D177" s="102" t="s">
        <v>12666</v>
      </c>
      <c r="E177" s="102" t="s">
        <v>12666</v>
      </c>
      <c r="F177" s="102" t="s">
        <v>12666</v>
      </c>
      <c r="G177" s="102" t="s">
        <v>12666</v>
      </c>
      <c r="H177" s="164"/>
      <c r="I177" s="51">
        <f>IF(speciated_chemicals_195[[#This Row],[Inert / Not a Contaminant?]]="Yes", 0, speciated_chemicals_195[[#This Row],[Weight Percent]]*(unique_components_194[[#Totals],[Controlled lb/hr]]+standard_components_193[[#Totals],[Controlled
lb/hr]]))</f>
        <v>0</v>
      </c>
      <c r="J177" s="51">
        <f>IF(speciated_chemicals_195[[#This Row],[Inert / Not a Contaminant?]]="Yes", 0, speciated_chemicals_195[[#This Row],[Weight Percent]]*(unique_components_194[[#Totals],[Controlled
tpy]]+standard_components_193[[#Totals],[Controlled
tpy]]))</f>
        <v>0</v>
      </c>
    </row>
    <row r="178" spans="1:10" x14ac:dyDescent="0.2">
      <c r="A178" s="103"/>
      <c r="B178" s="51" t="str">
        <f>IFERROR(VLOOKUP(speciated_chemicals_195[[#This Row],[CAS '#]],species[],MATCH("Substance", species[#Headers], 0),FALSE),"No CAS Number Entered")</f>
        <v>No CAS Number Entered</v>
      </c>
      <c r="C178" s="102"/>
      <c r="D178" s="102" t="s">
        <v>12666</v>
      </c>
      <c r="E178" s="102" t="s">
        <v>12666</v>
      </c>
      <c r="F178" s="102" t="s">
        <v>12666</v>
      </c>
      <c r="G178" s="102" t="s">
        <v>12666</v>
      </c>
      <c r="H178" s="164"/>
      <c r="I178" s="51">
        <f>IF(speciated_chemicals_195[[#This Row],[Inert / Not a Contaminant?]]="Yes", 0, speciated_chemicals_195[[#This Row],[Weight Percent]]*(unique_components_194[[#Totals],[Controlled lb/hr]]+standard_components_193[[#Totals],[Controlled
lb/hr]]))</f>
        <v>0</v>
      </c>
      <c r="J178" s="51">
        <f>IF(speciated_chemicals_195[[#This Row],[Inert / Not a Contaminant?]]="Yes", 0, speciated_chemicals_195[[#This Row],[Weight Percent]]*(unique_components_194[[#Totals],[Controlled
tpy]]+standard_components_193[[#Totals],[Controlled
tpy]]))</f>
        <v>0</v>
      </c>
    </row>
    <row r="179" spans="1:10" x14ac:dyDescent="0.2">
      <c r="A179" s="103"/>
      <c r="B179" s="51" t="str">
        <f>IFERROR(VLOOKUP(speciated_chemicals_195[[#This Row],[CAS '#]],species[],MATCH("Substance", species[#Headers], 0),FALSE),"No CAS Number Entered")</f>
        <v>No CAS Number Entered</v>
      </c>
      <c r="C179" s="102"/>
      <c r="D179" s="102" t="s">
        <v>12666</v>
      </c>
      <c r="E179" s="102" t="s">
        <v>12666</v>
      </c>
      <c r="F179" s="102" t="s">
        <v>12666</v>
      </c>
      <c r="G179" s="102" t="s">
        <v>12666</v>
      </c>
      <c r="H179" s="164"/>
      <c r="I179" s="51">
        <f>IF(speciated_chemicals_195[[#This Row],[Inert / Not a Contaminant?]]="Yes", 0, speciated_chemicals_195[[#This Row],[Weight Percent]]*(unique_components_194[[#Totals],[Controlled lb/hr]]+standard_components_193[[#Totals],[Controlled
lb/hr]]))</f>
        <v>0</v>
      </c>
      <c r="J179" s="51">
        <f>IF(speciated_chemicals_195[[#This Row],[Inert / Not a Contaminant?]]="Yes", 0, speciated_chemicals_195[[#This Row],[Weight Percent]]*(unique_components_194[[#Totals],[Controlled
tpy]]+standard_components_193[[#Totals],[Controlled
tpy]]))</f>
        <v>0</v>
      </c>
    </row>
    <row r="180" spans="1:10" x14ac:dyDescent="0.2">
      <c r="A180" s="103"/>
      <c r="B180" s="51" t="str">
        <f>IFERROR(VLOOKUP(speciated_chemicals_195[[#This Row],[CAS '#]],species[],MATCH("Substance", species[#Headers], 0),FALSE),"No CAS Number Entered")</f>
        <v>No CAS Number Entered</v>
      </c>
      <c r="C180" s="102"/>
      <c r="D180" s="102" t="s">
        <v>12666</v>
      </c>
      <c r="E180" s="102" t="s">
        <v>12666</v>
      </c>
      <c r="F180" s="102" t="s">
        <v>12666</v>
      </c>
      <c r="G180" s="102" t="s">
        <v>12666</v>
      </c>
      <c r="H180" s="164"/>
      <c r="I180" s="51">
        <f>IF(speciated_chemicals_195[[#This Row],[Inert / Not a Contaminant?]]="Yes", 0, speciated_chemicals_195[[#This Row],[Weight Percent]]*(unique_components_194[[#Totals],[Controlled lb/hr]]+standard_components_193[[#Totals],[Controlled
lb/hr]]))</f>
        <v>0</v>
      </c>
      <c r="J180" s="51">
        <f>IF(speciated_chemicals_195[[#This Row],[Inert / Not a Contaminant?]]="Yes", 0, speciated_chemicals_195[[#This Row],[Weight Percent]]*(unique_components_194[[#Totals],[Controlled
tpy]]+standard_components_193[[#Totals],[Controlled
tpy]]))</f>
        <v>0</v>
      </c>
    </row>
    <row r="181" spans="1:10" ht="30" x14ac:dyDescent="0.2">
      <c r="A181" s="184" t="s">
        <v>12705</v>
      </c>
      <c r="B181" s="52"/>
      <c r="C181" s="53"/>
      <c r="D181" s="52"/>
      <c r="E181" s="52"/>
      <c r="F181" s="52"/>
      <c r="G181" s="52"/>
      <c r="H181" s="166">
        <f>SUBTOTAL(109,speciated_chemicals_195[Weight Percent])</f>
        <v>0</v>
      </c>
      <c r="I181" s="167">
        <f>SUBTOTAL(109,speciated_chemicals_195[lb/hr])</f>
        <v>0</v>
      </c>
      <c r="J181" s="167">
        <f>SUBTOTAL(109,speciated_chemicals_195[tpy])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MATCH(speciated_ghg_196[[#This Row],[CAS '#]], gwp_table[CAS No.], 0), MATCH("Name", gwp_table[#Headers], 0)),"No CAS Number Entered")</f>
        <v>No CAS Number Entered</v>
      </c>
      <c r="C185" s="79" t="str">
        <f>IFERROR(INDEX(gwp_table[], MATCH(speciated_ghg_196[[#This Row],[CAS '#]], gwp_table[CAS No.], 0), MATCH("Global warming potential", gwp_table[#Headers], 0)),"No CAS Number Entered")</f>
        <v>No CAS Number Entered</v>
      </c>
      <c r="D185" s="219"/>
      <c r="E185" s="79">
        <f>IFERROR(speciated_ghg_196[[#This Row],[Weight Percent]]*(unique_components_194[[#Totals],[Controlled
tpy]]+standard_components_193[[#Totals],[Controlled
tpy]]), "-")</f>
        <v>0</v>
      </c>
      <c r="F185" s="81" t="str">
        <f>IFERROR(speciated_ghg_196[[#This Row],[Mass Emissions (U.S. tons per year)]]*speciated_ghg_196[[#This Row],[Global Warming Potential (GWP)]], "-")</f>
        <v>-</v>
      </c>
      <c r="G185" s="30"/>
      <c r="H185" s="168"/>
      <c r="I185" s="168"/>
    </row>
    <row r="186" spans="1:10" x14ac:dyDescent="0.2">
      <c r="A186" s="210"/>
      <c r="B186" s="79" t="str">
        <f>IFERROR(INDEX(gwp_table[], MATCH(speciated_ghg_196[[#This Row],[CAS '#]], gwp_table[CAS No.], 0), MATCH("Name", gwp_table[#Headers], 0)),"No CAS Number Entered")</f>
        <v>No CAS Number Entered</v>
      </c>
      <c r="C186" s="79" t="str">
        <f>IFERROR(INDEX(gwp_table[], MATCH(speciated_ghg_196[[#This Row],[CAS '#]], gwp_table[CAS No.], 0), MATCH("Global warming potential", gwp_table[#Headers], 0)),"No CAS Number Entered")</f>
        <v>No CAS Number Entered</v>
      </c>
      <c r="D186" s="219"/>
      <c r="E186" s="79">
        <f>IFERROR(speciated_ghg_196[[#This Row],[Weight Percent]]*(unique_components_194[[#Totals],[Controlled
tpy]]+standard_components_193[[#Totals],[Controlled
tpy]]), "-")</f>
        <v>0</v>
      </c>
      <c r="F186" s="81" t="str">
        <f>IFERROR(speciated_ghg_196[[#This Row],[Mass Emissions (U.S. tons per year)]]*speciated_ghg_196[[#This Row],[Global Warming Potential (GWP)]], "-")</f>
        <v>-</v>
      </c>
      <c r="G186" s="30"/>
      <c r="H186" s="168"/>
      <c r="I186" s="168"/>
    </row>
    <row r="187" spans="1:10" x14ac:dyDescent="0.2">
      <c r="A187" s="210"/>
      <c r="B187" s="79" t="str">
        <f>IFERROR(INDEX(gwp_table[], MATCH(speciated_ghg_196[[#This Row],[CAS '#]], gwp_table[CAS No.], 0), MATCH("Name", gwp_table[#Headers], 0)),"No CAS Number Entered")</f>
        <v>No CAS Number Entered</v>
      </c>
      <c r="C187" s="79" t="str">
        <f>IFERROR(INDEX(gwp_table[], MATCH(speciated_ghg_196[[#This Row],[CAS '#]], gwp_table[CAS No.], 0), MATCH("Global warming potential", gwp_table[#Headers], 0)),"No CAS Number Entered")</f>
        <v>No CAS Number Entered</v>
      </c>
      <c r="D187" s="219"/>
      <c r="E187" s="79">
        <f>IFERROR(speciated_ghg_196[[#This Row],[Weight Percent]]*(unique_components_194[[#Totals],[Controlled
tpy]]+standard_components_193[[#Totals],[Controlled
tpy]]), "-")</f>
        <v>0</v>
      </c>
      <c r="F187" s="81" t="str">
        <f>IFERROR(speciated_ghg_196[[#This Row],[Mass Emissions (U.S. tons per year)]]*speciated_ghg_196[[#This Row],[Global Warming Potential (GWP)]], "-")</f>
        <v>-</v>
      </c>
      <c r="G187" s="30"/>
      <c r="H187" s="168"/>
      <c r="I187" s="168"/>
    </row>
    <row r="188" spans="1:10" x14ac:dyDescent="0.2">
      <c r="A188" s="210"/>
      <c r="B188" s="79" t="str">
        <f>IFERROR(INDEX(gwp_table[], MATCH(speciated_ghg_196[[#This Row],[CAS '#]], gwp_table[CAS No.], 0), MATCH("Name", gwp_table[#Headers], 0)),"No CAS Number Entered")</f>
        <v>No CAS Number Entered</v>
      </c>
      <c r="C188" s="79" t="str">
        <f>IFERROR(INDEX(gwp_table[], MATCH(speciated_ghg_196[[#This Row],[CAS '#]], gwp_table[CAS No.], 0), MATCH("Global warming potential", gwp_table[#Headers], 0)),"No CAS Number Entered")</f>
        <v>No CAS Number Entered</v>
      </c>
      <c r="D188" s="219"/>
      <c r="E188" s="79">
        <f>IFERROR(speciated_ghg_196[[#This Row],[Weight Percent]]*(unique_components_194[[#Totals],[Controlled
tpy]]+standard_components_193[[#Totals],[Controlled
tpy]]), "-")</f>
        <v>0</v>
      </c>
      <c r="F188" s="81" t="str">
        <f>IFERROR(speciated_ghg_196[[#This Row],[Mass Emissions (U.S. tons per year)]]*speciated_ghg_196[[#This Row],[Global Warming Potential (GWP)]], "-")</f>
        <v>-</v>
      </c>
      <c r="G188" s="30"/>
      <c r="H188" s="168"/>
      <c r="I188" s="168"/>
    </row>
    <row r="189" spans="1:10" x14ac:dyDescent="0.2">
      <c r="A189" s="210"/>
      <c r="B189" s="79" t="str">
        <f>IFERROR(INDEX(gwp_table[], MATCH(speciated_ghg_196[[#This Row],[CAS '#]], gwp_table[CAS No.], 0), MATCH("Name", gwp_table[#Headers], 0)),"No CAS Number Entered")</f>
        <v>No CAS Number Entered</v>
      </c>
      <c r="C189" s="79" t="str">
        <f>IFERROR(INDEX(gwp_table[], MATCH(speciated_ghg_196[[#This Row],[CAS '#]], gwp_table[CAS No.], 0), MATCH("Global warming potential", gwp_table[#Headers], 0)),"No CAS Number Entered")</f>
        <v>No CAS Number Entered</v>
      </c>
      <c r="D189" s="219"/>
      <c r="E189" s="79">
        <f>IFERROR(speciated_ghg_196[[#This Row],[Weight Percent]]*(unique_components_194[[#Totals],[Controlled
tpy]]+standard_components_193[[#Totals],[Controlled
tpy]]), "-")</f>
        <v>0</v>
      </c>
      <c r="F189" s="81" t="str">
        <f>IFERROR(speciated_ghg_196[[#This Row],[Mass Emissions (U.S. tons per year)]]*speciated_ghg_196[[#This Row],[Global Warming Potential (GWP)]], "-")</f>
        <v>-</v>
      </c>
      <c r="G189" s="30"/>
      <c r="H189" s="168"/>
      <c r="I189" s="168"/>
    </row>
    <row r="190" spans="1:10" x14ac:dyDescent="0.2">
      <c r="A190" s="210"/>
      <c r="B190" s="79" t="str">
        <f>IFERROR(INDEX(gwp_table[], MATCH(speciated_ghg_196[[#This Row],[CAS '#]], gwp_table[CAS No.], 0), MATCH("Name", gwp_table[#Headers], 0)),"No CAS Number Entered")</f>
        <v>No CAS Number Entered</v>
      </c>
      <c r="C190" s="79" t="str">
        <f>IFERROR(INDEX(gwp_table[], MATCH(speciated_ghg_196[[#This Row],[CAS '#]], gwp_table[CAS No.], 0), MATCH("Global warming potential", gwp_table[#Headers], 0)),"No CAS Number Entered")</f>
        <v>No CAS Number Entered</v>
      </c>
      <c r="D190" s="219"/>
      <c r="E190" s="79">
        <f>IFERROR(speciated_ghg_196[[#This Row],[Weight Percent]]*(unique_components_194[[#Totals],[Controlled
tpy]]+standard_components_193[[#Totals],[Controlled
tpy]]), "-")</f>
        <v>0</v>
      </c>
      <c r="F190" s="81" t="str">
        <f>IFERROR(speciated_ghg_196[[#This Row],[Mass Emissions (U.S. tons per year)]]*speciated_ghg_196[[#This Row],[Global Warming Potential (GWP)]], "-")</f>
        <v>-</v>
      </c>
      <c r="G190" s="30"/>
      <c r="H190" s="168"/>
      <c r="I190" s="168"/>
    </row>
    <row r="191" spans="1:10" x14ac:dyDescent="0.2">
      <c r="A191" s="210"/>
      <c r="B191" s="79" t="str">
        <f>IFERROR(INDEX(gwp_table[], MATCH(speciated_ghg_196[[#This Row],[CAS '#]], gwp_table[CAS No.], 0), MATCH("Name", gwp_table[#Headers], 0)),"No CAS Number Entered")</f>
        <v>No CAS Number Entered</v>
      </c>
      <c r="C191" s="79" t="str">
        <f>IFERROR(INDEX(gwp_table[], MATCH(speciated_ghg_196[[#This Row],[CAS '#]], gwp_table[CAS No.], 0), MATCH("Global warming potential", gwp_table[#Headers], 0)),"No CAS Number Entered")</f>
        <v>No CAS Number Entered</v>
      </c>
      <c r="D191" s="219"/>
      <c r="E191" s="79">
        <f>IFERROR(speciated_ghg_196[[#This Row],[Weight Percent]]*(unique_components_194[[#Totals],[Controlled
tpy]]+standard_components_193[[#Totals],[Controlled
tpy]]), "-")</f>
        <v>0</v>
      </c>
      <c r="F191" s="81" t="str">
        <f>IFERROR(speciated_ghg_196[[#This Row],[Mass Emissions (U.S. tons per year)]]*speciated_ghg_196[[#This Row],[Global Warming Potential (GWP)]], "-")</f>
        <v>-</v>
      </c>
      <c r="G191" s="17"/>
    </row>
    <row r="192" spans="1:10" ht="15" x14ac:dyDescent="0.25">
      <c r="A192" s="210"/>
      <c r="B192" s="79" t="str">
        <f>IFERROR(INDEX(gwp_table[], MATCH(speciated_ghg_196[[#This Row],[CAS '#]], gwp_table[CAS No.], 0), MATCH("Name", gwp_table[#Headers], 0)),"No CAS Number Entered")</f>
        <v>No CAS Number Entered</v>
      </c>
      <c r="C192" s="79" t="str">
        <f>IFERROR(INDEX(gwp_table[], MATCH(speciated_ghg_196[[#This Row],[CAS '#]], gwp_table[CAS No.], 0), MATCH("Global warming potential", gwp_table[#Headers], 0)),"No CAS Number Entered")</f>
        <v>No CAS Number Entered</v>
      </c>
      <c r="D192" s="219"/>
      <c r="E192" s="79">
        <f>IFERROR(speciated_ghg_196[[#This Row],[Weight Percent]]*(unique_components_194[[#Totals],[Controlled
tpy]]+standard_components_193[[#Totals],[Controlled
tpy]]), "-")</f>
        <v>0</v>
      </c>
      <c r="F192" s="81" t="str">
        <f>IFERROR(speciated_ghg_196[[#This Row],[Mass Emissions (U.S. tons per year)]]*speciated_ghg_196[[#This Row],[Global Warming Potential (GWP)]], "-")</f>
        <v>-</v>
      </c>
      <c r="G192" s="134"/>
      <c r="H192" s="169"/>
    </row>
    <row r="193" spans="1:9" ht="15" x14ac:dyDescent="0.25">
      <c r="A193" s="210"/>
      <c r="B193" s="79" t="str">
        <f>IFERROR(INDEX(gwp_table[], MATCH(speciated_ghg_196[[#This Row],[CAS '#]], gwp_table[CAS No.], 0), MATCH("Name", gwp_table[#Headers], 0)),"No CAS Number Entered")</f>
        <v>No CAS Number Entered</v>
      </c>
      <c r="C193" s="79" t="str">
        <f>IFERROR(INDEX(gwp_table[], MATCH(speciated_ghg_196[[#This Row],[CAS '#]], gwp_table[CAS No.], 0), MATCH("Global warming potential", gwp_table[#Headers], 0)),"No CAS Number Entered")</f>
        <v>No CAS Number Entered</v>
      </c>
      <c r="D193" s="219"/>
      <c r="E193" s="79">
        <f>IFERROR(speciated_ghg_196[[#This Row],[Weight Percent]]*(unique_components_194[[#Totals],[Controlled
tpy]]+standard_components_193[[#Totals],[Controlled
tpy]]), "-")</f>
        <v>0</v>
      </c>
      <c r="F193" s="81" t="str">
        <f>IFERROR(speciated_ghg_196[[#This Row],[Mass Emissions (U.S. tons per year)]]*speciated_ghg_196[[#This Row],[Global Warming Potential (GWP)]], "-")</f>
        <v>-</v>
      </c>
      <c r="G193" s="134"/>
      <c r="H193" s="169"/>
    </row>
    <row r="194" spans="1:9" ht="15" x14ac:dyDescent="0.25">
      <c r="A194" s="210"/>
      <c r="B194" s="79" t="str">
        <f>IFERROR(INDEX(gwp_table[], MATCH(speciated_ghg_196[[#This Row],[CAS '#]], gwp_table[CAS No.], 0), MATCH("Name", gwp_table[#Headers], 0)),"No CAS Number Entered")</f>
        <v>No CAS Number Entered</v>
      </c>
      <c r="C194" s="79" t="str">
        <f>IFERROR(INDEX(gwp_table[], MATCH(speciated_ghg_196[[#This Row],[CAS '#]], gwp_table[CAS No.], 0), MATCH("Global warming potential", gwp_table[#Headers], 0)),"No CAS Number Entered")</f>
        <v>No CAS Number Entered</v>
      </c>
      <c r="D194" s="219"/>
      <c r="E194" s="79">
        <f>IFERROR(speciated_ghg_196[[#This Row],[Weight Percent]]*(unique_components_194[[#Totals],[Controlled
tpy]]+standard_components_193[[#Totals],[Controlled
tpy]]), "-")</f>
        <v>0</v>
      </c>
      <c r="F194" s="81" t="str">
        <f>IFERROR(speciated_ghg_196[[#This Row],[Mass Emissions (U.S. tons per year)]]*speciated_ghg_196[[#This Row],[Global Warming Potential (GWP)]], "-")</f>
        <v>-</v>
      </c>
      <c r="G194" s="134"/>
      <c r="H194" s="169"/>
    </row>
    <row r="195" spans="1:9" x14ac:dyDescent="0.2">
      <c r="A195" s="210"/>
      <c r="B195" s="79" t="str">
        <f>IFERROR(INDEX(gwp_table[], MATCH(speciated_ghg_196[[#This Row],[CAS '#]], gwp_table[CAS No.], 0), MATCH("Name", gwp_table[#Headers], 0)),"No CAS Number Entered")</f>
        <v>No CAS Number Entered</v>
      </c>
      <c r="C195" s="79" t="str">
        <f>IFERROR(INDEX(gwp_table[], MATCH(speciated_ghg_196[[#This Row],[CAS '#]], gwp_table[CAS No.], 0), MATCH("Global warming potential", gwp_table[#Headers], 0)),"No CAS Number Entered")</f>
        <v>No CAS Number Entered</v>
      </c>
      <c r="D195" s="219"/>
      <c r="E195" s="79">
        <f>IFERROR(speciated_ghg_196[[#This Row],[Weight Percent]]*(unique_components_194[[#Totals],[Controlled
tpy]]+standard_components_193[[#Totals],[Controlled
tpy]]), "-")</f>
        <v>0</v>
      </c>
      <c r="F195" s="81" t="str">
        <f>IFERROR(speciated_ghg_196[[#This Row],[Mass Emissions (U.S. tons per year)]]*speciated_ghg_196[[#This Row],[Global Warming Potential (GWP)]], "-")</f>
        <v>-</v>
      </c>
      <c r="G195" s="69"/>
      <c r="H195" s="169"/>
    </row>
    <row r="196" spans="1:9" x14ac:dyDescent="0.2">
      <c r="A196" s="210"/>
      <c r="B196" s="79" t="str">
        <f>IFERROR(INDEX(gwp_table[], MATCH(speciated_ghg_196[[#This Row],[CAS '#]], gwp_table[CAS No.], 0), MATCH("Name", gwp_table[#Headers], 0)),"No CAS Number Entered")</f>
        <v>No CAS Number Entered</v>
      </c>
      <c r="C196" s="79" t="str">
        <f>IFERROR(INDEX(gwp_table[], MATCH(speciated_ghg_196[[#This Row],[CAS '#]], gwp_table[CAS No.], 0), MATCH("Global warming potential", gwp_table[#Headers], 0)),"No CAS Number Entered")</f>
        <v>No CAS Number Entered</v>
      </c>
      <c r="D196" s="219"/>
      <c r="E196" s="79">
        <f>IFERROR(speciated_ghg_196[[#This Row],[Weight Percent]]*(unique_components_194[[#Totals],[Controlled
tpy]]+standard_components_193[[#Totals],[Controlled
tpy]]), "-")</f>
        <v>0</v>
      </c>
      <c r="F196" s="81" t="str">
        <f>IFERROR(speciated_ghg_196[[#This Row],[Mass Emissions (U.S. tons per year)]]*speciated_ghg_196[[#This Row],[Global Warming Potential (GWP)]], "-")</f>
        <v>-</v>
      </c>
      <c r="G196" s="29"/>
      <c r="H196" s="169"/>
    </row>
    <row r="197" spans="1:9" x14ac:dyDescent="0.2">
      <c r="A197" s="210"/>
      <c r="B197" s="79" t="str">
        <f>IFERROR(INDEX(gwp_table[], MATCH(speciated_ghg_196[[#This Row],[CAS '#]], gwp_table[CAS No.], 0), MATCH("Name", gwp_table[#Headers], 0)),"No CAS Number Entered")</f>
        <v>No CAS Number Entered</v>
      </c>
      <c r="C197" s="79" t="str">
        <f>IFERROR(INDEX(gwp_table[], MATCH(speciated_ghg_196[[#This Row],[CAS '#]], gwp_table[CAS No.], 0), MATCH("Global warming potential", gwp_table[#Headers], 0)),"No CAS Number Entered")</f>
        <v>No CAS Number Entered</v>
      </c>
      <c r="D197" s="219"/>
      <c r="E197" s="79">
        <f>IFERROR(speciated_ghg_196[[#This Row],[Weight Percent]]*(unique_components_194[[#Totals],[Controlled
tpy]]+standard_components_193[[#Totals],[Controlled
tpy]]), "-")</f>
        <v>0</v>
      </c>
      <c r="F197" s="81" t="str">
        <f>IFERROR(speciated_ghg_196[[#This Row],[Mass Emissions (U.S. tons per year)]]*speciated_ghg_196[[#This Row],[Global Warming Potential (GWP)]], "-")</f>
        <v>-</v>
      </c>
      <c r="G197" s="29"/>
      <c r="H197" s="29"/>
      <c r="I197" s="169"/>
    </row>
    <row r="198" spans="1:9" x14ac:dyDescent="0.2">
      <c r="A198" s="210"/>
      <c r="B198" s="79" t="str">
        <f>IFERROR(INDEX(gwp_table[], MATCH(speciated_ghg_196[[#This Row],[CAS '#]], gwp_table[CAS No.], 0), MATCH("Name", gwp_table[#Headers], 0)),"No CAS Number Entered")</f>
        <v>No CAS Number Entered</v>
      </c>
      <c r="C198" s="79" t="str">
        <f>IFERROR(INDEX(gwp_table[], MATCH(speciated_ghg_196[[#This Row],[CAS '#]], gwp_table[CAS No.], 0), MATCH("Global warming potential", gwp_table[#Headers], 0)),"No CAS Number Entered")</f>
        <v>No CAS Number Entered</v>
      </c>
      <c r="D198" s="219"/>
      <c r="E198" s="79">
        <f>IFERROR(speciated_ghg_196[[#This Row],[Weight Percent]]*(unique_components_194[[#Totals],[Controlled
tpy]]+standard_components_193[[#Totals],[Controlled
tpy]]), "-")</f>
        <v>0</v>
      </c>
      <c r="F198" s="81" t="str">
        <f>IFERROR(speciated_ghg_196[[#This Row],[Mass Emissions (U.S. tons per year)]]*speciated_ghg_196[[#This Row],[Global Warming Potential (GWP)]], "-")</f>
        <v>-</v>
      </c>
      <c r="G198" s="29"/>
      <c r="H198" s="29"/>
      <c r="I198" s="169"/>
    </row>
    <row r="199" spans="1:9" x14ac:dyDescent="0.2">
      <c r="A199" s="210"/>
      <c r="B199" s="79" t="str">
        <f>IFERROR(INDEX(gwp_table[], MATCH(speciated_ghg_196[[#This Row],[CAS '#]], gwp_table[CAS No.], 0), MATCH("Name", gwp_table[#Headers], 0)),"No CAS Number Entered")</f>
        <v>No CAS Number Entered</v>
      </c>
      <c r="C199" s="79" t="str">
        <f>IFERROR(INDEX(gwp_table[], MATCH(speciated_ghg_196[[#This Row],[CAS '#]], gwp_table[CAS No.], 0), MATCH("Global warming potential", gwp_table[#Headers], 0)),"No CAS Number Entered")</f>
        <v>No CAS Number Entered</v>
      </c>
      <c r="D199" s="219"/>
      <c r="E199" s="79">
        <f>IFERROR(speciated_ghg_196[[#This Row],[Weight Percent]]*(unique_components_194[[#Totals],[Controlled
tpy]]+standard_components_193[[#Totals],[Controlled
tpy]]), "-")</f>
        <v>0</v>
      </c>
      <c r="F199" s="81" t="str">
        <f>IFERROR(speciated_ghg_196[[#This Row],[Mass Emissions (U.S. tons per year)]]*speciated_ghg_196[[#This Row],[Global Warming Potential (GWP)]], "-")</f>
        <v>-</v>
      </c>
      <c r="G199" s="29"/>
      <c r="H199" s="29"/>
      <c r="I199" s="169"/>
    </row>
    <row r="200" spans="1:9" x14ac:dyDescent="0.2">
      <c r="A200" s="210"/>
      <c r="B200" s="79" t="str">
        <f>IFERROR(INDEX(gwp_table[], MATCH(speciated_ghg_196[[#This Row],[CAS '#]], gwp_table[CAS No.], 0), MATCH("Name", gwp_table[#Headers], 0)),"No CAS Number Entered")</f>
        <v>No CAS Number Entered</v>
      </c>
      <c r="C200" s="79" t="str">
        <f>IFERROR(INDEX(gwp_table[], MATCH(speciated_ghg_196[[#This Row],[CAS '#]], gwp_table[CAS No.], 0), MATCH("Global warming potential", gwp_table[#Headers], 0)),"No CAS Number Entered")</f>
        <v>No CAS Number Entered</v>
      </c>
      <c r="D200" s="219"/>
      <c r="E200" s="79">
        <f>IFERROR(speciated_ghg_196[[#This Row],[Weight Percent]]*(unique_components_194[[#Totals],[Controlled
tpy]]+standard_components_193[[#Totals],[Controlled
tpy]]), "-")</f>
        <v>0</v>
      </c>
      <c r="F200" s="81" t="str">
        <f>IFERROR(speciated_ghg_196[[#This Row],[Mass Emissions (U.S. tons per year)]]*speciated_ghg_196[[#This Row],[Global Warming Potential (GWP)]], "-")</f>
        <v>-</v>
      </c>
      <c r="G200" s="29"/>
      <c r="H200" s="29"/>
      <c r="I200" s="169"/>
    </row>
    <row r="201" spans="1:9" x14ac:dyDescent="0.2">
      <c r="A201" s="210"/>
      <c r="B201" s="79" t="str">
        <f>IFERROR(INDEX(gwp_table[], MATCH(speciated_ghg_196[[#This Row],[CAS '#]], gwp_table[CAS No.], 0), MATCH("Name", gwp_table[#Headers], 0)),"No CAS Number Entered")</f>
        <v>No CAS Number Entered</v>
      </c>
      <c r="C201" s="79" t="str">
        <f>IFERROR(INDEX(gwp_table[], MATCH(speciated_ghg_196[[#This Row],[CAS '#]], gwp_table[CAS No.], 0), MATCH("Global warming potential", gwp_table[#Headers], 0)),"No CAS Number Entered")</f>
        <v>No CAS Number Entered</v>
      </c>
      <c r="D201" s="219"/>
      <c r="E201" s="79">
        <f>IFERROR(speciated_ghg_196[[#This Row],[Weight Percent]]*(unique_components_194[[#Totals],[Controlled
tpy]]+standard_components_193[[#Totals],[Controlled
tpy]]), "-")</f>
        <v>0</v>
      </c>
      <c r="F201" s="81" t="str">
        <f>IFERROR(speciated_ghg_196[[#This Row],[Mass Emissions (U.S. tons per year)]]*speciated_ghg_196[[#This Row],[Global Warming Potential (GWP)]], "-")</f>
        <v>-</v>
      </c>
      <c r="G201" s="169"/>
      <c r="H201" s="169"/>
      <c r="I201" s="169"/>
    </row>
    <row r="202" spans="1:9" x14ac:dyDescent="0.2">
      <c r="A202" s="210"/>
      <c r="B202" s="79" t="str">
        <f>IFERROR(INDEX(gwp_table[], MATCH(speciated_ghg_196[[#This Row],[CAS '#]], gwp_table[CAS No.], 0), MATCH("Name", gwp_table[#Headers], 0)),"No CAS Number Entered")</f>
        <v>No CAS Number Entered</v>
      </c>
      <c r="C202" s="79" t="str">
        <f>IFERROR(INDEX(gwp_table[], MATCH(speciated_ghg_196[[#This Row],[CAS '#]], gwp_table[CAS No.], 0), MATCH("Global warming potential", gwp_table[#Headers], 0)),"No CAS Number Entered")</f>
        <v>No CAS Number Entered</v>
      </c>
      <c r="D202" s="219"/>
      <c r="E202" s="79">
        <f>IFERROR(speciated_ghg_196[[#This Row],[Weight Percent]]*(unique_components_194[[#Totals],[Controlled
tpy]]+standard_components_193[[#Totals],[Controlled
tpy]]), "-")</f>
        <v>0</v>
      </c>
      <c r="F202" s="81" t="str">
        <f>IFERROR(speciated_ghg_196[[#This Row],[Mass Emissions (U.S. tons per year)]]*speciated_ghg_196[[#This Row],[Global Warming Potential (GWP)]], "-")</f>
        <v>-</v>
      </c>
      <c r="G202" s="169"/>
      <c r="H202" s="169"/>
      <c r="I202" s="169"/>
    </row>
    <row r="203" spans="1:9" x14ac:dyDescent="0.2">
      <c r="A203" s="210"/>
      <c r="B203" s="79" t="str">
        <f>IFERROR(INDEX(gwp_table[], MATCH(speciated_ghg_196[[#This Row],[CAS '#]], gwp_table[CAS No.], 0), MATCH("Name", gwp_table[#Headers], 0)),"No CAS Number Entered")</f>
        <v>No CAS Number Entered</v>
      </c>
      <c r="C203" s="79" t="str">
        <f>IFERROR(INDEX(gwp_table[], MATCH(speciated_ghg_196[[#This Row],[CAS '#]], gwp_table[CAS No.], 0), MATCH("Global warming potential", gwp_table[#Headers], 0)),"No CAS Number Entered")</f>
        <v>No CAS Number Entered</v>
      </c>
      <c r="D203" s="219"/>
      <c r="E203" s="79">
        <f>IFERROR(speciated_ghg_196[[#This Row],[Weight Percent]]*(unique_components_194[[#Totals],[Controlled
tpy]]+standard_components_193[[#Totals],[Controlled
tpy]]), "-")</f>
        <v>0</v>
      </c>
      <c r="F203" s="81" t="str">
        <f>IFERROR(speciated_ghg_196[[#This Row],[Mass Emissions (U.S. tons per year)]]*speciated_ghg_196[[#This Row],[Global Warming Potential (GWP)]], "-")</f>
        <v>-</v>
      </c>
      <c r="G203" s="169"/>
      <c r="H203" s="169"/>
      <c r="I203" s="169"/>
    </row>
    <row r="204" spans="1:9" ht="30" x14ac:dyDescent="0.25">
      <c r="A204" s="185" t="s">
        <v>13321</v>
      </c>
      <c r="B204" s="77"/>
      <c r="C204" s="77"/>
      <c r="D204" s="77"/>
      <c r="E204" s="80">
        <f>SUBTOTAL(109,speciated_ghg_196[Mass Emissions (U.S. tons per year)])</f>
        <v>0</v>
      </c>
      <c r="F204" s="82">
        <f>SUBTOTAL(109,speciated_ghg_196[CO2e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speciated_chemicals_195[[#Totals],[lb/hr]]</f>
        <v>0</v>
      </c>
      <c r="C207" s="134"/>
      <c r="D207" s="134"/>
      <c r="E207" s="134"/>
      <c r="F207" s="134"/>
      <c r="G207" s="169"/>
      <c r="H207" s="169"/>
    </row>
    <row r="208" spans="1:9" ht="29.25" x14ac:dyDescent="0.25">
      <c r="A208" s="174" t="s">
        <v>13320</v>
      </c>
      <c r="B208" s="175">
        <f>speciated_chemicals_195[[#Totals],[tpy]]</f>
        <v>0</v>
      </c>
      <c r="C208" s="134"/>
      <c r="D208" s="134"/>
      <c r="E208" s="134"/>
      <c r="F208" s="134"/>
      <c r="G208" s="169"/>
      <c r="H208" s="169"/>
    </row>
    <row r="209" spans="1:8" ht="15" x14ac:dyDescent="0.25">
      <c r="A209" s="126" t="s">
        <v>13277</v>
      </c>
      <c r="B209" s="128">
        <f>SUMIF(speciated_chemicals_195[VOC?],"Yes",speciated_chemicals_195[lb/hr])</f>
        <v>0</v>
      </c>
      <c r="C209" s="134"/>
      <c r="D209" s="29"/>
      <c r="E209" s="29"/>
      <c r="F209" s="29"/>
      <c r="G209" s="169"/>
      <c r="H209" s="169"/>
    </row>
    <row r="210" spans="1:8" ht="15" x14ac:dyDescent="0.25">
      <c r="A210" s="126" t="s">
        <v>12669</v>
      </c>
      <c r="B210" s="128">
        <f>SUMIF(speciated_chemicals_195[VOC?],"Yes",speciated_chemicals_195[tpy])</f>
        <v>0</v>
      </c>
      <c r="C210" s="134"/>
      <c r="D210" s="29"/>
      <c r="E210" s="29"/>
      <c r="F210" s="29"/>
      <c r="G210" s="169"/>
      <c r="H210" s="169"/>
    </row>
    <row r="211" spans="1:8" ht="15" x14ac:dyDescent="0.25">
      <c r="A211" s="126" t="s">
        <v>12775</v>
      </c>
      <c r="B211" s="128">
        <f>SUMIF(speciated_chemicals_195[Inorganic?],"Yes",speciated_chemicals_195[lb/hr])</f>
        <v>0</v>
      </c>
      <c r="C211" s="134"/>
      <c r="D211" s="29"/>
      <c r="E211" s="29"/>
      <c r="F211" s="29"/>
      <c r="G211" s="169"/>
      <c r="H211" s="169"/>
    </row>
    <row r="212" spans="1:8" ht="15" x14ac:dyDescent="0.25">
      <c r="A212" s="126" t="s">
        <v>12770</v>
      </c>
      <c r="B212" s="128">
        <f>SUMIF(speciated_chemicals_195[Inorganic?],"Yes",speciated_chemicals_195[tpy])</f>
        <v>0</v>
      </c>
      <c r="C212" s="134"/>
      <c r="D212" s="29"/>
      <c r="E212" s="29"/>
      <c r="F212" s="29"/>
      <c r="G212" s="169"/>
      <c r="H212" s="169"/>
    </row>
    <row r="213" spans="1:8" ht="15" x14ac:dyDescent="0.25">
      <c r="A213" s="126" t="s">
        <v>13276</v>
      </c>
      <c r="B213" s="128">
        <f>SUMIF(speciated_chemicals_195[VOC-Exempt Solvent?],"Yes",speciated_chemicals_195[lb/hr])</f>
        <v>0</v>
      </c>
      <c r="C213" s="134"/>
      <c r="D213" s="29"/>
      <c r="E213" s="29"/>
      <c r="F213" s="29"/>
      <c r="G213" s="169"/>
      <c r="H213" s="169"/>
    </row>
    <row r="214" spans="1:8" ht="15" x14ac:dyDescent="0.25">
      <c r="A214" s="126" t="s">
        <v>13278</v>
      </c>
      <c r="B214" s="128">
        <f>SUMIF(speciated_chemicals_195[VOC-Exempt Solvent?],"Yes",speciated_chemicals_195[tpy])</f>
        <v>0</v>
      </c>
      <c r="C214" s="134"/>
      <c r="D214" s="29"/>
      <c r="E214" s="29"/>
      <c r="F214" s="29"/>
      <c r="G214" s="169"/>
      <c r="H214" s="169"/>
    </row>
    <row r="215" spans="1:8" ht="15" x14ac:dyDescent="0.25">
      <c r="A215" s="127" t="s">
        <v>13280</v>
      </c>
      <c r="B215" s="176">
        <f>speciated_ghg_196[[#Totals],[Mass Emissions (U.S. tons per year)]]</f>
        <v>0</v>
      </c>
      <c r="C215" s="134"/>
      <c r="D215" s="29"/>
      <c r="E215" s="29"/>
      <c r="F215" s="29"/>
      <c r="G215" s="169"/>
      <c r="H215" s="169"/>
    </row>
    <row r="216" spans="1:8" ht="18.75" x14ac:dyDescent="0.35">
      <c r="A216" s="127" t="s">
        <v>13281</v>
      </c>
      <c r="B216" s="176">
        <f>speciated_ghg_196[[#Totals],[CO2e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09dNflrQBBj+Hoj+MsSEvAmLaVH8zS80w6Tl2aO2P6GCoCj20Y8UvG0asNT4yFBVeNxkBEbSh0KnY4UwHZ2jxg==" saltValue="RQR3yB3HkzGJ2+nSKCfV1Q==" spinCount="100000" sheet="1" objects="1" scenarios="1" formatColumns="0" formatRows="0" autoFilter="0"/>
  <conditionalFormatting sqref="A21:H21">
    <cfRule type="expression" dxfId="583" priority="5">
      <formula>$F$19="No"</formula>
    </cfRule>
  </conditionalFormatting>
  <conditionalFormatting sqref="A105:E106 F106:G126">
    <cfRule type="expression" dxfId="582" priority="4">
      <formula>$E$104="no"</formula>
    </cfRule>
  </conditionalFormatting>
  <conditionalFormatting sqref="C131:C180">
    <cfRule type="expression" dxfId="581" priority="3">
      <formula>NOT(B131="Other (Please specify):")</formula>
    </cfRule>
  </conditionalFormatting>
  <conditionalFormatting sqref="A107:E126">
    <cfRule type="expression" dxfId="580" priority="2">
      <formula>$A$58="No"</formula>
    </cfRule>
  </conditionalFormatting>
  <conditionalFormatting sqref="A107:E126 A206:B214 A215:A216">
    <cfRule type="expression" dxfId="579"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A0035F14-E6B6-43CA-9F00-165AFCBC5CCF}"/>
    <dataValidation type="list" allowBlank="1" showInputMessage="1" showErrorMessage="1" sqref="E104:H104 B10" xr:uid="{3DC73B7B-C04B-4CBA-80B7-A679BE46B9EA}">
      <formula1>"Yes,No"</formula1>
    </dataValidation>
    <dataValidation type="list" allowBlank="1" showInputMessage="1" showErrorMessage="1" sqref="F19:H20" xr:uid="{E0C0F538-30AD-4A82-818D-4AD8F6290C85}">
      <formula1>"No,Yes - 75%,Yes - 95%"</formula1>
    </dataValidation>
    <dataValidation type="list" allowBlank="1" showInputMessage="1" showErrorMessage="1" sqref="F18" xr:uid="{B0380A76-AD3F-4D46-BB17-23707BACE4CA}">
      <formula1>IF(#REF!="SOCMI Non-leaker",ListNone,ListInspection)</formula1>
    </dataValidation>
    <dataValidation type="list" allowBlank="1" showInputMessage="1" showErrorMessage="1" sqref="F16:F17" xr:uid="{125F20C9-667B-4EA5-A6F1-099C57B2E18C}">
      <formula1>IF(#REF!="SOCMI Non-Leaker",ListNone,ListInstrument)</formula1>
    </dataValidation>
    <dataValidation type="list" allowBlank="1" showInputMessage="1" prompt="Please specify whether the substance is a volatile organic compound (VOC); methane and ethane are not classifed as VOCs" sqref="D132:D180" xr:uid="{7D972995-74C9-4E1E-BD1E-87DD937DE1A3}">
      <formula1>"Yes,No"</formula1>
    </dataValidation>
    <dataValidation allowBlank="1" showInputMessage="1" showErrorMessage="1" prompt="Enter the weight percent of the substance" sqref="H178:H180 H132:H176" xr:uid="{46E9A8DC-EE61-4860-8B9C-2FD513FA2CCB}"/>
    <dataValidation type="list" allowBlank="1" showInputMessage="1" showErrorMessage="1" prompt="Enter or select Chemical Abstracts Service number; select &quot;N/A&quot; if a CAS # is not applicable" sqref="A131:A175 A177:A180" xr:uid="{F3595FAD-2F76-4129-84B3-FA2A48B37070}">
      <formula1>SpeciesList</formula1>
    </dataValidation>
    <dataValidation type="list" allowBlank="1" showInputMessage="1" prompt="Select other species from dropdown" sqref="C131:C180" xr:uid="{E8B2353F-7CFD-4FD2-A42A-F170528EC8CA}">
      <formula1>NoCASList</formula1>
    </dataValidation>
    <dataValidation allowBlank="1" showInputMessage="1" showErrorMessage="1" prompt="Proposed control efficiency (0-1)" sqref="E107:E126" xr:uid="{F489F49D-A181-470A-87B3-F3472BF5C51F}"/>
    <dataValidation allowBlank="1" showInputMessage="1" showErrorMessage="1" prompt="Count of unique component" sqref="C107:C126" xr:uid="{F8CFBC2B-AF9B-4942-B469-212E24D2AABD}"/>
    <dataValidation allowBlank="1" showInputMessage="1" showErrorMessage="1" prompt="Type of service (e.g. gas, vapor, or liquid)" sqref="B107:B126" xr:uid="{6AB70E82-C09F-446B-9E1B-DDFEFC4A9B06}"/>
    <dataValidation allowBlank="1" showInputMessage="1" showErrorMessage="1" prompt="Name of unique component" sqref="A107:A126" xr:uid="{9CE509F4-BBCD-49E0-A282-191D530FB25C}"/>
    <dataValidation type="list" allowBlank="1" showInputMessage="1" showErrorMessage="1" sqref="B13" xr:uid="{CDFA8553-7902-4D3C-86FC-A996DC696E28}">
      <formula1>industry_names</formula1>
    </dataValidation>
    <dataValidation type="list" allowBlank="1" showInputMessage="1" showErrorMessage="1" sqref="B19" xr:uid="{C451797C-76E5-4BC4-B648-6E1B2DD2ACB2}">
      <formula1>yes_no_list</formula1>
    </dataValidation>
    <dataValidation type="list" allowBlank="1" showInputMessage="1" showErrorMessage="1" sqref="B20" xr:uid="{563B71B6-0FC5-4F91-A8A9-C2A6DA04843C}">
      <formula1>process_drains_effs</formula1>
    </dataValidation>
    <dataValidation allowBlank="1" showInputMessage="1" showErrorMessage="1" prompt="Proposed emission factor" sqref="D107:D126" xr:uid="{E002B99C-9E1F-49F3-AC90-6903399160AB}"/>
    <dataValidation type="list" allowBlank="1" showInputMessage="1" prompt="Please specify if the substance is an inert substance or is not considered a contaminant (e.g. steam)" sqref="G131:G180" xr:uid="{95A55F15-AD6F-4C90-BDB6-15D5A5C550A3}">
      <formula1>"Yes,No"</formula1>
    </dataValidation>
    <dataValidation type="list" allowBlank="1" showInputMessage="1" showErrorMessage="1" prompt="Please select from the dropdown" sqref="B104" xr:uid="{07020E0C-59DB-4998-A9BC-09D94BF948CB}">
      <formula1>yes_no_list</formula1>
    </dataValidation>
    <dataValidation allowBlank="1" showInputMessage="1" showErrorMessage="1" prompt="Provide justification" sqref="B105" xr:uid="{9E2CEFDB-ED4A-4D41-9F64-05160543DCDA}"/>
    <dataValidation type="list" showInputMessage="1" prompt="Please specify whether the substance is a volatile organic compound (VOC); methane and ethane are not classifed as VOCs" sqref="D131" xr:uid="{973FB490-2E33-40BA-BF5C-F22F6FDAFCCA}">
      <formula1>"Yes,No"</formula1>
    </dataValidation>
    <dataValidation type="list" showInputMessage="1" prompt="Please specify whether the substance is an inorganic contaminant (e.g. ammonia or chlorine gas)" sqref="E131:E180" xr:uid="{B7DC226A-1405-498D-8BE2-B1974B41A4EF}">
      <formula1>"Yes,No"</formula1>
    </dataValidation>
    <dataValidation type="list" allowBlank="1" showInputMessage="1" prompt="Please specify whether the substance is an VOC-exempt solvent." sqref="F131:F180" xr:uid="{FA0F80B7-226C-49C3-8017-B165D7F4A980}">
      <formula1>"Yes,No"</formula1>
    </dataValidation>
    <dataValidation type="list" allowBlank="1" showInputMessage="1" showErrorMessage="1" prompt="Enter or select Chemical Abstracts Service number; select &quot;N/A&quot; if a CAS # is not applicable" sqref="A185:A203 A176" xr:uid="{A28D9F4F-D2A0-42C9-9FFA-EEDB34C5781D}">
      <formula1>gwp_table_cas</formula1>
    </dataValidation>
    <dataValidation type="decimal" allowBlank="1" showInputMessage="1" showErrorMessage="1" prompt="Enter the weight percent of the substance" sqref="H177" xr:uid="{B7AD2662-3F35-49CF-8C2F-5E5663A24574}">
      <formula1>0</formula1>
      <formula2>1</formula2>
    </dataValidation>
    <dataValidation type="decimal" operator="greaterThan" allowBlank="1" showInputMessage="1" showErrorMessage="1" prompt="Enter the weight percent of the substance" sqref="H131 D185:D203" xr:uid="{2EE100D0-59B6-42CE-B6C0-4AEF7DDB917D}">
      <formula1>0</formula1>
    </dataValidation>
    <dataValidation type="list" allowBlank="1" showInputMessage="1" showErrorMessage="1" sqref="B18" xr:uid="{A1B2BC5D-D7F7-4753-928F-D300571C4098}">
      <formula1>inspection_ldar_list</formula1>
    </dataValidation>
    <dataValidation type="list" allowBlank="1" showInputMessage="1" showErrorMessage="1" sqref="B17" xr:uid="{FBE985A6-C068-434C-9D31-DD7CF842A74A}">
      <formula1>connector_ldar_list</formula1>
    </dataValidation>
    <dataValidation type="list" allowBlank="1" showInputMessage="1" showErrorMessage="1" sqref="B16" xr:uid="{AEA7F4AD-EF42-4E62-8CC3-EF51CA90EA4F}">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BC658-7604-4D36-B13E-8AA4ED18FFBA}">
  <sheetPr codeName="Sheet27">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INDEX((standard_components_197[[#This Row],[Component]]=factor_eff_table[Component])*(standard_components_197[[#This Row],[Service]]=factor_eff_table[Service]), 0, 1), 0)),
 "-")</f>
        <v>-</v>
      </c>
      <c r="E25" s="145" t="str" cm="1">
        <f t="array" ref="E2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25" s="145" t="str" cm="1">
        <f t="array" ref="F2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25" s="145" t="str" cm="1">
        <f t="array" ref="G2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2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2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INDEX((standard_components_197[[#This Row],[Component]]=factor_eff_table[Component])*(standard_components_197[[#This Row],[Service]]=factor_eff_table[Service]), 0, 1), 0)),
 "-")</f>
        <v>-</v>
      </c>
      <c r="E26" s="145" t="str" cm="1">
        <f t="array" ref="E2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26" s="145" t="str" cm="1">
        <f t="array" ref="F2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26" s="145" t="str" cm="1">
        <f t="array" ref="G2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2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2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INDEX((standard_components_197[[#This Row],[Component]]=factor_eff_table[Component])*(standard_components_197[[#This Row],[Service]]=factor_eff_table[Service]), 0, 1), 0)),
 "-")</f>
        <v>-</v>
      </c>
      <c r="E27" s="145" t="str" cm="1">
        <f t="array" ref="E2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27" s="145" t="str" cm="1">
        <f t="array" ref="F2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27" s="145" t="str" cm="1">
        <f t="array" ref="G2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2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2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INDEX((standard_components_197[[#This Row],[Component]]=factor_eff_table[Component])*(standard_components_197[[#This Row],[Service]]=factor_eff_table[Service]), 0, 1), 0)),
 "-")</f>
        <v>-</v>
      </c>
      <c r="E28" s="145" t="str" cm="1">
        <f t="array" ref="E2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28" s="145" t="str" cm="1">
        <f t="array" ref="F2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28" s="145" t="str" cm="1">
        <f t="array" ref="G2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2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2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INDEX((standard_components_197[[#This Row],[Component]]=factor_eff_table[Component])*(standard_components_197[[#This Row],[Service]]=factor_eff_table[Service]), 0, 1), 0)),
 "-")</f>
        <v>-</v>
      </c>
      <c r="E29" s="145" t="str" cm="1">
        <f t="array" ref="E2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29" s="145" t="str" cm="1">
        <f t="array" ref="F2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29" s="145" t="str" cm="1">
        <f t="array" ref="G2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2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2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INDEX((standard_components_197[[#This Row],[Component]]=factor_eff_table[Component])*(standard_components_197[[#This Row],[Service]]=factor_eff_table[Service]), 0, 1), 0)),
 "-")</f>
        <v>-</v>
      </c>
      <c r="E30" s="145" t="str" cm="1">
        <f t="array" ref="E3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0" s="145" t="str" cm="1">
        <f t="array" ref="F3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0" s="145" t="str" cm="1">
        <f t="array" ref="G3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INDEX((standard_components_197[[#This Row],[Component]]=factor_eff_table[Component])*(standard_components_197[[#This Row],[Service]]=factor_eff_table[Service]), 0, 1), 0)),
 "-")</f>
        <v>-</v>
      </c>
      <c r="E31" s="145" t="str" cm="1">
        <f t="array" ref="E3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1" s="145" t="str" cm="1">
        <f t="array" ref="F3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1" s="145" t="str" cm="1">
        <f t="array" ref="G3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INDEX((standard_components_197[[#This Row],[Component]]=factor_eff_table[Component])*(standard_components_197[[#This Row],[Service]]=factor_eff_table[Service]), 0, 1), 0)),
 "-")</f>
        <v>-</v>
      </c>
      <c r="E32" s="145" t="str" cm="1">
        <f t="array" ref="E3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2" s="145" t="str" cm="1">
        <f t="array" ref="F3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2" s="145" t="str" cm="1">
        <f t="array" ref="G3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INDEX((standard_components_197[[#This Row],[Component]]=factor_eff_table[Component])*(standard_components_197[[#This Row],[Service]]=factor_eff_table[Service]), 0, 1), 0)),
 "-")</f>
        <v>-</v>
      </c>
      <c r="E33" s="145" t="str" cm="1">
        <f t="array" ref="E3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3" s="145" t="str" cm="1">
        <f t="array" ref="F3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3" s="145" t="str" cm="1">
        <f t="array" ref="G3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INDEX((standard_components_197[[#This Row],[Component]]=factor_eff_table[Component])*(standard_components_197[[#This Row],[Service]]=factor_eff_table[Service]), 0, 1), 0)),
 "-")</f>
        <v>-</v>
      </c>
      <c r="E34" s="145" t="str" cm="1">
        <f t="array" ref="E3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4" s="145" t="str" cm="1">
        <f t="array" ref="F3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4" s="145" t="str" cm="1">
        <f t="array" ref="G3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INDEX((standard_components_197[[#This Row],[Component]]=factor_eff_table[Component])*(standard_components_197[[#This Row],[Service]]=factor_eff_table[Service]), 0, 1), 0)),
 "-")</f>
        <v>-</v>
      </c>
      <c r="E35" s="145" t="str" cm="1">
        <f t="array" ref="E3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5" s="145" t="str" cm="1">
        <f t="array" ref="F3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5" s="145" t="str" cm="1">
        <f t="array" ref="G3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INDEX((standard_components_197[[#This Row],[Component]]=factor_eff_table[Component])*(standard_components_197[[#This Row],[Service]]=factor_eff_table[Service]), 0, 1), 0)),
 "-")</f>
        <v>-</v>
      </c>
      <c r="E36" s="145" t="str" cm="1">
        <f t="array" ref="E3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6" s="145" t="str" cm="1">
        <f t="array" ref="F3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6" s="145" t="str" cm="1">
        <f t="array" ref="G3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INDEX((standard_components_197[[#This Row],[Component]]=factor_eff_table[Component])*(standard_components_197[[#This Row],[Service]]=factor_eff_table[Service]), 0, 1), 0)),
 "-")</f>
        <v>-</v>
      </c>
      <c r="E37" s="145" t="str" cm="1">
        <f t="array" ref="E3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7" s="145" t="str" cm="1">
        <f t="array" ref="F3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7" s="145" t="str" cm="1">
        <f t="array" ref="G3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INDEX((standard_components_197[[#This Row],[Component]]=factor_eff_table[Component])*(standard_components_197[[#This Row],[Service]]=factor_eff_table[Service]), 0, 1), 0)),
 "-")</f>
        <v>-</v>
      </c>
      <c r="E38" s="145" t="str" cm="1">
        <f t="array" ref="E3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8" s="145" t="str" cm="1">
        <f t="array" ref="F3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8" s="145" t="str" cm="1">
        <f t="array" ref="G3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INDEX((standard_components_197[[#This Row],[Component]]=factor_eff_table[Component])*(standard_components_197[[#This Row],[Service]]=factor_eff_table[Service]), 0, 1), 0)),
 "-")</f>
        <v>-</v>
      </c>
      <c r="E39" s="145" t="str" cm="1">
        <f t="array" ref="E3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39" s="145" t="str" cm="1">
        <f t="array" ref="F3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39" s="145" t="str" cm="1">
        <f t="array" ref="G3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3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3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INDEX((standard_components_197[[#This Row],[Component]]=factor_eff_table[Component])*(standard_components_197[[#This Row],[Service]]=factor_eff_table[Service]), 0, 1), 0)),
 "-")</f>
        <v>-</v>
      </c>
      <c r="E40" s="145" t="str" cm="1">
        <f t="array" ref="E4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0" s="145" t="str" cm="1">
        <f t="array" ref="F4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0" s="145" t="str" cm="1">
        <f t="array" ref="G4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INDEX((standard_components_197[[#This Row],[Component]]=factor_eff_table[Component])*(standard_components_197[[#This Row],[Service]]=factor_eff_table[Service]), 0, 1), 0)),
 "-")</f>
        <v>-</v>
      </c>
      <c r="E41" s="145" t="str" cm="1">
        <f t="array" ref="E4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1" s="145" t="str" cm="1">
        <f t="array" ref="F4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1" s="145" t="str" cm="1">
        <f t="array" ref="G4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INDEX((standard_components_197[[#This Row],[Component]]=factor_eff_table[Component])*(standard_components_197[[#This Row],[Service]]=factor_eff_table[Service]), 0, 1), 0)),
 "-")</f>
        <v>-</v>
      </c>
      <c r="E42" s="145" t="str" cm="1">
        <f t="array" ref="E4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2" s="145" t="str" cm="1">
        <f t="array" ref="F4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2" s="145" t="str" cm="1">
        <f t="array" ref="G4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INDEX((standard_components_197[[#This Row],[Component]]=factor_eff_table[Component])*(standard_components_197[[#This Row],[Service]]=factor_eff_table[Service]), 0, 1), 0)),
 "-")</f>
        <v>-</v>
      </c>
      <c r="E43" s="145" t="str" cm="1">
        <f t="array" ref="E4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3" s="145" t="str" cm="1">
        <f t="array" ref="F4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3" s="145" t="str" cm="1">
        <f t="array" ref="G4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INDEX((standard_components_197[[#This Row],[Component]]=factor_eff_table[Component])*(standard_components_197[[#This Row],[Service]]=factor_eff_table[Service]), 0, 1), 0)),
 "-")</f>
        <v>-</v>
      </c>
      <c r="E44" s="145" t="str" cm="1">
        <f t="array" ref="E4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4" s="145" t="str" cm="1">
        <f t="array" ref="F4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4" s="145" t="str" cm="1">
        <f t="array" ref="G4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INDEX((standard_components_197[[#This Row],[Component]]=factor_eff_table[Component])*(standard_components_197[[#This Row],[Service]]=factor_eff_table[Service]), 0, 1), 0)),
 "-")</f>
        <v>-</v>
      </c>
      <c r="E45" s="145" t="str" cm="1">
        <f t="array" ref="E4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5" s="145" t="str" cm="1">
        <f t="array" ref="F4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5" s="145" t="str" cm="1">
        <f t="array" ref="G4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INDEX((standard_components_197[[#This Row],[Component]]=factor_eff_table[Component])*(standard_components_197[[#This Row],[Service]]=factor_eff_table[Service]), 0, 1), 0)),
 "-")</f>
        <v>-</v>
      </c>
      <c r="E46" s="145" t="str" cm="1">
        <f t="array" ref="E4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6" s="145" t="str" cm="1">
        <f t="array" ref="F4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6" s="145" t="str" cm="1">
        <f t="array" ref="G4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INDEX((standard_components_197[[#This Row],[Component]]=factor_eff_table[Component])*(standard_components_197[[#This Row],[Service]]=factor_eff_table[Service]), 0, 1), 0)),
 "-")</f>
        <v>-</v>
      </c>
      <c r="E47" s="145" t="str" cm="1">
        <f t="array" ref="E4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7" s="145" t="str" cm="1">
        <f t="array" ref="F4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7" s="145" t="str" cm="1">
        <f t="array" ref="G4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INDEX((standard_components_197[[#This Row],[Component]]=factor_eff_table[Component])*(standard_components_197[[#This Row],[Service]]=factor_eff_table[Service]), 0, 1), 0)),
 "-")</f>
        <v>-</v>
      </c>
      <c r="E48" s="145" t="str" cm="1">
        <f t="array" ref="E4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8" s="145" t="str" cm="1">
        <f t="array" ref="F4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8" s="145" t="str" cm="1">
        <f t="array" ref="G4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INDEX((standard_components_197[[#This Row],[Component]]=factor_eff_table[Component])*(standard_components_197[[#This Row],[Service]]=factor_eff_table[Service]), 0, 1), 0)),
 "-")</f>
        <v>-</v>
      </c>
      <c r="E49" s="145" t="str" cm="1">
        <f t="array" ref="E4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49" s="145" t="str" cm="1">
        <f t="array" ref="F4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49" s="145" t="str" cm="1">
        <f t="array" ref="G4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4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4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INDEX((standard_components_197[[#This Row],[Component]]=factor_eff_table[Component])*(standard_components_197[[#This Row],[Service]]=factor_eff_table[Service]), 0, 1), 0)),
 "-")</f>
        <v>-</v>
      </c>
      <c r="E50" s="145" t="str" cm="1">
        <f t="array" ref="E5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0" s="145" t="str" cm="1">
        <f t="array" ref="F5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0" s="145" t="str" cm="1">
        <f t="array" ref="G5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INDEX((standard_components_197[[#This Row],[Component]]=factor_eff_table[Component])*(standard_components_197[[#This Row],[Service]]=factor_eff_table[Service]), 0, 1), 0)),
 "-")</f>
        <v>-</v>
      </c>
      <c r="E51" s="145" t="str" cm="1">
        <f t="array" ref="E5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1" s="145" t="str" cm="1">
        <f t="array" ref="F5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1" s="145" t="str" cm="1">
        <f t="array" ref="G5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INDEX((standard_components_197[[#This Row],[Component]]=factor_eff_table[Component])*(standard_components_197[[#This Row],[Service]]=factor_eff_table[Service]), 0, 1), 0)),
 "-")</f>
        <v>-</v>
      </c>
      <c r="E52" s="145" t="str" cm="1">
        <f t="array" ref="E5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2" s="145" t="str" cm="1">
        <f t="array" ref="F5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2" s="145" t="str" cm="1">
        <f t="array" ref="G5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INDEX((standard_components_197[[#This Row],[Component]]=factor_eff_table[Component])*(standard_components_197[[#This Row],[Service]]=factor_eff_table[Service]), 0, 1), 0)),
 "-")</f>
        <v>-</v>
      </c>
      <c r="E53" s="145" t="str" cm="1">
        <f t="array" ref="E5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3" s="145" t="str" cm="1">
        <f t="array" ref="F5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3" s="145" t="str" cm="1">
        <f t="array" ref="G5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INDEX((standard_components_197[[#This Row],[Component]]=factor_eff_table[Component])*(standard_components_197[[#This Row],[Service]]=factor_eff_table[Service]), 0, 1), 0)),
 "-")</f>
        <v>-</v>
      </c>
      <c r="E54" s="145" t="str" cm="1">
        <f t="array" ref="E5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4" s="145" t="str" cm="1">
        <f t="array" ref="F5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4" s="145" t="str" cm="1">
        <f t="array" ref="G5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INDEX((standard_components_197[[#This Row],[Component]]=factor_eff_table[Component])*(standard_components_197[[#This Row],[Service]]=factor_eff_table[Service]), 0, 1), 0)),
 "-")</f>
        <v>-</v>
      </c>
      <c r="E55" s="145" t="str" cm="1">
        <f t="array" ref="E5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5" s="145" t="str" cm="1">
        <f t="array" ref="F5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5" s="145" t="str" cm="1">
        <f t="array" ref="G5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INDEX((standard_components_197[[#This Row],[Component]]=factor_eff_table[Component])*(standard_components_197[[#This Row],[Service]]=factor_eff_table[Service]), 0, 1), 0)),
 "-")</f>
        <v>-</v>
      </c>
      <c r="E56" s="145" t="str" cm="1">
        <f t="array" ref="E5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6" s="145" t="str" cm="1">
        <f t="array" ref="F5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6" s="145" t="str" cm="1">
        <f t="array" ref="G5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INDEX((standard_components_197[[#This Row],[Component]]=factor_eff_table[Component])*(standard_components_197[[#This Row],[Service]]=factor_eff_table[Service]), 0, 1), 0)),
 "-")</f>
        <v>-</v>
      </c>
      <c r="E57" s="145" t="str" cm="1">
        <f t="array" ref="E5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7" s="145" t="str" cm="1">
        <f t="array" ref="F5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7" s="145" t="str" cm="1">
        <f t="array" ref="G5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INDEX((standard_components_197[[#This Row],[Component]]=factor_eff_table[Component])*(standard_components_197[[#This Row],[Service]]=factor_eff_table[Service]), 0, 1), 0)),
 "-")</f>
        <v>-</v>
      </c>
      <c r="E58" s="145" t="str" cm="1">
        <f t="array" ref="E5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8" s="145" t="str" cm="1">
        <f t="array" ref="F5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8" s="145" t="str" cm="1">
        <f t="array" ref="G5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INDEX((standard_components_197[[#This Row],[Component]]=factor_eff_table[Component])*(standard_components_197[[#This Row],[Service]]=factor_eff_table[Service]), 0, 1), 0)),
 "-")</f>
        <v>-</v>
      </c>
      <c r="E59" s="145" t="str" cm="1">
        <f t="array" ref="E5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59" s="145" t="str" cm="1">
        <f t="array" ref="F5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59" s="145" t="str" cm="1">
        <f t="array" ref="G5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5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5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INDEX((standard_components_197[[#This Row],[Component]]=factor_eff_table[Component])*(standard_components_197[[#This Row],[Service]]=factor_eff_table[Service]), 0, 1), 0)),
 "-")</f>
        <v>-</v>
      </c>
      <c r="E60" s="145" t="str" cm="1">
        <f t="array" ref="E6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0" s="145" t="str" cm="1">
        <f t="array" ref="F6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0" s="145" t="str" cm="1">
        <f t="array" ref="G6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INDEX((standard_components_197[[#This Row],[Component]]=factor_eff_table[Component])*(standard_components_197[[#This Row],[Service]]=factor_eff_table[Service]), 0, 1), 0)),
 "-")</f>
        <v>-</v>
      </c>
      <c r="E61" s="145" t="str" cm="1">
        <f t="array" ref="E6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1" s="145" t="str" cm="1">
        <f t="array" ref="F6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1" s="145" t="str" cm="1">
        <f t="array" ref="G6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INDEX((standard_components_197[[#This Row],[Component]]=factor_eff_table[Component])*(standard_components_197[[#This Row],[Service]]=factor_eff_table[Service]), 0, 1), 0)),
 "-")</f>
        <v>-</v>
      </c>
      <c r="E62" s="145" t="str" cm="1">
        <f t="array" ref="E6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2" s="145" t="str" cm="1">
        <f t="array" ref="F6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2" s="145" t="str" cm="1">
        <f t="array" ref="G6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INDEX((standard_components_197[[#This Row],[Component]]=factor_eff_table[Component])*(standard_components_197[[#This Row],[Service]]=factor_eff_table[Service]), 0, 1), 0)),
 "-")</f>
        <v>-</v>
      </c>
      <c r="E63" s="145" t="str" cm="1">
        <f t="array" ref="E6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3" s="145" t="str" cm="1">
        <f t="array" ref="F6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3" s="145" t="str" cm="1">
        <f t="array" ref="G6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INDEX((standard_components_197[[#This Row],[Component]]=factor_eff_table[Component])*(standard_components_197[[#This Row],[Service]]=factor_eff_table[Service]), 0, 1), 0)),
 "-")</f>
        <v>-</v>
      </c>
      <c r="E64" s="145" t="str" cm="1">
        <f t="array" ref="E6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4" s="145" t="str" cm="1">
        <f t="array" ref="F6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4" s="145" t="str" cm="1">
        <f t="array" ref="G6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INDEX((standard_components_197[[#This Row],[Component]]=factor_eff_table[Component])*(standard_components_197[[#This Row],[Service]]=factor_eff_table[Service]), 0, 1), 0)),
 "-")</f>
        <v>-</v>
      </c>
      <c r="E65" s="145" t="str" cm="1">
        <f t="array" ref="E6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5" s="145" t="str" cm="1">
        <f t="array" ref="F6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5" s="145" t="str" cm="1">
        <f t="array" ref="G6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INDEX((standard_components_197[[#This Row],[Component]]=factor_eff_table[Component])*(standard_components_197[[#This Row],[Service]]=factor_eff_table[Service]), 0, 1), 0)),
 "-")</f>
        <v>-</v>
      </c>
      <c r="E66" s="145" t="str" cm="1">
        <f t="array" ref="E6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6" s="145" t="str" cm="1">
        <f t="array" ref="F6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6" s="145" t="str" cm="1">
        <f t="array" ref="G6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INDEX((standard_components_197[[#This Row],[Component]]=factor_eff_table[Component])*(standard_components_197[[#This Row],[Service]]=factor_eff_table[Service]), 0, 1), 0)),
 "-")</f>
        <v>-</v>
      </c>
      <c r="E67" s="145" t="str" cm="1">
        <f t="array" ref="E6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7" s="145" t="str" cm="1">
        <f t="array" ref="F6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7" s="145" t="str" cm="1">
        <f t="array" ref="G6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INDEX((standard_components_197[[#This Row],[Component]]=factor_eff_table[Component])*(standard_components_197[[#This Row],[Service]]=factor_eff_table[Service]), 0, 1), 0)),
 "-")</f>
        <v>-</v>
      </c>
      <c r="E68" s="145" t="str" cm="1">
        <f t="array" ref="E6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8" s="145" t="str" cm="1">
        <f t="array" ref="F6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8" s="145" t="str" cm="1">
        <f t="array" ref="G6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INDEX((standard_components_197[[#This Row],[Component]]=factor_eff_table[Component])*(standard_components_197[[#This Row],[Service]]=factor_eff_table[Service]), 0, 1), 0)),
 "-")</f>
        <v>-</v>
      </c>
      <c r="E69" s="145" t="str" cm="1">
        <f t="array" ref="E6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69" s="145" t="str" cm="1">
        <f t="array" ref="F6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69" s="145" t="str" cm="1">
        <f t="array" ref="G6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6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6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INDEX((standard_components_197[[#This Row],[Component]]=factor_eff_table[Component])*(standard_components_197[[#This Row],[Service]]=factor_eff_table[Service]), 0, 1), 0)),
 "-")</f>
        <v>-</v>
      </c>
      <c r="E70" s="145" t="str" cm="1">
        <f t="array" ref="E7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0" s="145" t="str" cm="1">
        <f t="array" ref="F7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0" s="145" t="str" cm="1">
        <f t="array" ref="G7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INDEX((standard_components_197[[#This Row],[Component]]=factor_eff_table[Component])*(standard_components_197[[#This Row],[Service]]=factor_eff_table[Service]), 0, 1), 0)),
 "-")</f>
        <v>-</v>
      </c>
      <c r="E71" s="145" t="str" cm="1">
        <f t="array" ref="E7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1" s="145" t="str" cm="1">
        <f t="array" ref="F7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1" s="145" t="str" cm="1">
        <f t="array" ref="G7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INDEX((standard_components_197[[#This Row],[Component]]=factor_eff_table[Component])*(standard_components_197[[#This Row],[Service]]=factor_eff_table[Service]), 0, 1), 0)),
 "-")</f>
        <v>-</v>
      </c>
      <c r="E72" s="145" t="str" cm="1">
        <f t="array" ref="E7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2" s="145" t="str" cm="1">
        <f t="array" ref="F7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2" s="145" t="str" cm="1">
        <f t="array" ref="G7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INDEX((standard_components_197[[#This Row],[Component]]=factor_eff_table[Component])*(standard_components_197[[#This Row],[Service]]=factor_eff_table[Service]), 0, 1), 0)),
 "-")</f>
        <v>-</v>
      </c>
      <c r="E73" s="145" t="str" cm="1">
        <f t="array" ref="E7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3" s="145" t="str" cm="1">
        <f t="array" ref="F7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3" s="145" t="str" cm="1">
        <f t="array" ref="G7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INDEX((standard_components_197[[#This Row],[Component]]=factor_eff_table[Component])*(standard_components_197[[#This Row],[Service]]=factor_eff_table[Service]), 0, 1), 0)),
 "-")</f>
        <v>-</v>
      </c>
      <c r="E74" s="145" t="str" cm="1">
        <f t="array" ref="E7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4" s="145" t="str" cm="1">
        <f t="array" ref="F7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4" s="145" t="str" cm="1">
        <f t="array" ref="G7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INDEX((standard_components_197[[#This Row],[Component]]=factor_eff_table[Component])*(standard_components_197[[#This Row],[Service]]=factor_eff_table[Service]), 0, 1), 0)),
 "-")</f>
        <v>-</v>
      </c>
      <c r="E75" s="145" t="str" cm="1">
        <f t="array" ref="E7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5" s="145" t="str" cm="1">
        <f t="array" ref="F7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5" s="145" t="str" cm="1">
        <f t="array" ref="G7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INDEX((standard_components_197[[#This Row],[Component]]=factor_eff_table[Component])*(standard_components_197[[#This Row],[Service]]=factor_eff_table[Service]), 0, 1), 0)),
 "-")</f>
        <v>-</v>
      </c>
      <c r="E76" s="145" t="str" cm="1">
        <f t="array" ref="E7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6" s="145" t="str" cm="1">
        <f t="array" ref="F7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6" s="145" t="str" cm="1">
        <f t="array" ref="G7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INDEX((standard_components_197[[#This Row],[Component]]=factor_eff_table[Component])*(standard_components_197[[#This Row],[Service]]=factor_eff_table[Service]), 0, 1), 0)),
 "-")</f>
        <v>-</v>
      </c>
      <c r="E77" s="145" t="str" cm="1">
        <f t="array" ref="E7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7" s="145" t="str" cm="1">
        <f t="array" ref="F7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7" s="145" t="str" cm="1">
        <f t="array" ref="G7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INDEX((standard_components_197[[#This Row],[Component]]=factor_eff_table[Component])*(standard_components_197[[#This Row],[Service]]=factor_eff_table[Service]), 0, 1), 0)),
 "-")</f>
        <v>-</v>
      </c>
      <c r="E78" s="145" t="str" cm="1">
        <f t="array" ref="E7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8" s="145" t="str" cm="1">
        <f t="array" ref="F7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8" s="145" t="str" cm="1">
        <f t="array" ref="G7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INDEX((standard_components_197[[#This Row],[Component]]=factor_eff_table[Component])*(standard_components_197[[#This Row],[Service]]=factor_eff_table[Service]), 0, 1), 0)),
 "-")</f>
        <v>-</v>
      </c>
      <c r="E79" s="145" t="str" cm="1">
        <f t="array" ref="E7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79" s="145" t="str" cm="1">
        <f t="array" ref="F7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79" s="145" t="str" cm="1">
        <f t="array" ref="G7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7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7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INDEX((standard_components_197[[#This Row],[Component]]=factor_eff_table[Component])*(standard_components_197[[#This Row],[Service]]=factor_eff_table[Service]), 0, 1), 0)),
 "-")</f>
        <v>-</v>
      </c>
      <c r="E80" s="145" t="str" cm="1">
        <f t="array" ref="E8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0" s="145" t="str" cm="1">
        <f t="array" ref="F8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0" s="145" t="str" cm="1">
        <f t="array" ref="G8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INDEX((standard_components_197[[#This Row],[Component]]=factor_eff_table[Component])*(standard_components_197[[#This Row],[Service]]=factor_eff_table[Service]), 0, 1), 0)),
 "-")</f>
        <v>-</v>
      </c>
      <c r="E81" s="145" t="str" cm="1">
        <f t="array" ref="E8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1" s="145" t="str" cm="1">
        <f t="array" ref="F8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1" s="145" t="str" cm="1">
        <f t="array" ref="G8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INDEX((standard_components_197[[#This Row],[Component]]=factor_eff_table[Component])*(standard_components_197[[#This Row],[Service]]=factor_eff_table[Service]), 0, 1), 0)),
 "-")</f>
        <v>-</v>
      </c>
      <c r="E82" s="145" t="str" cm="1">
        <f t="array" ref="E8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2" s="145" t="str" cm="1">
        <f t="array" ref="F8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2" s="145" t="str" cm="1">
        <f t="array" ref="G8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INDEX((standard_components_197[[#This Row],[Component]]=factor_eff_table[Component])*(standard_components_197[[#This Row],[Service]]=factor_eff_table[Service]), 0, 1), 0)),
 "-")</f>
        <v>-</v>
      </c>
      <c r="E83" s="145" t="str" cm="1">
        <f t="array" ref="E8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3" s="145" t="str" cm="1">
        <f t="array" ref="F8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3" s="145" t="str" cm="1">
        <f t="array" ref="G8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INDEX((standard_components_197[[#This Row],[Component]]=factor_eff_table[Component])*(standard_components_197[[#This Row],[Service]]=factor_eff_table[Service]), 0, 1), 0)),
 "-")</f>
        <v>-</v>
      </c>
      <c r="E84" s="145" t="str" cm="1">
        <f t="array" ref="E8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4" s="145" t="str" cm="1">
        <f t="array" ref="F8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4" s="145" t="str" cm="1">
        <f t="array" ref="G8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INDEX((standard_components_197[[#This Row],[Component]]=factor_eff_table[Component])*(standard_components_197[[#This Row],[Service]]=factor_eff_table[Service]), 0, 1), 0)),
 "-")</f>
        <v>-</v>
      </c>
      <c r="E85" s="145" t="str" cm="1">
        <f t="array" ref="E8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5" s="145" t="str" cm="1">
        <f t="array" ref="F8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5" s="145" t="str" cm="1">
        <f t="array" ref="G8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INDEX((standard_components_197[[#This Row],[Component]]=factor_eff_table[Component])*(standard_components_197[[#This Row],[Service]]=factor_eff_table[Service]), 0, 1), 0)),
 "-")</f>
        <v>-</v>
      </c>
      <c r="E86" s="145" t="str" cm="1">
        <f t="array" ref="E8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6" s="145" t="str" cm="1">
        <f t="array" ref="F8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6" s="145" t="str" cm="1">
        <f t="array" ref="G8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INDEX((standard_components_197[[#This Row],[Component]]=factor_eff_table[Component])*(standard_components_197[[#This Row],[Service]]=factor_eff_table[Service]), 0, 1), 0)),
 "-")</f>
        <v>-</v>
      </c>
      <c r="E87" s="145" t="str" cm="1">
        <f t="array" ref="E8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7" s="145" t="str" cm="1">
        <f t="array" ref="F8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7" s="145" t="str" cm="1">
        <f t="array" ref="G8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INDEX((standard_components_197[[#This Row],[Component]]=factor_eff_table[Component])*(standard_components_197[[#This Row],[Service]]=factor_eff_table[Service]), 0, 1), 0)),
 "-")</f>
        <v>-</v>
      </c>
      <c r="E88" s="145" t="str" cm="1">
        <f t="array" ref="E8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8" s="145" t="str" cm="1">
        <f t="array" ref="F8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8" s="145" t="str" cm="1">
        <f t="array" ref="G8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INDEX((standard_components_197[[#This Row],[Component]]=factor_eff_table[Component])*(standard_components_197[[#This Row],[Service]]=factor_eff_table[Service]), 0, 1), 0)),
 "-")</f>
        <v>-</v>
      </c>
      <c r="E89" s="145" t="str" cm="1">
        <f t="array" ref="E8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89" s="145" t="str" cm="1">
        <f t="array" ref="F8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89" s="145" t="str" cm="1">
        <f t="array" ref="G8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8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8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INDEX((standard_components_197[[#This Row],[Component]]=factor_eff_table[Component])*(standard_components_197[[#This Row],[Service]]=factor_eff_table[Service]), 0, 1), 0)),
 "-")</f>
        <v>-</v>
      </c>
      <c r="E90" s="145" t="str" cm="1">
        <f t="array" ref="E9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0" s="145" t="str" cm="1">
        <f t="array" ref="F9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0" s="145" t="str" cm="1">
        <f t="array" ref="G9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INDEX((standard_components_197[[#This Row],[Component]]=factor_eff_table[Component])*(standard_components_197[[#This Row],[Service]]=factor_eff_table[Service]), 0, 1), 0)),
 "-")</f>
        <v>-</v>
      </c>
      <c r="E91" s="145" t="str" cm="1">
        <f t="array" ref="E91">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1" s="145" t="str" cm="1">
        <f t="array" ref="F91">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1" s="145" t="str" cm="1">
        <f t="array" ref="G91">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1"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1"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INDEX((standard_components_197[[#This Row],[Component]]=factor_eff_table[Component])*(standard_components_197[[#This Row],[Service]]=factor_eff_table[Service]), 0, 1), 0)),
 "-")</f>
        <v>-</v>
      </c>
      <c r="E92" s="145" t="str" cm="1">
        <f t="array" ref="E92">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2" s="145" t="str" cm="1">
        <f t="array" ref="F92">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2" s="145" t="str" cm="1">
        <f t="array" ref="G92">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2"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2"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INDEX((standard_components_197[[#This Row],[Component]]=factor_eff_table[Component])*(standard_components_197[[#This Row],[Service]]=factor_eff_table[Service]), 0, 1), 0)),
 "-")</f>
        <v>-</v>
      </c>
      <c r="E93" s="145" t="str" cm="1">
        <f t="array" ref="E93">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3" s="145" t="str" cm="1">
        <f t="array" ref="F93">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3" s="145" t="str" cm="1">
        <f t="array" ref="G93">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3"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3"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INDEX((standard_components_197[[#This Row],[Component]]=factor_eff_table[Component])*(standard_components_197[[#This Row],[Service]]=factor_eff_table[Service]), 0, 1), 0)),
 "-")</f>
        <v>-</v>
      </c>
      <c r="E94" s="145" t="str" cm="1">
        <f t="array" ref="E94">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4" s="145" t="str" cm="1">
        <f t="array" ref="F94">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4" s="145" t="str" cm="1">
        <f t="array" ref="G94">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4"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4"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INDEX((standard_components_197[[#This Row],[Component]]=factor_eff_table[Component])*(standard_components_197[[#This Row],[Service]]=factor_eff_table[Service]), 0, 1), 0)),
 "-")</f>
        <v>-</v>
      </c>
      <c r="E95" s="145" t="str" cm="1">
        <f t="array" ref="E95">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5" s="145" t="str" cm="1">
        <f t="array" ref="F95">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5" s="145" t="str" cm="1">
        <f t="array" ref="G95">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5"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5"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INDEX((standard_components_197[[#This Row],[Component]]=factor_eff_table[Component])*(standard_components_197[[#This Row],[Service]]=factor_eff_table[Service]), 0, 1), 0)),
 "-")</f>
        <v>-</v>
      </c>
      <c r="E96" s="145" t="str" cm="1">
        <f t="array" ref="E96">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6" s="145" t="str" cm="1">
        <f t="array" ref="F96">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6" s="145" t="str" cm="1">
        <f t="array" ref="G96">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6"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6"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INDEX((standard_components_197[[#This Row],[Component]]=factor_eff_table[Component])*(standard_components_197[[#This Row],[Service]]=factor_eff_table[Service]), 0, 1), 0)),
 "-")</f>
        <v>-</v>
      </c>
      <c r="E97" s="145" t="str" cm="1">
        <f t="array" ref="E97">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7" s="145" t="str" cm="1">
        <f t="array" ref="F97">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7" s="145" t="str" cm="1">
        <f t="array" ref="G97">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7"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7"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INDEX((standard_components_197[[#This Row],[Component]]=factor_eff_table[Component])*(standard_components_197[[#This Row],[Service]]=factor_eff_table[Service]), 0, 1), 0)),
 "-")</f>
        <v>-</v>
      </c>
      <c r="E98" s="145" t="str" cm="1">
        <f t="array" ref="E98">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8" s="145" t="str" cm="1">
        <f t="array" ref="F98">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8" s="145" t="str" cm="1">
        <f t="array" ref="G98">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8"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8"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INDEX((standard_components_197[[#This Row],[Component]]=factor_eff_table[Component])*(standard_components_197[[#This Row],[Service]]=factor_eff_table[Service]), 0, 1), 0)),
 "-")</f>
        <v>-</v>
      </c>
      <c r="E99" s="145" t="str" cm="1">
        <f t="array" ref="E99">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99" s="145" t="str" cm="1">
        <f t="array" ref="F99">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99" s="145" t="str" cm="1">
        <f t="array" ref="G99">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99"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99"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INDEX((standard_components_197[[#This Row],[Component]]=factor_eff_table[Component])*(standard_components_197[[#This Row],[Service]]=factor_eff_table[Service]), 0, 1), 0)),
 "-")</f>
        <v>-</v>
      </c>
      <c r="E100" s="145" t="str" cm="1">
        <f t="array" ref="E100">IF(AND(process_drain_bool="Yes",LEFT(standard_components_197[[#This Row],[Component]], LEN("Process drains"))="Process Drains", ISBLANK(instrument_ldar)=FALSE), process_drain_eff,
IFERROR(
INDEX(
INDEX(factor_eff_table[], , MATCH(instrument_ldar, factor_eff_table[#Headers], 0)),
MATCH(1, INDEX((standard_components_197[[#This Row],[Component]]=factor_eff_table[Component])*(standard_components_197[[#This Row],[Service]]=factor_eff_table[Service]), 0, 1), 0)),
 "-"))</f>
        <v>-</v>
      </c>
      <c r="F100" s="145" t="str" cm="1">
        <f t="array" ref="F100">IF(AND(process_drain_bool="Yes",LEFT(standard_components_197[[#This Row],[Component]], LEN("Process drains"))="Process Drains", ISBLANK(connector_ldar)=FALSE), process_drain_eff,
IFERROR(
INDEX(
INDEX(factor_eff_table[], , MATCH(connector_ldar, factor_eff_table[#Headers], 0)),
MATCH(1, INDEX((standard_components_197[[#This Row],[Component]]=factor_eff_table[Component])*(standard_components_197[[#This Row],[Service]]=factor_eff_table[Service]), 0, 1), 0)),
 "-"))</f>
        <v>-</v>
      </c>
      <c r="G100" s="145" t="str" cm="1">
        <f t="array" ref="G100">IF(AND(process_drain_bool="Yes",LEFT(standard_components_197[[#This Row],[Component]], LEN("Process Drains"))="Process Drains", ISBLANK(inspection_ldar)=FALSE), process_drain_eff,
IFERROR(
INDEX(
INDEX(factor_eff_table[], , MATCH(inspection_ldar, factor_eff_table[#Headers], 0)),
MATCH(1, INDEX((standard_components_197[[#This Row],[Component]]=factor_eff_table[Component])*(standard_components_197[[#This Row],[Service]]=factor_eff_table[Service]), 0, 1), 0)),
 "-"))</f>
        <v>-</v>
      </c>
      <c r="H100" s="146" t="str">
        <f>IF(standard_components_197[[#This Row],[Component]]="Sampling Connections (annual) [2]", "N/A",
 IF(standard_components_197[[#This Row],[Component]]="Sampling Connections (hourly) [1]", standard_components_197[[#This Row],[Count]]*standard_components_197[[#This Row],[Industry Emission Factor]],
IFERROR(standard_components_197[[#This Row],[Count]]*standard_components_197[[#This Row],[Industry Emission Factor]]*MIN(1-standard_components_197[[#This Row],[Instrument Monitoring LDAR Control Efficiency]], 1-standard_components_197[[#This Row],[Physical Inspection LDAR Control Efficiency]], 1-standard_components_197[[#This Row],[Connector Monitoring LDAR Control Efficiency]]), "-")))</f>
        <v>-</v>
      </c>
      <c r="I100" s="146" t="str">
        <f>IF(standard_components_197[[#This Row],[Component]]="Sampling Connections (hourly) [1]", "N/A",
 IF(standard_components_197[[#This Row],[Component]]="Sampling Connections (annual) [2]", standard_components_197[[#This Row],[Count]]*standard_components_197[[#This Row],[Industry Emission Factor]]/stons_to_lbs,
 IFERROR(years_to_hrs/stons_to_lbs*standard_components_197[[#This Row],[Controlled
lb/hr]], "-")))</f>
        <v>-</v>
      </c>
    </row>
    <row r="101" spans="1:9" ht="15" x14ac:dyDescent="0.25">
      <c r="A101" s="147" t="s">
        <v>12776</v>
      </c>
      <c r="B101" s="148"/>
      <c r="C101" s="149">
        <f>SUBTOTAL(109,standard_components_197[Count])</f>
        <v>0</v>
      </c>
      <c r="D101" s="150"/>
      <c r="E101" s="150"/>
      <c r="F101" s="150"/>
      <c r="G101" s="150"/>
      <c r="H101" s="151">
        <f>SUBTOTAL(109,standard_components_197[Controlled
lb/hr])</f>
        <v>0</v>
      </c>
      <c r="I101" s="151">
        <f>SUBTOTAL(109,standard_components_197[Controlled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unique_components_198[[#This Row],[Count]]*unique_components_198[[#This Row],[Proposed Emission Factor]]*(1-unique_components_198[[#This Row],[Proposed Control Efficiency]])</f>
        <v>0</v>
      </c>
      <c r="G107" s="155">
        <f>IFERROR(unique_components_198[[#This Row],[Controlled lb/hr]]*4.38,"")</f>
        <v>0</v>
      </c>
    </row>
    <row r="108" spans="1:9" x14ac:dyDescent="0.2">
      <c r="A108" s="103"/>
      <c r="B108" s="104"/>
      <c r="C108" s="153"/>
      <c r="D108" s="154"/>
      <c r="E108" s="154"/>
      <c r="F108" s="146">
        <f>unique_components_198[[#This Row],[Count]]*unique_components_198[[#This Row],[Proposed Emission Factor]]*(1-unique_components_198[[#This Row],[Proposed Control Efficiency]])</f>
        <v>0</v>
      </c>
      <c r="G108" s="155">
        <f>IFERROR(unique_components_198[[#This Row],[Controlled lb/hr]]*4.38,"")</f>
        <v>0</v>
      </c>
    </row>
    <row r="109" spans="1:9" x14ac:dyDescent="0.2">
      <c r="A109" s="103"/>
      <c r="B109" s="104"/>
      <c r="C109" s="153"/>
      <c r="D109" s="154"/>
      <c r="E109" s="154"/>
      <c r="F109" s="146">
        <f>unique_components_198[[#This Row],[Count]]*unique_components_198[[#This Row],[Proposed Emission Factor]]*(1-unique_components_198[[#This Row],[Proposed Control Efficiency]])</f>
        <v>0</v>
      </c>
      <c r="G109" s="155">
        <f>IFERROR(unique_components_198[[#This Row],[Controlled lb/hr]]*4.38,"")</f>
        <v>0</v>
      </c>
    </row>
    <row r="110" spans="1:9" x14ac:dyDescent="0.2">
      <c r="A110" s="103"/>
      <c r="B110" s="104"/>
      <c r="C110" s="153"/>
      <c r="D110" s="154"/>
      <c r="E110" s="154"/>
      <c r="F110" s="146">
        <f>unique_components_198[[#This Row],[Count]]*unique_components_198[[#This Row],[Proposed Emission Factor]]*(1-unique_components_198[[#This Row],[Proposed Control Efficiency]])</f>
        <v>0</v>
      </c>
      <c r="G110" s="155">
        <f>IFERROR(unique_components_198[[#This Row],[Controlled lb/hr]]*4.38,"")</f>
        <v>0</v>
      </c>
    </row>
    <row r="111" spans="1:9" x14ac:dyDescent="0.2">
      <c r="A111" s="103"/>
      <c r="B111" s="104"/>
      <c r="C111" s="153"/>
      <c r="D111" s="154"/>
      <c r="E111" s="154"/>
      <c r="F111" s="146">
        <f>unique_components_198[[#This Row],[Count]]*unique_components_198[[#This Row],[Proposed Emission Factor]]*(1-unique_components_198[[#This Row],[Proposed Control Efficiency]])</f>
        <v>0</v>
      </c>
      <c r="G111" s="155">
        <f>IFERROR(unique_components_198[[#This Row],[Controlled lb/hr]]*4.38,"")</f>
        <v>0</v>
      </c>
    </row>
    <row r="112" spans="1:9" x14ac:dyDescent="0.2">
      <c r="A112" s="103"/>
      <c r="B112" s="104"/>
      <c r="C112" s="153"/>
      <c r="D112" s="154"/>
      <c r="E112" s="154"/>
      <c r="F112" s="146">
        <f>unique_components_198[[#This Row],[Count]]*unique_components_198[[#This Row],[Proposed Emission Factor]]*(1-unique_components_198[[#This Row],[Proposed Control Efficiency]])</f>
        <v>0</v>
      </c>
      <c r="G112" s="155">
        <f>IFERROR(unique_components_198[[#This Row],[Controlled lb/hr]]*4.38,"")</f>
        <v>0</v>
      </c>
    </row>
    <row r="113" spans="1:8" x14ac:dyDescent="0.2">
      <c r="A113" s="103"/>
      <c r="B113" s="104"/>
      <c r="C113" s="153"/>
      <c r="D113" s="154"/>
      <c r="E113" s="154"/>
      <c r="F113" s="146">
        <f>unique_components_198[[#This Row],[Count]]*unique_components_198[[#This Row],[Proposed Emission Factor]]*(1-unique_components_198[[#This Row],[Proposed Control Efficiency]])</f>
        <v>0</v>
      </c>
      <c r="G113" s="155">
        <f>IFERROR(unique_components_198[[#This Row],[Controlled lb/hr]]*4.38,"")</f>
        <v>0</v>
      </c>
    </row>
    <row r="114" spans="1:8" x14ac:dyDescent="0.2">
      <c r="A114" s="103"/>
      <c r="B114" s="104"/>
      <c r="C114" s="153"/>
      <c r="D114" s="154"/>
      <c r="E114" s="154"/>
      <c r="F114" s="146">
        <f>unique_components_198[[#This Row],[Count]]*unique_components_198[[#This Row],[Proposed Emission Factor]]*(1-unique_components_198[[#This Row],[Proposed Control Efficiency]])</f>
        <v>0</v>
      </c>
      <c r="G114" s="155">
        <f>IFERROR(unique_components_198[[#This Row],[Controlled lb/hr]]*4.38,"")</f>
        <v>0</v>
      </c>
    </row>
    <row r="115" spans="1:8" x14ac:dyDescent="0.2">
      <c r="A115" s="103"/>
      <c r="B115" s="104"/>
      <c r="C115" s="153"/>
      <c r="D115" s="154"/>
      <c r="E115" s="154"/>
      <c r="F115" s="146">
        <f>unique_components_198[[#This Row],[Count]]*unique_components_198[[#This Row],[Proposed Emission Factor]]*(1-unique_components_198[[#This Row],[Proposed Control Efficiency]])</f>
        <v>0</v>
      </c>
      <c r="G115" s="155">
        <f>IFERROR(unique_components_198[[#This Row],[Controlled lb/hr]]*4.38,"")</f>
        <v>0</v>
      </c>
    </row>
    <row r="116" spans="1:8" x14ac:dyDescent="0.2">
      <c r="A116" s="103"/>
      <c r="B116" s="104"/>
      <c r="C116" s="153"/>
      <c r="D116" s="154"/>
      <c r="E116" s="154"/>
      <c r="F116" s="146">
        <f>unique_components_198[[#This Row],[Count]]*unique_components_198[[#This Row],[Proposed Emission Factor]]*(1-unique_components_198[[#This Row],[Proposed Control Efficiency]])</f>
        <v>0</v>
      </c>
      <c r="G116" s="155">
        <f>IFERROR(unique_components_198[[#This Row],[Controlled lb/hr]]*4.38,"")</f>
        <v>0</v>
      </c>
    </row>
    <row r="117" spans="1:8" x14ac:dyDescent="0.2">
      <c r="A117" s="103"/>
      <c r="B117" s="104"/>
      <c r="C117" s="153"/>
      <c r="D117" s="154"/>
      <c r="E117" s="154"/>
      <c r="F117" s="146">
        <f>unique_components_198[[#This Row],[Count]]*unique_components_198[[#This Row],[Proposed Emission Factor]]*(1-unique_components_198[[#This Row],[Proposed Control Efficiency]])</f>
        <v>0</v>
      </c>
      <c r="G117" s="155">
        <f>IFERROR(unique_components_198[[#This Row],[Controlled lb/hr]]*4.38,"")</f>
        <v>0</v>
      </c>
    </row>
    <row r="118" spans="1:8" x14ac:dyDescent="0.2">
      <c r="A118" s="103"/>
      <c r="B118" s="104"/>
      <c r="C118" s="153"/>
      <c r="D118" s="154"/>
      <c r="E118" s="154"/>
      <c r="F118" s="146">
        <f>unique_components_198[[#This Row],[Count]]*unique_components_198[[#This Row],[Proposed Emission Factor]]*(1-unique_components_198[[#This Row],[Proposed Control Efficiency]])</f>
        <v>0</v>
      </c>
      <c r="G118" s="155">
        <f>IFERROR(unique_components_198[[#This Row],[Controlled lb/hr]]*4.38,"")</f>
        <v>0</v>
      </c>
    </row>
    <row r="119" spans="1:8" x14ac:dyDescent="0.2">
      <c r="A119" s="103"/>
      <c r="B119" s="104"/>
      <c r="C119" s="153"/>
      <c r="D119" s="154"/>
      <c r="E119" s="154"/>
      <c r="F119" s="146">
        <f>unique_components_198[[#This Row],[Count]]*unique_components_198[[#This Row],[Proposed Emission Factor]]*(1-unique_components_198[[#This Row],[Proposed Control Efficiency]])</f>
        <v>0</v>
      </c>
      <c r="G119" s="155">
        <f>IFERROR(unique_components_198[[#This Row],[Controlled lb/hr]]*4.38,"")</f>
        <v>0</v>
      </c>
    </row>
    <row r="120" spans="1:8" x14ac:dyDescent="0.2">
      <c r="A120" s="103"/>
      <c r="B120" s="104"/>
      <c r="C120" s="153"/>
      <c r="D120" s="154"/>
      <c r="E120" s="154"/>
      <c r="F120" s="146">
        <f>unique_components_198[[#This Row],[Count]]*unique_components_198[[#This Row],[Proposed Emission Factor]]*(1-unique_components_198[[#This Row],[Proposed Control Efficiency]])</f>
        <v>0</v>
      </c>
      <c r="G120" s="155">
        <f>IFERROR(unique_components_198[[#This Row],[Controlled lb/hr]]*4.38,"")</f>
        <v>0</v>
      </c>
    </row>
    <row r="121" spans="1:8" x14ac:dyDescent="0.2">
      <c r="A121" s="103"/>
      <c r="B121" s="104"/>
      <c r="C121" s="153"/>
      <c r="D121" s="154"/>
      <c r="E121" s="154"/>
      <c r="F121" s="146">
        <f>unique_components_198[[#This Row],[Count]]*unique_components_198[[#This Row],[Proposed Emission Factor]]*(1-unique_components_198[[#This Row],[Proposed Control Efficiency]])</f>
        <v>0</v>
      </c>
      <c r="G121" s="155">
        <f>IFERROR(unique_components_198[[#This Row],[Controlled lb/hr]]*4.38,"")</f>
        <v>0</v>
      </c>
    </row>
    <row r="122" spans="1:8" x14ac:dyDescent="0.2">
      <c r="A122" s="103"/>
      <c r="B122" s="104"/>
      <c r="C122" s="153"/>
      <c r="D122" s="154"/>
      <c r="E122" s="154"/>
      <c r="F122" s="146">
        <f>unique_components_198[[#This Row],[Count]]*unique_components_198[[#This Row],[Proposed Emission Factor]]*(1-unique_components_198[[#This Row],[Proposed Control Efficiency]])</f>
        <v>0</v>
      </c>
      <c r="G122" s="155">
        <f>IFERROR(unique_components_198[[#This Row],[Controlled lb/hr]]*4.38,"")</f>
        <v>0</v>
      </c>
    </row>
    <row r="123" spans="1:8" x14ac:dyDescent="0.2">
      <c r="A123" s="103"/>
      <c r="B123" s="104"/>
      <c r="C123" s="153"/>
      <c r="D123" s="154"/>
      <c r="E123" s="154"/>
      <c r="F123" s="146">
        <f>unique_components_198[[#This Row],[Count]]*unique_components_198[[#This Row],[Proposed Emission Factor]]*(1-unique_components_198[[#This Row],[Proposed Control Efficiency]])</f>
        <v>0</v>
      </c>
      <c r="G123" s="155">
        <f>IFERROR(unique_components_198[[#This Row],[Controlled lb/hr]]*4.38,"")</f>
        <v>0</v>
      </c>
    </row>
    <row r="124" spans="1:8" x14ac:dyDescent="0.2">
      <c r="A124" s="103"/>
      <c r="B124" s="104"/>
      <c r="C124" s="153"/>
      <c r="D124" s="154"/>
      <c r="E124" s="154"/>
      <c r="F124" s="146">
        <f>unique_components_198[[#This Row],[Count]]*unique_components_198[[#This Row],[Proposed Emission Factor]]*(1-unique_components_198[[#This Row],[Proposed Control Efficiency]])</f>
        <v>0</v>
      </c>
      <c r="G124" s="155">
        <f>IFERROR(unique_components_198[[#This Row],[Controlled lb/hr]]*4.38,"")</f>
        <v>0</v>
      </c>
    </row>
    <row r="125" spans="1:8" x14ac:dyDescent="0.2">
      <c r="A125" s="103"/>
      <c r="B125" s="104"/>
      <c r="C125" s="153"/>
      <c r="D125" s="154"/>
      <c r="E125" s="154"/>
      <c r="F125" s="146">
        <f>unique_components_198[[#This Row],[Count]]*unique_components_198[[#This Row],[Proposed Emission Factor]]*(1-unique_components_198[[#This Row],[Proposed Control Efficiency]])</f>
        <v>0</v>
      </c>
      <c r="G125" s="155">
        <f>IFERROR(unique_components_198[[#This Row],[Controlled lb/hr]]*4.38,"")</f>
        <v>0</v>
      </c>
    </row>
    <row r="126" spans="1:8" x14ac:dyDescent="0.2">
      <c r="A126" s="105"/>
      <c r="B126" s="106"/>
      <c r="C126" s="156"/>
      <c r="D126" s="154"/>
      <c r="E126" s="157"/>
      <c r="F126" s="158">
        <f>unique_components_198[[#This Row],[Count]]*unique_components_198[[#This Row],[Proposed Emission Factor]]*(1-unique_components_198[[#This Row],[Proposed Control Efficiency]])</f>
        <v>0</v>
      </c>
      <c r="G126" s="159">
        <f>IFERROR(unique_components_198[[#This Row],[Controlled lb/hr]]*4.38,"")</f>
        <v>0</v>
      </c>
    </row>
    <row r="127" spans="1:8" ht="30" x14ac:dyDescent="0.2">
      <c r="A127" s="57" t="s">
        <v>13297</v>
      </c>
      <c r="B127" s="54"/>
      <c r="C127" s="160">
        <f>SUBTOTAL(109,unique_components_198[Count])</f>
        <v>0</v>
      </c>
      <c r="D127" s="161"/>
      <c r="E127" s="161"/>
      <c r="F127" s="162">
        <f>SUBTOTAL(109,unique_components_198[Controlled lb/hr])</f>
        <v>0</v>
      </c>
      <c r="G127" s="162">
        <f>SUBTOTAL(109,unique_components_198[Controlled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IFERROR(VLOOKUP(speciated_chemicals_199[[#This Row],[CAS '#]],species[],MATCH("Substance", species[#Headers], 0),FALSE),"No CAS Number Entered")</f>
        <v>No CAS Number Entered</v>
      </c>
      <c r="C131" s="102"/>
      <c r="D131" s="102" t="s">
        <v>12666</v>
      </c>
      <c r="E131" s="102" t="s">
        <v>12666</v>
      </c>
      <c r="F131" s="102" t="s">
        <v>12666</v>
      </c>
      <c r="G131" s="102" t="s">
        <v>12666</v>
      </c>
      <c r="H131" s="164"/>
      <c r="I131" s="51">
        <f>IF(speciated_chemicals_199[[#This Row],[Inert / Not a Contaminant?]]="Yes", 0, speciated_chemicals_199[[#This Row],[Weight Percent]]*(unique_components_198[[#Totals],[Controlled lb/hr]]+standard_components_197[[#Totals],[Controlled
lb/hr]]))</f>
        <v>0</v>
      </c>
      <c r="J131" s="51">
        <f>IF(speciated_chemicals_199[[#This Row],[Inert / Not a Contaminant?]]="Yes", 0, speciated_chemicals_199[[#This Row],[Weight Percent]]*(unique_components_198[[#Totals],[Controlled
tpy]]+standard_components_197[[#Totals],[Controlled
tpy]]))</f>
        <v>0</v>
      </c>
    </row>
    <row r="132" spans="1:10" x14ac:dyDescent="0.2">
      <c r="A132" s="103"/>
      <c r="B132" s="51" t="str">
        <f>IFERROR(VLOOKUP(speciated_chemicals_199[[#This Row],[CAS '#]],species[],MATCH("Substance", species[#Headers], 0),FALSE),"No CAS Number Entered")</f>
        <v>No CAS Number Entered</v>
      </c>
      <c r="C132" s="102"/>
      <c r="D132" s="102" t="s">
        <v>12666</v>
      </c>
      <c r="E132" s="102" t="s">
        <v>12666</v>
      </c>
      <c r="F132" s="102" t="s">
        <v>12666</v>
      </c>
      <c r="G132" s="102" t="s">
        <v>12666</v>
      </c>
      <c r="H132" s="164"/>
      <c r="I132" s="51">
        <f>IF(speciated_chemicals_199[[#This Row],[Inert / Not a Contaminant?]]="Yes", 0, speciated_chemicals_199[[#This Row],[Weight Percent]]*(unique_components_198[[#Totals],[Controlled lb/hr]]+standard_components_197[[#Totals],[Controlled
lb/hr]]))</f>
        <v>0</v>
      </c>
      <c r="J132" s="51">
        <f>IF(speciated_chemicals_199[[#This Row],[Inert / Not a Contaminant?]]="Yes", 0, speciated_chemicals_199[[#This Row],[Weight Percent]]*(unique_components_198[[#Totals],[Controlled
tpy]]+standard_components_197[[#Totals],[Controlled
tpy]]))</f>
        <v>0</v>
      </c>
    </row>
    <row r="133" spans="1:10" x14ac:dyDescent="0.2">
      <c r="A133" s="103"/>
      <c r="B133" s="51" t="str">
        <f>IFERROR(VLOOKUP(speciated_chemicals_199[[#This Row],[CAS '#]],species[],MATCH("Substance", species[#Headers], 0),FALSE),"No CAS Number Entered")</f>
        <v>No CAS Number Entered</v>
      </c>
      <c r="C133" s="102"/>
      <c r="D133" s="102" t="s">
        <v>12666</v>
      </c>
      <c r="E133" s="102" t="s">
        <v>12666</v>
      </c>
      <c r="F133" s="102" t="s">
        <v>12666</v>
      </c>
      <c r="G133" s="102" t="s">
        <v>12666</v>
      </c>
      <c r="H133" s="164"/>
      <c r="I133" s="51">
        <f>IF(speciated_chemicals_199[[#This Row],[Inert / Not a Contaminant?]]="Yes", 0, speciated_chemicals_199[[#This Row],[Weight Percent]]*(unique_components_198[[#Totals],[Controlled lb/hr]]+standard_components_197[[#Totals],[Controlled
lb/hr]]))</f>
        <v>0</v>
      </c>
      <c r="J133" s="51">
        <f>IF(speciated_chemicals_199[[#This Row],[Inert / Not a Contaminant?]]="Yes", 0, speciated_chemicals_199[[#This Row],[Weight Percent]]*(unique_components_198[[#Totals],[Controlled
tpy]]+standard_components_197[[#Totals],[Controlled
tpy]]))</f>
        <v>0</v>
      </c>
    </row>
    <row r="134" spans="1:10" x14ac:dyDescent="0.2">
      <c r="A134" s="103"/>
      <c r="B134" s="51" t="str">
        <f>IFERROR(VLOOKUP(speciated_chemicals_199[[#This Row],[CAS '#]],species[],MATCH("Substance", species[#Headers], 0),FALSE),"No CAS Number Entered")</f>
        <v>No CAS Number Entered</v>
      </c>
      <c r="C134" s="102"/>
      <c r="D134" s="102" t="s">
        <v>12666</v>
      </c>
      <c r="E134" s="102" t="s">
        <v>12666</v>
      </c>
      <c r="F134" s="102" t="s">
        <v>12666</v>
      </c>
      <c r="G134" s="102" t="s">
        <v>12666</v>
      </c>
      <c r="H134" s="164"/>
      <c r="I134" s="51">
        <f>IF(speciated_chemicals_199[[#This Row],[Inert / Not a Contaminant?]]="Yes", 0, speciated_chemicals_199[[#This Row],[Weight Percent]]*(unique_components_198[[#Totals],[Controlled lb/hr]]+standard_components_197[[#Totals],[Controlled
lb/hr]]))</f>
        <v>0</v>
      </c>
      <c r="J134" s="51">
        <f>IF(speciated_chemicals_199[[#This Row],[Inert / Not a Contaminant?]]="Yes", 0, speciated_chemicals_199[[#This Row],[Weight Percent]]*(unique_components_198[[#Totals],[Controlled
tpy]]+standard_components_197[[#Totals],[Controlled
tpy]]))</f>
        <v>0</v>
      </c>
    </row>
    <row r="135" spans="1:10" x14ac:dyDescent="0.2">
      <c r="A135" s="103"/>
      <c r="B135" s="51" t="str">
        <f>IFERROR(VLOOKUP(speciated_chemicals_199[[#This Row],[CAS '#]],species[],MATCH("Substance", species[#Headers], 0),FALSE),"No CAS Number Entered")</f>
        <v>No CAS Number Entered</v>
      </c>
      <c r="C135" s="102"/>
      <c r="D135" s="102" t="s">
        <v>12666</v>
      </c>
      <c r="E135" s="102" t="s">
        <v>12666</v>
      </c>
      <c r="F135" s="102" t="s">
        <v>12666</v>
      </c>
      <c r="G135" s="102" t="s">
        <v>12666</v>
      </c>
      <c r="H135" s="164"/>
      <c r="I135" s="51">
        <f>IF(speciated_chemicals_199[[#This Row],[Inert / Not a Contaminant?]]="Yes", 0, speciated_chemicals_199[[#This Row],[Weight Percent]]*(unique_components_198[[#Totals],[Controlled lb/hr]]+standard_components_197[[#Totals],[Controlled
lb/hr]]))</f>
        <v>0</v>
      </c>
      <c r="J135" s="51">
        <f>IF(speciated_chemicals_199[[#This Row],[Inert / Not a Contaminant?]]="Yes", 0, speciated_chemicals_199[[#This Row],[Weight Percent]]*(unique_components_198[[#Totals],[Controlled
tpy]]+standard_components_197[[#Totals],[Controlled
tpy]]))</f>
        <v>0</v>
      </c>
    </row>
    <row r="136" spans="1:10" x14ac:dyDescent="0.2">
      <c r="A136" s="103"/>
      <c r="B136" s="51" t="str">
        <f>IFERROR(VLOOKUP(speciated_chemicals_199[[#This Row],[CAS '#]],species[],MATCH("Substance", species[#Headers], 0),FALSE),"No CAS Number Entered")</f>
        <v>No CAS Number Entered</v>
      </c>
      <c r="C136" s="102"/>
      <c r="D136" s="102" t="s">
        <v>12666</v>
      </c>
      <c r="E136" s="102" t="s">
        <v>12666</v>
      </c>
      <c r="F136" s="102" t="s">
        <v>12666</v>
      </c>
      <c r="G136" s="102" t="s">
        <v>12666</v>
      </c>
      <c r="H136" s="164"/>
      <c r="I136" s="51">
        <f>IF(speciated_chemicals_199[[#This Row],[Inert / Not a Contaminant?]]="Yes", 0, speciated_chemicals_199[[#This Row],[Weight Percent]]*(unique_components_198[[#Totals],[Controlled lb/hr]]+standard_components_197[[#Totals],[Controlled
lb/hr]]))</f>
        <v>0</v>
      </c>
      <c r="J136" s="51">
        <f>IF(speciated_chemicals_199[[#This Row],[Inert / Not a Contaminant?]]="Yes", 0, speciated_chemicals_199[[#This Row],[Weight Percent]]*(unique_components_198[[#Totals],[Controlled
tpy]]+standard_components_197[[#Totals],[Controlled
tpy]]))</f>
        <v>0</v>
      </c>
    </row>
    <row r="137" spans="1:10" x14ac:dyDescent="0.2">
      <c r="A137" s="103"/>
      <c r="B137" s="51" t="str">
        <f>IFERROR(VLOOKUP(speciated_chemicals_199[[#This Row],[CAS '#]],species[],MATCH("Substance", species[#Headers], 0),FALSE),"No CAS Number Entered")</f>
        <v>No CAS Number Entered</v>
      </c>
      <c r="C137" s="102"/>
      <c r="D137" s="102" t="s">
        <v>12666</v>
      </c>
      <c r="E137" s="102" t="s">
        <v>12666</v>
      </c>
      <c r="F137" s="102" t="s">
        <v>12666</v>
      </c>
      <c r="G137" s="102" t="s">
        <v>12666</v>
      </c>
      <c r="H137" s="164"/>
      <c r="I137" s="51">
        <f>IF(speciated_chemicals_199[[#This Row],[Inert / Not a Contaminant?]]="Yes", 0, speciated_chemicals_199[[#This Row],[Weight Percent]]*(unique_components_198[[#Totals],[Controlled lb/hr]]+standard_components_197[[#Totals],[Controlled
lb/hr]]))</f>
        <v>0</v>
      </c>
      <c r="J137" s="51">
        <f>IF(speciated_chemicals_199[[#This Row],[Inert / Not a Contaminant?]]="Yes", 0, speciated_chemicals_199[[#This Row],[Weight Percent]]*(unique_components_198[[#Totals],[Controlled
tpy]]+standard_components_197[[#Totals],[Controlled
tpy]]))</f>
        <v>0</v>
      </c>
    </row>
    <row r="138" spans="1:10" x14ac:dyDescent="0.2">
      <c r="A138" s="103"/>
      <c r="B138" s="51" t="str">
        <f>IFERROR(VLOOKUP(speciated_chemicals_199[[#This Row],[CAS '#]],species[],MATCH("Substance", species[#Headers], 0),FALSE),"No CAS Number Entered")</f>
        <v>No CAS Number Entered</v>
      </c>
      <c r="C138" s="102"/>
      <c r="D138" s="102" t="s">
        <v>12666</v>
      </c>
      <c r="E138" s="102" t="s">
        <v>12666</v>
      </c>
      <c r="F138" s="102" t="s">
        <v>12666</v>
      </c>
      <c r="G138" s="102" t="s">
        <v>12666</v>
      </c>
      <c r="H138" s="164"/>
      <c r="I138" s="51">
        <f>IF(speciated_chemicals_199[[#This Row],[Inert / Not a Contaminant?]]="Yes", 0, speciated_chemicals_199[[#This Row],[Weight Percent]]*(unique_components_198[[#Totals],[Controlled lb/hr]]+standard_components_197[[#Totals],[Controlled
lb/hr]]))</f>
        <v>0</v>
      </c>
      <c r="J138" s="51">
        <f>IF(speciated_chemicals_199[[#This Row],[Inert / Not a Contaminant?]]="Yes", 0, speciated_chemicals_199[[#This Row],[Weight Percent]]*(unique_components_198[[#Totals],[Controlled
tpy]]+standard_components_197[[#Totals],[Controlled
tpy]]))</f>
        <v>0</v>
      </c>
    </row>
    <row r="139" spans="1:10" x14ac:dyDescent="0.2">
      <c r="A139" s="103"/>
      <c r="B139" s="51" t="str">
        <f>IFERROR(VLOOKUP(speciated_chemicals_199[[#This Row],[CAS '#]],species[],MATCH("Substance", species[#Headers], 0),FALSE),"No CAS Number Entered")</f>
        <v>No CAS Number Entered</v>
      </c>
      <c r="C139" s="102"/>
      <c r="D139" s="102" t="s">
        <v>12666</v>
      </c>
      <c r="E139" s="102" t="s">
        <v>12666</v>
      </c>
      <c r="F139" s="102" t="s">
        <v>12666</v>
      </c>
      <c r="G139" s="102" t="s">
        <v>12666</v>
      </c>
      <c r="H139" s="164"/>
      <c r="I139" s="51">
        <f>IF(speciated_chemicals_199[[#This Row],[Inert / Not a Contaminant?]]="Yes", 0, speciated_chemicals_199[[#This Row],[Weight Percent]]*(unique_components_198[[#Totals],[Controlled lb/hr]]+standard_components_197[[#Totals],[Controlled
lb/hr]]))</f>
        <v>0</v>
      </c>
      <c r="J139" s="51">
        <f>IF(speciated_chemicals_199[[#This Row],[Inert / Not a Contaminant?]]="Yes", 0, speciated_chemicals_199[[#This Row],[Weight Percent]]*(unique_components_198[[#Totals],[Controlled
tpy]]+standard_components_197[[#Totals],[Controlled
tpy]]))</f>
        <v>0</v>
      </c>
    </row>
    <row r="140" spans="1:10" x14ac:dyDescent="0.2">
      <c r="A140" s="103"/>
      <c r="B140" s="51" t="str">
        <f>IFERROR(VLOOKUP(speciated_chemicals_199[[#This Row],[CAS '#]],species[],MATCH("Substance", species[#Headers], 0),FALSE),"No CAS Number Entered")</f>
        <v>No CAS Number Entered</v>
      </c>
      <c r="C140" s="102"/>
      <c r="D140" s="102" t="s">
        <v>12666</v>
      </c>
      <c r="E140" s="102" t="s">
        <v>12666</v>
      </c>
      <c r="F140" s="102" t="s">
        <v>12666</v>
      </c>
      <c r="G140" s="102" t="s">
        <v>12666</v>
      </c>
      <c r="H140" s="164"/>
      <c r="I140" s="51">
        <f>IF(speciated_chemicals_199[[#This Row],[Inert / Not a Contaminant?]]="Yes", 0, speciated_chemicals_199[[#This Row],[Weight Percent]]*(unique_components_198[[#Totals],[Controlled lb/hr]]+standard_components_197[[#Totals],[Controlled
lb/hr]]))</f>
        <v>0</v>
      </c>
      <c r="J140" s="51">
        <f>IF(speciated_chemicals_199[[#This Row],[Inert / Not a Contaminant?]]="Yes", 0, speciated_chemicals_199[[#This Row],[Weight Percent]]*(unique_components_198[[#Totals],[Controlled
tpy]]+standard_components_197[[#Totals],[Controlled
tpy]]))</f>
        <v>0</v>
      </c>
    </row>
    <row r="141" spans="1:10" x14ac:dyDescent="0.2">
      <c r="A141" s="103"/>
      <c r="B141" s="51" t="str">
        <f>IFERROR(VLOOKUP(speciated_chemicals_199[[#This Row],[CAS '#]],species[],MATCH("Substance", species[#Headers], 0),FALSE),"No CAS Number Entered")</f>
        <v>No CAS Number Entered</v>
      </c>
      <c r="C141" s="102"/>
      <c r="D141" s="102" t="s">
        <v>12666</v>
      </c>
      <c r="E141" s="102" t="s">
        <v>12666</v>
      </c>
      <c r="F141" s="102" t="s">
        <v>12666</v>
      </c>
      <c r="G141" s="102" t="s">
        <v>12666</v>
      </c>
      <c r="H141" s="164"/>
      <c r="I141" s="51">
        <f>IF(speciated_chemicals_199[[#This Row],[Inert / Not a Contaminant?]]="Yes", 0, speciated_chemicals_199[[#This Row],[Weight Percent]]*(unique_components_198[[#Totals],[Controlled lb/hr]]+standard_components_197[[#Totals],[Controlled
lb/hr]]))</f>
        <v>0</v>
      </c>
      <c r="J141" s="51">
        <f>IF(speciated_chemicals_199[[#This Row],[Inert / Not a Contaminant?]]="Yes", 0, speciated_chemicals_199[[#This Row],[Weight Percent]]*(unique_components_198[[#Totals],[Controlled
tpy]]+standard_components_197[[#Totals],[Controlled
tpy]]))</f>
        <v>0</v>
      </c>
    </row>
    <row r="142" spans="1:10" x14ac:dyDescent="0.2">
      <c r="A142" s="103"/>
      <c r="B142" s="51" t="str">
        <f>IFERROR(VLOOKUP(speciated_chemicals_199[[#This Row],[CAS '#]],species[],MATCH("Substance", species[#Headers], 0),FALSE),"No CAS Number Entered")</f>
        <v>No CAS Number Entered</v>
      </c>
      <c r="C142" s="102"/>
      <c r="D142" s="102" t="s">
        <v>12666</v>
      </c>
      <c r="E142" s="102" t="s">
        <v>12666</v>
      </c>
      <c r="F142" s="102" t="s">
        <v>12666</v>
      </c>
      <c r="G142" s="102" t="s">
        <v>12666</v>
      </c>
      <c r="H142" s="164"/>
      <c r="I142" s="51">
        <f>IF(speciated_chemicals_199[[#This Row],[Inert / Not a Contaminant?]]="Yes", 0, speciated_chemicals_199[[#This Row],[Weight Percent]]*(unique_components_198[[#Totals],[Controlled lb/hr]]+standard_components_197[[#Totals],[Controlled
lb/hr]]))</f>
        <v>0</v>
      </c>
      <c r="J142" s="51">
        <f>IF(speciated_chemicals_199[[#This Row],[Inert / Not a Contaminant?]]="Yes", 0, speciated_chemicals_199[[#This Row],[Weight Percent]]*(unique_components_198[[#Totals],[Controlled
tpy]]+standard_components_197[[#Totals],[Controlled
tpy]]))</f>
        <v>0</v>
      </c>
    </row>
    <row r="143" spans="1:10" x14ac:dyDescent="0.2">
      <c r="A143" s="103"/>
      <c r="B143" s="51" t="str">
        <f>IFERROR(VLOOKUP(speciated_chemicals_199[[#This Row],[CAS '#]],species[],MATCH("Substance", species[#Headers], 0),FALSE),"No CAS Number Entered")</f>
        <v>No CAS Number Entered</v>
      </c>
      <c r="C143" s="102"/>
      <c r="D143" s="102" t="s">
        <v>12666</v>
      </c>
      <c r="E143" s="102" t="s">
        <v>12666</v>
      </c>
      <c r="F143" s="102" t="s">
        <v>12666</v>
      </c>
      <c r="G143" s="102" t="s">
        <v>12666</v>
      </c>
      <c r="H143" s="164"/>
      <c r="I143" s="51">
        <f>IF(speciated_chemicals_199[[#This Row],[Inert / Not a Contaminant?]]="Yes", 0, speciated_chemicals_199[[#This Row],[Weight Percent]]*(unique_components_198[[#Totals],[Controlled lb/hr]]+standard_components_197[[#Totals],[Controlled
lb/hr]]))</f>
        <v>0</v>
      </c>
      <c r="J143" s="51">
        <f>IF(speciated_chemicals_199[[#This Row],[Inert / Not a Contaminant?]]="Yes", 0, speciated_chemicals_199[[#This Row],[Weight Percent]]*(unique_components_198[[#Totals],[Controlled
tpy]]+standard_components_197[[#Totals],[Controlled
tpy]]))</f>
        <v>0</v>
      </c>
    </row>
    <row r="144" spans="1:10" x14ac:dyDescent="0.2">
      <c r="A144" s="103"/>
      <c r="B144" s="51" t="str">
        <f>IFERROR(VLOOKUP(speciated_chemicals_199[[#This Row],[CAS '#]],species[],MATCH("Substance", species[#Headers], 0),FALSE),"No CAS Number Entered")</f>
        <v>No CAS Number Entered</v>
      </c>
      <c r="C144" s="102"/>
      <c r="D144" s="102" t="s">
        <v>12666</v>
      </c>
      <c r="E144" s="102" t="s">
        <v>12666</v>
      </c>
      <c r="F144" s="102" t="s">
        <v>12666</v>
      </c>
      <c r="G144" s="102" t="s">
        <v>12666</v>
      </c>
      <c r="H144" s="164"/>
      <c r="I144" s="51">
        <f>IF(speciated_chemicals_199[[#This Row],[Inert / Not a Contaminant?]]="Yes", 0, speciated_chemicals_199[[#This Row],[Weight Percent]]*(unique_components_198[[#Totals],[Controlled lb/hr]]+standard_components_197[[#Totals],[Controlled
lb/hr]]))</f>
        <v>0</v>
      </c>
      <c r="J144" s="51">
        <f>IF(speciated_chemicals_199[[#This Row],[Inert / Not a Contaminant?]]="Yes", 0, speciated_chemicals_199[[#This Row],[Weight Percent]]*(unique_components_198[[#Totals],[Controlled
tpy]]+standard_components_197[[#Totals],[Controlled
tpy]]))</f>
        <v>0</v>
      </c>
    </row>
    <row r="145" spans="1:10" x14ac:dyDescent="0.2">
      <c r="A145" s="103"/>
      <c r="B145" s="51" t="str">
        <f>IFERROR(VLOOKUP(speciated_chemicals_199[[#This Row],[CAS '#]],species[],MATCH("Substance", species[#Headers], 0),FALSE),"No CAS Number Entered")</f>
        <v>No CAS Number Entered</v>
      </c>
      <c r="C145" s="102"/>
      <c r="D145" s="102" t="s">
        <v>12666</v>
      </c>
      <c r="E145" s="102" t="s">
        <v>12666</v>
      </c>
      <c r="F145" s="102" t="s">
        <v>12666</v>
      </c>
      <c r="G145" s="102" t="s">
        <v>12666</v>
      </c>
      <c r="H145" s="164"/>
      <c r="I145" s="51">
        <f>IF(speciated_chemicals_199[[#This Row],[Inert / Not a Contaminant?]]="Yes", 0, speciated_chemicals_199[[#This Row],[Weight Percent]]*(unique_components_198[[#Totals],[Controlled lb/hr]]+standard_components_197[[#Totals],[Controlled
lb/hr]]))</f>
        <v>0</v>
      </c>
      <c r="J145" s="51">
        <f>IF(speciated_chemicals_199[[#This Row],[Inert / Not a Contaminant?]]="Yes", 0, speciated_chemicals_199[[#This Row],[Weight Percent]]*(unique_components_198[[#Totals],[Controlled
tpy]]+standard_components_197[[#Totals],[Controlled
tpy]]))</f>
        <v>0</v>
      </c>
    </row>
    <row r="146" spans="1:10" x14ac:dyDescent="0.2">
      <c r="A146" s="103"/>
      <c r="B146" s="51" t="str">
        <f>IFERROR(VLOOKUP(speciated_chemicals_199[[#This Row],[CAS '#]],species[],MATCH("Substance", species[#Headers], 0),FALSE),"No CAS Number Entered")</f>
        <v>No CAS Number Entered</v>
      </c>
      <c r="C146" s="102"/>
      <c r="D146" s="102" t="s">
        <v>12666</v>
      </c>
      <c r="E146" s="102" t="s">
        <v>12666</v>
      </c>
      <c r="F146" s="102" t="s">
        <v>12666</v>
      </c>
      <c r="G146" s="102" t="s">
        <v>12666</v>
      </c>
      <c r="H146" s="164"/>
      <c r="I146" s="51">
        <f>IF(speciated_chemicals_199[[#This Row],[Inert / Not a Contaminant?]]="Yes", 0, speciated_chemicals_199[[#This Row],[Weight Percent]]*(unique_components_198[[#Totals],[Controlled lb/hr]]+standard_components_197[[#Totals],[Controlled
lb/hr]]))</f>
        <v>0</v>
      </c>
      <c r="J146" s="51">
        <f>IF(speciated_chemicals_199[[#This Row],[Inert / Not a Contaminant?]]="Yes", 0, speciated_chemicals_199[[#This Row],[Weight Percent]]*(unique_components_198[[#Totals],[Controlled
tpy]]+standard_components_197[[#Totals],[Controlled
tpy]]))</f>
        <v>0</v>
      </c>
    </row>
    <row r="147" spans="1:10" x14ac:dyDescent="0.2">
      <c r="A147" s="103"/>
      <c r="B147" s="51" t="str">
        <f>IFERROR(VLOOKUP(speciated_chemicals_199[[#This Row],[CAS '#]],species[],MATCH("Substance", species[#Headers], 0),FALSE),"No CAS Number Entered")</f>
        <v>No CAS Number Entered</v>
      </c>
      <c r="C147" s="102"/>
      <c r="D147" s="102" t="s">
        <v>12666</v>
      </c>
      <c r="E147" s="102" t="s">
        <v>12666</v>
      </c>
      <c r="F147" s="102" t="s">
        <v>12666</v>
      </c>
      <c r="G147" s="102" t="s">
        <v>12666</v>
      </c>
      <c r="H147" s="164"/>
      <c r="I147" s="51">
        <f>IF(speciated_chemicals_199[[#This Row],[Inert / Not a Contaminant?]]="Yes", 0, speciated_chemicals_199[[#This Row],[Weight Percent]]*(unique_components_198[[#Totals],[Controlled lb/hr]]+standard_components_197[[#Totals],[Controlled
lb/hr]]))</f>
        <v>0</v>
      </c>
      <c r="J147" s="51">
        <f>IF(speciated_chemicals_199[[#This Row],[Inert / Not a Contaminant?]]="Yes", 0, speciated_chemicals_199[[#This Row],[Weight Percent]]*(unique_components_198[[#Totals],[Controlled
tpy]]+standard_components_197[[#Totals],[Controlled
tpy]]))</f>
        <v>0</v>
      </c>
    </row>
    <row r="148" spans="1:10" x14ac:dyDescent="0.2">
      <c r="A148" s="103"/>
      <c r="B148" s="51" t="str">
        <f>IFERROR(VLOOKUP(speciated_chemicals_199[[#This Row],[CAS '#]],species[],MATCH("Substance", species[#Headers], 0),FALSE),"No CAS Number Entered")</f>
        <v>No CAS Number Entered</v>
      </c>
      <c r="C148" s="102"/>
      <c r="D148" s="102" t="s">
        <v>12666</v>
      </c>
      <c r="E148" s="102" t="s">
        <v>12666</v>
      </c>
      <c r="F148" s="102" t="s">
        <v>12666</v>
      </c>
      <c r="G148" s="102" t="s">
        <v>12666</v>
      </c>
      <c r="H148" s="164"/>
      <c r="I148" s="51">
        <f>IF(speciated_chemicals_199[[#This Row],[Inert / Not a Contaminant?]]="Yes", 0, speciated_chemicals_199[[#This Row],[Weight Percent]]*(unique_components_198[[#Totals],[Controlled lb/hr]]+standard_components_197[[#Totals],[Controlled
lb/hr]]))</f>
        <v>0</v>
      </c>
      <c r="J148" s="51">
        <f>IF(speciated_chemicals_199[[#This Row],[Inert / Not a Contaminant?]]="Yes", 0, speciated_chemicals_199[[#This Row],[Weight Percent]]*(unique_components_198[[#Totals],[Controlled
tpy]]+standard_components_197[[#Totals],[Controlled
tpy]]))</f>
        <v>0</v>
      </c>
    </row>
    <row r="149" spans="1:10" x14ac:dyDescent="0.2">
      <c r="A149" s="103"/>
      <c r="B149" s="51" t="str">
        <f>IFERROR(VLOOKUP(speciated_chemicals_199[[#This Row],[CAS '#]],species[],MATCH("Substance", species[#Headers], 0),FALSE),"No CAS Number Entered")</f>
        <v>No CAS Number Entered</v>
      </c>
      <c r="C149" s="102"/>
      <c r="D149" s="102" t="s">
        <v>12666</v>
      </c>
      <c r="E149" s="102" t="s">
        <v>12666</v>
      </c>
      <c r="F149" s="102" t="s">
        <v>12666</v>
      </c>
      <c r="G149" s="102" t="s">
        <v>12666</v>
      </c>
      <c r="H149" s="164"/>
      <c r="I149" s="51">
        <f>IF(speciated_chemicals_199[[#This Row],[Inert / Not a Contaminant?]]="Yes", 0, speciated_chemicals_199[[#This Row],[Weight Percent]]*(unique_components_198[[#Totals],[Controlled lb/hr]]+standard_components_197[[#Totals],[Controlled
lb/hr]]))</f>
        <v>0</v>
      </c>
      <c r="J149" s="51">
        <f>IF(speciated_chemicals_199[[#This Row],[Inert / Not a Contaminant?]]="Yes", 0, speciated_chemicals_199[[#This Row],[Weight Percent]]*(unique_components_198[[#Totals],[Controlled
tpy]]+standard_components_197[[#Totals],[Controlled
tpy]]))</f>
        <v>0</v>
      </c>
    </row>
    <row r="150" spans="1:10" x14ac:dyDescent="0.2">
      <c r="A150" s="103"/>
      <c r="B150" s="51" t="str">
        <f>IFERROR(VLOOKUP(speciated_chemicals_199[[#This Row],[CAS '#]],species[],MATCH("Substance", species[#Headers], 0),FALSE),"No CAS Number Entered")</f>
        <v>No CAS Number Entered</v>
      </c>
      <c r="C150" s="102"/>
      <c r="D150" s="102" t="s">
        <v>12666</v>
      </c>
      <c r="E150" s="102" t="s">
        <v>12666</v>
      </c>
      <c r="F150" s="102" t="s">
        <v>12666</v>
      </c>
      <c r="G150" s="102" t="s">
        <v>12666</v>
      </c>
      <c r="H150" s="164"/>
      <c r="I150" s="51">
        <f>IF(speciated_chemicals_199[[#This Row],[Inert / Not a Contaminant?]]="Yes", 0, speciated_chemicals_199[[#This Row],[Weight Percent]]*(unique_components_198[[#Totals],[Controlled lb/hr]]+standard_components_197[[#Totals],[Controlled
lb/hr]]))</f>
        <v>0</v>
      </c>
      <c r="J150" s="51">
        <f>IF(speciated_chemicals_199[[#This Row],[Inert / Not a Contaminant?]]="Yes", 0, speciated_chemicals_199[[#This Row],[Weight Percent]]*(unique_components_198[[#Totals],[Controlled
tpy]]+standard_components_197[[#Totals],[Controlled
tpy]]))</f>
        <v>0</v>
      </c>
    </row>
    <row r="151" spans="1:10" x14ac:dyDescent="0.2">
      <c r="A151" s="103"/>
      <c r="B151" s="51" t="str">
        <f>IFERROR(VLOOKUP(speciated_chemicals_199[[#This Row],[CAS '#]],species[],MATCH("Substance", species[#Headers], 0),FALSE),"No CAS Number Entered")</f>
        <v>No CAS Number Entered</v>
      </c>
      <c r="C151" s="102"/>
      <c r="D151" s="102" t="s">
        <v>12666</v>
      </c>
      <c r="E151" s="102" t="s">
        <v>12666</v>
      </c>
      <c r="F151" s="102" t="s">
        <v>12666</v>
      </c>
      <c r="G151" s="102" t="s">
        <v>12666</v>
      </c>
      <c r="H151" s="164"/>
      <c r="I151" s="51">
        <f>IF(speciated_chemicals_199[[#This Row],[Inert / Not a Contaminant?]]="Yes", 0, speciated_chemicals_199[[#This Row],[Weight Percent]]*(unique_components_198[[#Totals],[Controlled lb/hr]]+standard_components_197[[#Totals],[Controlled
lb/hr]]))</f>
        <v>0</v>
      </c>
      <c r="J151" s="51">
        <f>IF(speciated_chemicals_199[[#This Row],[Inert / Not a Contaminant?]]="Yes", 0, speciated_chemicals_199[[#This Row],[Weight Percent]]*(unique_components_198[[#Totals],[Controlled
tpy]]+standard_components_197[[#Totals],[Controlled
tpy]]))</f>
        <v>0</v>
      </c>
    </row>
    <row r="152" spans="1:10" x14ac:dyDescent="0.2">
      <c r="A152" s="103"/>
      <c r="B152" s="51" t="str">
        <f>IFERROR(VLOOKUP(speciated_chemicals_199[[#This Row],[CAS '#]],species[],MATCH("Substance", species[#Headers], 0),FALSE),"No CAS Number Entered")</f>
        <v>No CAS Number Entered</v>
      </c>
      <c r="C152" s="102"/>
      <c r="D152" s="102" t="s">
        <v>12666</v>
      </c>
      <c r="E152" s="102" t="s">
        <v>12666</v>
      </c>
      <c r="F152" s="102" t="s">
        <v>12666</v>
      </c>
      <c r="G152" s="102" t="s">
        <v>12666</v>
      </c>
      <c r="H152" s="164"/>
      <c r="I152" s="51">
        <f>IF(speciated_chemicals_199[[#This Row],[Inert / Not a Contaminant?]]="Yes", 0, speciated_chemicals_199[[#This Row],[Weight Percent]]*(unique_components_198[[#Totals],[Controlled lb/hr]]+standard_components_197[[#Totals],[Controlled
lb/hr]]))</f>
        <v>0</v>
      </c>
      <c r="J152" s="51">
        <f>IF(speciated_chemicals_199[[#This Row],[Inert / Not a Contaminant?]]="Yes", 0, speciated_chemicals_199[[#This Row],[Weight Percent]]*(unique_components_198[[#Totals],[Controlled
tpy]]+standard_components_197[[#Totals],[Controlled
tpy]]))</f>
        <v>0</v>
      </c>
    </row>
    <row r="153" spans="1:10" x14ac:dyDescent="0.2">
      <c r="A153" s="103"/>
      <c r="B153" s="51" t="str">
        <f>IFERROR(VLOOKUP(speciated_chemicals_199[[#This Row],[CAS '#]],species[],MATCH("Substance", species[#Headers], 0),FALSE),"No CAS Number Entered")</f>
        <v>No CAS Number Entered</v>
      </c>
      <c r="C153" s="102"/>
      <c r="D153" s="102" t="s">
        <v>12666</v>
      </c>
      <c r="E153" s="102" t="s">
        <v>12666</v>
      </c>
      <c r="F153" s="102" t="s">
        <v>12666</v>
      </c>
      <c r="G153" s="102" t="s">
        <v>12666</v>
      </c>
      <c r="H153" s="164"/>
      <c r="I153" s="51">
        <f>IF(speciated_chemicals_199[[#This Row],[Inert / Not a Contaminant?]]="Yes", 0, speciated_chemicals_199[[#This Row],[Weight Percent]]*(unique_components_198[[#Totals],[Controlled lb/hr]]+standard_components_197[[#Totals],[Controlled
lb/hr]]))</f>
        <v>0</v>
      </c>
      <c r="J153" s="51">
        <f>IF(speciated_chemicals_199[[#This Row],[Inert / Not a Contaminant?]]="Yes", 0, speciated_chemicals_199[[#This Row],[Weight Percent]]*(unique_components_198[[#Totals],[Controlled
tpy]]+standard_components_197[[#Totals],[Controlled
tpy]]))</f>
        <v>0</v>
      </c>
    </row>
    <row r="154" spans="1:10" x14ac:dyDescent="0.2">
      <c r="A154" s="103"/>
      <c r="B154" s="51" t="str">
        <f>IFERROR(VLOOKUP(speciated_chemicals_199[[#This Row],[CAS '#]],species[],MATCH("Substance", species[#Headers], 0),FALSE),"No CAS Number Entered")</f>
        <v>No CAS Number Entered</v>
      </c>
      <c r="C154" s="102"/>
      <c r="D154" s="102" t="s">
        <v>12666</v>
      </c>
      <c r="E154" s="102" t="s">
        <v>12666</v>
      </c>
      <c r="F154" s="102" t="s">
        <v>12666</v>
      </c>
      <c r="G154" s="102" t="s">
        <v>12666</v>
      </c>
      <c r="H154" s="164"/>
      <c r="I154" s="51">
        <f>IF(speciated_chemicals_199[[#This Row],[Inert / Not a Contaminant?]]="Yes", 0, speciated_chemicals_199[[#This Row],[Weight Percent]]*(unique_components_198[[#Totals],[Controlled lb/hr]]+standard_components_197[[#Totals],[Controlled
lb/hr]]))</f>
        <v>0</v>
      </c>
      <c r="J154" s="51">
        <f>IF(speciated_chemicals_199[[#This Row],[Inert / Not a Contaminant?]]="Yes", 0, speciated_chemicals_199[[#This Row],[Weight Percent]]*(unique_components_198[[#Totals],[Controlled
tpy]]+standard_components_197[[#Totals],[Controlled
tpy]]))</f>
        <v>0</v>
      </c>
    </row>
    <row r="155" spans="1:10" x14ac:dyDescent="0.2">
      <c r="A155" s="103"/>
      <c r="B155" s="51" t="str">
        <f>IFERROR(VLOOKUP(speciated_chemicals_199[[#This Row],[CAS '#]],species[],MATCH("Substance", species[#Headers], 0),FALSE),"No CAS Number Entered")</f>
        <v>No CAS Number Entered</v>
      </c>
      <c r="C155" s="102"/>
      <c r="D155" s="102" t="s">
        <v>12666</v>
      </c>
      <c r="E155" s="102" t="s">
        <v>12666</v>
      </c>
      <c r="F155" s="102" t="s">
        <v>12666</v>
      </c>
      <c r="G155" s="102" t="s">
        <v>12666</v>
      </c>
      <c r="H155" s="164"/>
      <c r="I155" s="51">
        <f>IF(speciated_chemicals_199[[#This Row],[Inert / Not a Contaminant?]]="Yes", 0, speciated_chemicals_199[[#This Row],[Weight Percent]]*(unique_components_198[[#Totals],[Controlled lb/hr]]+standard_components_197[[#Totals],[Controlled
lb/hr]]))</f>
        <v>0</v>
      </c>
      <c r="J155" s="51">
        <f>IF(speciated_chemicals_199[[#This Row],[Inert / Not a Contaminant?]]="Yes", 0, speciated_chemicals_199[[#This Row],[Weight Percent]]*(unique_components_198[[#Totals],[Controlled
tpy]]+standard_components_197[[#Totals],[Controlled
tpy]]))</f>
        <v>0</v>
      </c>
    </row>
    <row r="156" spans="1:10" x14ac:dyDescent="0.2">
      <c r="A156" s="103"/>
      <c r="B156" s="51" t="str">
        <f>IFERROR(VLOOKUP(speciated_chemicals_199[[#This Row],[CAS '#]],species[],MATCH("Substance", species[#Headers], 0),FALSE),"No CAS Number Entered")</f>
        <v>No CAS Number Entered</v>
      </c>
      <c r="C156" s="102"/>
      <c r="D156" s="102" t="s">
        <v>12666</v>
      </c>
      <c r="E156" s="102" t="s">
        <v>12666</v>
      </c>
      <c r="F156" s="102" t="s">
        <v>12666</v>
      </c>
      <c r="G156" s="102" t="s">
        <v>12666</v>
      </c>
      <c r="H156" s="164"/>
      <c r="I156" s="51">
        <f>IF(speciated_chemicals_199[[#This Row],[Inert / Not a Contaminant?]]="Yes", 0, speciated_chemicals_199[[#This Row],[Weight Percent]]*(unique_components_198[[#Totals],[Controlled lb/hr]]+standard_components_197[[#Totals],[Controlled
lb/hr]]))</f>
        <v>0</v>
      </c>
      <c r="J156" s="51">
        <f>IF(speciated_chemicals_199[[#This Row],[Inert / Not a Contaminant?]]="Yes", 0, speciated_chemicals_199[[#This Row],[Weight Percent]]*(unique_components_198[[#Totals],[Controlled
tpy]]+standard_components_197[[#Totals],[Controlled
tpy]]))</f>
        <v>0</v>
      </c>
    </row>
    <row r="157" spans="1:10" x14ac:dyDescent="0.2">
      <c r="A157" s="103"/>
      <c r="B157" s="51" t="str">
        <f>IFERROR(VLOOKUP(speciated_chemicals_199[[#This Row],[CAS '#]],species[],MATCH("Substance", species[#Headers], 0),FALSE),"No CAS Number Entered")</f>
        <v>No CAS Number Entered</v>
      </c>
      <c r="C157" s="102"/>
      <c r="D157" s="102" t="s">
        <v>12666</v>
      </c>
      <c r="E157" s="102" t="s">
        <v>12666</v>
      </c>
      <c r="F157" s="102" t="s">
        <v>12666</v>
      </c>
      <c r="G157" s="102" t="s">
        <v>12666</v>
      </c>
      <c r="H157" s="164"/>
      <c r="I157" s="51">
        <f>IF(speciated_chemicals_199[[#This Row],[Inert / Not a Contaminant?]]="Yes", 0, speciated_chemicals_199[[#This Row],[Weight Percent]]*(unique_components_198[[#Totals],[Controlled lb/hr]]+standard_components_197[[#Totals],[Controlled
lb/hr]]))</f>
        <v>0</v>
      </c>
      <c r="J157" s="51">
        <f>IF(speciated_chemicals_199[[#This Row],[Inert / Not a Contaminant?]]="Yes", 0, speciated_chemicals_199[[#This Row],[Weight Percent]]*(unique_components_198[[#Totals],[Controlled
tpy]]+standard_components_197[[#Totals],[Controlled
tpy]]))</f>
        <v>0</v>
      </c>
    </row>
    <row r="158" spans="1:10" x14ac:dyDescent="0.2">
      <c r="A158" s="103"/>
      <c r="B158" s="51" t="str">
        <f>IFERROR(VLOOKUP(speciated_chemicals_199[[#This Row],[CAS '#]],species[],MATCH("Substance", species[#Headers], 0),FALSE),"No CAS Number Entered")</f>
        <v>No CAS Number Entered</v>
      </c>
      <c r="C158" s="102"/>
      <c r="D158" s="102" t="s">
        <v>12666</v>
      </c>
      <c r="E158" s="102" t="s">
        <v>12666</v>
      </c>
      <c r="F158" s="102" t="s">
        <v>12666</v>
      </c>
      <c r="G158" s="102" t="s">
        <v>12666</v>
      </c>
      <c r="H158" s="164"/>
      <c r="I158" s="51">
        <f>IF(speciated_chemicals_199[[#This Row],[Inert / Not a Contaminant?]]="Yes", 0, speciated_chemicals_199[[#This Row],[Weight Percent]]*(unique_components_198[[#Totals],[Controlled lb/hr]]+standard_components_197[[#Totals],[Controlled
lb/hr]]))</f>
        <v>0</v>
      </c>
      <c r="J158" s="51">
        <f>IF(speciated_chemicals_199[[#This Row],[Inert / Not a Contaminant?]]="Yes", 0, speciated_chemicals_199[[#This Row],[Weight Percent]]*(unique_components_198[[#Totals],[Controlled
tpy]]+standard_components_197[[#Totals],[Controlled
tpy]]))</f>
        <v>0</v>
      </c>
    </row>
    <row r="159" spans="1:10" x14ac:dyDescent="0.2">
      <c r="A159" s="103"/>
      <c r="B159" s="51" t="str">
        <f>IFERROR(VLOOKUP(speciated_chemicals_199[[#This Row],[CAS '#]],species[],MATCH("Substance", species[#Headers], 0),FALSE),"No CAS Number Entered")</f>
        <v>No CAS Number Entered</v>
      </c>
      <c r="C159" s="102"/>
      <c r="D159" s="102" t="s">
        <v>12666</v>
      </c>
      <c r="E159" s="102" t="s">
        <v>12666</v>
      </c>
      <c r="F159" s="102" t="s">
        <v>12666</v>
      </c>
      <c r="G159" s="102" t="s">
        <v>12666</v>
      </c>
      <c r="H159" s="164"/>
      <c r="I159" s="51">
        <f>IF(speciated_chemicals_199[[#This Row],[Inert / Not a Contaminant?]]="Yes", 0, speciated_chemicals_199[[#This Row],[Weight Percent]]*(unique_components_198[[#Totals],[Controlled lb/hr]]+standard_components_197[[#Totals],[Controlled
lb/hr]]))</f>
        <v>0</v>
      </c>
      <c r="J159" s="51">
        <f>IF(speciated_chemicals_199[[#This Row],[Inert / Not a Contaminant?]]="Yes", 0, speciated_chemicals_199[[#This Row],[Weight Percent]]*(unique_components_198[[#Totals],[Controlled
tpy]]+standard_components_197[[#Totals],[Controlled
tpy]]))</f>
        <v>0</v>
      </c>
    </row>
    <row r="160" spans="1:10" x14ac:dyDescent="0.2">
      <c r="A160" s="103"/>
      <c r="B160" s="51" t="str">
        <f>IFERROR(VLOOKUP(speciated_chemicals_199[[#This Row],[CAS '#]],species[],MATCH("Substance", species[#Headers], 0),FALSE),"No CAS Number Entered")</f>
        <v>No CAS Number Entered</v>
      </c>
      <c r="C160" s="102"/>
      <c r="D160" s="102" t="s">
        <v>12666</v>
      </c>
      <c r="E160" s="102" t="s">
        <v>12666</v>
      </c>
      <c r="F160" s="102" t="s">
        <v>12666</v>
      </c>
      <c r="G160" s="102" t="s">
        <v>12666</v>
      </c>
      <c r="H160" s="164"/>
      <c r="I160" s="51">
        <f>IF(speciated_chemicals_199[[#This Row],[Inert / Not a Contaminant?]]="Yes", 0, speciated_chemicals_199[[#This Row],[Weight Percent]]*(unique_components_198[[#Totals],[Controlled lb/hr]]+standard_components_197[[#Totals],[Controlled
lb/hr]]))</f>
        <v>0</v>
      </c>
      <c r="J160" s="51">
        <f>IF(speciated_chemicals_199[[#This Row],[Inert / Not a Contaminant?]]="Yes", 0, speciated_chemicals_199[[#This Row],[Weight Percent]]*(unique_components_198[[#Totals],[Controlled
tpy]]+standard_components_197[[#Totals],[Controlled
tpy]]))</f>
        <v>0</v>
      </c>
    </row>
    <row r="161" spans="1:10" x14ac:dyDescent="0.2">
      <c r="A161" s="103"/>
      <c r="B161" s="51" t="str">
        <f>IFERROR(VLOOKUP(speciated_chemicals_199[[#This Row],[CAS '#]],species[],MATCH("Substance", species[#Headers], 0),FALSE),"No CAS Number Entered")</f>
        <v>No CAS Number Entered</v>
      </c>
      <c r="C161" s="102"/>
      <c r="D161" s="102" t="s">
        <v>12666</v>
      </c>
      <c r="E161" s="102" t="s">
        <v>12666</v>
      </c>
      <c r="F161" s="102" t="s">
        <v>12666</v>
      </c>
      <c r="G161" s="102" t="s">
        <v>12666</v>
      </c>
      <c r="H161" s="164"/>
      <c r="I161" s="51">
        <f>IF(speciated_chemicals_199[[#This Row],[Inert / Not a Contaminant?]]="Yes", 0, speciated_chemicals_199[[#This Row],[Weight Percent]]*(unique_components_198[[#Totals],[Controlled lb/hr]]+standard_components_197[[#Totals],[Controlled
lb/hr]]))</f>
        <v>0</v>
      </c>
      <c r="J161" s="51">
        <f>IF(speciated_chemicals_199[[#This Row],[Inert / Not a Contaminant?]]="Yes", 0, speciated_chemicals_199[[#This Row],[Weight Percent]]*(unique_components_198[[#Totals],[Controlled
tpy]]+standard_components_197[[#Totals],[Controlled
tpy]]))</f>
        <v>0</v>
      </c>
    </row>
    <row r="162" spans="1:10" x14ac:dyDescent="0.2">
      <c r="A162" s="103"/>
      <c r="B162" s="51" t="str">
        <f>IFERROR(VLOOKUP(speciated_chemicals_199[[#This Row],[CAS '#]],species[],MATCH("Substance", species[#Headers], 0),FALSE),"No CAS Number Entered")</f>
        <v>No CAS Number Entered</v>
      </c>
      <c r="C162" s="102"/>
      <c r="D162" s="102" t="s">
        <v>12666</v>
      </c>
      <c r="E162" s="102" t="s">
        <v>12666</v>
      </c>
      <c r="F162" s="102" t="s">
        <v>12666</v>
      </c>
      <c r="G162" s="102" t="s">
        <v>12666</v>
      </c>
      <c r="H162" s="164"/>
      <c r="I162" s="51">
        <f>IF(speciated_chemicals_199[[#This Row],[Inert / Not a Contaminant?]]="Yes", 0, speciated_chemicals_199[[#This Row],[Weight Percent]]*(unique_components_198[[#Totals],[Controlled lb/hr]]+standard_components_197[[#Totals],[Controlled
lb/hr]]))</f>
        <v>0</v>
      </c>
      <c r="J162" s="51">
        <f>IF(speciated_chemicals_199[[#This Row],[Inert / Not a Contaminant?]]="Yes", 0, speciated_chemicals_199[[#This Row],[Weight Percent]]*(unique_components_198[[#Totals],[Controlled
tpy]]+standard_components_197[[#Totals],[Controlled
tpy]]))</f>
        <v>0</v>
      </c>
    </row>
    <row r="163" spans="1:10" x14ac:dyDescent="0.2">
      <c r="A163" s="103"/>
      <c r="B163" s="51" t="str">
        <f>IFERROR(VLOOKUP(speciated_chemicals_199[[#This Row],[CAS '#]],species[],MATCH("Substance", species[#Headers], 0),FALSE),"No CAS Number Entered")</f>
        <v>No CAS Number Entered</v>
      </c>
      <c r="C163" s="102"/>
      <c r="D163" s="102" t="s">
        <v>12666</v>
      </c>
      <c r="E163" s="102" t="s">
        <v>12666</v>
      </c>
      <c r="F163" s="102" t="s">
        <v>12666</v>
      </c>
      <c r="G163" s="102" t="s">
        <v>12666</v>
      </c>
      <c r="H163" s="164"/>
      <c r="I163" s="51">
        <f>IF(speciated_chemicals_199[[#This Row],[Inert / Not a Contaminant?]]="Yes", 0, speciated_chemicals_199[[#This Row],[Weight Percent]]*(unique_components_198[[#Totals],[Controlled lb/hr]]+standard_components_197[[#Totals],[Controlled
lb/hr]]))</f>
        <v>0</v>
      </c>
      <c r="J163" s="51">
        <f>IF(speciated_chemicals_199[[#This Row],[Inert / Not a Contaminant?]]="Yes", 0, speciated_chemicals_199[[#This Row],[Weight Percent]]*(unique_components_198[[#Totals],[Controlled
tpy]]+standard_components_197[[#Totals],[Controlled
tpy]]))</f>
        <v>0</v>
      </c>
    </row>
    <row r="164" spans="1:10" x14ac:dyDescent="0.2">
      <c r="A164" s="103"/>
      <c r="B164" s="51" t="str">
        <f>IFERROR(VLOOKUP(speciated_chemicals_199[[#This Row],[CAS '#]],species[],MATCH("Substance", species[#Headers], 0),FALSE),"No CAS Number Entered")</f>
        <v>No CAS Number Entered</v>
      </c>
      <c r="C164" s="102"/>
      <c r="D164" s="102" t="s">
        <v>12666</v>
      </c>
      <c r="E164" s="102" t="s">
        <v>12666</v>
      </c>
      <c r="F164" s="102" t="s">
        <v>12666</v>
      </c>
      <c r="G164" s="102" t="s">
        <v>12666</v>
      </c>
      <c r="H164" s="164"/>
      <c r="I164" s="51">
        <f>IF(speciated_chemicals_199[[#This Row],[Inert / Not a Contaminant?]]="Yes", 0, speciated_chemicals_199[[#This Row],[Weight Percent]]*(unique_components_198[[#Totals],[Controlled lb/hr]]+standard_components_197[[#Totals],[Controlled
lb/hr]]))</f>
        <v>0</v>
      </c>
      <c r="J164" s="51">
        <f>IF(speciated_chemicals_199[[#This Row],[Inert / Not a Contaminant?]]="Yes", 0, speciated_chemicals_199[[#This Row],[Weight Percent]]*(unique_components_198[[#Totals],[Controlled
tpy]]+standard_components_197[[#Totals],[Controlled
tpy]]))</f>
        <v>0</v>
      </c>
    </row>
    <row r="165" spans="1:10" x14ac:dyDescent="0.2">
      <c r="A165" s="103"/>
      <c r="B165" s="51" t="str">
        <f>IFERROR(VLOOKUP(speciated_chemicals_199[[#This Row],[CAS '#]],species[],MATCH("Substance", species[#Headers], 0),FALSE),"No CAS Number Entered")</f>
        <v>No CAS Number Entered</v>
      </c>
      <c r="C165" s="102"/>
      <c r="D165" s="102" t="s">
        <v>12666</v>
      </c>
      <c r="E165" s="102" t="s">
        <v>12666</v>
      </c>
      <c r="F165" s="102" t="s">
        <v>12666</v>
      </c>
      <c r="G165" s="102" t="s">
        <v>12666</v>
      </c>
      <c r="H165" s="164"/>
      <c r="I165" s="51">
        <f>IF(speciated_chemicals_199[[#This Row],[Inert / Not a Contaminant?]]="Yes", 0, speciated_chemicals_199[[#This Row],[Weight Percent]]*(unique_components_198[[#Totals],[Controlled lb/hr]]+standard_components_197[[#Totals],[Controlled
lb/hr]]))</f>
        <v>0</v>
      </c>
      <c r="J165" s="51">
        <f>IF(speciated_chemicals_199[[#This Row],[Inert / Not a Contaminant?]]="Yes", 0, speciated_chemicals_199[[#This Row],[Weight Percent]]*(unique_components_198[[#Totals],[Controlled
tpy]]+standard_components_197[[#Totals],[Controlled
tpy]]))</f>
        <v>0</v>
      </c>
    </row>
    <row r="166" spans="1:10" x14ac:dyDescent="0.2">
      <c r="A166" s="103"/>
      <c r="B166" s="51" t="str">
        <f>IFERROR(VLOOKUP(speciated_chemicals_199[[#This Row],[CAS '#]],species[],MATCH("Substance", species[#Headers], 0),FALSE),"No CAS Number Entered")</f>
        <v>No CAS Number Entered</v>
      </c>
      <c r="C166" s="102"/>
      <c r="D166" s="102" t="s">
        <v>12666</v>
      </c>
      <c r="E166" s="102" t="s">
        <v>12666</v>
      </c>
      <c r="F166" s="102" t="s">
        <v>12666</v>
      </c>
      <c r="G166" s="102" t="s">
        <v>12666</v>
      </c>
      <c r="H166" s="164"/>
      <c r="I166" s="51">
        <f>IF(speciated_chemicals_199[[#This Row],[Inert / Not a Contaminant?]]="Yes", 0, speciated_chemicals_199[[#This Row],[Weight Percent]]*(unique_components_198[[#Totals],[Controlled lb/hr]]+standard_components_197[[#Totals],[Controlled
lb/hr]]))</f>
        <v>0</v>
      </c>
      <c r="J166" s="51">
        <f>IF(speciated_chemicals_199[[#This Row],[Inert / Not a Contaminant?]]="Yes", 0, speciated_chemicals_199[[#This Row],[Weight Percent]]*(unique_components_198[[#Totals],[Controlled
tpy]]+standard_components_197[[#Totals],[Controlled
tpy]]))</f>
        <v>0</v>
      </c>
    </row>
    <row r="167" spans="1:10" x14ac:dyDescent="0.2">
      <c r="A167" s="103"/>
      <c r="B167" s="51" t="str">
        <f>IFERROR(VLOOKUP(speciated_chemicals_199[[#This Row],[CAS '#]],species[],MATCH("Substance", species[#Headers], 0),FALSE),"No CAS Number Entered")</f>
        <v>No CAS Number Entered</v>
      </c>
      <c r="C167" s="102"/>
      <c r="D167" s="102" t="s">
        <v>12666</v>
      </c>
      <c r="E167" s="102" t="s">
        <v>12666</v>
      </c>
      <c r="F167" s="102" t="s">
        <v>12666</v>
      </c>
      <c r="G167" s="102" t="s">
        <v>12666</v>
      </c>
      <c r="H167" s="164"/>
      <c r="I167" s="51">
        <f>IF(speciated_chemicals_199[[#This Row],[Inert / Not a Contaminant?]]="Yes", 0, speciated_chemicals_199[[#This Row],[Weight Percent]]*(unique_components_198[[#Totals],[Controlled lb/hr]]+standard_components_197[[#Totals],[Controlled
lb/hr]]))</f>
        <v>0</v>
      </c>
      <c r="J167" s="51">
        <f>IF(speciated_chemicals_199[[#This Row],[Inert / Not a Contaminant?]]="Yes", 0, speciated_chemicals_199[[#This Row],[Weight Percent]]*(unique_components_198[[#Totals],[Controlled
tpy]]+standard_components_197[[#Totals],[Controlled
tpy]]))</f>
        <v>0</v>
      </c>
    </row>
    <row r="168" spans="1:10" x14ac:dyDescent="0.2">
      <c r="A168" s="103"/>
      <c r="B168" s="51" t="str">
        <f>IFERROR(VLOOKUP(speciated_chemicals_199[[#This Row],[CAS '#]],species[],MATCH("Substance", species[#Headers], 0),FALSE),"No CAS Number Entered")</f>
        <v>No CAS Number Entered</v>
      </c>
      <c r="C168" s="102"/>
      <c r="D168" s="102" t="s">
        <v>12666</v>
      </c>
      <c r="E168" s="102" t="s">
        <v>12666</v>
      </c>
      <c r="F168" s="102" t="s">
        <v>12666</v>
      </c>
      <c r="G168" s="102" t="s">
        <v>12666</v>
      </c>
      <c r="H168" s="164"/>
      <c r="I168" s="51">
        <f>IF(speciated_chemicals_199[[#This Row],[Inert / Not a Contaminant?]]="Yes", 0, speciated_chemicals_199[[#This Row],[Weight Percent]]*(unique_components_198[[#Totals],[Controlled lb/hr]]+standard_components_197[[#Totals],[Controlled
lb/hr]]))</f>
        <v>0</v>
      </c>
      <c r="J168" s="51">
        <f>IF(speciated_chemicals_199[[#This Row],[Inert / Not a Contaminant?]]="Yes", 0, speciated_chemicals_199[[#This Row],[Weight Percent]]*(unique_components_198[[#Totals],[Controlled
tpy]]+standard_components_197[[#Totals],[Controlled
tpy]]))</f>
        <v>0</v>
      </c>
    </row>
    <row r="169" spans="1:10" x14ac:dyDescent="0.2">
      <c r="A169" s="103"/>
      <c r="B169" s="51" t="str">
        <f>IFERROR(VLOOKUP(speciated_chemicals_199[[#This Row],[CAS '#]],species[],MATCH("Substance", species[#Headers], 0),FALSE),"No CAS Number Entered")</f>
        <v>No CAS Number Entered</v>
      </c>
      <c r="C169" s="102"/>
      <c r="D169" s="102" t="s">
        <v>12666</v>
      </c>
      <c r="E169" s="102" t="s">
        <v>12666</v>
      </c>
      <c r="F169" s="102" t="s">
        <v>12666</v>
      </c>
      <c r="G169" s="102" t="s">
        <v>12666</v>
      </c>
      <c r="H169" s="164"/>
      <c r="I169" s="51">
        <f>IF(speciated_chemicals_199[[#This Row],[Inert / Not a Contaminant?]]="Yes", 0, speciated_chemicals_199[[#This Row],[Weight Percent]]*(unique_components_198[[#Totals],[Controlled lb/hr]]+standard_components_197[[#Totals],[Controlled
lb/hr]]))</f>
        <v>0</v>
      </c>
      <c r="J169" s="51">
        <f>IF(speciated_chemicals_199[[#This Row],[Inert / Not a Contaminant?]]="Yes", 0, speciated_chemicals_199[[#This Row],[Weight Percent]]*(unique_components_198[[#Totals],[Controlled
tpy]]+standard_components_197[[#Totals],[Controlled
tpy]]))</f>
        <v>0</v>
      </c>
    </row>
    <row r="170" spans="1:10" x14ac:dyDescent="0.2">
      <c r="A170" s="103"/>
      <c r="B170" s="51" t="str">
        <f>IFERROR(VLOOKUP(speciated_chemicals_199[[#This Row],[CAS '#]],species[],MATCH("Substance", species[#Headers], 0),FALSE),"No CAS Number Entered")</f>
        <v>No CAS Number Entered</v>
      </c>
      <c r="C170" s="102"/>
      <c r="D170" s="102" t="s">
        <v>12666</v>
      </c>
      <c r="E170" s="102" t="s">
        <v>12666</v>
      </c>
      <c r="F170" s="102" t="s">
        <v>12666</v>
      </c>
      <c r="G170" s="102" t="s">
        <v>12666</v>
      </c>
      <c r="H170" s="164"/>
      <c r="I170" s="51">
        <f>IF(speciated_chemicals_199[[#This Row],[Inert / Not a Contaminant?]]="Yes", 0, speciated_chemicals_199[[#This Row],[Weight Percent]]*(unique_components_198[[#Totals],[Controlled lb/hr]]+standard_components_197[[#Totals],[Controlled
lb/hr]]))</f>
        <v>0</v>
      </c>
      <c r="J170" s="51">
        <f>IF(speciated_chemicals_199[[#This Row],[Inert / Not a Contaminant?]]="Yes", 0, speciated_chemicals_199[[#This Row],[Weight Percent]]*(unique_components_198[[#Totals],[Controlled
tpy]]+standard_components_197[[#Totals],[Controlled
tpy]]))</f>
        <v>0</v>
      </c>
    </row>
    <row r="171" spans="1:10" x14ac:dyDescent="0.2">
      <c r="A171" s="103"/>
      <c r="B171" s="51" t="str">
        <f>IFERROR(VLOOKUP(speciated_chemicals_199[[#This Row],[CAS '#]],species[],MATCH("Substance", species[#Headers], 0),FALSE),"No CAS Number Entered")</f>
        <v>No CAS Number Entered</v>
      </c>
      <c r="C171" s="102"/>
      <c r="D171" s="102" t="s">
        <v>12666</v>
      </c>
      <c r="E171" s="102" t="s">
        <v>12666</v>
      </c>
      <c r="F171" s="102" t="s">
        <v>12666</v>
      </c>
      <c r="G171" s="102" t="s">
        <v>12666</v>
      </c>
      <c r="H171" s="164"/>
      <c r="I171" s="51">
        <f>IF(speciated_chemicals_199[[#This Row],[Inert / Not a Contaminant?]]="Yes", 0, speciated_chemicals_199[[#This Row],[Weight Percent]]*(unique_components_198[[#Totals],[Controlled lb/hr]]+standard_components_197[[#Totals],[Controlled
lb/hr]]))</f>
        <v>0</v>
      </c>
      <c r="J171" s="51">
        <f>IF(speciated_chemicals_199[[#This Row],[Inert / Not a Contaminant?]]="Yes", 0, speciated_chemicals_199[[#This Row],[Weight Percent]]*(unique_components_198[[#Totals],[Controlled
tpy]]+standard_components_197[[#Totals],[Controlled
tpy]]))</f>
        <v>0</v>
      </c>
    </row>
    <row r="172" spans="1:10" x14ac:dyDescent="0.2">
      <c r="A172" s="103"/>
      <c r="B172" s="51" t="str">
        <f>IFERROR(VLOOKUP(speciated_chemicals_199[[#This Row],[CAS '#]],species[],MATCH("Substance", species[#Headers], 0),FALSE),"No CAS Number Entered")</f>
        <v>No CAS Number Entered</v>
      </c>
      <c r="C172" s="102"/>
      <c r="D172" s="102" t="s">
        <v>12666</v>
      </c>
      <c r="E172" s="102" t="s">
        <v>12666</v>
      </c>
      <c r="F172" s="102" t="s">
        <v>12666</v>
      </c>
      <c r="G172" s="102" t="s">
        <v>12666</v>
      </c>
      <c r="H172" s="164"/>
      <c r="I172" s="51">
        <f>IF(speciated_chemicals_199[[#This Row],[Inert / Not a Contaminant?]]="Yes", 0, speciated_chemicals_199[[#This Row],[Weight Percent]]*(unique_components_198[[#Totals],[Controlled lb/hr]]+standard_components_197[[#Totals],[Controlled
lb/hr]]))</f>
        <v>0</v>
      </c>
      <c r="J172" s="51">
        <f>IF(speciated_chemicals_199[[#This Row],[Inert / Not a Contaminant?]]="Yes", 0, speciated_chemicals_199[[#This Row],[Weight Percent]]*(unique_components_198[[#Totals],[Controlled
tpy]]+standard_components_197[[#Totals],[Controlled
tpy]]))</f>
        <v>0</v>
      </c>
    </row>
    <row r="173" spans="1:10" x14ac:dyDescent="0.2">
      <c r="A173" s="103"/>
      <c r="B173" s="51" t="str">
        <f>IFERROR(VLOOKUP(speciated_chemicals_199[[#This Row],[CAS '#]],species[],MATCH("Substance", species[#Headers], 0),FALSE),"No CAS Number Entered")</f>
        <v>No CAS Number Entered</v>
      </c>
      <c r="C173" s="102"/>
      <c r="D173" s="102" t="s">
        <v>12666</v>
      </c>
      <c r="E173" s="102" t="s">
        <v>12666</v>
      </c>
      <c r="F173" s="102" t="s">
        <v>12666</v>
      </c>
      <c r="G173" s="102" t="s">
        <v>12666</v>
      </c>
      <c r="H173" s="164"/>
      <c r="I173" s="51">
        <f>IF(speciated_chemicals_199[[#This Row],[Inert / Not a Contaminant?]]="Yes", 0, speciated_chemicals_199[[#This Row],[Weight Percent]]*(unique_components_198[[#Totals],[Controlled lb/hr]]+standard_components_197[[#Totals],[Controlled
lb/hr]]))</f>
        <v>0</v>
      </c>
      <c r="J173" s="51">
        <f>IF(speciated_chemicals_199[[#This Row],[Inert / Not a Contaminant?]]="Yes", 0, speciated_chemicals_199[[#This Row],[Weight Percent]]*(unique_components_198[[#Totals],[Controlled
tpy]]+standard_components_197[[#Totals],[Controlled
tpy]]))</f>
        <v>0</v>
      </c>
    </row>
    <row r="174" spans="1:10" x14ac:dyDescent="0.2">
      <c r="A174" s="103"/>
      <c r="B174" s="51" t="str">
        <f>IFERROR(VLOOKUP(speciated_chemicals_199[[#This Row],[CAS '#]],species[],MATCH("Substance", species[#Headers], 0),FALSE),"No CAS Number Entered")</f>
        <v>No CAS Number Entered</v>
      </c>
      <c r="C174" s="102"/>
      <c r="D174" s="102" t="s">
        <v>12666</v>
      </c>
      <c r="E174" s="102" t="s">
        <v>12666</v>
      </c>
      <c r="F174" s="102" t="s">
        <v>12666</v>
      </c>
      <c r="G174" s="102" t="s">
        <v>12666</v>
      </c>
      <c r="H174" s="164"/>
      <c r="I174" s="51">
        <f>IF(speciated_chemicals_199[[#This Row],[Inert / Not a Contaminant?]]="Yes", 0, speciated_chemicals_199[[#This Row],[Weight Percent]]*(unique_components_198[[#Totals],[Controlled lb/hr]]+standard_components_197[[#Totals],[Controlled
lb/hr]]))</f>
        <v>0</v>
      </c>
      <c r="J174" s="51">
        <f>IF(speciated_chemicals_199[[#This Row],[Inert / Not a Contaminant?]]="Yes", 0, speciated_chemicals_199[[#This Row],[Weight Percent]]*(unique_components_198[[#Totals],[Controlled
tpy]]+standard_components_197[[#Totals],[Controlled
tpy]]))</f>
        <v>0</v>
      </c>
    </row>
    <row r="175" spans="1:10" x14ac:dyDescent="0.2">
      <c r="A175" s="103"/>
      <c r="B175" s="51" t="str">
        <f>IFERROR(VLOOKUP(speciated_chemicals_199[[#This Row],[CAS '#]],species[],MATCH("Substance", species[#Headers], 0),FALSE),"No CAS Number Entered")</f>
        <v>No CAS Number Entered</v>
      </c>
      <c r="C175" s="102"/>
      <c r="D175" s="102" t="s">
        <v>12666</v>
      </c>
      <c r="E175" s="102" t="s">
        <v>12666</v>
      </c>
      <c r="F175" s="102" t="s">
        <v>12666</v>
      </c>
      <c r="G175" s="102" t="s">
        <v>12666</v>
      </c>
      <c r="H175" s="164"/>
      <c r="I175" s="51">
        <f>IF(speciated_chemicals_199[[#This Row],[Inert / Not a Contaminant?]]="Yes", 0, speciated_chemicals_199[[#This Row],[Weight Percent]]*(unique_components_198[[#Totals],[Controlled lb/hr]]+standard_components_197[[#Totals],[Controlled
lb/hr]]))</f>
        <v>0</v>
      </c>
      <c r="J175" s="51">
        <f>IF(speciated_chemicals_199[[#This Row],[Inert / Not a Contaminant?]]="Yes", 0, speciated_chemicals_199[[#This Row],[Weight Percent]]*(unique_components_198[[#Totals],[Controlled
tpy]]+standard_components_197[[#Totals],[Controlled
tpy]]))</f>
        <v>0</v>
      </c>
    </row>
    <row r="176" spans="1:10" x14ac:dyDescent="0.2">
      <c r="A176" s="165"/>
      <c r="B176" s="51" t="str">
        <f>IFERROR(VLOOKUP(speciated_chemicals_199[[#This Row],[CAS '#]],species[],MATCH("Substance", species[#Headers], 0),FALSE),"No CAS Number Entered")</f>
        <v>No CAS Number Entered</v>
      </c>
      <c r="C176" s="102"/>
      <c r="D176" s="102" t="s">
        <v>12666</v>
      </c>
      <c r="E176" s="102" t="s">
        <v>12666</v>
      </c>
      <c r="F176" s="102" t="s">
        <v>12666</v>
      </c>
      <c r="G176" s="102" t="s">
        <v>12666</v>
      </c>
      <c r="H176" s="164"/>
      <c r="I176" s="51">
        <f>IF(speciated_chemicals_199[[#This Row],[Inert / Not a Contaminant?]]="Yes", 0, speciated_chemicals_199[[#This Row],[Weight Percent]]*(unique_components_198[[#Totals],[Controlled lb/hr]]+standard_components_197[[#Totals],[Controlled
lb/hr]]))</f>
        <v>0</v>
      </c>
      <c r="J176" s="51">
        <f>IF(speciated_chemicals_199[[#This Row],[Inert / Not a Contaminant?]]="Yes", 0, speciated_chemicals_199[[#This Row],[Weight Percent]]*(unique_components_198[[#Totals],[Controlled
tpy]]+standard_components_197[[#Totals],[Controlled
tpy]]))</f>
        <v>0</v>
      </c>
    </row>
    <row r="177" spans="1:10" x14ac:dyDescent="0.2">
      <c r="A177" s="103"/>
      <c r="B177" s="51" t="str">
        <f>IFERROR(VLOOKUP(speciated_chemicals_199[[#This Row],[CAS '#]],species[],MATCH("Substance", species[#Headers], 0),FALSE),"No CAS Number Entered")</f>
        <v>No CAS Number Entered</v>
      </c>
      <c r="C177" s="102"/>
      <c r="D177" s="102" t="s">
        <v>12666</v>
      </c>
      <c r="E177" s="102" t="s">
        <v>12666</v>
      </c>
      <c r="F177" s="102" t="s">
        <v>12666</v>
      </c>
      <c r="G177" s="102" t="s">
        <v>12666</v>
      </c>
      <c r="H177" s="164"/>
      <c r="I177" s="51">
        <f>IF(speciated_chemicals_199[[#This Row],[Inert / Not a Contaminant?]]="Yes", 0, speciated_chemicals_199[[#This Row],[Weight Percent]]*(unique_components_198[[#Totals],[Controlled lb/hr]]+standard_components_197[[#Totals],[Controlled
lb/hr]]))</f>
        <v>0</v>
      </c>
      <c r="J177" s="51">
        <f>IF(speciated_chemicals_199[[#This Row],[Inert / Not a Contaminant?]]="Yes", 0, speciated_chemicals_199[[#This Row],[Weight Percent]]*(unique_components_198[[#Totals],[Controlled
tpy]]+standard_components_197[[#Totals],[Controlled
tpy]]))</f>
        <v>0</v>
      </c>
    </row>
    <row r="178" spans="1:10" x14ac:dyDescent="0.2">
      <c r="A178" s="103"/>
      <c r="B178" s="51" t="str">
        <f>IFERROR(VLOOKUP(speciated_chemicals_199[[#This Row],[CAS '#]],species[],MATCH("Substance", species[#Headers], 0),FALSE),"No CAS Number Entered")</f>
        <v>No CAS Number Entered</v>
      </c>
      <c r="C178" s="102"/>
      <c r="D178" s="102" t="s">
        <v>12666</v>
      </c>
      <c r="E178" s="102" t="s">
        <v>12666</v>
      </c>
      <c r="F178" s="102" t="s">
        <v>12666</v>
      </c>
      <c r="G178" s="102" t="s">
        <v>12666</v>
      </c>
      <c r="H178" s="164"/>
      <c r="I178" s="51">
        <f>IF(speciated_chemicals_199[[#This Row],[Inert / Not a Contaminant?]]="Yes", 0, speciated_chemicals_199[[#This Row],[Weight Percent]]*(unique_components_198[[#Totals],[Controlled lb/hr]]+standard_components_197[[#Totals],[Controlled
lb/hr]]))</f>
        <v>0</v>
      </c>
      <c r="J178" s="51">
        <f>IF(speciated_chemicals_199[[#This Row],[Inert / Not a Contaminant?]]="Yes", 0, speciated_chemicals_199[[#This Row],[Weight Percent]]*(unique_components_198[[#Totals],[Controlled
tpy]]+standard_components_197[[#Totals],[Controlled
tpy]]))</f>
        <v>0</v>
      </c>
    </row>
    <row r="179" spans="1:10" x14ac:dyDescent="0.2">
      <c r="A179" s="103"/>
      <c r="B179" s="51" t="str">
        <f>IFERROR(VLOOKUP(speciated_chemicals_199[[#This Row],[CAS '#]],species[],MATCH("Substance", species[#Headers], 0),FALSE),"No CAS Number Entered")</f>
        <v>No CAS Number Entered</v>
      </c>
      <c r="C179" s="102"/>
      <c r="D179" s="102" t="s">
        <v>12666</v>
      </c>
      <c r="E179" s="102" t="s">
        <v>12666</v>
      </c>
      <c r="F179" s="102" t="s">
        <v>12666</v>
      </c>
      <c r="G179" s="102" t="s">
        <v>12666</v>
      </c>
      <c r="H179" s="164"/>
      <c r="I179" s="51">
        <f>IF(speciated_chemicals_199[[#This Row],[Inert / Not a Contaminant?]]="Yes", 0, speciated_chemicals_199[[#This Row],[Weight Percent]]*(unique_components_198[[#Totals],[Controlled lb/hr]]+standard_components_197[[#Totals],[Controlled
lb/hr]]))</f>
        <v>0</v>
      </c>
      <c r="J179" s="51">
        <f>IF(speciated_chemicals_199[[#This Row],[Inert / Not a Contaminant?]]="Yes", 0, speciated_chemicals_199[[#This Row],[Weight Percent]]*(unique_components_198[[#Totals],[Controlled
tpy]]+standard_components_197[[#Totals],[Controlled
tpy]]))</f>
        <v>0</v>
      </c>
    </row>
    <row r="180" spans="1:10" x14ac:dyDescent="0.2">
      <c r="A180" s="103"/>
      <c r="B180" s="51" t="str">
        <f>IFERROR(VLOOKUP(speciated_chemicals_199[[#This Row],[CAS '#]],species[],MATCH("Substance", species[#Headers], 0),FALSE),"No CAS Number Entered")</f>
        <v>No CAS Number Entered</v>
      </c>
      <c r="C180" s="102"/>
      <c r="D180" s="102" t="s">
        <v>12666</v>
      </c>
      <c r="E180" s="102" t="s">
        <v>12666</v>
      </c>
      <c r="F180" s="102" t="s">
        <v>12666</v>
      </c>
      <c r="G180" s="102" t="s">
        <v>12666</v>
      </c>
      <c r="H180" s="164"/>
      <c r="I180" s="51">
        <f>IF(speciated_chemicals_199[[#This Row],[Inert / Not a Contaminant?]]="Yes", 0, speciated_chemicals_199[[#This Row],[Weight Percent]]*(unique_components_198[[#Totals],[Controlled lb/hr]]+standard_components_197[[#Totals],[Controlled
lb/hr]]))</f>
        <v>0</v>
      </c>
      <c r="J180" s="51">
        <f>IF(speciated_chemicals_199[[#This Row],[Inert / Not a Contaminant?]]="Yes", 0, speciated_chemicals_199[[#This Row],[Weight Percent]]*(unique_components_198[[#Totals],[Controlled
tpy]]+standard_components_197[[#Totals],[Controlled
tpy]]))</f>
        <v>0</v>
      </c>
    </row>
    <row r="181" spans="1:10" ht="30" x14ac:dyDescent="0.2">
      <c r="A181" s="184" t="s">
        <v>12705</v>
      </c>
      <c r="B181" s="52"/>
      <c r="C181" s="53"/>
      <c r="D181" s="52"/>
      <c r="E181" s="52"/>
      <c r="F181" s="52"/>
      <c r="G181" s="52"/>
      <c r="H181" s="166">
        <f>SUBTOTAL(109,speciated_chemicals_199[Weight Percent])</f>
        <v>0</v>
      </c>
      <c r="I181" s="167">
        <f>SUBTOTAL(109,speciated_chemicals_199[lb/hr])</f>
        <v>0</v>
      </c>
      <c r="J181" s="167">
        <f>SUBTOTAL(109,speciated_chemicals_199[tpy])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MATCH(speciated_ghg_1100[[#This Row],[CAS '#]], gwp_table[CAS No.], 0), MATCH("Name", gwp_table[#Headers], 0)),"No CAS Number Entered")</f>
        <v>No CAS Number Entered</v>
      </c>
      <c r="C185" s="79" t="str">
        <f>IFERROR(INDEX(gwp_table[], MATCH(speciated_ghg_1100[[#This Row],[CAS '#]], gwp_table[CAS No.], 0), MATCH("Global warming potential", gwp_table[#Headers], 0)),"No CAS Number Entered")</f>
        <v>No CAS Number Entered</v>
      </c>
      <c r="D185" s="219"/>
      <c r="E185" s="79">
        <f>IFERROR(speciated_ghg_1100[[#This Row],[Weight Percent]]*(unique_components_198[[#Totals],[Controlled
tpy]]+standard_components_197[[#Totals],[Controlled
tpy]]), "-")</f>
        <v>0</v>
      </c>
      <c r="F185" s="81" t="str">
        <f>IFERROR(speciated_ghg_1100[[#This Row],[Mass Emissions (U.S. tons per year)]]*speciated_ghg_1100[[#This Row],[Global Warming Potential (GWP)]], "-")</f>
        <v>-</v>
      </c>
      <c r="G185" s="30"/>
      <c r="H185" s="168"/>
      <c r="I185" s="168"/>
    </row>
    <row r="186" spans="1:10" x14ac:dyDescent="0.2">
      <c r="A186" s="210"/>
      <c r="B186" s="79" t="str">
        <f>IFERROR(INDEX(gwp_table[], MATCH(speciated_ghg_1100[[#This Row],[CAS '#]], gwp_table[CAS No.], 0), MATCH("Name", gwp_table[#Headers], 0)),"No CAS Number Entered")</f>
        <v>No CAS Number Entered</v>
      </c>
      <c r="C186" s="79" t="str">
        <f>IFERROR(INDEX(gwp_table[], MATCH(speciated_ghg_1100[[#This Row],[CAS '#]], gwp_table[CAS No.], 0), MATCH("Global warming potential", gwp_table[#Headers], 0)),"No CAS Number Entered")</f>
        <v>No CAS Number Entered</v>
      </c>
      <c r="D186" s="219"/>
      <c r="E186" s="79">
        <f>IFERROR(speciated_ghg_1100[[#This Row],[Weight Percent]]*(unique_components_198[[#Totals],[Controlled
tpy]]+standard_components_197[[#Totals],[Controlled
tpy]]), "-")</f>
        <v>0</v>
      </c>
      <c r="F186" s="81" t="str">
        <f>IFERROR(speciated_ghg_1100[[#This Row],[Mass Emissions (U.S. tons per year)]]*speciated_ghg_1100[[#This Row],[Global Warming Potential (GWP)]], "-")</f>
        <v>-</v>
      </c>
      <c r="G186" s="30"/>
      <c r="H186" s="168"/>
      <c r="I186" s="168"/>
    </row>
    <row r="187" spans="1:10" x14ac:dyDescent="0.2">
      <c r="A187" s="210"/>
      <c r="B187" s="79" t="str">
        <f>IFERROR(INDEX(gwp_table[], MATCH(speciated_ghg_1100[[#This Row],[CAS '#]], gwp_table[CAS No.], 0), MATCH("Name", gwp_table[#Headers], 0)),"No CAS Number Entered")</f>
        <v>No CAS Number Entered</v>
      </c>
      <c r="C187" s="79" t="str">
        <f>IFERROR(INDEX(gwp_table[], MATCH(speciated_ghg_1100[[#This Row],[CAS '#]], gwp_table[CAS No.], 0), MATCH("Global warming potential", gwp_table[#Headers], 0)),"No CAS Number Entered")</f>
        <v>No CAS Number Entered</v>
      </c>
      <c r="D187" s="219"/>
      <c r="E187" s="79">
        <f>IFERROR(speciated_ghg_1100[[#This Row],[Weight Percent]]*(unique_components_198[[#Totals],[Controlled
tpy]]+standard_components_197[[#Totals],[Controlled
tpy]]), "-")</f>
        <v>0</v>
      </c>
      <c r="F187" s="81" t="str">
        <f>IFERROR(speciated_ghg_1100[[#This Row],[Mass Emissions (U.S. tons per year)]]*speciated_ghg_1100[[#This Row],[Global Warming Potential (GWP)]], "-")</f>
        <v>-</v>
      </c>
      <c r="G187" s="30"/>
      <c r="H187" s="168"/>
      <c r="I187" s="168"/>
    </row>
    <row r="188" spans="1:10" x14ac:dyDescent="0.2">
      <c r="A188" s="210"/>
      <c r="B188" s="79" t="str">
        <f>IFERROR(INDEX(gwp_table[], MATCH(speciated_ghg_1100[[#This Row],[CAS '#]], gwp_table[CAS No.], 0), MATCH("Name", gwp_table[#Headers], 0)),"No CAS Number Entered")</f>
        <v>No CAS Number Entered</v>
      </c>
      <c r="C188" s="79" t="str">
        <f>IFERROR(INDEX(gwp_table[], MATCH(speciated_ghg_1100[[#This Row],[CAS '#]], gwp_table[CAS No.], 0), MATCH("Global warming potential", gwp_table[#Headers], 0)),"No CAS Number Entered")</f>
        <v>No CAS Number Entered</v>
      </c>
      <c r="D188" s="219"/>
      <c r="E188" s="79">
        <f>IFERROR(speciated_ghg_1100[[#This Row],[Weight Percent]]*(unique_components_198[[#Totals],[Controlled
tpy]]+standard_components_197[[#Totals],[Controlled
tpy]]), "-")</f>
        <v>0</v>
      </c>
      <c r="F188" s="81" t="str">
        <f>IFERROR(speciated_ghg_1100[[#This Row],[Mass Emissions (U.S. tons per year)]]*speciated_ghg_1100[[#This Row],[Global Warming Potential (GWP)]], "-")</f>
        <v>-</v>
      </c>
      <c r="G188" s="30"/>
      <c r="H188" s="168"/>
      <c r="I188" s="168"/>
    </row>
    <row r="189" spans="1:10" x14ac:dyDescent="0.2">
      <c r="A189" s="210"/>
      <c r="B189" s="79" t="str">
        <f>IFERROR(INDEX(gwp_table[], MATCH(speciated_ghg_1100[[#This Row],[CAS '#]], gwp_table[CAS No.], 0), MATCH("Name", gwp_table[#Headers], 0)),"No CAS Number Entered")</f>
        <v>No CAS Number Entered</v>
      </c>
      <c r="C189" s="79" t="str">
        <f>IFERROR(INDEX(gwp_table[], MATCH(speciated_ghg_1100[[#This Row],[CAS '#]], gwp_table[CAS No.], 0), MATCH("Global warming potential", gwp_table[#Headers], 0)),"No CAS Number Entered")</f>
        <v>No CAS Number Entered</v>
      </c>
      <c r="D189" s="219"/>
      <c r="E189" s="79">
        <f>IFERROR(speciated_ghg_1100[[#This Row],[Weight Percent]]*(unique_components_198[[#Totals],[Controlled
tpy]]+standard_components_197[[#Totals],[Controlled
tpy]]), "-")</f>
        <v>0</v>
      </c>
      <c r="F189" s="81" t="str">
        <f>IFERROR(speciated_ghg_1100[[#This Row],[Mass Emissions (U.S. tons per year)]]*speciated_ghg_1100[[#This Row],[Global Warming Potential (GWP)]], "-")</f>
        <v>-</v>
      </c>
      <c r="G189" s="30"/>
      <c r="H189" s="168"/>
      <c r="I189" s="168"/>
    </row>
    <row r="190" spans="1:10" x14ac:dyDescent="0.2">
      <c r="A190" s="210"/>
      <c r="B190" s="79" t="str">
        <f>IFERROR(INDEX(gwp_table[], MATCH(speciated_ghg_1100[[#This Row],[CAS '#]], gwp_table[CAS No.], 0), MATCH("Name", gwp_table[#Headers], 0)),"No CAS Number Entered")</f>
        <v>No CAS Number Entered</v>
      </c>
      <c r="C190" s="79" t="str">
        <f>IFERROR(INDEX(gwp_table[], MATCH(speciated_ghg_1100[[#This Row],[CAS '#]], gwp_table[CAS No.], 0), MATCH("Global warming potential", gwp_table[#Headers], 0)),"No CAS Number Entered")</f>
        <v>No CAS Number Entered</v>
      </c>
      <c r="D190" s="219"/>
      <c r="E190" s="79">
        <f>IFERROR(speciated_ghg_1100[[#This Row],[Weight Percent]]*(unique_components_198[[#Totals],[Controlled
tpy]]+standard_components_197[[#Totals],[Controlled
tpy]]), "-")</f>
        <v>0</v>
      </c>
      <c r="F190" s="81" t="str">
        <f>IFERROR(speciated_ghg_1100[[#This Row],[Mass Emissions (U.S. tons per year)]]*speciated_ghg_1100[[#This Row],[Global Warming Potential (GWP)]], "-")</f>
        <v>-</v>
      </c>
      <c r="G190" s="30"/>
      <c r="H190" s="168"/>
      <c r="I190" s="168"/>
    </row>
    <row r="191" spans="1:10" x14ac:dyDescent="0.2">
      <c r="A191" s="210"/>
      <c r="B191" s="79" t="str">
        <f>IFERROR(INDEX(gwp_table[], MATCH(speciated_ghg_1100[[#This Row],[CAS '#]], gwp_table[CAS No.], 0), MATCH("Name", gwp_table[#Headers], 0)),"No CAS Number Entered")</f>
        <v>No CAS Number Entered</v>
      </c>
      <c r="C191" s="79" t="str">
        <f>IFERROR(INDEX(gwp_table[], MATCH(speciated_ghg_1100[[#This Row],[CAS '#]], gwp_table[CAS No.], 0), MATCH("Global warming potential", gwp_table[#Headers], 0)),"No CAS Number Entered")</f>
        <v>No CAS Number Entered</v>
      </c>
      <c r="D191" s="219"/>
      <c r="E191" s="79">
        <f>IFERROR(speciated_ghg_1100[[#This Row],[Weight Percent]]*(unique_components_198[[#Totals],[Controlled
tpy]]+standard_components_197[[#Totals],[Controlled
tpy]]), "-")</f>
        <v>0</v>
      </c>
      <c r="F191" s="81" t="str">
        <f>IFERROR(speciated_ghg_1100[[#This Row],[Mass Emissions (U.S. tons per year)]]*speciated_ghg_1100[[#This Row],[Global Warming Potential (GWP)]], "-")</f>
        <v>-</v>
      </c>
      <c r="G191" s="17"/>
    </row>
    <row r="192" spans="1:10" ht="15" x14ac:dyDescent="0.25">
      <c r="A192" s="210"/>
      <c r="B192" s="79" t="str">
        <f>IFERROR(INDEX(gwp_table[], MATCH(speciated_ghg_1100[[#This Row],[CAS '#]], gwp_table[CAS No.], 0), MATCH("Name", gwp_table[#Headers], 0)),"No CAS Number Entered")</f>
        <v>No CAS Number Entered</v>
      </c>
      <c r="C192" s="79" t="str">
        <f>IFERROR(INDEX(gwp_table[], MATCH(speciated_ghg_1100[[#This Row],[CAS '#]], gwp_table[CAS No.], 0), MATCH("Global warming potential", gwp_table[#Headers], 0)),"No CAS Number Entered")</f>
        <v>No CAS Number Entered</v>
      </c>
      <c r="D192" s="219"/>
      <c r="E192" s="79">
        <f>IFERROR(speciated_ghg_1100[[#This Row],[Weight Percent]]*(unique_components_198[[#Totals],[Controlled
tpy]]+standard_components_197[[#Totals],[Controlled
tpy]]), "-")</f>
        <v>0</v>
      </c>
      <c r="F192" s="81" t="str">
        <f>IFERROR(speciated_ghg_1100[[#This Row],[Mass Emissions (U.S. tons per year)]]*speciated_ghg_1100[[#This Row],[Global Warming Potential (GWP)]], "-")</f>
        <v>-</v>
      </c>
      <c r="G192" s="134"/>
      <c r="H192" s="169"/>
    </row>
    <row r="193" spans="1:9" ht="15" x14ac:dyDescent="0.25">
      <c r="A193" s="210"/>
      <c r="B193" s="79" t="str">
        <f>IFERROR(INDEX(gwp_table[], MATCH(speciated_ghg_1100[[#This Row],[CAS '#]], gwp_table[CAS No.], 0), MATCH("Name", gwp_table[#Headers], 0)),"No CAS Number Entered")</f>
        <v>No CAS Number Entered</v>
      </c>
      <c r="C193" s="79" t="str">
        <f>IFERROR(INDEX(gwp_table[], MATCH(speciated_ghg_1100[[#This Row],[CAS '#]], gwp_table[CAS No.], 0), MATCH("Global warming potential", gwp_table[#Headers], 0)),"No CAS Number Entered")</f>
        <v>No CAS Number Entered</v>
      </c>
      <c r="D193" s="219"/>
      <c r="E193" s="79">
        <f>IFERROR(speciated_ghg_1100[[#This Row],[Weight Percent]]*(unique_components_198[[#Totals],[Controlled
tpy]]+standard_components_197[[#Totals],[Controlled
tpy]]), "-")</f>
        <v>0</v>
      </c>
      <c r="F193" s="81" t="str">
        <f>IFERROR(speciated_ghg_1100[[#This Row],[Mass Emissions (U.S. tons per year)]]*speciated_ghg_1100[[#This Row],[Global Warming Potential (GWP)]], "-")</f>
        <v>-</v>
      </c>
      <c r="G193" s="134"/>
      <c r="H193" s="169"/>
    </row>
    <row r="194" spans="1:9" ht="15" x14ac:dyDescent="0.25">
      <c r="A194" s="210"/>
      <c r="B194" s="79" t="str">
        <f>IFERROR(INDEX(gwp_table[], MATCH(speciated_ghg_1100[[#This Row],[CAS '#]], gwp_table[CAS No.], 0), MATCH("Name", gwp_table[#Headers], 0)),"No CAS Number Entered")</f>
        <v>No CAS Number Entered</v>
      </c>
      <c r="C194" s="79" t="str">
        <f>IFERROR(INDEX(gwp_table[], MATCH(speciated_ghg_1100[[#This Row],[CAS '#]], gwp_table[CAS No.], 0), MATCH("Global warming potential", gwp_table[#Headers], 0)),"No CAS Number Entered")</f>
        <v>No CAS Number Entered</v>
      </c>
      <c r="D194" s="219"/>
      <c r="E194" s="79">
        <f>IFERROR(speciated_ghg_1100[[#This Row],[Weight Percent]]*(unique_components_198[[#Totals],[Controlled
tpy]]+standard_components_197[[#Totals],[Controlled
tpy]]), "-")</f>
        <v>0</v>
      </c>
      <c r="F194" s="81" t="str">
        <f>IFERROR(speciated_ghg_1100[[#This Row],[Mass Emissions (U.S. tons per year)]]*speciated_ghg_1100[[#This Row],[Global Warming Potential (GWP)]], "-")</f>
        <v>-</v>
      </c>
      <c r="G194" s="134"/>
      <c r="H194" s="169"/>
    </row>
    <row r="195" spans="1:9" x14ac:dyDescent="0.2">
      <c r="A195" s="210"/>
      <c r="B195" s="79" t="str">
        <f>IFERROR(INDEX(gwp_table[], MATCH(speciated_ghg_1100[[#This Row],[CAS '#]], gwp_table[CAS No.], 0), MATCH("Name", gwp_table[#Headers], 0)),"No CAS Number Entered")</f>
        <v>No CAS Number Entered</v>
      </c>
      <c r="C195" s="79" t="str">
        <f>IFERROR(INDEX(gwp_table[], MATCH(speciated_ghg_1100[[#This Row],[CAS '#]], gwp_table[CAS No.], 0), MATCH("Global warming potential", gwp_table[#Headers], 0)),"No CAS Number Entered")</f>
        <v>No CAS Number Entered</v>
      </c>
      <c r="D195" s="219"/>
      <c r="E195" s="79">
        <f>IFERROR(speciated_ghg_1100[[#This Row],[Weight Percent]]*(unique_components_198[[#Totals],[Controlled
tpy]]+standard_components_197[[#Totals],[Controlled
tpy]]), "-")</f>
        <v>0</v>
      </c>
      <c r="F195" s="81" t="str">
        <f>IFERROR(speciated_ghg_1100[[#This Row],[Mass Emissions (U.S. tons per year)]]*speciated_ghg_1100[[#This Row],[Global Warming Potential (GWP)]], "-")</f>
        <v>-</v>
      </c>
      <c r="G195" s="69"/>
      <c r="H195" s="169"/>
    </row>
    <row r="196" spans="1:9" x14ac:dyDescent="0.2">
      <c r="A196" s="210"/>
      <c r="B196" s="79" t="str">
        <f>IFERROR(INDEX(gwp_table[], MATCH(speciated_ghg_1100[[#This Row],[CAS '#]], gwp_table[CAS No.], 0), MATCH("Name", gwp_table[#Headers], 0)),"No CAS Number Entered")</f>
        <v>No CAS Number Entered</v>
      </c>
      <c r="C196" s="79" t="str">
        <f>IFERROR(INDEX(gwp_table[], MATCH(speciated_ghg_1100[[#This Row],[CAS '#]], gwp_table[CAS No.], 0), MATCH("Global warming potential", gwp_table[#Headers], 0)),"No CAS Number Entered")</f>
        <v>No CAS Number Entered</v>
      </c>
      <c r="D196" s="219"/>
      <c r="E196" s="79">
        <f>IFERROR(speciated_ghg_1100[[#This Row],[Weight Percent]]*(unique_components_198[[#Totals],[Controlled
tpy]]+standard_components_197[[#Totals],[Controlled
tpy]]), "-")</f>
        <v>0</v>
      </c>
      <c r="F196" s="81" t="str">
        <f>IFERROR(speciated_ghg_1100[[#This Row],[Mass Emissions (U.S. tons per year)]]*speciated_ghg_1100[[#This Row],[Global Warming Potential (GWP)]], "-")</f>
        <v>-</v>
      </c>
      <c r="G196" s="29"/>
      <c r="H196" s="169"/>
    </row>
    <row r="197" spans="1:9" x14ac:dyDescent="0.2">
      <c r="A197" s="210"/>
      <c r="B197" s="79" t="str">
        <f>IFERROR(INDEX(gwp_table[], MATCH(speciated_ghg_1100[[#This Row],[CAS '#]], gwp_table[CAS No.], 0), MATCH("Name", gwp_table[#Headers], 0)),"No CAS Number Entered")</f>
        <v>No CAS Number Entered</v>
      </c>
      <c r="C197" s="79" t="str">
        <f>IFERROR(INDEX(gwp_table[], MATCH(speciated_ghg_1100[[#This Row],[CAS '#]], gwp_table[CAS No.], 0), MATCH("Global warming potential", gwp_table[#Headers], 0)),"No CAS Number Entered")</f>
        <v>No CAS Number Entered</v>
      </c>
      <c r="D197" s="219"/>
      <c r="E197" s="79">
        <f>IFERROR(speciated_ghg_1100[[#This Row],[Weight Percent]]*(unique_components_198[[#Totals],[Controlled
tpy]]+standard_components_197[[#Totals],[Controlled
tpy]]), "-")</f>
        <v>0</v>
      </c>
      <c r="F197" s="81" t="str">
        <f>IFERROR(speciated_ghg_1100[[#This Row],[Mass Emissions (U.S. tons per year)]]*speciated_ghg_1100[[#This Row],[Global Warming Potential (GWP)]], "-")</f>
        <v>-</v>
      </c>
      <c r="G197" s="29"/>
      <c r="H197" s="29"/>
      <c r="I197" s="169"/>
    </row>
    <row r="198" spans="1:9" x14ac:dyDescent="0.2">
      <c r="A198" s="210"/>
      <c r="B198" s="79" t="str">
        <f>IFERROR(INDEX(gwp_table[], MATCH(speciated_ghg_1100[[#This Row],[CAS '#]], gwp_table[CAS No.], 0), MATCH("Name", gwp_table[#Headers], 0)),"No CAS Number Entered")</f>
        <v>No CAS Number Entered</v>
      </c>
      <c r="C198" s="79" t="str">
        <f>IFERROR(INDEX(gwp_table[], MATCH(speciated_ghg_1100[[#This Row],[CAS '#]], gwp_table[CAS No.], 0), MATCH("Global warming potential", gwp_table[#Headers], 0)),"No CAS Number Entered")</f>
        <v>No CAS Number Entered</v>
      </c>
      <c r="D198" s="219"/>
      <c r="E198" s="79">
        <f>IFERROR(speciated_ghg_1100[[#This Row],[Weight Percent]]*(unique_components_198[[#Totals],[Controlled
tpy]]+standard_components_197[[#Totals],[Controlled
tpy]]), "-")</f>
        <v>0</v>
      </c>
      <c r="F198" s="81" t="str">
        <f>IFERROR(speciated_ghg_1100[[#This Row],[Mass Emissions (U.S. tons per year)]]*speciated_ghg_1100[[#This Row],[Global Warming Potential (GWP)]], "-")</f>
        <v>-</v>
      </c>
      <c r="G198" s="29"/>
      <c r="H198" s="29"/>
      <c r="I198" s="169"/>
    </row>
    <row r="199" spans="1:9" x14ac:dyDescent="0.2">
      <c r="A199" s="210"/>
      <c r="B199" s="79" t="str">
        <f>IFERROR(INDEX(gwp_table[], MATCH(speciated_ghg_1100[[#This Row],[CAS '#]], gwp_table[CAS No.], 0), MATCH("Name", gwp_table[#Headers], 0)),"No CAS Number Entered")</f>
        <v>No CAS Number Entered</v>
      </c>
      <c r="C199" s="79" t="str">
        <f>IFERROR(INDEX(gwp_table[], MATCH(speciated_ghg_1100[[#This Row],[CAS '#]], gwp_table[CAS No.], 0), MATCH("Global warming potential", gwp_table[#Headers], 0)),"No CAS Number Entered")</f>
        <v>No CAS Number Entered</v>
      </c>
      <c r="D199" s="219"/>
      <c r="E199" s="79">
        <f>IFERROR(speciated_ghg_1100[[#This Row],[Weight Percent]]*(unique_components_198[[#Totals],[Controlled
tpy]]+standard_components_197[[#Totals],[Controlled
tpy]]), "-")</f>
        <v>0</v>
      </c>
      <c r="F199" s="81" t="str">
        <f>IFERROR(speciated_ghg_1100[[#This Row],[Mass Emissions (U.S. tons per year)]]*speciated_ghg_1100[[#This Row],[Global Warming Potential (GWP)]], "-")</f>
        <v>-</v>
      </c>
      <c r="G199" s="29"/>
      <c r="H199" s="29"/>
      <c r="I199" s="169"/>
    </row>
    <row r="200" spans="1:9" x14ac:dyDescent="0.2">
      <c r="A200" s="210"/>
      <c r="B200" s="79" t="str">
        <f>IFERROR(INDEX(gwp_table[], MATCH(speciated_ghg_1100[[#This Row],[CAS '#]], gwp_table[CAS No.], 0), MATCH("Name", gwp_table[#Headers], 0)),"No CAS Number Entered")</f>
        <v>No CAS Number Entered</v>
      </c>
      <c r="C200" s="79" t="str">
        <f>IFERROR(INDEX(gwp_table[], MATCH(speciated_ghg_1100[[#This Row],[CAS '#]], gwp_table[CAS No.], 0), MATCH("Global warming potential", gwp_table[#Headers], 0)),"No CAS Number Entered")</f>
        <v>No CAS Number Entered</v>
      </c>
      <c r="D200" s="219"/>
      <c r="E200" s="79">
        <f>IFERROR(speciated_ghg_1100[[#This Row],[Weight Percent]]*(unique_components_198[[#Totals],[Controlled
tpy]]+standard_components_197[[#Totals],[Controlled
tpy]]), "-")</f>
        <v>0</v>
      </c>
      <c r="F200" s="81" t="str">
        <f>IFERROR(speciated_ghg_1100[[#This Row],[Mass Emissions (U.S. tons per year)]]*speciated_ghg_1100[[#This Row],[Global Warming Potential (GWP)]], "-")</f>
        <v>-</v>
      </c>
      <c r="G200" s="29"/>
      <c r="H200" s="29"/>
      <c r="I200" s="169"/>
    </row>
    <row r="201" spans="1:9" x14ac:dyDescent="0.2">
      <c r="A201" s="210"/>
      <c r="B201" s="79" t="str">
        <f>IFERROR(INDEX(gwp_table[], MATCH(speciated_ghg_1100[[#This Row],[CAS '#]], gwp_table[CAS No.], 0), MATCH("Name", gwp_table[#Headers], 0)),"No CAS Number Entered")</f>
        <v>No CAS Number Entered</v>
      </c>
      <c r="C201" s="79" t="str">
        <f>IFERROR(INDEX(gwp_table[], MATCH(speciated_ghg_1100[[#This Row],[CAS '#]], gwp_table[CAS No.], 0), MATCH("Global warming potential", gwp_table[#Headers], 0)),"No CAS Number Entered")</f>
        <v>No CAS Number Entered</v>
      </c>
      <c r="D201" s="219"/>
      <c r="E201" s="79">
        <f>IFERROR(speciated_ghg_1100[[#This Row],[Weight Percent]]*(unique_components_198[[#Totals],[Controlled
tpy]]+standard_components_197[[#Totals],[Controlled
tpy]]), "-")</f>
        <v>0</v>
      </c>
      <c r="F201" s="81" t="str">
        <f>IFERROR(speciated_ghg_1100[[#This Row],[Mass Emissions (U.S. tons per year)]]*speciated_ghg_1100[[#This Row],[Global Warming Potential (GWP)]], "-")</f>
        <v>-</v>
      </c>
      <c r="G201" s="169"/>
      <c r="H201" s="169"/>
      <c r="I201" s="169"/>
    </row>
    <row r="202" spans="1:9" x14ac:dyDescent="0.2">
      <c r="A202" s="210"/>
      <c r="B202" s="79" t="str">
        <f>IFERROR(INDEX(gwp_table[], MATCH(speciated_ghg_1100[[#This Row],[CAS '#]], gwp_table[CAS No.], 0), MATCH("Name", gwp_table[#Headers], 0)),"No CAS Number Entered")</f>
        <v>No CAS Number Entered</v>
      </c>
      <c r="C202" s="79" t="str">
        <f>IFERROR(INDEX(gwp_table[], MATCH(speciated_ghg_1100[[#This Row],[CAS '#]], gwp_table[CAS No.], 0), MATCH("Global warming potential", gwp_table[#Headers], 0)),"No CAS Number Entered")</f>
        <v>No CAS Number Entered</v>
      </c>
      <c r="D202" s="219"/>
      <c r="E202" s="79">
        <f>IFERROR(speciated_ghg_1100[[#This Row],[Weight Percent]]*(unique_components_198[[#Totals],[Controlled
tpy]]+standard_components_197[[#Totals],[Controlled
tpy]]), "-")</f>
        <v>0</v>
      </c>
      <c r="F202" s="81" t="str">
        <f>IFERROR(speciated_ghg_1100[[#This Row],[Mass Emissions (U.S. tons per year)]]*speciated_ghg_1100[[#This Row],[Global Warming Potential (GWP)]], "-")</f>
        <v>-</v>
      </c>
      <c r="G202" s="169"/>
      <c r="H202" s="169"/>
      <c r="I202" s="169"/>
    </row>
    <row r="203" spans="1:9" x14ac:dyDescent="0.2">
      <c r="A203" s="210"/>
      <c r="B203" s="79" t="str">
        <f>IFERROR(INDEX(gwp_table[], MATCH(speciated_ghg_1100[[#This Row],[CAS '#]], gwp_table[CAS No.], 0), MATCH("Name", gwp_table[#Headers], 0)),"No CAS Number Entered")</f>
        <v>No CAS Number Entered</v>
      </c>
      <c r="C203" s="79" t="str">
        <f>IFERROR(INDEX(gwp_table[], MATCH(speciated_ghg_1100[[#This Row],[CAS '#]], gwp_table[CAS No.], 0), MATCH("Global warming potential", gwp_table[#Headers], 0)),"No CAS Number Entered")</f>
        <v>No CAS Number Entered</v>
      </c>
      <c r="D203" s="219"/>
      <c r="E203" s="79">
        <f>IFERROR(speciated_ghg_1100[[#This Row],[Weight Percent]]*(unique_components_198[[#Totals],[Controlled
tpy]]+standard_components_197[[#Totals],[Controlled
tpy]]), "-")</f>
        <v>0</v>
      </c>
      <c r="F203" s="81" t="str">
        <f>IFERROR(speciated_ghg_1100[[#This Row],[Mass Emissions (U.S. tons per year)]]*speciated_ghg_1100[[#This Row],[Global Warming Potential (GWP)]], "-")</f>
        <v>-</v>
      </c>
      <c r="G203" s="169"/>
      <c r="H203" s="169"/>
      <c r="I203" s="169"/>
    </row>
    <row r="204" spans="1:9" ht="30" x14ac:dyDescent="0.25">
      <c r="A204" s="185" t="s">
        <v>13321</v>
      </c>
      <c r="B204" s="77"/>
      <c r="C204" s="77"/>
      <c r="D204" s="77"/>
      <c r="E204" s="80">
        <f>SUBTOTAL(109,speciated_ghg_1100[Mass Emissions (U.S. tons per year)])</f>
        <v>0</v>
      </c>
      <c r="F204" s="82">
        <f>SUBTOTAL(109,speciated_ghg_1100[CO2e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speciated_chemicals_199[[#Totals],[lb/hr]]</f>
        <v>0</v>
      </c>
      <c r="C207" s="134"/>
      <c r="D207" s="134"/>
      <c r="E207" s="134"/>
      <c r="F207" s="134"/>
      <c r="G207" s="169"/>
      <c r="H207" s="169"/>
    </row>
    <row r="208" spans="1:9" ht="29.25" x14ac:dyDescent="0.25">
      <c r="A208" s="174" t="s">
        <v>13320</v>
      </c>
      <c r="B208" s="175">
        <f>speciated_chemicals_199[[#Totals],[tpy]]</f>
        <v>0</v>
      </c>
      <c r="C208" s="134"/>
      <c r="D208" s="134"/>
      <c r="E208" s="134"/>
      <c r="F208" s="134"/>
      <c r="G208" s="169"/>
      <c r="H208" s="169"/>
    </row>
    <row r="209" spans="1:8" ht="15" x14ac:dyDescent="0.25">
      <c r="A209" s="126" t="s">
        <v>13277</v>
      </c>
      <c r="B209" s="128">
        <f>SUMIF(speciated_chemicals_199[VOC?],"Yes",speciated_chemicals_199[lb/hr])</f>
        <v>0</v>
      </c>
      <c r="C209" s="134"/>
      <c r="D209" s="29"/>
      <c r="E209" s="29"/>
      <c r="F209" s="29"/>
      <c r="G209" s="169"/>
      <c r="H209" s="169"/>
    </row>
    <row r="210" spans="1:8" ht="15" x14ac:dyDescent="0.25">
      <c r="A210" s="126" t="s">
        <v>12669</v>
      </c>
      <c r="B210" s="128">
        <f>SUMIF(speciated_chemicals_199[VOC?],"Yes",speciated_chemicals_199[tpy])</f>
        <v>0</v>
      </c>
      <c r="C210" s="134"/>
      <c r="D210" s="29"/>
      <c r="E210" s="29"/>
      <c r="F210" s="29"/>
      <c r="G210" s="169"/>
      <c r="H210" s="169"/>
    </row>
    <row r="211" spans="1:8" ht="15" x14ac:dyDescent="0.25">
      <c r="A211" s="126" t="s">
        <v>12775</v>
      </c>
      <c r="B211" s="128">
        <f>SUMIF(speciated_chemicals_199[Inorganic?],"Yes",speciated_chemicals_199[lb/hr])</f>
        <v>0</v>
      </c>
      <c r="C211" s="134"/>
      <c r="D211" s="29"/>
      <c r="E211" s="29"/>
      <c r="F211" s="29"/>
      <c r="G211" s="169"/>
      <c r="H211" s="169"/>
    </row>
    <row r="212" spans="1:8" ht="15" x14ac:dyDescent="0.25">
      <c r="A212" s="126" t="s">
        <v>12770</v>
      </c>
      <c r="B212" s="128">
        <f>SUMIF(speciated_chemicals_199[Inorganic?],"Yes",speciated_chemicals_199[tpy])</f>
        <v>0</v>
      </c>
      <c r="C212" s="134"/>
      <c r="D212" s="29"/>
      <c r="E212" s="29"/>
      <c r="F212" s="29"/>
      <c r="G212" s="169"/>
      <c r="H212" s="169"/>
    </row>
    <row r="213" spans="1:8" ht="15" x14ac:dyDescent="0.25">
      <c r="A213" s="126" t="s">
        <v>13276</v>
      </c>
      <c r="B213" s="128">
        <f>SUMIF(speciated_chemicals_199[VOC-Exempt Solvent?],"Yes",speciated_chemicals_199[lb/hr])</f>
        <v>0</v>
      </c>
      <c r="C213" s="134"/>
      <c r="D213" s="29"/>
      <c r="E213" s="29"/>
      <c r="F213" s="29"/>
      <c r="G213" s="169"/>
      <c r="H213" s="169"/>
    </row>
    <row r="214" spans="1:8" ht="15" x14ac:dyDescent="0.25">
      <c r="A214" s="126" t="s">
        <v>13278</v>
      </c>
      <c r="B214" s="128">
        <f>SUMIF(speciated_chemicals_199[VOC-Exempt Solvent?],"Yes",speciated_chemicals_199[tpy])</f>
        <v>0</v>
      </c>
      <c r="C214" s="134"/>
      <c r="D214" s="29"/>
      <c r="E214" s="29"/>
      <c r="F214" s="29"/>
      <c r="G214" s="169"/>
      <c r="H214" s="169"/>
    </row>
    <row r="215" spans="1:8" ht="15" x14ac:dyDescent="0.25">
      <c r="A215" s="127" t="s">
        <v>13280</v>
      </c>
      <c r="B215" s="176">
        <f>speciated_ghg_1100[[#Totals],[Mass Emissions (U.S. tons per year)]]</f>
        <v>0</v>
      </c>
      <c r="C215" s="134"/>
      <c r="D215" s="29"/>
      <c r="E215" s="29"/>
      <c r="F215" s="29"/>
      <c r="G215" s="169"/>
      <c r="H215" s="169"/>
    </row>
    <row r="216" spans="1:8" ht="18.75" x14ac:dyDescent="0.35">
      <c r="A216" s="127" t="s">
        <v>13281</v>
      </c>
      <c r="B216" s="176">
        <f>speciated_ghg_1100[[#Totals],[CO2e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1u+eZ/BRD1Nm00X38Zinj/saaua9hCxV3pVXmTdWsL6RI8KkJxhe+iOnaSr2GubedNHMG5q1WmApDIpHy/AUUQ==" saltValue="IQ5m+0GLgjT/XLUej3YSZQ==" spinCount="100000" sheet="1" objects="1" scenarios="1" formatColumns="0" formatRows="0" autoFilter="0"/>
  <conditionalFormatting sqref="A21:H21">
    <cfRule type="expression" dxfId="490" priority="5">
      <formula>$F$19="No"</formula>
    </cfRule>
  </conditionalFormatting>
  <conditionalFormatting sqref="A105:E106 F106:G126">
    <cfRule type="expression" dxfId="489" priority="4">
      <formula>$E$104="no"</formula>
    </cfRule>
  </conditionalFormatting>
  <conditionalFormatting sqref="C131:C180">
    <cfRule type="expression" dxfId="488" priority="3">
      <formula>NOT(B131="Other (Please specify):")</formula>
    </cfRule>
  </conditionalFormatting>
  <conditionalFormatting sqref="A107:E126">
    <cfRule type="expression" dxfId="487" priority="2">
      <formula>$A$58="No"</formula>
    </cfRule>
  </conditionalFormatting>
  <conditionalFormatting sqref="A107:E126 A206:B214 A215:A216">
    <cfRule type="expression" dxfId="486"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7E5B1F94-A44C-4FBC-BB21-7D815DC0BA5B}"/>
    <dataValidation type="list" allowBlank="1" showInputMessage="1" showErrorMessage="1" sqref="E104:H104 B10" xr:uid="{21863C91-4840-4FB1-A18B-0BF4BC8A62B9}">
      <formula1>"Yes,No"</formula1>
    </dataValidation>
    <dataValidation type="list" allowBlank="1" showInputMessage="1" showErrorMessage="1" sqref="F19:H20" xr:uid="{4B8C111E-2DB4-44AE-A0BB-8ECD30942A36}">
      <formula1>"No,Yes - 75%,Yes - 95%"</formula1>
    </dataValidation>
    <dataValidation type="list" allowBlank="1" showInputMessage="1" showErrorMessage="1" sqref="F18" xr:uid="{E4BCAFBE-B0C2-4CDF-B942-84BCE192480B}">
      <formula1>IF(#REF!="SOCMI Non-leaker",ListNone,ListInspection)</formula1>
    </dataValidation>
    <dataValidation type="list" allowBlank="1" showInputMessage="1" showErrorMessage="1" sqref="F16:F17" xr:uid="{300BAF1A-B65D-4766-8316-45144B6AA118}">
      <formula1>IF(#REF!="SOCMI Non-Leaker",ListNone,ListInstrument)</formula1>
    </dataValidation>
    <dataValidation type="list" allowBlank="1" showInputMessage="1" prompt="Please specify whether the substance is a volatile organic compound (VOC); methane and ethane are not classifed as VOCs" sqref="D132:D180" xr:uid="{E1A33607-47D4-4308-9328-81C43D3685C6}">
      <formula1>"Yes,No"</formula1>
    </dataValidation>
    <dataValidation allowBlank="1" showInputMessage="1" showErrorMessage="1" prompt="Enter the weight percent of the substance" sqref="H178:H180 H132:H176" xr:uid="{398D461B-6BC8-4563-B2FF-2012F0615636}"/>
    <dataValidation type="list" allowBlank="1" showInputMessage="1" showErrorMessage="1" prompt="Enter or select Chemical Abstracts Service number; select &quot;N/A&quot; if a CAS # is not applicable" sqref="A131:A175 A177:A180" xr:uid="{0BBDAB7B-42BE-4CC0-AFE8-60AAB52805AA}">
      <formula1>SpeciesList</formula1>
    </dataValidation>
    <dataValidation type="list" allowBlank="1" showInputMessage="1" prompt="Select other species from dropdown" sqref="C131:C180" xr:uid="{3A19A63D-DB1A-4E1E-8076-0D064B419AE2}">
      <formula1>NoCASList</formula1>
    </dataValidation>
    <dataValidation allowBlank="1" showInputMessage="1" showErrorMessage="1" prompt="Proposed control efficiency (0-1)" sqref="E107:E126" xr:uid="{D4BD4461-0B20-44A1-97F5-F087DFD411B5}"/>
    <dataValidation allowBlank="1" showInputMessage="1" showErrorMessage="1" prompt="Count of unique component" sqref="C107:C126" xr:uid="{1FC62518-A5FC-49D9-9CAE-8042B3A37DAF}"/>
    <dataValidation allowBlank="1" showInputMessage="1" showErrorMessage="1" prompt="Type of service (e.g. gas, vapor, or liquid)" sqref="B107:B126" xr:uid="{DCDAFB48-D71A-4850-A92A-7DA24290B28D}"/>
    <dataValidation allowBlank="1" showInputMessage="1" showErrorMessage="1" prompt="Name of unique component" sqref="A107:A126" xr:uid="{A53514FD-F520-4F92-9B69-977C467C54F0}"/>
    <dataValidation type="list" allowBlank="1" showInputMessage="1" showErrorMessage="1" sqref="B13" xr:uid="{E0838AE4-C39F-4F36-BD8B-48F3CC89BBBD}">
      <formula1>industry_names</formula1>
    </dataValidation>
    <dataValidation type="list" allowBlank="1" showInputMessage="1" showErrorMessage="1" sqref="B19" xr:uid="{892EBCAD-E6B4-474B-83E8-A99E24133E39}">
      <formula1>yes_no_list</formula1>
    </dataValidation>
    <dataValidation type="list" allowBlank="1" showInputMessage="1" showErrorMessage="1" sqref="B20" xr:uid="{D21E17BB-E7AC-4309-8852-4E3DA4D78E40}">
      <formula1>process_drains_effs</formula1>
    </dataValidation>
    <dataValidation allowBlank="1" showInputMessage="1" showErrorMessage="1" prompt="Proposed emission factor" sqref="D107:D126" xr:uid="{358C59C5-C38A-4776-BB63-65B08D614B0B}"/>
    <dataValidation type="list" allowBlank="1" showInputMessage="1" prompt="Please specify if the substance is an inert substance or is not considered a contaminant (e.g. steam)" sqref="G131:G180" xr:uid="{BEB9447F-BB84-4934-BA3A-5A36153212B9}">
      <formula1>"Yes,No"</formula1>
    </dataValidation>
    <dataValidation type="list" allowBlank="1" showInputMessage="1" showErrorMessage="1" prompt="Please select from the dropdown" sqref="B104" xr:uid="{5533D50C-4E8D-4C1F-A756-3D5A33AC0CE3}">
      <formula1>yes_no_list</formula1>
    </dataValidation>
    <dataValidation allowBlank="1" showInputMessage="1" showErrorMessage="1" prompt="Provide justification" sqref="B105" xr:uid="{50AC7BFB-B5CA-4EAF-AA9E-649EBD25CA07}"/>
    <dataValidation type="list" showInputMessage="1" prompt="Please specify whether the substance is a volatile organic compound (VOC); methane and ethane are not classifed as VOCs" sqref="D131" xr:uid="{C8514230-A741-46D7-A82C-AABC1C2A2F3F}">
      <formula1>"Yes,No"</formula1>
    </dataValidation>
    <dataValidation type="list" showInputMessage="1" prompt="Please specify whether the substance is an inorganic contaminant (e.g. ammonia or chlorine gas)" sqref="E131:E180" xr:uid="{A1BD0AEF-81CD-4E39-B4C9-1C83706D042D}">
      <formula1>"Yes,No"</formula1>
    </dataValidation>
    <dataValidation type="list" allowBlank="1" showInputMessage="1" prompt="Please specify whether the substance is an VOC-exempt solvent." sqref="F131:F180" xr:uid="{1D89563E-B9EF-4AAC-AA8A-7CA0FBA28AA4}">
      <formula1>"Yes,No"</formula1>
    </dataValidation>
    <dataValidation type="list" allowBlank="1" showInputMessage="1" showErrorMessage="1" prompt="Enter or select Chemical Abstracts Service number; select &quot;N/A&quot; if a CAS # is not applicable" sqref="A185:A203 A176" xr:uid="{594633FA-3A5F-4AF0-AB46-3B67537C7EF6}">
      <formula1>gwp_table_cas</formula1>
    </dataValidation>
    <dataValidation type="decimal" allowBlank="1" showInputMessage="1" showErrorMessage="1" prompt="Enter the weight percent of the substance" sqref="H177" xr:uid="{7B66E4BF-9E73-4156-BB82-1ADF7656B1D9}">
      <formula1>0</formula1>
      <formula2>1</formula2>
    </dataValidation>
    <dataValidation type="decimal" operator="greaterThan" allowBlank="1" showInputMessage="1" showErrorMessage="1" prompt="Enter the weight percent of the substance" sqref="H131 D185:D203" xr:uid="{D2881CA8-7105-47B2-B7B8-7556C5DCE023}">
      <formula1>0</formula1>
    </dataValidation>
    <dataValidation type="list" allowBlank="1" showInputMessage="1" showErrorMessage="1" sqref="B18" xr:uid="{8DC65A84-22D2-4BD3-B25E-D95D7F604AE2}">
      <formula1>inspection_ldar_list</formula1>
    </dataValidation>
    <dataValidation type="list" allowBlank="1" showInputMessage="1" showErrorMessage="1" sqref="B17" xr:uid="{8AE30023-7953-4389-9B36-7C3CA58A7A90}">
      <formula1>connector_ldar_list</formula1>
    </dataValidation>
    <dataValidation type="list" allowBlank="1" showInputMessage="1" showErrorMessage="1" sqref="B16" xr:uid="{69D063F7-F32A-4D26-B2DB-78BF2CB42CBF}">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FAB5-4D03-4523-BB80-388CB6225870}">
  <sheetPr codeName="Sheet28">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INDEX((standard_components_1101[[#This Row],[Component]]=factor_eff_table[Component])*(standard_components_1101[[#This Row],[Service]]=factor_eff_table[Service]), 0, 1), 0)),
 "-")</f>
        <v>-</v>
      </c>
      <c r="E25" s="145" t="str" cm="1">
        <f t="array" ref="E2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25" s="145" t="str" cm="1">
        <f t="array" ref="F2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25" s="145" t="str" cm="1">
        <f t="array" ref="G2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2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2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INDEX((standard_components_1101[[#This Row],[Component]]=factor_eff_table[Component])*(standard_components_1101[[#This Row],[Service]]=factor_eff_table[Service]), 0, 1), 0)),
 "-")</f>
        <v>-</v>
      </c>
      <c r="E26" s="145" t="str" cm="1">
        <f t="array" ref="E2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26" s="145" t="str" cm="1">
        <f t="array" ref="F2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26" s="145" t="str" cm="1">
        <f t="array" ref="G2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2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2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INDEX((standard_components_1101[[#This Row],[Component]]=factor_eff_table[Component])*(standard_components_1101[[#This Row],[Service]]=factor_eff_table[Service]), 0, 1), 0)),
 "-")</f>
        <v>-</v>
      </c>
      <c r="E27" s="145" t="str" cm="1">
        <f t="array" ref="E2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27" s="145" t="str" cm="1">
        <f t="array" ref="F2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27" s="145" t="str" cm="1">
        <f t="array" ref="G2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2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2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INDEX((standard_components_1101[[#This Row],[Component]]=factor_eff_table[Component])*(standard_components_1101[[#This Row],[Service]]=factor_eff_table[Service]), 0, 1), 0)),
 "-")</f>
        <v>-</v>
      </c>
      <c r="E28" s="145" t="str" cm="1">
        <f t="array" ref="E2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28" s="145" t="str" cm="1">
        <f t="array" ref="F2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28" s="145" t="str" cm="1">
        <f t="array" ref="G2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2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2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INDEX((standard_components_1101[[#This Row],[Component]]=factor_eff_table[Component])*(standard_components_1101[[#This Row],[Service]]=factor_eff_table[Service]), 0, 1), 0)),
 "-")</f>
        <v>-</v>
      </c>
      <c r="E29" s="145" t="str" cm="1">
        <f t="array" ref="E2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29" s="145" t="str" cm="1">
        <f t="array" ref="F2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29" s="145" t="str" cm="1">
        <f t="array" ref="G2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2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2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INDEX((standard_components_1101[[#This Row],[Component]]=factor_eff_table[Component])*(standard_components_1101[[#This Row],[Service]]=factor_eff_table[Service]), 0, 1), 0)),
 "-")</f>
        <v>-</v>
      </c>
      <c r="E30" s="145" t="str" cm="1">
        <f t="array" ref="E3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0" s="145" t="str" cm="1">
        <f t="array" ref="F3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0" s="145" t="str" cm="1">
        <f t="array" ref="G3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INDEX((standard_components_1101[[#This Row],[Component]]=factor_eff_table[Component])*(standard_components_1101[[#This Row],[Service]]=factor_eff_table[Service]), 0, 1), 0)),
 "-")</f>
        <v>-</v>
      </c>
      <c r="E31" s="145" t="str" cm="1">
        <f t="array" ref="E3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1" s="145" t="str" cm="1">
        <f t="array" ref="F3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1" s="145" t="str" cm="1">
        <f t="array" ref="G3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INDEX((standard_components_1101[[#This Row],[Component]]=factor_eff_table[Component])*(standard_components_1101[[#This Row],[Service]]=factor_eff_table[Service]), 0, 1), 0)),
 "-")</f>
        <v>-</v>
      </c>
      <c r="E32" s="145" t="str" cm="1">
        <f t="array" ref="E3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2" s="145" t="str" cm="1">
        <f t="array" ref="F3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2" s="145" t="str" cm="1">
        <f t="array" ref="G3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INDEX((standard_components_1101[[#This Row],[Component]]=factor_eff_table[Component])*(standard_components_1101[[#This Row],[Service]]=factor_eff_table[Service]), 0, 1), 0)),
 "-")</f>
        <v>-</v>
      </c>
      <c r="E33" s="145" t="str" cm="1">
        <f t="array" ref="E3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3" s="145" t="str" cm="1">
        <f t="array" ref="F3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3" s="145" t="str" cm="1">
        <f t="array" ref="G3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INDEX((standard_components_1101[[#This Row],[Component]]=factor_eff_table[Component])*(standard_components_1101[[#This Row],[Service]]=factor_eff_table[Service]), 0, 1), 0)),
 "-")</f>
        <v>-</v>
      </c>
      <c r="E34" s="145" t="str" cm="1">
        <f t="array" ref="E3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4" s="145" t="str" cm="1">
        <f t="array" ref="F3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4" s="145" t="str" cm="1">
        <f t="array" ref="G3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INDEX((standard_components_1101[[#This Row],[Component]]=factor_eff_table[Component])*(standard_components_1101[[#This Row],[Service]]=factor_eff_table[Service]), 0, 1), 0)),
 "-")</f>
        <v>-</v>
      </c>
      <c r="E35" s="145" t="str" cm="1">
        <f t="array" ref="E3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5" s="145" t="str" cm="1">
        <f t="array" ref="F3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5" s="145" t="str" cm="1">
        <f t="array" ref="G3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INDEX((standard_components_1101[[#This Row],[Component]]=factor_eff_table[Component])*(standard_components_1101[[#This Row],[Service]]=factor_eff_table[Service]), 0, 1), 0)),
 "-")</f>
        <v>-</v>
      </c>
      <c r="E36" s="145" t="str" cm="1">
        <f t="array" ref="E3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6" s="145" t="str" cm="1">
        <f t="array" ref="F3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6" s="145" t="str" cm="1">
        <f t="array" ref="G3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INDEX((standard_components_1101[[#This Row],[Component]]=factor_eff_table[Component])*(standard_components_1101[[#This Row],[Service]]=factor_eff_table[Service]), 0, 1), 0)),
 "-")</f>
        <v>-</v>
      </c>
      <c r="E37" s="145" t="str" cm="1">
        <f t="array" ref="E3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7" s="145" t="str" cm="1">
        <f t="array" ref="F3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7" s="145" t="str" cm="1">
        <f t="array" ref="G3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INDEX((standard_components_1101[[#This Row],[Component]]=factor_eff_table[Component])*(standard_components_1101[[#This Row],[Service]]=factor_eff_table[Service]), 0, 1), 0)),
 "-")</f>
        <v>-</v>
      </c>
      <c r="E38" s="145" t="str" cm="1">
        <f t="array" ref="E3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8" s="145" t="str" cm="1">
        <f t="array" ref="F3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8" s="145" t="str" cm="1">
        <f t="array" ref="G3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INDEX((standard_components_1101[[#This Row],[Component]]=factor_eff_table[Component])*(standard_components_1101[[#This Row],[Service]]=factor_eff_table[Service]), 0, 1), 0)),
 "-")</f>
        <v>-</v>
      </c>
      <c r="E39" s="145" t="str" cm="1">
        <f t="array" ref="E3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39" s="145" t="str" cm="1">
        <f t="array" ref="F3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39" s="145" t="str" cm="1">
        <f t="array" ref="G3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3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3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INDEX((standard_components_1101[[#This Row],[Component]]=factor_eff_table[Component])*(standard_components_1101[[#This Row],[Service]]=factor_eff_table[Service]), 0, 1), 0)),
 "-")</f>
        <v>-</v>
      </c>
      <c r="E40" s="145" t="str" cm="1">
        <f t="array" ref="E4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0" s="145" t="str" cm="1">
        <f t="array" ref="F4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0" s="145" t="str" cm="1">
        <f t="array" ref="G4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INDEX((standard_components_1101[[#This Row],[Component]]=factor_eff_table[Component])*(standard_components_1101[[#This Row],[Service]]=factor_eff_table[Service]), 0, 1), 0)),
 "-")</f>
        <v>-</v>
      </c>
      <c r="E41" s="145" t="str" cm="1">
        <f t="array" ref="E4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1" s="145" t="str" cm="1">
        <f t="array" ref="F4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1" s="145" t="str" cm="1">
        <f t="array" ref="G4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INDEX((standard_components_1101[[#This Row],[Component]]=factor_eff_table[Component])*(standard_components_1101[[#This Row],[Service]]=factor_eff_table[Service]), 0, 1), 0)),
 "-")</f>
        <v>-</v>
      </c>
      <c r="E42" s="145" t="str" cm="1">
        <f t="array" ref="E4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2" s="145" t="str" cm="1">
        <f t="array" ref="F4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2" s="145" t="str" cm="1">
        <f t="array" ref="G4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INDEX((standard_components_1101[[#This Row],[Component]]=factor_eff_table[Component])*(standard_components_1101[[#This Row],[Service]]=factor_eff_table[Service]), 0, 1), 0)),
 "-")</f>
        <v>-</v>
      </c>
      <c r="E43" s="145" t="str" cm="1">
        <f t="array" ref="E4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3" s="145" t="str" cm="1">
        <f t="array" ref="F4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3" s="145" t="str" cm="1">
        <f t="array" ref="G4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INDEX((standard_components_1101[[#This Row],[Component]]=factor_eff_table[Component])*(standard_components_1101[[#This Row],[Service]]=factor_eff_table[Service]), 0, 1), 0)),
 "-")</f>
        <v>-</v>
      </c>
      <c r="E44" s="145" t="str" cm="1">
        <f t="array" ref="E4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4" s="145" t="str" cm="1">
        <f t="array" ref="F4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4" s="145" t="str" cm="1">
        <f t="array" ref="G4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INDEX((standard_components_1101[[#This Row],[Component]]=factor_eff_table[Component])*(standard_components_1101[[#This Row],[Service]]=factor_eff_table[Service]), 0, 1), 0)),
 "-")</f>
        <v>-</v>
      </c>
      <c r="E45" s="145" t="str" cm="1">
        <f t="array" ref="E4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5" s="145" t="str" cm="1">
        <f t="array" ref="F4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5" s="145" t="str" cm="1">
        <f t="array" ref="G4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INDEX((standard_components_1101[[#This Row],[Component]]=factor_eff_table[Component])*(standard_components_1101[[#This Row],[Service]]=factor_eff_table[Service]), 0, 1), 0)),
 "-")</f>
        <v>-</v>
      </c>
      <c r="E46" s="145" t="str" cm="1">
        <f t="array" ref="E4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6" s="145" t="str" cm="1">
        <f t="array" ref="F4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6" s="145" t="str" cm="1">
        <f t="array" ref="G4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INDEX((standard_components_1101[[#This Row],[Component]]=factor_eff_table[Component])*(standard_components_1101[[#This Row],[Service]]=factor_eff_table[Service]), 0, 1), 0)),
 "-")</f>
        <v>-</v>
      </c>
      <c r="E47" s="145" t="str" cm="1">
        <f t="array" ref="E4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7" s="145" t="str" cm="1">
        <f t="array" ref="F4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7" s="145" t="str" cm="1">
        <f t="array" ref="G4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INDEX((standard_components_1101[[#This Row],[Component]]=factor_eff_table[Component])*(standard_components_1101[[#This Row],[Service]]=factor_eff_table[Service]), 0, 1), 0)),
 "-")</f>
        <v>-</v>
      </c>
      <c r="E48" s="145" t="str" cm="1">
        <f t="array" ref="E4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8" s="145" t="str" cm="1">
        <f t="array" ref="F4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8" s="145" t="str" cm="1">
        <f t="array" ref="G4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INDEX((standard_components_1101[[#This Row],[Component]]=factor_eff_table[Component])*(standard_components_1101[[#This Row],[Service]]=factor_eff_table[Service]), 0, 1), 0)),
 "-")</f>
        <v>-</v>
      </c>
      <c r="E49" s="145" t="str" cm="1">
        <f t="array" ref="E4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49" s="145" t="str" cm="1">
        <f t="array" ref="F4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49" s="145" t="str" cm="1">
        <f t="array" ref="G4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4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4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INDEX((standard_components_1101[[#This Row],[Component]]=factor_eff_table[Component])*(standard_components_1101[[#This Row],[Service]]=factor_eff_table[Service]), 0, 1), 0)),
 "-")</f>
        <v>-</v>
      </c>
      <c r="E50" s="145" t="str" cm="1">
        <f t="array" ref="E5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0" s="145" t="str" cm="1">
        <f t="array" ref="F5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0" s="145" t="str" cm="1">
        <f t="array" ref="G5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INDEX((standard_components_1101[[#This Row],[Component]]=factor_eff_table[Component])*(standard_components_1101[[#This Row],[Service]]=factor_eff_table[Service]), 0, 1), 0)),
 "-")</f>
        <v>-</v>
      </c>
      <c r="E51" s="145" t="str" cm="1">
        <f t="array" ref="E5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1" s="145" t="str" cm="1">
        <f t="array" ref="F5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1" s="145" t="str" cm="1">
        <f t="array" ref="G5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INDEX((standard_components_1101[[#This Row],[Component]]=factor_eff_table[Component])*(standard_components_1101[[#This Row],[Service]]=factor_eff_table[Service]), 0, 1), 0)),
 "-")</f>
        <v>-</v>
      </c>
      <c r="E52" s="145" t="str" cm="1">
        <f t="array" ref="E5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2" s="145" t="str" cm="1">
        <f t="array" ref="F5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2" s="145" t="str" cm="1">
        <f t="array" ref="G5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INDEX((standard_components_1101[[#This Row],[Component]]=factor_eff_table[Component])*(standard_components_1101[[#This Row],[Service]]=factor_eff_table[Service]), 0, 1), 0)),
 "-")</f>
        <v>-</v>
      </c>
      <c r="E53" s="145" t="str" cm="1">
        <f t="array" ref="E5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3" s="145" t="str" cm="1">
        <f t="array" ref="F5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3" s="145" t="str" cm="1">
        <f t="array" ref="G5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INDEX((standard_components_1101[[#This Row],[Component]]=factor_eff_table[Component])*(standard_components_1101[[#This Row],[Service]]=factor_eff_table[Service]), 0, 1), 0)),
 "-")</f>
        <v>-</v>
      </c>
      <c r="E54" s="145" t="str" cm="1">
        <f t="array" ref="E5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4" s="145" t="str" cm="1">
        <f t="array" ref="F5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4" s="145" t="str" cm="1">
        <f t="array" ref="G5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INDEX((standard_components_1101[[#This Row],[Component]]=factor_eff_table[Component])*(standard_components_1101[[#This Row],[Service]]=factor_eff_table[Service]), 0, 1), 0)),
 "-")</f>
        <v>-</v>
      </c>
      <c r="E55" s="145" t="str" cm="1">
        <f t="array" ref="E5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5" s="145" t="str" cm="1">
        <f t="array" ref="F5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5" s="145" t="str" cm="1">
        <f t="array" ref="G5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INDEX((standard_components_1101[[#This Row],[Component]]=factor_eff_table[Component])*(standard_components_1101[[#This Row],[Service]]=factor_eff_table[Service]), 0, 1), 0)),
 "-")</f>
        <v>-</v>
      </c>
      <c r="E56" s="145" t="str" cm="1">
        <f t="array" ref="E5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6" s="145" t="str" cm="1">
        <f t="array" ref="F5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6" s="145" t="str" cm="1">
        <f t="array" ref="G5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INDEX((standard_components_1101[[#This Row],[Component]]=factor_eff_table[Component])*(standard_components_1101[[#This Row],[Service]]=factor_eff_table[Service]), 0, 1), 0)),
 "-")</f>
        <v>-</v>
      </c>
      <c r="E57" s="145" t="str" cm="1">
        <f t="array" ref="E5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7" s="145" t="str" cm="1">
        <f t="array" ref="F5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7" s="145" t="str" cm="1">
        <f t="array" ref="G5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INDEX((standard_components_1101[[#This Row],[Component]]=factor_eff_table[Component])*(standard_components_1101[[#This Row],[Service]]=factor_eff_table[Service]), 0, 1), 0)),
 "-")</f>
        <v>-</v>
      </c>
      <c r="E58" s="145" t="str" cm="1">
        <f t="array" ref="E5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8" s="145" t="str" cm="1">
        <f t="array" ref="F5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8" s="145" t="str" cm="1">
        <f t="array" ref="G5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INDEX((standard_components_1101[[#This Row],[Component]]=factor_eff_table[Component])*(standard_components_1101[[#This Row],[Service]]=factor_eff_table[Service]), 0, 1), 0)),
 "-")</f>
        <v>-</v>
      </c>
      <c r="E59" s="145" t="str" cm="1">
        <f t="array" ref="E5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59" s="145" t="str" cm="1">
        <f t="array" ref="F5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59" s="145" t="str" cm="1">
        <f t="array" ref="G5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5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5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INDEX((standard_components_1101[[#This Row],[Component]]=factor_eff_table[Component])*(standard_components_1101[[#This Row],[Service]]=factor_eff_table[Service]), 0, 1), 0)),
 "-")</f>
        <v>-</v>
      </c>
      <c r="E60" s="145" t="str" cm="1">
        <f t="array" ref="E6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0" s="145" t="str" cm="1">
        <f t="array" ref="F6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0" s="145" t="str" cm="1">
        <f t="array" ref="G6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INDEX((standard_components_1101[[#This Row],[Component]]=factor_eff_table[Component])*(standard_components_1101[[#This Row],[Service]]=factor_eff_table[Service]), 0, 1), 0)),
 "-")</f>
        <v>-</v>
      </c>
      <c r="E61" s="145" t="str" cm="1">
        <f t="array" ref="E6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1" s="145" t="str" cm="1">
        <f t="array" ref="F6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1" s="145" t="str" cm="1">
        <f t="array" ref="G6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INDEX((standard_components_1101[[#This Row],[Component]]=factor_eff_table[Component])*(standard_components_1101[[#This Row],[Service]]=factor_eff_table[Service]), 0, 1), 0)),
 "-")</f>
        <v>-</v>
      </c>
      <c r="E62" s="145" t="str" cm="1">
        <f t="array" ref="E6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2" s="145" t="str" cm="1">
        <f t="array" ref="F6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2" s="145" t="str" cm="1">
        <f t="array" ref="G6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INDEX((standard_components_1101[[#This Row],[Component]]=factor_eff_table[Component])*(standard_components_1101[[#This Row],[Service]]=factor_eff_table[Service]), 0, 1), 0)),
 "-")</f>
        <v>-</v>
      </c>
      <c r="E63" s="145" t="str" cm="1">
        <f t="array" ref="E6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3" s="145" t="str" cm="1">
        <f t="array" ref="F6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3" s="145" t="str" cm="1">
        <f t="array" ref="G6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INDEX((standard_components_1101[[#This Row],[Component]]=factor_eff_table[Component])*(standard_components_1101[[#This Row],[Service]]=factor_eff_table[Service]), 0, 1), 0)),
 "-")</f>
        <v>-</v>
      </c>
      <c r="E64" s="145" t="str" cm="1">
        <f t="array" ref="E6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4" s="145" t="str" cm="1">
        <f t="array" ref="F6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4" s="145" t="str" cm="1">
        <f t="array" ref="G6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INDEX((standard_components_1101[[#This Row],[Component]]=factor_eff_table[Component])*(standard_components_1101[[#This Row],[Service]]=factor_eff_table[Service]), 0, 1), 0)),
 "-")</f>
        <v>-</v>
      </c>
      <c r="E65" s="145" t="str" cm="1">
        <f t="array" ref="E6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5" s="145" t="str" cm="1">
        <f t="array" ref="F6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5" s="145" t="str" cm="1">
        <f t="array" ref="G6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INDEX((standard_components_1101[[#This Row],[Component]]=factor_eff_table[Component])*(standard_components_1101[[#This Row],[Service]]=factor_eff_table[Service]), 0, 1), 0)),
 "-")</f>
        <v>-</v>
      </c>
      <c r="E66" s="145" t="str" cm="1">
        <f t="array" ref="E6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6" s="145" t="str" cm="1">
        <f t="array" ref="F6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6" s="145" t="str" cm="1">
        <f t="array" ref="G6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INDEX((standard_components_1101[[#This Row],[Component]]=factor_eff_table[Component])*(standard_components_1101[[#This Row],[Service]]=factor_eff_table[Service]), 0, 1), 0)),
 "-")</f>
        <v>-</v>
      </c>
      <c r="E67" s="145" t="str" cm="1">
        <f t="array" ref="E6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7" s="145" t="str" cm="1">
        <f t="array" ref="F6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7" s="145" t="str" cm="1">
        <f t="array" ref="G6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INDEX((standard_components_1101[[#This Row],[Component]]=factor_eff_table[Component])*(standard_components_1101[[#This Row],[Service]]=factor_eff_table[Service]), 0, 1), 0)),
 "-")</f>
        <v>-</v>
      </c>
      <c r="E68" s="145" t="str" cm="1">
        <f t="array" ref="E6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8" s="145" t="str" cm="1">
        <f t="array" ref="F6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8" s="145" t="str" cm="1">
        <f t="array" ref="G6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INDEX((standard_components_1101[[#This Row],[Component]]=factor_eff_table[Component])*(standard_components_1101[[#This Row],[Service]]=factor_eff_table[Service]), 0, 1), 0)),
 "-")</f>
        <v>-</v>
      </c>
      <c r="E69" s="145" t="str" cm="1">
        <f t="array" ref="E6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69" s="145" t="str" cm="1">
        <f t="array" ref="F6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69" s="145" t="str" cm="1">
        <f t="array" ref="G6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6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6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INDEX((standard_components_1101[[#This Row],[Component]]=factor_eff_table[Component])*(standard_components_1101[[#This Row],[Service]]=factor_eff_table[Service]), 0, 1), 0)),
 "-")</f>
        <v>-</v>
      </c>
      <c r="E70" s="145" t="str" cm="1">
        <f t="array" ref="E7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0" s="145" t="str" cm="1">
        <f t="array" ref="F7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0" s="145" t="str" cm="1">
        <f t="array" ref="G7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INDEX((standard_components_1101[[#This Row],[Component]]=factor_eff_table[Component])*(standard_components_1101[[#This Row],[Service]]=factor_eff_table[Service]), 0, 1), 0)),
 "-")</f>
        <v>-</v>
      </c>
      <c r="E71" s="145" t="str" cm="1">
        <f t="array" ref="E7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1" s="145" t="str" cm="1">
        <f t="array" ref="F7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1" s="145" t="str" cm="1">
        <f t="array" ref="G7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INDEX((standard_components_1101[[#This Row],[Component]]=factor_eff_table[Component])*(standard_components_1101[[#This Row],[Service]]=factor_eff_table[Service]), 0, 1), 0)),
 "-")</f>
        <v>-</v>
      </c>
      <c r="E72" s="145" t="str" cm="1">
        <f t="array" ref="E7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2" s="145" t="str" cm="1">
        <f t="array" ref="F7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2" s="145" t="str" cm="1">
        <f t="array" ref="G7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INDEX((standard_components_1101[[#This Row],[Component]]=factor_eff_table[Component])*(standard_components_1101[[#This Row],[Service]]=factor_eff_table[Service]), 0, 1), 0)),
 "-")</f>
        <v>-</v>
      </c>
      <c r="E73" s="145" t="str" cm="1">
        <f t="array" ref="E7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3" s="145" t="str" cm="1">
        <f t="array" ref="F7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3" s="145" t="str" cm="1">
        <f t="array" ref="G7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INDEX((standard_components_1101[[#This Row],[Component]]=factor_eff_table[Component])*(standard_components_1101[[#This Row],[Service]]=factor_eff_table[Service]), 0, 1), 0)),
 "-")</f>
        <v>-</v>
      </c>
      <c r="E74" s="145" t="str" cm="1">
        <f t="array" ref="E7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4" s="145" t="str" cm="1">
        <f t="array" ref="F7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4" s="145" t="str" cm="1">
        <f t="array" ref="G7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INDEX((standard_components_1101[[#This Row],[Component]]=factor_eff_table[Component])*(standard_components_1101[[#This Row],[Service]]=factor_eff_table[Service]), 0, 1), 0)),
 "-")</f>
        <v>-</v>
      </c>
      <c r="E75" s="145" t="str" cm="1">
        <f t="array" ref="E7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5" s="145" t="str" cm="1">
        <f t="array" ref="F7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5" s="145" t="str" cm="1">
        <f t="array" ref="G7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INDEX((standard_components_1101[[#This Row],[Component]]=factor_eff_table[Component])*(standard_components_1101[[#This Row],[Service]]=factor_eff_table[Service]), 0, 1), 0)),
 "-")</f>
        <v>-</v>
      </c>
      <c r="E76" s="145" t="str" cm="1">
        <f t="array" ref="E7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6" s="145" t="str" cm="1">
        <f t="array" ref="F7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6" s="145" t="str" cm="1">
        <f t="array" ref="G7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INDEX((standard_components_1101[[#This Row],[Component]]=factor_eff_table[Component])*(standard_components_1101[[#This Row],[Service]]=factor_eff_table[Service]), 0, 1), 0)),
 "-")</f>
        <v>-</v>
      </c>
      <c r="E77" s="145" t="str" cm="1">
        <f t="array" ref="E7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7" s="145" t="str" cm="1">
        <f t="array" ref="F7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7" s="145" t="str" cm="1">
        <f t="array" ref="G7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INDEX((standard_components_1101[[#This Row],[Component]]=factor_eff_table[Component])*(standard_components_1101[[#This Row],[Service]]=factor_eff_table[Service]), 0, 1), 0)),
 "-")</f>
        <v>-</v>
      </c>
      <c r="E78" s="145" t="str" cm="1">
        <f t="array" ref="E7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8" s="145" t="str" cm="1">
        <f t="array" ref="F7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8" s="145" t="str" cm="1">
        <f t="array" ref="G7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INDEX((standard_components_1101[[#This Row],[Component]]=factor_eff_table[Component])*(standard_components_1101[[#This Row],[Service]]=factor_eff_table[Service]), 0, 1), 0)),
 "-")</f>
        <v>-</v>
      </c>
      <c r="E79" s="145" t="str" cm="1">
        <f t="array" ref="E7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79" s="145" t="str" cm="1">
        <f t="array" ref="F7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79" s="145" t="str" cm="1">
        <f t="array" ref="G7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7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7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INDEX((standard_components_1101[[#This Row],[Component]]=factor_eff_table[Component])*(standard_components_1101[[#This Row],[Service]]=factor_eff_table[Service]), 0, 1), 0)),
 "-")</f>
        <v>-</v>
      </c>
      <c r="E80" s="145" t="str" cm="1">
        <f t="array" ref="E8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0" s="145" t="str" cm="1">
        <f t="array" ref="F8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0" s="145" t="str" cm="1">
        <f t="array" ref="G8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INDEX((standard_components_1101[[#This Row],[Component]]=factor_eff_table[Component])*(standard_components_1101[[#This Row],[Service]]=factor_eff_table[Service]), 0, 1), 0)),
 "-")</f>
        <v>-</v>
      </c>
      <c r="E81" s="145" t="str" cm="1">
        <f t="array" ref="E8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1" s="145" t="str" cm="1">
        <f t="array" ref="F8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1" s="145" t="str" cm="1">
        <f t="array" ref="G8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INDEX((standard_components_1101[[#This Row],[Component]]=factor_eff_table[Component])*(standard_components_1101[[#This Row],[Service]]=factor_eff_table[Service]), 0, 1), 0)),
 "-")</f>
        <v>-</v>
      </c>
      <c r="E82" s="145" t="str" cm="1">
        <f t="array" ref="E8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2" s="145" t="str" cm="1">
        <f t="array" ref="F8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2" s="145" t="str" cm="1">
        <f t="array" ref="G8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INDEX((standard_components_1101[[#This Row],[Component]]=factor_eff_table[Component])*(standard_components_1101[[#This Row],[Service]]=factor_eff_table[Service]), 0, 1), 0)),
 "-")</f>
        <v>-</v>
      </c>
      <c r="E83" s="145" t="str" cm="1">
        <f t="array" ref="E8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3" s="145" t="str" cm="1">
        <f t="array" ref="F8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3" s="145" t="str" cm="1">
        <f t="array" ref="G8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INDEX((standard_components_1101[[#This Row],[Component]]=factor_eff_table[Component])*(standard_components_1101[[#This Row],[Service]]=factor_eff_table[Service]), 0, 1), 0)),
 "-")</f>
        <v>-</v>
      </c>
      <c r="E84" s="145" t="str" cm="1">
        <f t="array" ref="E8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4" s="145" t="str" cm="1">
        <f t="array" ref="F8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4" s="145" t="str" cm="1">
        <f t="array" ref="G8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INDEX((standard_components_1101[[#This Row],[Component]]=factor_eff_table[Component])*(standard_components_1101[[#This Row],[Service]]=factor_eff_table[Service]), 0, 1), 0)),
 "-")</f>
        <v>-</v>
      </c>
      <c r="E85" s="145" t="str" cm="1">
        <f t="array" ref="E8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5" s="145" t="str" cm="1">
        <f t="array" ref="F8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5" s="145" t="str" cm="1">
        <f t="array" ref="G8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INDEX((standard_components_1101[[#This Row],[Component]]=factor_eff_table[Component])*(standard_components_1101[[#This Row],[Service]]=factor_eff_table[Service]), 0, 1), 0)),
 "-")</f>
        <v>-</v>
      </c>
      <c r="E86" s="145" t="str" cm="1">
        <f t="array" ref="E8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6" s="145" t="str" cm="1">
        <f t="array" ref="F8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6" s="145" t="str" cm="1">
        <f t="array" ref="G8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INDEX((standard_components_1101[[#This Row],[Component]]=factor_eff_table[Component])*(standard_components_1101[[#This Row],[Service]]=factor_eff_table[Service]), 0, 1), 0)),
 "-")</f>
        <v>-</v>
      </c>
      <c r="E87" s="145" t="str" cm="1">
        <f t="array" ref="E8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7" s="145" t="str" cm="1">
        <f t="array" ref="F8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7" s="145" t="str" cm="1">
        <f t="array" ref="G8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INDEX((standard_components_1101[[#This Row],[Component]]=factor_eff_table[Component])*(standard_components_1101[[#This Row],[Service]]=factor_eff_table[Service]), 0, 1), 0)),
 "-")</f>
        <v>-</v>
      </c>
      <c r="E88" s="145" t="str" cm="1">
        <f t="array" ref="E8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8" s="145" t="str" cm="1">
        <f t="array" ref="F8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8" s="145" t="str" cm="1">
        <f t="array" ref="G8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INDEX((standard_components_1101[[#This Row],[Component]]=factor_eff_table[Component])*(standard_components_1101[[#This Row],[Service]]=factor_eff_table[Service]), 0, 1), 0)),
 "-")</f>
        <v>-</v>
      </c>
      <c r="E89" s="145" t="str" cm="1">
        <f t="array" ref="E8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89" s="145" t="str" cm="1">
        <f t="array" ref="F8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89" s="145" t="str" cm="1">
        <f t="array" ref="G8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8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8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INDEX((standard_components_1101[[#This Row],[Component]]=factor_eff_table[Component])*(standard_components_1101[[#This Row],[Service]]=factor_eff_table[Service]), 0, 1), 0)),
 "-")</f>
        <v>-</v>
      </c>
      <c r="E90" s="145" t="str" cm="1">
        <f t="array" ref="E9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0" s="145" t="str" cm="1">
        <f t="array" ref="F9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0" s="145" t="str" cm="1">
        <f t="array" ref="G9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INDEX((standard_components_1101[[#This Row],[Component]]=factor_eff_table[Component])*(standard_components_1101[[#This Row],[Service]]=factor_eff_table[Service]), 0, 1), 0)),
 "-")</f>
        <v>-</v>
      </c>
      <c r="E91" s="145" t="str" cm="1">
        <f t="array" ref="E91">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1" s="145" t="str" cm="1">
        <f t="array" ref="F91">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1" s="145" t="str" cm="1">
        <f t="array" ref="G91">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1"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1"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INDEX((standard_components_1101[[#This Row],[Component]]=factor_eff_table[Component])*(standard_components_1101[[#This Row],[Service]]=factor_eff_table[Service]), 0, 1), 0)),
 "-")</f>
        <v>-</v>
      </c>
      <c r="E92" s="145" t="str" cm="1">
        <f t="array" ref="E92">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2" s="145" t="str" cm="1">
        <f t="array" ref="F92">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2" s="145" t="str" cm="1">
        <f t="array" ref="G92">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2"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2"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INDEX((standard_components_1101[[#This Row],[Component]]=factor_eff_table[Component])*(standard_components_1101[[#This Row],[Service]]=factor_eff_table[Service]), 0, 1), 0)),
 "-")</f>
        <v>-</v>
      </c>
      <c r="E93" s="145" t="str" cm="1">
        <f t="array" ref="E93">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3" s="145" t="str" cm="1">
        <f t="array" ref="F93">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3" s="145" t="str" cm="1">
        <f t="array" ref="G93">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3"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3"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INDEX((standard_components_1101[[#This Row],[Component]]=factor_eff_table[Component])*(standard_components_1101[[#This Row],[Service]]=factor_eff_table[Service]), 0, 1), 0)),
 "-")</f>
        <v>-</v>
      </c>
      <c r="E94" s="145" t="str" cm="1">
        <f t="array" ref="E94">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4" s="145" t="str" cm="1">
        <f t="array" ref="F94">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4" s="145" t="str" cm="1">
        <f t="array" ref="G94">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4"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4"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INDEX((standard_components_1101[[#This Row],[Component]]=factor_eff_table[Component])*(standard_components_1101[[#This Row],[Service]]=factor_eff_table[Service]), 0, 1), 0)),
 "-")</f>
        <v>-</v>
      </c>
      <c r="E95" s="145" t="str" cm="1">
        <f t="array" ref="E95">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5" s="145" t="str" cm="1">
        <f t="array" ref="F95">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5" s="145" t="str" cm="1">
        <f t="array" ref="G95">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5"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5"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INDEX((standard_components_1101[[#This Row],[Component]]=factor_eff_table[Component])*(standard_components_1101[[#This Row],[Service]]=factor_eff_table[Service]), 0, 1), 0)),
 "-")</f>
        <v>-</v>
      </c>
      <c r="E96" s="145" t="str" cm="1">
        <f t="array" ref="E96">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6" s="145" t="str" cm="1">
        <f t="array" ref="F96">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6" s="145" t="str" cm="1">
        <f t="array" ref="G96">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6"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6"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INDEX((standard_components_1101[[#This Row],[Component]]=factor_eff_table[Component])*(standard_components_1101[[#This Row],[Service]]=factor_eff_table[Service]), 0, 1), 0)),
 "-")</f>
        <v>-</v>
      </c>
      <c r="E97" s="145" t="str" cm="1">
        <f t="array" ref="E97">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7" s="145" t="str" cm="1">
        <f t="array" ref="F97">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7" s="145" t="str" cm="1">
        <f t="array" ref="G97">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7"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7"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INDEX((standard_components_1101[[#This Row],[Component]]=factor_eff_table[Component])*(standard_components_1101[[#This Row],[Service]]=factor_eff_table[Service]), 0, 1), 0)),
 "-")</f>
        <v>-</v>
      </c>
      <c r="E98" s="145" t="str" cm="1">
        <f t="array" ref="E98">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8" s="145" t="str" cm="1">
        <f t="array" ref="F98">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8" s="145" t="str" cm="1">
        <f t="array" ref="G98">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8"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8"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INDEX((standard_components_1101[[#This Row],[Component]]=factor_eff_table[Component])*(standard_components_1101[[#This Row],[Service]]=factor_eff_table[Service]), 0, 1), 0)),
 "-")</f>
        <v>-</v>
      </c>
      <c r="E99" s="145" t="str" cm="1">
        <f t="array" ref="E99">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99" s="145" t="str" cm="1">
        <f t="array" ref="F99">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99" s="145" t="str" cm="1">
        <f t="array" ref="G99">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99"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99"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INDEX((standard_components_1101[[#This Row],[Component]]=factor_eff_table[Component])*(standard_components_1101[[#This Row],[Service]]=factor_eff_table[Service]), 0, 1), 0)),
 "-")</f>
        <v>-</v>
      </c>
      <c r="E100" s="145" t="str" cm="1">
        <f t="array" ref="E100">IF(AND(process_drain_bool="Yes",LEFT(standard_components_1101[[#This Row],[Component]], LEN("Process drains"))="Process Drains", ISBLANK(instrument_ldar)=FALSE), process_drain_eff,
IFERROR(
INDEX(
INDEX(factor_eff_table[], , MATCH(instrument_ldar, factor_eff_table[#Headers], 0)),
MATCH(1, INDEX((standard_components_1101[[#This Row],[Component]]=factor_eff_table[Component])*(standard_components_1101[[#This Row],[Service]]=factor_eff_table[Service]), 0, 1), 0)),
 "-"))</f>
        <v>-</v>
      </c>
      <c r="F100" s="145" t="str" cm="1">
        <f t="array" ref="F100">IF(AND(process_drain_bool="Yes",LEFT(standard_components_1101[[#This Row],[Component]], LEN("Process drains"))="Process Drains", ISBLANK(connector_ldar)=FALSE), process_drain_eff,
IFERROR(
INDEX(
INDEX(factor_eff_table[], , MATCH(connector_ldar, factor_eff_table[#Headers], 0)),
MATCH(1, INDEX((standard_components_1101[[#This Row],[Component]]=factor_eff_table[Component])*(standard_components_1101[[#This Row],[Service]]=factor_eff_table[Service]), 0, 1), 0)),
 "-"))</f>
        <v>-</v>
      </c>
      <c r="G100" s="145" t="str" cm="1">
        <f t="array" ref="G100">IF(AND(process_drain_bool="Yes",LEFT(standard_components_1101[[#This Row],[Component]], LEN("Process Drains"))="Process Drains", ISBLANK(inspection_ldar)=FALSE), process_drain_eff,
IFERROR(
INDEX(
INDEX(factor_eff_table[], , MATCH(inspection_ldar, factor_eff_table[#Headers], 0)),
MATCH(1, INDEX((standard_components_1101[[#This Row],[Component]]=factor_eff_table[Component])*(standard_components_1101[[#This Row],[Service]]=factor_eff_table[Service]), 0, 1), 0)),
 "-"))</f>
        <v>-</v>
      </c>
      <c r="H100" s="146" t="str">
        <f>IF(standard_components_1101[[#This Row],[Component]]="Sampling Connections (annual) [2]", "N/A",
 IF(standard_components_1101[[#This Row],[Component]]="Sampling Connections (hourly) [1]", standard_components_1101[[#This Row],[Count]]*standard_components_1101[[#This Row],[Industry Emission Factor]],
IFERROR(standard_components_1101[[#This Row],[Count]]*standard_components_1101[[#This Row],[Industry Emission Factor]]*MIN(1-standard_components_1101[[#This Row],[Instrument Monitoring LDAR Control Efficiency]], 1-standard_components_1101[[#This Row],[Physical Inspection LDAR Control Efficiency]], 1-standard_components_1101[[#This Row],[Connector Monitoring LDAR Control Efficiency]]), "-")))</f>
        <v>-</v>
      </c>
      <c r="I100" s="146" t="str">
        <f>IF(standard_components_1101[[#This Row],[Component]]="Sampling Connections (hourly) [1]", "N/A",
 IF(standard_components_1101[[#This Row],[Component]]="Sampling Connections (annual) [2]", standard_components_1101[[#This Row],[Count]]*standard_components_1101[[#This Row],[Industry Emission Factor]]/stons_to_lbs,
 IFERROR(years_to_hrs/stons_to_lbs*standard_components_1101[[#This Row],[Controlled
lb/hr]], "-")))</f>
        <v>-</v>
      </c>
    </row>
    <row r="101" spans="1:9" ht="15" x14ac:dyDescent="0.25">
      <c r="A101" s="147" t="s">
        <v>12776</v>
      </c>
      <c r="B101" s="148"/>
      <c r="C101" s="149">
        <f>SUBTOTAL(109,standard_components_1101[Count])</f>
        <v>0</v>
      </c>
      <c r="D101" s="150"/>
      <c r="E101" s="150"/>
      <c r="F101" s="150"/>
      <c r="G101" s="150"/>
      <c r="H101" s="151">
        <f>SUBTOTAL(109,standard_components_1101[Controlled
lb/hr])</f>
        <v>0</v>
      </c>
      <c r="I101" s="151">
        <f>SUBTOTAL(109,standard_components_1101[Controlled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unique_components_1102[[#This Row],[Count]]*unique_components_1102[[#This Row],[Proposed Emission Factor]]*(1-unique_components_1102[[#This Row],[Proposed Control Efficiency]])</f>
        <v>0</v>
      </c>
      <c r="G107" s="155">
        <f>IFERROR(unique_components_1102[[#This Row],[Controlled lb/hr]]*4.38,"")</f>
        <v>0</v>
      </c>
    </row>
    <row r="108" spans="1:9" x14ac:dyDescent="0.2">
      <c r="A108" s="103"/>
      <c r="B108" s="104"/>
      <c r="C108" s="153"/>
      <c r="D108" s="154"/>
      <c r="E108" s="154"/>
      <c r="F108" s="146">
        <f>unique_components_1102[[#This Row],[Count]]*unique_components_1102[[#This Row],[Proposed Emission Factor]]*(1-unique_components_1102[[#This Row],[Proposed Control Efficiency]])</f>
        <v>0</v>
      </c>
      <c r="G108" s="155">
        <f>IFERROR(unique_components_1102[[#This Row],[Controlled lb/hr]]*4.38,"")</f>
        <v>0</v>
      </c>
    </row>
    <row r="109" spans="1:9" x14ac:dyDescent="0.2">
      <c r="A109" s="103"/>
      <c r="B109" s="104"/>
      <c r="C109" s="153"/>
      <c r="D109" s="154"/>
      <c r="E109" s="154"/>
      <c r="F109" s="146">
        <f>unique_components_1102[[#This Row],[Count]]*unique_components_1102[[#This Row],[Proposed Emission Factor]]*(1-unique_components_1102[[#This Row],[Proposed Control Efficiency]])</f>
        <v>0</v>
      </c>
      <c r="G109" s="155">
        <f>IFERROR(unique_components_1102[[#This Row],[Controlled lb/hr]]*4.38,"")</f>
        <v>0</v>
      </c>
    </row>
    <row r="110" spans="1:9" x14ac:dyDescent="0.2">
      <c r="A110" s="103"/>
      <c r="B110" s="104"/>
      <c r="C110" s="153"/>
      <c r="D110" s="154"/>
      <c r="E110" s="154"/>
      <c r="F110" s="146">
        <f>unique_components_1102[[#This Row],[Count]]*unique_components_1102[[#This Row],[Proposed Emission Factor]]*(1-unique_components_1102[[#This Row],[Proposed Control Efficiency]])</f>
        <v>0</v>
      </c>
      <c r="G110" s="155">
        <f>IFERROR(unique_components_1102[[#This Row],[Controlled lb/hr]]*4.38,"")</f>
        <v>0</v>
      </c>
    </row>
    <row r="111" spans="1:9" x14ac:dyDescent="0.2">
      <c r="A111" s="103"/>
      <c r="B111" s="104"/>
      <c r="C111" s="153"/>
      <c r="D111" s="154"/>
      <c r="E111" s="154"/>
      <c r="F111" s="146">
        <f>unique_components_1102[[#This Row],[Count]]*unique_components_1102[[#This Row],[Proposed Emission Factor]]*(1-unique_components_1102[[#This Row],[Proposed Control Efficiency]])</f>
        <v>0</v>
      </c>
      <c r="G111" s="155">
        <f>IFERROR(unique_components_1102[[#This Row],[Controlled lb/hr]]*4.38,"")</f>
        <v>0</v>
      </c>
    </row>
    <row r="112" spans="1:9" x14ac:dyDescent="0.2">
      <c r="A112" s="103"/>
      <c r="B112" s="104"/>
      <c r="C112" s="153"/>
      <c r="D112" s="154"/>
      <c r="E112" s="154"/>
      <c r="F112" s="146">
        <f>unique_components_1102[[#This Row],[Count]]*unique_components_1102[[#This Row],[Proposed Emission Factor]]*(1-unique_components_1102[[#This Row],[Proposed Control Efficiency]])</f>
        <v>0</v>
      </c>
      <c r="G112" s="155">
        <f>IFERROR(unique_components_1102[[#This Row],[Controlled lb/hr]]*4.38,"")</f>
        <v>0</v>
      </c>
    </row>
    <row r="113" spans="1:8" x14ac:dyDescent="0.2">
      <c r="A113" s="103"/>
      <c r="B113" s="104"/>
      <c r="C113" s="153"/>
      <c r="D113" s="154"/>
      <c r="E113" s="154"/>
      <c r="F113" s="146">
        <f>unique_components_1102[[#This Row],[Count]]*unique_components_1102[[#This Row],[Proposed Emission Factor]]*(1-unique_components_1102[[#This Row],[Proposed Control Efficiency]])</f>
        <v>0</v>
      </c>
      <c r="G113" s="155">
        <f>IFERROR(unique_components_1102[[#This Row],[Controlled lb/hr]]*4.38,"")</f>
        <v>0</v>
      </c>
    </row>
    <row r="114" spans="1:8" x14ac:dyDescent="0.2">
      <c r="A114" s="103"/>
      <c r="B114" s="104"/>
      <c r="C114" s="153"/>
      <c r="D114" s="154"/>
      <c r="E114" s="154"/>
      <c r="F114" s="146">
        <f>unique_components_1102[[#This Row],[Count]]*unique_components_1102[[#This Row],[Proposed Emission Factor]]*(1-unique_components_1102[[#This Row],[Proposed Control Efficiency]])</f>
        <v>0</v>
      </c>
      <c r="G114" s="155">
        <f>IFERROR(unique_components_1102[[#This Row],[Controlled lb/hr]]*4.38,"")</f>
        <v>0</v>
      </c>
    </row>
    <row r="115" spans="1:8" x14ac:dyDescent="0.2">
      <c r="A115" s="103"/>
      <c r="B115" s="104"/>
      <c r="C115" s="153"/>
      <c r="D115" s="154"/>
      <c r="E115" s="154"/>
      <c r="F115" s="146">
        <f>unique_components_1102[[#This Row],[Count]]*unique_components_1102[[#This Row],[Proposed Emission Factor]]*(1-unique_components_1102[[#This Row],[Proposed Control Efficiency]])</f>
        <v>0</v>
      </c>
      <c r="G115" s="155">
        <f>IFERROR(unique_components_1102[[#This Row],[Controlled lb/hr]]*4.38,"")</f>
        <v>0</v>
      </c>
    </row>
    <row r="116" spans="1:8" x14ac:dyDescent="0.2">
      <c r="A116" s="103"/>
      <c r="B116" s="104"/>
      <c r="C116" s="153"/>
      <c r="D116" s="154"/>
      <c r="E116" s="154"/>
      <c r="F116" s="146">
        <f>unique_components_1102[[#This Row],[Count]]*unique_components_1102[[#This Row],[Proposed Emission Factor]]*(1-unique_components_1102[[#This Row],[Proposed Control Efficiency]])</f>
        <v>0</v>
      </c>
      <c r="G116" s="155">
        <f>IFERROR(unique_components_1102[[#This Row],[Controlled lb/hr]]*4.38,"")</f>
        <v>0</v>
      </c>
    </row>
    <row r="117" spans="1:8" x14ac:dyDescent="0.2">
      <c r="A117" s="103"/>
      <c r="B117" s="104"/>
      <c r="C117" s="153"/>
      <c r="D117" s="154"/>
      <c r="E117" s="154"/>
      <c r="F117" s="146">
        <f>unique_components_1102[[#This Row],[Count]]*unique_components_1102[[#This Row],[Proposed Emission Factor]]*(1-unique_components_1102[[#This Row],[Proposed Control Efficiency]])</f>
        <v>0</v>
      </c>
      <c r="G117" s="155">
        <f>IFERROR(unique_components_1102[[#This Row],[Controlled lb/hr]]*4.38,"")</f>
        <v>0</v>
      </c>
    </row>
    <row r="118" spans="1:8" x14ac:dyDescent="0.2">
      <c r="A118" s="103"/>
      <c r="B118" s="104"/>
      <c r="C118" s="153"/>
      <c r="D118" s="154"/>
      <c r="E118" s="154"/>
      <c r="F118" s="146">
        <f>unique_components_1102[[#This Row],[Count]]*unique_components_1102[[#This Row],[Proposed Emission Factor]]*(1-unique_components_1102[[#This Row],[Proposed Control Efficiency]])</f>
        <v>0</v>
      </c>
      <c r="G118" s="155">
        <f>IFERROR(unique_components_1102[[#This Row],[Controlled lb/hr]]*4.38,"")</f>
        <v>0</v>
      </c>
    </row>
    <row r="119" spans="1:8" x14ac:dyDescent="0.2">
      <c r="A119" s="103"/>
      <c r="B119" s="104"/>
      <c r="C119" s="153"/>
      <c r="D119" s="154"/>
      <c r="E119" s="154"/>
      <c r="F119" s="146">
        <f>unique_components_1102[[#This Row],[Count]]*unique_components_1102[[#This Row],[Proposed Emission Factor]]*(1-unique_components_1102[[#This Row],[Proposed Control Efficiency]])</f>
        <v>0</v>
      </c>
      <c r="G119" s="155">
        <f>IFERROR(unique_components_1102[[#This Row],[Controlled lb/hr]]*4.38,"")</f>
        <v>0</v>
      </c>
    </row>
    <row r="120" spans="1:8" x14ac:dyDescent="0.2">
      <c r="A120" s="103"/>
      <c r="B120" s="104"/>
      <c r="C120" s="153"/>
      <c r="D120" s="154"/>
      <c r="E120" s="154"/>
      <c r="F120" s="146">
        <f>unique_components_1102[[#This Row],[Count]]*unique_components_1102[[#This Row],[Proposed Emission Factor]]*(1-unique_components_1102[[#This Row],[Proposed Control Efficiency]])</f>
        <v>0</v>
      </c>
      <c r="G120" s="155">
        <f>IFERROR(unique_components_1102[[#This Row],[Controlled lb/hr]]*4.38,"")</f>
        <v>0</v>
      </c>
    </row>
    <row r="121" spans="1:8" x14ac:dyDescent="0.2">
      <c r="A121" s="103"/>
      <c r="B121" s="104"/>
      <c r="C121" s="153"/>
      <c r="D121" s="154"/>
      <c r="E121" s="154"/>
      <c r="F121" s="146">
        <f>unique_components_1102[[#This Row],[Count]]*unique_components_1102[[#This Row],[Proposed Emission Factor]]*(1-unique_components_1102[[#This Row],[Proposed Control Efficiency]])</f>
        <v>0</v>
      </c>
      <c r="G121" s="155">
        <f>IFERROR(unique_components_1102[[#This Row],[Controlled lb/hr]]*4.38,"")</f>
        <v>0</v>
      </c>
    </row>
    <row r="122" spans="1:8" x14ac:dyDescent="0.2">
      <c r="A122" s="103"/>
      <c r="B122" s="104"/>
      <c r="C122" s="153"/>
      <c r="D122" s="154"/>
      <c r="E122" s="154"/>
      <c r="F122" s="146">
        <f>unique_components_1102[[#This Row],[Count]]*unique_components_1102[[#This Row],[Proposed Emission Factor]]*(1-unique_components_1102[[#This Row],[Proposed Control Efficiency]])</f>
        <v>0</v>
      </c>
      <c r="G122" s="155">
        <f>IFERROR(unique_components_1102[[#This Row],[Controlled lb/hr]]*4.38,"")</f>
        <v>0</v>
      </c>
    </row>
    <row r="123" spans="1:8" x14ac:dyDescent="0.2">
      <c r="A123" s="103"/>
      <c r="B123" s="104"/>
      <c r="C123" s="153"/>
      <c r="D123" s="154"/>
      <c r="E123" s="154"/>
      <c r="F123" s="146">
        <f>unique_components_1102[[#This Row],[Count]]*unique_components_1102[[#This Row],[Proposed Emission Factor]]*(1-unique_components_1102[[#This Row],[Proposed Control Efficiency]])</f>
        <v>0</v>
      </c>
      <c r="G123" s="155">
        <f>IFERROR(unique_components_1102[[#This Row],[Controlled lb/hr]]*4.38,"")</f>
        <v>0</v>
      </c>
    </row>
    <row r="124" spans="1:8" x14ac:dyDescent="0.2">
      <c r="A124" s="103"/>
      <c r="B124" s="104"/>
      <c r="C124" s="153"/>
      <c r="D124" s="154"/>
      <c r="E124" s="154"/>
      <c r="F124" s="146">
        <f>unique_components_1102[[#This Row],[Count]]*unique_components_1102[[#This Row],[Proposed Emission Factor]]*(1-unique_components_1102[[#This Row],[Proposed Control Efficiency]])</f>
        <v>0</v>
      </c>
      <c r="G124" s="155">
        <f>IFERROR(unique_components_1102[[#This Row],[Controlled lb/hr]]*4.38,"")</f>
        <v>0</v>
      </c>
    </row>
    <row r="125" spans="1:8" x14ac:dyDescent="0.2">
      <c r="A125" s="103"/>
      <c r="B125" s="104"/>
      <c r="C125" s="153"/>
      <c r="D125" s="154"/>
      <c r="E125" s="154"/>
      <c r="F125" s="146">
        <f>unique_components_1102[[#This Row],[Count]]*unique_components_1102[[#This Row],[Proposed Emission Factor]]*(1-unique_components_1102[[#This Row],[Proposed Control Efficiency]])</f>
        <v>0</v>
      </c>
      <c r="G125" s="155">
        <f>IFERROR(unique_components_1102[[#This Row],[Controlled lb/hr]]*4.38,"")</f>
        <v>0</v>
      </c>
    </row>
    <row r="126" spans="1:8" x14ac:dyDescent="0.2">
      <c r="A126" s="105"/>
      <c r="B126" s="106"/>
      <c r="C126" s="156"/>
      <c r="D126" s="154"/>
      <c r="E126" s="157"/>
      <c r="F126" s="158">
        <f>unique_components_1102[[#This Row],[Count]]*unique_components_1102[[#This Row],[Proposed Emission Factor]]*(1-unique_components_1102[[#This Row],[Proposed Control Efficiency]])</f>
        <v>0</v>
      </c>
      <c r="G126" s="159">
        <f>IFERROR(unique_components_1102[[#This Row],[Controlled lb/hr]]*4.38,"")</f>
        <v>0</v>
      </c>
    </row>
    <row r="127" spans="1:8" ht="30" x14ac:dyDescent="0.2">
      <c r="A127" s="57" t="s">
        <v>13297</v>
      </c>
      <c r="B127" s="54"/>
      <c r="C127" s="160">
        <f>SUBTOTAL(109,unique_components_1102[Count])</f>
        <v>0</v>
      </c>
      <c r="D127" s="161"/>
      <c r="E127" s="161"/>
      <c r="F127" s="162">
        <f>SUBTOTAL(109,unique_components_1102[Controlled lb/hr])</f>
        <v>0</v>
      </c>
      <c r="G127" s="162">
        <f>SUBTOTAL(109,unique_components_1102[Controlled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IFERROR(VLOOKUP(speciated_chemicals_1103[[#This Row],[CAS '#]],species[],MATCH("Substance", species[#Headers], 0),FALSE),"No CAS Number Entered")</f>
        <v>No CAS Number Entered</v>
      </c>
      <c r="C131" s="102"/>
      <c r="D131" s="102" t="s">
        <v>12666</v>
      </c>
      <c r="E131" s="102" t="s">
        <v>12666</v>
      </c>
      <c r="F131" s="102" t="s">
        <v>12666</v>
      </c>
      <c r="G131" s="102" t="s">
        <v>12666</v>
      </c>
      <c r="H131" s="164"/>
      <c r="I131" s="51">
        <f>IF(speciated_chemicals_1103[[#This Row],[Inert / Not a Contaminant?]]="Yes", 0, speciated_chemicals_1103[[#This Row],[Weight Percent]]*(unique_components_1102[[#Totals],[Controlled lb/hr]]+standard_components_1101[[#Totals],[Controlled
lb/hr]]))</f>
        <v>0</v>
      </c>
      <c r="J131" s="51">
        <f>IF(speciated_chemicals_1103[[#This Row],[Inert / Not a Contaminant?]]="Yes", 0, speciated_chemicals_1103[[#This Row],[Weight Percent]]*(unique_components_1102[[#Totals],[Controlled
tpy]]+standard_components_1101[[#Totals],[Controlled
tpy]]))</f>
        <v>0</v>
      </c>
    </row>
    <row r="132" spans="1:10" x14ac:dyDescent="0.2">
      <c r="A132" s="103"/>
      <c r="B132" s="51" t="str">
        <f>IFERROR(VLOOKUP(speciated_chemicals_1103[[#This Row],[CAS '#]],species[],MATCH("Substance", species[#Headers], 0),FALSE),"No CAS Number Entered")</f>
        <v>No CAS Number Entered</v>
      </c>
      <c r="C132" s="102"/>
      <c r="D132" s="102" t="s">
        <v>12666</v>
      </c>
      <c r="E132" s="102" t="s">
        <v>12666</v>
      </c>
      <c r="F132" s="102" t="s">
        <v>12666</v>
      </c>
      <c r="G132" s="102" t="s">
        <v>12666</v>
      </c>
      <c r="H132" s="164"/>
      <c r="I132" s="51">
        <f>IF(speciated_chemicals_1103[[#This Row],[Inert / Not a Contaminant?]]="Yes", 0, speciated_chemicals_1103[[#This Row],[Weight Percent]]*(unique_components_1102[[#Totals],[Controlled lb/hr]]+standard_components_1101[[#Totals],[Controlled
lb/hr]]))</f>
        <v>0</v>
      </c>
      <c r="J132" s="51">
        <f>IF(speciated_chemicals_1103[[#This Row],[Inert / Not a Contaminant?]]="Yes", 0, speciated_chemicals_1103[[#This Row],[Weight Percent]]*(unique_components_1102[[#Totals],[Controlled
tpy]]+standard_components_1101[[#Totals],[Controlled
tpy]]))</f>
        <v>0</v>
      </c>
    </row>
    <row r="133" spans="1:10" x14ac:dyDescent="0.2">
      <c r="A133" s="103"/>
      <c r="B133" s="51" t="str">
        <f>IFERROR(VLOOKUP(speciated_chemicals_1103[[#This Row],[CAS '#]],species[],MATCH("Substance", species[#Headers], 0),FALSE),"No CAS Number Entered")</f>
        <v>No CAS Number Entered</v>
      </c>
      <c r="C133" s="102"/>
      <c r="D133" s="102" t="s">
        <v>12666</v>
      </c>
      <c r="E133" s="102" t="s">
        <v>12666</v>
      </c>
      <c r="F133" s="102" t="s">
        <v>12666</v>
      </c>
      <c r="G133" s="102" t="s">
        <v>12666</v>
      </c>
      <c r="H133" s="164"/>
      <c r="I133" s="51">
        <f>IF(speciated_chemicals_1103[[#This Row],[Inert / Not a Contaminant?]]="Yes", 0, speciated_chemicals_1103[[#This Row],[Weight Percent]]*(unique_components_1102[[#Totals],[Controlled lb/hr]]+standard_components_1101[[#Totals],[Controlled
lb/hr]]))</f>
        <v>0</v>
      </c>
      <c r="J133" s="51">
        <f>IF(speciated_chemicals_1103[[#This Row],[Inert / Not a Contaminant?]]="Yes", 0, speciated_chemicals_1103[[#This Row],[Weight Percent]]*(unique_components_1102[[#Totals],[Controlled
tpy]]+standard_components_1101[[#Totals],[Controlled
tpy]]))</f>
        <v>0</v>
      </c>
    </row>
    <row r="134" spans="1:10" x14ac:dyDescent="0.2">
      <c r="A134" s="103"/>
      <c r="B134" s="51" t="str">
        <f>IFERROR(VLOOKUP(speciated_chemicals_1103[[#This Row],[CAS '#]],species[],MATCH("Substance", species[#Headers], 0),FALSE),"No CAS Number Entered")</f>
        <v>No CAS Number Entered</v>
      </c>
      <c r="C134" s="102"/>
      <c r="D134" s="102" t="s">
        <v>12666</v>
      </c>
      <c r="E134" s="102" t="s">
        <v>12666</v>
      </c>
      <c r="F134" s="102" t="s">
        <v>12666</v>
      </c>
      <c r="G134" s="102" t="s">
        <v>12666</v>
      </c>
      <c r="H134" s="164"/>
      <c r="I134" s="51">
        <f>IF(speciated_chemicals_1103[[#This Row],[Inert / Not a Contaminant?]]="Yes", 0, speciated_chemicals_1103[[#This Row],[Weight Percent]]*(unique_components_1102[[#Totals],[Controlled lb/hr]]+standard_components_1101[[#Totals],[Controlled
lb/hr]]))</f>
        <v>0</v>
      </c>
      <c r="J134" s="51">
        <f>IF(speciated_chemicals_1103[[#This Row],[Inert / Not a Contaminant?]]="Yes", 0, speciated_chemicals_1103[[#This Row],[Weight Percent]]*(unique_components_1102[[#Totals],[Controlled
tpy]]+standard_components_1101[[#Totals],[Controlled
tpy]]))</f>
        <v>0</v>
      </c>
    </row>
    <row r="135" spans="1:10" x14ac:dyDescent="0.2">
      <c r="A135" s="103"/>
      <c r="B135" s="51" t="str">
        <f>IFERROR(VLOOKUP(speciated_chemicals_1103[[#This Row],[CAS '#]],species[],MATCH("Substance", species[#Headers], 0),FALSE),"No CAS Number Entered")</f>
        <v>No CAS Number Entered</v>
      </c>
      <c r="C135" s="102"/>
      <c r="D135" s="102" t="s">
        <v>12666</v>
      </c>
      <c r="E135" s="102" t="s">
        <v>12666</v>
      </c>
      <c r="F135" s="102" t="s">
        <v>12666</v>
      </c>
      <c r="G135" s="102" t="s">
        <v>12666</v>
      </c>
      <c r="H135" s="164"/>
      <c r="I135" s="51">
        <f>IF(speciated_chemicals_1103[[#This Row],[Inert / Not a Contaminant?]]="Yes", 0, speciated_chemicals_1103[[#This Row],[Weight Percent]]*(unique_components_1102[[#Totals],[Controlled lb/hr]]+standard_components_1101[[#Totals],[Controlled
lb/hr]]))</f>
        <v>0</v>
      </c>
      <c r="J135" s="51">
        <f>IF(speciated_chemicals_1103[[#This Row],[Inert / Not a Contaminant?]]="Yes", 0, speciated_chemicals_1103[[#This Row],[Weight Percent]]*(unique_components_1102[[#Totals],[Controlled
tpy]]+standard_components_1101[[#Totals],[Controlled
tpy]]))</f>
        <v>0</v>
      </c>
    </row>
    <row r="136" spans="1:10" x14ac:dyDescent="0.2">
      <c r="A136" s="103"/>
      <c r="B136" s="51" t="str">
        <f>IFERROR(VLOOKUP(speciated_chemicals_1103[[#This Row],[CAS '#]],species[],MATCH("Substance", species[#Headers], 0),FALSE),"No CAS Number Entered")</f>
        <v>No CAS Number Entered</v>
      </c>
      <c r="C136" s="102"/>
      <c r="D136" s="102" t="s">
        <v>12666</v>
      </c>
      <c r="E136" s="102" t="s">
        <v>12666</v>
      </c>
      <c r="F136" s="102" t="s">
        <v>12666</v>
      </c>
      <c r="G136" s="102" t="s">
        <v>12666</v>
      </c>
      <c r="H136" s="164"/>
      <c r="I136" s="51">
        <f>IF(speciated_chemicals_1103[[#This Row],[Inert / Not a Contaminant?]]="Yes", 0, speciated_chemicals_1103[[#This Row],[Weight Percent]]*(unique_components_1102[[#Totals],[Controlled lb/hr]]+standard_components_1101[[#Totals],[Controlled
lb/hr]]))</f>
        <v>0</v>
      </c>
      <c r="J136" s="51">
        <f>IF(speciated_chemicals_1103[[#This Row],[Inert / Not a Contaminant?]]="Yes", 0, speciated_chemicals_1103[[#This Row],[Weight Percent]]*(unique_components_1102[[#Totals],[Controlled
tpy]]+standard_components_1101[[#Totals],[Controlled
tpy]]))</f>
        <v>0</v>
      </c>
    </row>
    <row r="137" spans="1:10" x14ac:dyDescent="0.2">
      <c r="A137" s="103"/>
      <c r="B137" s="51" t="str">
        <f>IFERROR(VLOOKUP(speciated_chemicals_1103[[#This Row],[CAS '#]],species[],MATCH("Substance", species[#Headers], 0),FALSE),"No CAS Number Entered")</f>
        <v>No CAS Number Entered</v>
      </c>
      <c r="C137" s="102"/>
      <c r="D137" s="102" t="s">
        <v>12666</v>
      </c>
      <c r="E137" s="102" t="s">
        <v>12666</v>
      </c>
      <c r="F137" s="102" t="s">
        <v>12666</v>
      </c>
      <c r="G137" s="102" t="s">
        <v>12666</v>
      </c>
      <c r="H137" s="164"/>
      <c r="I137" s="51">
        <f>IF(speciated_chemicals_1103[[#This Row],[Inert / Not a Contaminant?]]="Yes", 0, speciated_chemicals_1103[[#This Row],[Weight Percent]]*(unique_components_1102[[#Totals],[Controlled lb/hr]]+standard_components_1101[[#Totals],[Controlled
lb/hr]]))</f>
        <v>0</v>
      </c>
      <c r="J137" s="51">
        <f>IF(speciated_chemicals_1103[[#This Row],[Inert / Not a Contaminant?]]="Yes", 0, speciated_chemicals_1103[[#This Row],[Weight Percent]]*(unique_components_1102[[#Totals],[Controlled
tpy]]+standard_components_1101[[#Totals],[Controlled
tpy]]))</f>
        <v>0</v>
      </c>
    </row>
    <row r="138" spans="1:10" x14ac:dyDescent="0.2">
      <c r="A138" s="103"/>
      <c r="B138" s="51" t="str">
        <f>IFERROR(VLOOKUP(speciated_chemicals_1103[[#This Row],[CAS '#]],species[],MATCH("Substance", species[#Headers], 0),FALSE),"No CAS Number Entered")</f>
        <v>No CAS Number Entered</v>
      </c>
      <c r="C138" s="102"/>
      <c r="D138" s="102" t="s">
        <v>12666</v>
      </c>
      <c r="E138" s="102" t="s">
        <v>12666</v>
      </c>
      <c r="F138" s="102" t="s">
        <v>12666</v>
      </c>
      <c r="G138" s="102" t="s">
        <v>12666</v>
      </c>
      <c r="H138" s="164"/>
      <c r="I138" s="51">
        <f>IF(speciated_chemicals_1103[[#This Row],[Inert / Not a Contaminant?]]="Yes", 0, speciated_chemicals_1103[[#This Row],[Weight Percent]]*(unique_components_1102[[#Totals],[Controlled lb/hr]]+standard_components_1101[[#Totals],[Controlled
lb/hr]]))</f>
        <v>0</v>
      </c>
      <c r="J138" s="51">
        <f>IF(speciated_chemicals_1103[[#This Row],[Inert / Not a Contaminant?]]="Yes", 0, speciated_chemicals_1103[[#This Row],[Weight Percent]]*(unique_components_1102[[#Totals],[Controlled
tpy]]+standard_components_1101[[#Totals],[Controlled
tpy]]))</f>
        <v>0</v>
      </c>
    </row>
    <row r="139" spans="1:10" x14ac:dyDescent="0.2">
      <c r="A139" s="103"/>
      <c r="B139" s="51" t="str">
        <f>IFERROR(VLOOKUP(speciated_chemicals_1103[[#This Row],[CAS '#]],species[],MATCH("Substance", species[#Headers], 0),FALSE),"No CAS Number Entered")</f>
        <v>No CAS Number Entered</v>
      </c>
      <c r="C139" s="102"/>
      <c r="D139" s="102" t="s">
        <v>12666</v>
      </c>
      <c r="E139" s="102" t="s">
        <v>12666</v>
      </c>
      <c r="F139" s="102" t="s">
        <v>12666</v>
      </c>
      <c r="G139" s="102" t="s">
        <v>12666</v>
      </c>
      <c r="H139" s="164"/>
      <c r="I139" s="51">
        <f>IF(speciated_chemicals_1103[[#This Row],[Inert / Not a Contaminant?]]="Yes", 0, speciated_chemicals_1103[[#This Row],[Weight Percent]]*(unique_components_1102[[#Totals],[Controlled lb/hr]]+standard_components_1101[[#Totals],[Controlled
lb/hr]]))</f>
        <v>0</v>
      </c>
      <c r="J139" s="51">
        <f>IF(speciated_chemicals_1103[[#This Row],[Inert / Not a Contaminant?]]="Yes", 0, speciated_chemicals_1103[[#This Row],[Weight Percent]]*(unique_components_1102[[#Totals],[Controlled
tpy]]+standard_components_1101[[#Totals],[Controlled
tpy]]))</f>
        <v>0</v>
      </c>
    </row>
    <row r="140" spans="1:10" x14ac:dyDescent="0.2">
      <c r="A140" s="103"/>
      <c r="B140" s="51" t="str">
        <f>IFERROR(VLOOKUP(speciated_chemicals_1103[[#This Row],[CAS '#]],species[],MATCH("Substance", species[#Headers], 0),FALSE),"No CAS Number Entered")</f>
        <v>No CAS Number Entered</v>
      </c>
      <c r="C140" s="102"/>
      <c r="D140" s="102" t="s">
        <v>12666</v>
      </c>
      <c r="E140" s="102" t="s">
        <v>12666</v>
      </c>
      <c r="F140" s="102" t="s">
        <v>12666</v>
      </c>
      <c r="G140" s="102" t="s">
        <v>12666</v>
      </c>
      <c r="H140" s="164"/>
      <c r="I140" s="51">
        <f>IF(speciated_chemicals_1103[[#This Row],[Inert / Not a Contaminant?]]="Yes", 0, speciated_chemicals_1103[[#This Row],[Weight Percent]]*(unique_components_1102[[#Totals],[Controlled lb/hr]]+standard_components_1101[[#Totals],[Controlled
lb/hr]]))</f>
        <v>0</v>
      </c>
      <c r="J140" s="51">
        <f>IF(speciated_chemicals_1103[[#This Row],[Inert / Not a Contaminant?]]="Yes", 0, speciated_chemicals_1103[[#This Row],[Weight Percent]]*(unique_components_1102[[#Totals],[Controlled
tpy]]+standard_components_1101[[#Totals],[Controlled
tpy]]))</f>
        <v>0</v>
      </c>
    </row>
    <row r="141" spans="1:10" x14ac:dyDescent="0.2">
      <c r="A141" s="103"/>
      <c r="B141" s="51" t="str">
        <f>IFERROR(VLOOKUP(speciated_chemicals_1103[[#This Row],[CAS '#]],species[],MATCH("Substance", species[#Headers], 0),FALSE),"No CAS Number Entered")</f>
        <v>No CAS Number Entered</v>
      </c>
      <c r="C141" s="102"/>
      <c r="D141" s="102" t="s">
        <v>12666</v>
      </c>
      <c r="E141" s="102" t="s">
        <v>12666</v>
      </c>
      <c r="F141" s="102" t="s">
        <v>12666</v>
      </c>
      <c r="G141" s="102" t="s">
        <v>12666</v>
      </c>
      <c r="H141" s="164"/>
      <c r="I141" s="51">
        <f>IF(speciated_chemicals_1103[[#This Row],[Inert / Not a Contaminant?]]="Yes", 0, speciated_chemicals_1103[[#This Row],[Weight Percent]]*(unique_components_1102[[#Totals],[Controlled lb/hr]]+standard_components_1101[[#Totals],[Controlled
lb/hr]]))</f>
        <v>0</v>
      </c>
      <c r="J141" s="51">
        <f>IF(speciated_chemicals_1103[[#This Row],[Inert / Not a Contaminant?]]="Yes", 0, speciated_chemicals_1103[[#This Row],[Weight Percent]]*(unique_components_1102[[#Totals],[Controlled
tpy]]+standard_components_1101[[#Totals],[Controlled
tpy]]))</f>
        <v>0</v>
      </c>
    </row>
    <row r="142" spans="1:10" x14ac:dyDescent="0.2">
      <c r="A142" s="103"/>
      <c r="B142" s="51" t="str">
        <f>IFERROR(VLOOKUP(speciated_chemicals_1103[[#This Row],[CAS '#]],species[],MATCH("Substance", species[#Headers], 0),FALSE),"No CAS Number Entered")</f>
        <v>No CAS Number Entered</v>
      </c>
      <c r="C142" s="102"/>
      <c r="D142" s="102" t="s">
        <v>12666</v>
      </c>
      <c r="E142" s="102" t="s">
        <v>12666</v>
      </c>
      <c r="F142" s="102" t="s">
        <v>12666</v>
      </c>
      <c r="G142" s="102" t="s">
        <v>12666</v>
      </c>
      <c r="H142" s="164"/>
      <c r="I142" s="51">
        <f>IF(speciated_chemicals_1103[[#This Row],[Inert / Not a Contaminant?]]="Yes", 0, speciated_chemicals_1103[[#This Row],[Weight Percent]]*(unique_components_1102[[#Totals],[Controlled lb/hr]]+standard_components_1101[[#Totals],[Controlled
lb/hr]]))</f>
        <v>0</v>
      </c>
      <c r="J142" s="51">
        <f>IF(speciated_chemicals_1103[[#This Row],[Inert / Not a Contaminant?]]="Yes", 0, speciated_chemicals_1103[[#This Row],[Weight Percent]]*(unique_components_1102[[#Totals],[Controlled
tpy]]+standard_components_1101[[#Totals],[Controlled
tpy]]))</f>
        <v>0</v>
      </c>
    </row>
    <row r="143" spans="1:10" x14ac:dyDescent="0.2">
      <c r="A143" s="103"/>
      <c r="B143" s="51" t="str">
        <f>IFERROR(VLOOKUP(speciated_chemicals_1103[[#This Row],[CAS '#]],species[],MATCH("Substance", species[#Headers], 0),FALSE),"No CAS Number Entered")</f>
        <v>No CAS Number Entered</v>
      </c>
      <c r="C143" s="102"/>
      <c r="D143" s="102" t="s">
        <v>12666</v>
      </c>
      <c r="E143" s="102" t="s">
        <v>12666</v>
      </c>
      <c r="F143" s="102" t="s">
        <v>12666</v>
      </c>
      <c r="G143" s="102" t="s">
        <v>12666</v>
      </c>
      <c r="H143" s="164"/>
      <c r="I143" s="51">
        <f>IF(speciated_chemicals_1103[[#This Row],[Inert / Not a Contaminant?]]="Yes", 0, speciated_chemicals_1103[[#This Row],[Weight Percent]]*(unique_components_1102[[#Totals],[Controlled lb/hr]]+standard_components_1101[[#Totals],[Controlled
lb/hr]]))</f>
        <v>0</v>
      </c>
      <c r="J143" s="51">
        <f>IF(speciated_chemicals_1103[[#This Row],[Inert / Not a Contaminant?]]="Yes", 0, speciated_chemicals_1103[[#This Row],[Weight Percent]]*(unique_components_1102[[#Totals],[Controlled
tpy]]+standard_components_1101[[#Totals],[Controlled
tpy]]))</f>
        <v>0</v>
      </c>
    </row>
    <row r="144" spans="1:10" x14ac:dyDescent="0.2">
      <c r="A144" s="103"/>
      <c r="B144" s="51" t="str">
        <f>IFERROR(VLOOKUP(speciated_chemicals_1103[[#This Row],[CAS '#]],species[],MATCH("Substance", species[#Headers], 0),FALSE),"No CAS Number Entered")</f>
        <v>No CAS Number Entered</v>
      </c>
      <c r="C144" s="102"/>
      <c r="D144" s="102" t="s">
        <v>12666</v>
      </c>
      <c r="E144" s="102" t="s">
        <v>12666</v>
      </c>
      <c r="F144" s="102" t="s">
        <v>12666</v>
      </c>
      <c r="G144" s="102" t="s">
        <v>12666</v>
      </c>
      <c r="H144" s="164"/>
      <c r="I144" s="51">
        <f>IF(speciated_chemicals_1103[[#This Row],[Inert / Not a Contaminant?]]="Yes", 0, speciated_chemicals_1103[[#This Row],[Weight Percent]]*(unique_components_1102[[#Totals],[Controlled lb/hr]]+standard_components_1101[[#Totals],[Controlled
lb/hr]]))</f>
        <v>0</v>
      </c>
      <c r="J144" s="51">
        <f>IF(speciated_chemicals_1103[[#This Row],[Inert / Not a Contaminant?]]="Yes", 0, speciated_chemicals_1103[[#This Row],[Weight Percent]]*(unique_components_1102[[#Totals],[Controlled
tpy]]+standard_components_1101[[#Totals],[Controlled
tpy]]))</f>
        <v>0</v>
      </c>
    </row>
    <row r="145" spans="1:10" x14ac:dyDescent="0.2">
      <c r="A145" s="103"/>
      <c r="B145" s="51" t="str">
        <f>IFERROR(VLOOKUP(speciated_chemicals_1103[[#This Row],[CAS '#]],species[],MATCH("Substance", species[#Headers], 0),FALSE),"No CAS Number Entered")</f>
        <v>No CAS Number Entered</v>
      </c>
      <c r="C145" s="102"/>
      <c r="D145" s="102" t="s">
        <v>12666</v>
      </c>
      <c r="E145" s="102" t="s">
        <v>12666</v>
      </c>
      <c r="F145" s="102" t="s">
        <v>12666</v>
      </c>
      <c r="G145" s="102" t="s">
        <v>12666</v>
      </c>
      <c r="H145" s="164"/>
      <c r="I145" s="51">
        <f>IF(speciated_chemicals_1103[[#This Row],[Inert / Not a Contaminant?]]="Yes", 0, speciated_chemicals_1103[[#This Row],[Weight Percent]]*(unique_components_1102[[#Totals],[Controlled lb/hr]]+standard_components_1101[[#Totals],[Controlled
lb/hr]]))</f>
        <v>0</v>
      </c>
      <c r="J145" s="51">
        <f>IF(speciated_chemicals_1103[[#This Row],[Inert / Not a Contaminant?]]="Yes", 0, speciated_chemicals_1103[[#This Row],[Weight Percent]]*(unique_components_1102[[#Totals],[Controlled
tpy]]+standard_components_1101[[#Totals],[Controlled
tpy]]))</f>
        <v>0</v>
      </c>
    </row>
    <row r="146" spans="1:10" x14ac:dyDescent="0.2">
      <c r="A146" s="103"/>
      <c r="B146" s="51" t="str">
        <f>IFERROR(VLOOKUP(speciated_chemicals_1103[[#This Row],[CAS '#]],species[],MATCH("Substance", species[#Headers], 0),FALSE),"No CAS Number Entered")</f>
        <v>No CAS Number Entered</v>
      </c>
      <c r="C146" s="102"/>
      <c r="D146" s="102" t="s">
        <v>12666</v>
      </c>
      <c r="E146" s="102" t="s">
        <v>12666</v>
      </c>
      <c r="F146" s="102" t="s">
        <v>12666</v>
      </c>
      <c r="G146" s="102" t="s">
        <v>12666</v>
      </c>
      <c r="H146" s="164"/>
      <c r="I146" s="51">
        <f>IF(speciated_chemicals_1103[[#This Row],[Inert / Not a Contaminant?]]="Yes", 0, speciated_chemicals_1103[[#This Row],[Weight Percent]]*(unique_components_1102[[#Totals],[Controlled lb/hr]]+standard_components_1101[[#Totals],[Controlled
lb/hr]]))</f>
        <v>0</v>
      </c>
      <c r="J146" s="51">
        <f>IF(speciated_chemicals_1103[[#This Row],[Inert / Not a Contaminant?]]="Yes", 0, speciated_chemicals_1103[[#This Row],[Weight Percent]]*(unique_components_1102[[#Totals],[Controlled
tpy]]+standard_components_1101[[#Totals],[Controlled
tpy]]))</f>
        <v>0</v>
      </c>
    </row>
    <row r="147" spans="1:10" x14ac:dyDescent="0.2">
      <c r="A147" s="103"/>
      <c r="B147" s="51" t="str">
        <f>IFERROR(VLOOKUP(speciated_chemicals_1103[[#This Row],[CAS '#]],species[],MATCH("Substance", species[#Headers], 0),FALSE),"No CAS Number Entered")</f>
        <v>No CAS Number Entered</v>
      </c>
      <c r="C147" s="102"/>
      <c r="D147" s="102" t="s">
        <v>12666</v>
      </c>
      <c r="E147" s="102" t="s">
        <v>12666</v>
      </c>
      <c r="F147" s="102" t="s">
        <v>12666</v>
      </c>
      <c r="G147" s="102" t="s">
        <v>12666</v>
      </c>
      <c r="H147" s="164"/>
      <c r="I147" s="51">
        <f>IF(speciated_chemicals_1103[[#This Row],[Inert / Not a Contaminant?]]="Yes", 0, speciated_chemicals_1103[[#This Row],[Weight Percent]]*(unique_components_1102[[#Totals],[Controlled lb/hr]]+standard_components_1101[[#Totals],[Controlled
lb/hr]]))</f>
        <v>0</v>
      </c>
      <c r="J147" s="51">
        <f>IF(speciated_chemicals_1103[[#This Row],[Inert / Not a Contaminant?]]="Yes", 0, speciated_chemicals_1103[[#This Row],[Weight Percent]]*(unique_components_1102[[#Totals],[Controlled
tpy]]+standard_components_1101[[#Totals],[Controlled
tpy]]))</f>
        <v>0</v>
      </c>
    </row>
    <row r="148" spans="1:10" x14ac:dyDescent="0.2">
      <c r="A148" s="103"/>
      <c r="B148" s="51" t="str">
        <f>IFERROR(VLOOKUP(speciated_chemicals_1103[[#This Row],[CAS '#]],species[],MATCH("Substance", species[#Headers], 0),FALSE),"No CAS Number Entered")</f>
        <v>No CAS Number Entered</v>
      </c>
      <c r="C148" s="102"/>
      <c r="D148" s="102" t="s">
        <v>12666</v>
      </c>
      <c r="E148" s="102" t="s">
        <v>12666</v>
      </c>
      <c r="F148" s="102" t="s">
        <v>12666</v>
      </c>
      <c r="G148" s="102" t="s">
        <v>12666</v>
      </c>
      <c r="H148" s="164"/>
      <c r="I148" s="51">
        <f>IF(speciated_chemicals_1103[[#This Row],[Inert / Not a Contaminant?]]="Yes", 0, speciated_chemicals_1103[[#This Row],[Weight Percent]]*(unique_components_1102[[#Totals],[Controlled lb/hr]]+standard_components_1101[[#Totals],[Controlled
lb/hr]]))</f>
        <v>0</v>
      </c>
      <c r="J148" s="51">
        <f>IF(speciated_chemicals_1103[[#This Row],[Inert / Not a Contaminant?]]="Yes", 0, speciated_chemicals_1103[[#This Row],[Weight Percent]]*(unique_components_1102[[#Totals],[Controlled
tpy]]+standard_components_1101[[#Totals],[Controlled
tpy]]))</f>
        <v>0</v>
      </c>
    </row>
    <row r="149" spans="1:10" x14ac:dyDescent="0.2">
      <c r="A149" s="103"/>
      <c r="B149" s="51" t="str">
        <f>IFERROR(VLOOKUP(speciated_chemicals_1103[[#This Row],[CAS '#]],species[],MATCH("Substance", species[#Headers], 0),FALSE),"No CAS Number Entered")</f>
        <v>No CAS Number Entered</v>
      </c>
      <c r="C149" s="102"/>
      <c r="D149" s="102" t="s">
        <v>12666</v>
      </c>
      <c r="E149" s="102" t="s">
        <v>12666</v>
      </c>
      <c r="F149" s="102" t="s">
        <v>12666</v>
      </c>
      <c r="G149" s="102" t="s">
        <v>12666</v>
      </c>
      <c r="H149" s="164"/>
      <c r="I149" s="51">
        <f>IF(speciated_chemicals_1103[[#This Row],[Inert / Not a Contaminant?]]="Yes", 0, speciated_chemicals_1103[[#This Row],[Weight Percent]]*(unique_components_1102[[#Totals],[Controlled lb/hr]]+standard_components_1101[[#Totals],[Controlled
lb/hr]]))</f>
        <v>0</v>
      </c>
      <c r="J149" s="51">
        <f>IF(speciated_chemicals_1103[[#This Row],[Inert / Not a Contaminant?]]="Yes", 0, speciated_chemicals_1103[[#This Row],[Weight Percent]]*(unique_components_1102[[#Totals],[Controlled
tpy]]+standard_components_1101[[#Totals],[Controlled
tpy]]))</f>
        <v>0</v>
      </c>
    </row>
    <row r="150" spans="1:10" x14ac:dyDescent="0.2">
      <c r="A150" s="103"/>
      <c r="B150" s="51" t="str">
        <f>IFERROR(VLOOKUP(speciated_chemicals_1103[[#This Row],[CAS '#]],species[],MATCH("Substance", species[#Headers], 0),FALSE),"No CAS Number Entered")</f>
        <v>No CAS Number Entered</v>
      </c>
      <c r="C150" s="102"/>
      <c r="D150" s="102" t="s">
        <v>12666</v>
      </c>
      <c r="E150" s="102" t="s">
        <v>12666</v>
      </c>
      <c r="F150" s="102" t="s">
        <v>12666</v>
      </c>
      <c r="G150" s="102" t="s">
        <v>12666</v>
      </c>
      <c r="H150" s="164"/>
      <c r="I150" s="51">
        <f>IF(speciated_chemicals_1103[[#This Row],[Inert / Not a Contaminant?]]="Yes", 0, speciated_chemicals_1103[[#This Row],[Weight Percent]]*(unique_components_1102[[#Totals],[Controlled lb/hr]]+standard_components_1101[[#Totals],[Controlled
lb/hr]]))</f>
        <v>0</v>
      </c>
      <c r="J150" s="51">
        <f>IF(speciated_chemicals_1103[[#This Row],[Inert / Not a Contaminant?]]="Yes", 0, speciated_chemicals_1103[[#This Row],[Weight Percent]]*(unique_components_1102[[#Totals],[Controlled
tpy]]+standard_components_1101[[#Totals],[Controlled
tpy]]))</f>
        <v>0</v>
      </c>
    </row>
    <row r="151" spans="1:10" x14ac:dyDescent="0.2">
      <c r="A151" s="103"/>
      <c r="B151" s="51" t="str">
        <f>IFERROR(VLOOKUP(speciated_chemicals_1103[[#This Row],[CAS '#]],species[],MATCH("Substance", species[#Headers], 0),FALSE),"No CAS Number Entered")</f>
        <v>No CAS Number Entered</v>
      </c>
      <c r="C151" s="102"/>
      <c r="D151" s="102" t="s">
        <v>12666</v>
      </c>
      <c r="E151" s="102" t="s">
        <v>12666</v>
      </c>
      <c r="F151" s="102" t="s">
        <v>12666</v>
      </c>
      <c r="G151" s="102" t="s">
        <v>12666</v>
      </c>
      <c r="H151" s="164"/>
      <c r="I151" s="51">
        <f>IF(speciated_chemicals_1103[[#This Row],[Inert / Not a Contaminant?]]="Yes", 0, speciated_chemicals_1103[[#This Row],[Weight Percent]]*(unique_components_1102[[#Totals],[Controlled lb/hr]]+standard_components_1101[[#Totals],[Controlled
lb/hr]]))</f>
        <v>0</v>
      </c>
      <c r="J151" s="51">
        <f>IF(speciated_chemicals_1103[[#This Row],[Inert / Not a Contaminant?]]="Yes", 0, speciated_chemicals_1103[[#This Row],[Weight Percent]]*(unique_components_1102[[#Totals],[Controlled
tpy]]+standard_components_1101[[#Totals],[Controlled
tpy]]))</f>
        <v>0</v>
      </c>
    </row>
    <row r="152" spans="1:10" x14ac:dyDescent="0.2">
      <c r="A152" s="103"/>
      <c r="B152" s="51" t="str">
        <f>IFERROR(VLOOKUP(speciated_chemicals_1103[[#This Row],[CAS '#]],species[],MATCH("Substance", species[#Headers], 0),FALSE),"No CAS Number Entered")</f>
        <v>No CAS Number Entered</v>
      </c>
      <c r="C152" s="102"/>
      <c r="D152" s="102" t="s">
        <v>12666</v>
      </c>
      <c r="E152" s="102" t="s">
        <v>12666</v>
      </c>
      <c r="F152" s="102" t="s">
        <v>12666</v>
      </c>
      <c r="G152" s="102" t="s">
        <v>12666</v>
      </c>
      <c r="H152" s="164"/>
      <c r="I152" s="51">
        <f>IF(speciated_chemicals_1103[[#This Row],[Inert / Not a Contaminant?]]="Yes", 0, speciated_chemicals_1103[[#This Row],[Weight Percent]]*(unique_components_1102[[#Totals],[Controlled lb/hr]]+standard_components_1101[[#Totals],[Controlled
lb/hr]]))</f>
        <v>0</v>
      </c>
      <c r="J152" s="51">
        <f>IF(speciated_chemicals_1103[[#This Row],[Inert / Not a Contaminant?]]="Yes", 0, speciated_chemicals_1103[[#This Row],[Weight Percent]]*(unique_components_1102[[#Totals],[Controlled
tpy]]+standard_components_1101[[#Totals],[Controlled
tpy]]))</f>
        <v>0</v>
      </c>
    </row>
    <row r="153" spans="1:10" x14ac:dyDescent="0.2">
      <c r="A153" s="103"/>
      <c r="B153" s="51" t="str">
        <f>IFERROR(VLOOKUP(speciated_chemicals_1103[[#This Row],[CAS '#]],species[],MATCH("Substance", species[#Headers], 0),FALSE),"No CAS Number Entered")</f>
        <v>No CAS Number Entered</v>
      </c>
      <c r="C153" s="102"/>
      <c r="D153" s="102" t="s">
        <v>12666</v>
      </c>
      <c r="E153" s="102" t="s">
        <v>12666</v>
      </c>
      <c r="F153" s="102" t="s">
        <v>12666</v>
      </c>
      <c r="G153" s="102" t="s">
        <v>12666</v>
      </c>
      <c r="H153" s="164"/>
      <c r="I153" s="51">
        <f>IF(speciated_chemicals_1103[[#This Row],[Inert / Not a Contaminant?]]="Yes", 0, speciated_chemicals_1103[[#This Row],[Weight Percent]]*(unique_components_1102[[#Totals],[Controlled lb/hr]]+standard_components_1101[[#Totals],[Controlled
lb/hr]]))</f>
        <v>0</v>
      </c>
      <c r="J153" s="51">
        <f>IF(speciated_chemicals_1103[[#This Row],[Inert / Not a Contaminant?]]="Yes", 0, speciated_chemicals_1103[[#This Row],[Weight Percent]]*(unique_components_1102[[#Totals],[Controlled
tpy]]+standard_components_1101[[#Totals],[Controlled
tpy]]))</f>
        <v>0</v>
      </c>
    </row>
    <row r="154" spans="1:10" x14ac:dyDescent="0.2">
      <c r="A154" s="103"/>
      <c r="B154" s="51" t="str">
        <f>IFERROR(VLOOKUP(speciated_chemicals_1103[[#This Row],[CAS '#]],species[],MATCH("Substance", species[#Headers], 0),FALSE),"No CAS Number Entered")</f>
        <v>No CAS Number Entered</v>
      </c>
      <c r="C154" s="102"/>
      <c r="D154" s="102" t="s">
        <v>12666</v>
      </c>
      <c r="E154" s="102" t="s">
        <v>12666</v>
      </c>
      <c r="F154" s="102" t="s">
        <v>12666</v>
      </c>
      <c r="G154" s="102" t="s">
        <v>12666</v>
      </c>
      <c r="H154" s="164"/>
      <c r="I154" s="51">
        <f>IF(speciated_chemicals_1103[[#This Row],[Inert / Not a Contaminant?]]="Yes", 0, speciated_chemicals_1103[[#This Row],[Weight Percent]]*(unique_components_1102[[#Totals],[Controlled lb/hr]]+standard_components_1101[[#Totals],[Controlled
lb/hr]]))</f>
        <v>0</v>
      </c>
      <c r="J154" s="51">
        <f>IF(speciated_chemicals_1103[[#This Row],[Inert / Not a Contaminant?]]="Yes", 0, speciated_chemicals_1103[[#This Row],[Weight Percent]]*(unique_components_1102[[#Totals],[Controlled
tpy]]+standard_components_1101[[#Totals],[Controlled
tpy]]))</f>
        <v>0</v>
      </c>
    </row>
    <row r="155" spans="1:10" x14ac:dyDescent="0.2">
      <c r="A155" s="103"/>
      <c r="B155" s="51" t="str">
        <f>IFERROR(VLOOKUP(speciated_chemicals_1103[[#This Row],[CAS '#]],species[],MATCH("Substance", species[#Headers], 0),FALSE),"No CAS Number Entered")</f>
        <v>No CAS Number Entered</v>
      </c>
      <c r="C155" s="102"/>
      <c r="D155" s="102" t="s">
        <v>12666</v>
      </c>
      <c r="E155" s="102" t="s">
        <v>12666</v>
      </c>
      <c r="F155" s="102" t="s">
        <v>12666</v>
      </c>
      <c r="G155" s="102" t="s">
        <v>12666</v>
      </c>
      <c r="H155" s="164"/>
      <c r="I155" s="51">
        <f>IF(speciated_chemicals_1103[[#This Row],[Inert / Not a Contaminant?]]="Yes", 0, speciated_chemicals_1103[[#This Row],[Weight Percent]]*(unique_components_1102[[#Totals],[Controlled lb/hr]]+standard_components_1101[[#Totals],[Controlled
lb/hr]]))</f>
        <v>0</v>
      </c>
      <c r="J155" s="51">
        <f>IF(speciated_chemicals_1103[[#This Row],[Inert / Not a Contaminant?]]="Yes", 0, speciated_chemicals_1103[[#This Row],[Weight Percent]]*(unique_components_1102[[#Totals],[Controlled
tpy]]+standard_components_1101[[#Totals],[Controlled
tpy]]))</f>
        <v>0</v>
      </c>
    </row>
    <row r="156" spans="1:10" x14ac:dyDescent="0.2">
      <c r="A156" s="103"/>
      <c r="B156" s="51" t="str">
        <f>IFERROR(VLOOKUP(speciated_chemicals_1103[[#This Row],[CAS '#]],species[],MATCH("Substance", species[#Headers], 0),FALSE),"No CAS Number Entered")</f>
        <v>No CAS Number Entered</v>
      </c>
      <c r="C156" s="102"/>
      <c r="D156" s="102" t="s">
        <v>12666</v>
      </c>
      <c r="E156" s="102" t="s">
        <v>12666</v>
      </c>
      <c r="F156" s="102" t="s">
        <v>12666</v>
      </c>
      <c r="G156" s="102" t="s">
        <v>12666</v>
      </c>
      <c r="H156" s="164"/>
      <c r="I156" s="51">
        <f>IF(speciated_chemicals_1103[[#This Row],[Inert / Not a Contaminant?]]="Yes", 0, speciated_chemicals_1103[[#This Row],[Weight Percent]]*(unique_components_1102[[#Totals],[Controlled lb/hr]]+standard_components_1101[[#Totals],[Controlled
lb/hr]]))</f>
        <v>0</v>
      </c>
      <c r="J156" s="51">
        <f>IF(speciated_chemicals_1103[[#This Row],[Inert / Not a Contaminant?]]="Yes", 0, speciated_chemicals_1103[[#This Row],[Weight Percent]]*(unique_components_1102[[#Totals],[Controlled
tpy]]+standard_components_1101[[#Totals],[Controlled
tpy]]))</f>
        <v>0</v>
      </c>
    </row>
    <row r="157" spans="1:10" x14ac:dyDescent="0.2">
      <c r="A157" s="103"/>
      <c r="B157" s="51" t="str">
        <f>IFERROR(VLOOKUP(speciated_chemicals_1103[[#This Row],[CAS '#]],species[],MATCH("Substance", species[#Headers], 0),FALSE),"No CAS Number Entered")</f>
        <v>No CAS Number Entered</v>
      </c>
      <c r="C157" s="102"/>
      <c r="D157" s="102" t="s">
        <v>12666</v>
      </c>
      <c r="E157" s="102" t="s">
        <v>12666</v>
      </c>
      <c r="F157" s="102" t="s">
        <v>12666</v>
      </c>
      <c r="G157" s="102" t="s">
        <v>12666</v>
      </c>
      <c r="H157" s="164"/>
      <c r="I157" s="51">
        <f>IF(speciated_chemicals_1103[[#This Row],[Inert / Not a Contaminant?]]="Yes", 0, speciated_chemicals_1103[[#This Row],[Weight Percent]]*(unique_components_1102[[#Totals],[Controlled lb/hr]]+standard_components_1101[[#Totals],[Controlled
lb/hr]]))</f>
        <v>0</v>
      </c>
      <c r="J157" s="51">
        <f>IF(speciated_chemicals_1103[[#This Row],[Inert / Not a Contaminant?]]="Yes", 0, speciated_chemicals_1103[[#This Row],[Weight Percent]]*(unique_components_1102[[#Totals],[Controlled
tpy]]+standard_components_1101[[#Totals],[Controlled
tpy]]))</f>
        <v>0</v>
      </c>
    </row>
    <row r="158" spans="1:10" x14ac:dyDescent="0.2">
      <c r="A158" s="103"/>
      <c r="B158" s="51" t="str">
        <f>IFERROR(VLOOKUP(speciated_chemicals_1103[[#This Row],[CAS '#]],species[],MATCH("Substance", species[#Headers], 0),FALSE),"No CAS Number Entered")</f>
        <v>No CAS Number Entered</v>
      </c>
      <c r="C158" s="102"/>
      <c r="D158" s="102" t="s">
        <v>12666</v>
      </c>
      <c r="E158" s="102" t="s">
        <v>12666</v>
      </c>
      <c r="F158" s="102" t="s">
        <v>12666</v>
      </c>
      <c r="G158" s="102" t="s">
        <v>12666</v>
      </c>
      <c r="H158" s="164"/>
      <c r="I158" s="51">
        <f>IF(speciated_chemicals_1103[[#This Row],[Inert / Not a Contaminant?]]="Yes", 0, speciated_chemicals_1103[[#This Row],[Weight Percent]]*(unique_components_1102[[#Totals],[Controlled lb/hr]]+standard_components_1101[[#Totals],[Controlled
lb/hr]]))</f>
        <v>0</v>
      </c>
      <c r="J158" s="51">
        <f>IF(speciated_chemicals_1103[[#This Row],[Inert / Not a Contaminant?]]="Yes", 0, speciated_chemicals_1103[[#This Row],[Weight Percent]]*(unique_components_1102[[#Totals],[Controlled
tpy]]+standard_components_1101[[#Totals],[Controlled
tpy]]))</f>
        <v>0</v>
      </c>
    </row>
    <row r="159" spans="1:10" x14ac:dyDescent="0.2">
      <c r="A159" s="103"/>
      <c r="B159" s="51" t="str">
        <f>IFERROR(VLOOKUP(speciated_chemicals_1103[[#This Row],[CAS '#]],species[],MATCH("Substance", species[#Headers], 0),FALSE),"No CAS Number Entered")</f>
        <v>No CAS Number Entered</v>
      </c>
      <c r="C159" s="102"/>
      <c r="D159" s="102" t="s">
        <v>12666</v>
      </c>
      <c r="E159" s="102" t="s">
        <v>12666</v>
      </c>
      <c r="F159" s="102" t="s">
        <v>12666</v>
      </c>
      <c r="G159" s="102" t="s">
        <v>12666</v>
      </c>
      <c r="H159" s="164"/>
      <c r="I159" s="51">
        <f>IF(speciated_chemicals_1103[[#This Row],[Inert / Not a Contaminant?]]="Yes", 0, speciated_chemicals_1103[[#This Row],[Weight Percent]]*(unique_components_1102[[#Totals],[Controlled lb/hr]]+standard_components_1101[[#Totals],[Controlled
lb/hr]]))</f>
        <v>0</v>
      </c>
      <c r="J159" s="51">
        <f>IF(speciated_chemicals_1103[[#This Row],[Inert / Not a Contaminant?]]="Yes", 0, speciated_chemicals_1103[[#This Row],[Weight Percent]]*(unique_components_1102[[#Totals],[Controlled
tpy]]+standard_components_1101[[#Totals],[Controlled
tpy]]))</f>
        <v>0</v>
      </c>
    </row>
    <row r="160" spans="1:10" x14ac:dyDescent="0.2">
      <c r="A160" s="103"/>
      <c r="B160" s="51" t="str">
        <f>IFERROR(VLOOKUP(speciated_chemicals_1103[[#This Row],[CAS '#]],species[],MATCH("Substance", species[#Headers], 0),FALSE),"No CAS Number Entered")</f>
        <v>No CAS Number Entered</v>
      </c>
      <c r="C160" s="102"/>
      <c r="D160" s="102" t="s">
        <v>12666</v>
      </c>
      <c r="E160" s="102" t="s">
        <v>12666</v>
      </c>
      <c r="F160" s="102" t="s">
        <v>12666</v>
      </c>
      <c r="G160" s="102" t="s">
        <v>12666</v>
      </c>
      <c r="H160" s="164"/>
      <c r="I160" s="51">
        <f>IF(speciated_chemicals_1103[[#This Row],[Inert / Not a Contaminant?]]="Yes", 0, speciated_chemicals_1103[[#This Row],[Weight Percent]]*(unique_components_1102[[#Totals],[Controlled lb/hr]]+standard_components_1101[[#Totals],[Controlled
lb/hr]]))</f>
        <v>0</v>
      </c>
      <c r="J160" s="51">
        <f>IF(speciated_chemicals_1103[[#This Row],[Inert / Not a Contaminant?]]="Yes", 0, speciated_chemicals_1103[[#This Row],[Weight Percent]]*(unique_components_1102[[#Totals],[Controlled
tpy]]+standard_components_1101[[#Totals],[Controlled
tpy]]))</f>
        <v>0</v>
      </c>
    </row>
    <row r="161" spans="1:10" x14ac:dyDescent="0.2">
      <c r="A161" s="103"/>
      <c r="B161" s="51" t="str">
        <f>IFERROR(VLOOKUP(speciated_chemicals_1103[[#This Row],[CAS '#]],species[],MATCH("Substance", species[#Headers], 0),FALSE),"No CAS Number Entered")</f>
        <v>No CAS Number Entered</v>
      </c>
      <c r="C161" s="102"/>
      <c r="D161" s="102" t="s">
        <v>12666</v>
      </c>
      <c r="E161" s="102" t="s">
        <v>12666</v>
      </c>
      <c r="F161" s="102" t="s">
        <v>12666</v>
      </c>
      <c r="G161" s="102" t="s">
        <v>12666</v>
      </c>
      <c r="H161" s="164"/>
      <c r="I161" s="51">
        <f>IF(speciated_chemicals_1103[[#This Row],[Inert / Not a Contaminant?]]="Yes", 0, speciated_chemicals_1103[[#This Row],[Weight Percent]]*(unique_components_1102[[#Totals],[Controlled lb/hr]]+standard_components_1101[[#Totals],[Controlled
lb/hr]]))</f>
        <v>0</v>
      </c>
      <c r="J161" s="51">
        <f>IF(speciated_chemicals_1103[[#This Row],[Inert / Not a Contaminant?]]="Yes", 0, speciated_chemicals_1103[[#This Row],[Weight Percent]]*(unique_components_1102[[#Totals],[Controlled
tpy]]+standard_components_1101[[#Totals],[Controlled
tpy]]))</f>
        <v>0</v>
      </c>
    </row>
    <row r="162" spans="1:10" x14ac:dyDescent="0.2">
      <c r="A162" s="103"/>
      <c r="B162" s="51" t="str">
        <f>IFERROR(VLOOKUP(speciated_chemicals_1103[[#This Row],[CAS '#]],species[],MATCH("Substance", species[#Headers], 0),FALSE),"No CAS Number Entered")</f>
        <v>No CAS Number Entered</v>
      </c>
      <c r="C162" s="102"/>
      <c r="D162" s="102" t="s">
        <v>12666</v>
      </c>
      <c r="E162" s="102" t="s">
        <v>12666</v>
      </c>
      <c r="F162" s="102" t="s">
        <v>12666</v>
      </c>
      <c r="G162" s="102" t="s">
        <v>12666</v>
      </c>
      <c r="H162" s="164"/>
      <c r="I162" s="51">
        <f>IF(speciated_chemicals_1103[[#This Row],[Inert / Not a Contaminant?]]="Yes", 0, speciated_chemicals_1103[[#This Row],[Weight Percent]]*(unique_components_1102[[#Totals],[Controlled lb/hr]]+standard_components_1101[[#Totals],[Controlled
lb/hr]]))</f>
        <v>0</v>
      </c>
      <c r="J162" s="51">
        <f>IF(speciated_chemicals_1103[[#This Row],[Inert / Not a Contaminant?]]="Yes", 0, speciated_chemicals_1103[[#This Row],[Weight Percent]]*(unique_components_1102[[#Totals],[Controlled
tpy]]+standard_components_1101[[#Totals],[Controlled
tpy]]))</f>
        <v>0</v>
      </c>
    </row>
    <row r="163" spans="1:10" x14ac:dyDescent="0.2">
      <c r="A163" s="103"/>
      <c r="B163" s="51" t="str">
        <f>IFERROR(VLOOKUP(speciated_chemicals_1103[[#This Row],[CAS '#]],species[],MATCH("Substance", species[#Headers], 0),FALSE),"No CAS Number Entered")</f>
        <v>No CAS Number Entered</v>
      </c>
      <c r="C163" s="102"/>
      <c r="D163" s="102" t="s">
        <v>12666</v>
      </c>
      <c r="E163" s="102" t="s">
        <v>12666</v>
      </c>
      <c r="F163" s="102" t="s">
        <v>12666</v>
      </c>
      <c r="G163" s="102" t="s">
        <v>12666</v>
      </c>
      <c r="H163" s="164"/>
      <c r="I163" s="51">
        <f>IF(speciated_chemicals_1103[[#This Row],[Inert / Not a Contaminant?]]="Yes", 0, speciated_chemicals_1103[[#This Row],[Weight Percent]]*(unique_components_1102[[#Totals],[Controlled lb/hr]]+standard_components_1101[[#Totals],[Controlled
lb/hr]]))</f>
        <v>0</v>
      </c>
      <c r="J163" s="51">
        <f>IF(speciated_chemicals_1103[[#This Row],[Inert / Not a Contaminant?]]="Yes", 0, speciated_chemicals_1103[[#This Row],[Weight Percent]]*(unique_components_1102[[#Totals],[Controlled
tpy]]+standard_components_1101[[#Totals],[Controlled
tpy]]))</f>
        <v>0</v>
      </c>
    </row>
    <row r="164" spans="1:10" x14ac:dyDescent="0.2">
      <c r="A164" s="103"/>
      <c r="B164" s="51" t="str">
        <f>IFERROR(VLOOKUP(speciated_chemicals_1103[[#This Row],[CAS '#]],species[],MATCH("Substance", species[#Headers], 0),FALSE),"No CAS Number Entered")</f>
        <v>No CAS Number Entered</v>
      </c>
      <c r="C164" s="102"/>
      <c r="D164" s="102" t="s">
        <v>12666</v>
      </c>
      <c r="E164" s="102" t="s">
        <v>12666</v>
      </c>
      <c r="F164" s="102" t="s">
        <v>12666</v>
      </c>
      <c r="G164" s="102" t="s">
        <v>12666</v>
      </c>
      <c r="H164" s="164"/>
      <c r="I164" s="51">
        <f>IF(speciated_chemicals_1103[[#This Row],[Inert / Not a Contaminant?]]="Yes", 0, speciated_chemicals_1103[[#This Row],[Weight Percent]]*(unique_components_1102[[#Totals],[Controlled lb/hr]]+standard_components_1101[[#Totals],[Controlled
lb/hr]]))</f>
        <v>0</v>
      </c>
      <c r="J164" s="51">
        <f>IF(speciated_chemicals_1103[[#This Row],[Inert / Not a Contaminant?]]="Yes", 0, speciated_chemicals_1103[[#This Row],[Weight Percent]]*(unique_components_1102[[#Totals],[Controlled
tpy]]+standard_components_1101[[#Totals],[Controlled
tpy]]))</f>
        <v>0</v>
      </c>
    </row>
    <row r="165" spans="1:10" x14ac:dyDescent="0.2">
      <c r="A165" s="103"/>
      <c r="B165" s="51" t="str">
        <f>IFERROR(VLOOKUP(speciated_chemicals_1103[[#This Row],[CAS '#]],species[],MATCH("Substance", species[#Headers], 0),FALSE),"No CAS Number Entered")</f>
        <v>No CAS Number Entered</v>
      </c>
      <c r="C165" s="102"/>
      <c r="D165" s="102" t="s">
        <v>12666</v>
      </c>
      <c r="E165" s="102" t="s">
        <v>12666</v>
      </c>
      <c r="F165" s="102" t="s">
        <v>12666</v>
      </c>
      <c r="G165" s="102" t="s">
        <v>12666</v>
      </c>
      <c r="H165" s="164"/>
      <c r="I165" s="51">
        <f>IF(speciated_chemicals_1103[[#This Row],[Inert / Not a Contaminant?]]="Yes", 0, speciated_chemicals_1103[[#This Row],[Weight Percent]]*(unique_components_1102[[#Totals],[Controlled lb/hr]]+standard_components_1101[[#Totals],[Controlled
lb/hr]]))</f>
        <v>0</v>
      </c>
      <c r="J165" s="51">
        <f>IF(speciated_chemicals_1103[[#This Row],[Inert / Not a Contaminant?]]="Yes", 0, speciated_chemicals_1103[[#This Row],[Weight Percent]]*(unique_components_1102[[#Totals],[Controlled
tpy]]+standard_components_1101[[#Totals],[Controlled
tpy]]))</f>
        <v>0</v>
      </c>
    </row>
    <row r="166" spans="1:10" x14ac:dyDescent="0.2">
      <c r="A166" s="103"/>
      <c r="B166" s="51" t="str">
        <f>IFERROR(VLOOKUP(speciated_chemicals_1103[[#This Row],[CAS '#]],species[],MATCH("Substance", species[#Headers], 0),FALSE),"No CAS Number Entered")</f>
        <v>No CAS Number Entered</v>
      </c>
      <c r="C166" s="102"/>
      <c r="D166" s="102" t="s">
        <v>12666</v>
      </c>
      <c r="E166" s="102" t="s">
        <v>12666</v>
      </c>
      <c r="F166" s="102" t="s">
        <v>12666</v>
      </c>
      <c r="G166" s="102" t="s">
        <v>12666</v>
      </c>
      <c r="H166" s="164"/>
      <c r="I166" s="51">
        <f>IF(speciated_chemicals_1103[[#This Row],[Inert / Not a Contaminant?]]="Yes", 0, speciated_chemicals_1103[[#This Row],[Weight Percent]]*(unique_components_1102[[#Totals],[Controlled lb/hr]]+standard_components_1101[[#Totals],[Controlled
lb/hr]]))</f>
        <v>0</v>
      </c>
      <c r="J166" s="51">
        <f>IF(speciated_chemicals_1103[[#This Row],[Inert / Not a Contaminant?]]="Yes", 0, speciated_chemicals_1103[[#This Row],[Weight Percent]]*(unique_components_1102[[#Totals],[Controlled
tpy]]+standard_components_1101[[#Totals],[Controlled
tpy]]))</f>
        <v>0</v>
      </c>
    </row>
    <row r="167" spans="1:10" x14ac:dyDescent="0.2">
      <c r="A167" s="103"/>
      <c r="B167" s="51" t="str">
        <f>IFERROR(VLOOKUP(speciated_chemicals_1103[[#This Row],[CAS '#]],species[],MATCH("Substance", species[#Headers], 0),FALSE),"No CAS Number Entered")</f>
        <v>No CAS Number Entered</v>
      </c>
      <c r="C167" s="102"/>
      <c r="D167" s="102" t="s">
        <v>12666</v>
      </c>
      <c r="E167" s="102" t="s">
        <v>12666</v>
      </c>
      <c r="F167" s="102" t="s">
        <v>12666</v>
      </c>
      <c r="G167" s="102" t="s">
        <v>12666</v>
      </c>
      <c r="H167" s="164"/>
      <c r="I167" s="51">
        <f>IF(speciated_chemicals_1103[[#This Row],[Inert / Not a Contaminant?]]="Yes", 0, speciated_chemicals_1103[[#This Row],[Weight Percent]]*(unique_components_1102[[#Totals],[Controlled lb/hr]]+standard_components_1101[[#Totals],[Controlled
lb/hr]]))</f>
        <v>0</v>
      </c>
      <c r="J167" s="51">
        <f>IF(speciated_chemicals_1103[[#This Row],[Inert / Not a Contaminant?]]="Yes", 0, speciated_chemicals_1103[[#This Row],[Weight Percent]]*(unique_components_1102[[#Totals],[Controlled
tpy]]+standard_components_1101[[#Totals],[Controlled
tpy]]))</f>
        <v>0</v>
      </c>
    </row>
    <row r="168" spans="1:10" x14ac:dyDescent="0.2">
      <c r="A168" s="103"/>
      <c r="B168" s="51" t="str">
        <f>IFERROR(VLOOKUP(speciated_chemicals_1103[[#This Row],[CAS '#]],species[],MATCH("Substance", species[#Headers], 0),FALSE),"No CAS Number Entered")</f>
        <v>No CAS Number Entered</v>
      </c>
      <c r="C168" s="102"/>
      <c r="D168" s="102" t="s">
        <v>12666</v>
      </c>
      <c r="E168" s="102" t="s">
        <v>12666</v>
      </c>
      <c r="F168" s="102" t="s">
        <v>12666</v>
      </c>
      <c r="G168" s="102" t="s">
        <v>12666</v>
      </c>
      <c r="H168" s="164"/>
      <c r="I168" s="51">
        <f>IF(speciated_chemicals_1103[[#This Row],[Inert / Not a Contaminant?]]="Yes", 0, speciated_chemicals_1103[[#This Row],[Weight Percent]]*(unique_components_1102[[#Totals],[Controlled lb/hr]]+standard_components_1101[[#Totals],[Controlled
lb/hr]]))</f>
        <v>0</v>
      </c>
      <c r="J168" s="51">
        <f>IF(speciated_chemicals_1103[[#This Row],[Inert / Not a Contaminant?]]="Yes", 0, speciated_chemicals_1103[[#This Row],[Weight Percent]]*(unique_components_1102[[#Totals],[Controlled
tpy]]+standard_components_1101[[#Totals],[Controlled
tpy]]))</f>
        <v>0</v>
      </c>
    </row>
    <row r="169" spans="1:10" x14ac:dyDescent="0.2">
      <c r="A169" s="103"/>
      <c r="B169" s="51" t="str">
        <f>IFERROR(VLOOKUP(speciated_chemicals_1103[[#This Row],[CAS '#]],species[],MATCH("Substance", species[#Headers], 0),FALSE),"No CAS Number Entered")</f>
        <v>No CAS Number Entered</v>
      </c>
      <c r="C169" s="102"/>
      <c r="D169" s="102" t="s">
        <v>12666</v>
      </c>
      <c r="E169" s="102" t="s">
        <v>12666</v>
      </c>
      <c r="F169" s="102" t="s">
        <v>12666</v>
      </c>
      <c r="G169" s="102" t="s">
        <v>12666</v>
      </c>
      <c r="H169" s="164"/>
      <c r="I169" s="51">
        <f>IF(speciated_chemicals_1103[[#This Row],[Inert / Not a Contaminant?]]="Yes", 0, speciated_chemicals_1103[[#This Row],[Weight Percent]]*(unique_components_1102[[#Totals],[Controlled lb/hr]]+standard_components_1101[[#Totals],[Controlled
lb/hr]]))</f>
        <v>0</v>
      </c>
      <c r="J169" s="51">
        <f>IF(speciated_chemicals_1103[[#This Row],[Inert / Not a Contaminant?]]="Yes", 0, speciated_chemicals_1103[[#This Row],[Weight Percent]]*(unique_components_1102[[#Totals],[Controlled
tpy]]+standard_components_1101[[#Totals],[Controlled
tpy]]))</f>
        <v>0</v>
      </c>
    </row>
    <row r="170" spans="1:10" x14ac:dyDescent="0.2">
      <c r="A170" s="103"/>
      <c r="B170" s="51" t="str">
        <f>IFERROR(VLOOKUP(speciated_chemicals_1103[[#This Row],[CAS '#]],species[],MATCH("Substance", species[#Headers], 0),FALSE),"No CAS Number Entered")</f>
        <v>No CAS Number Entered</v>
      </c>
      <c r="C170" s="102"/>
      <c r="D170" s="102" t="s">
        <v>12666</v>
      </c>
      <c r="E170" s="102" t="s">
        <v>12666</v>
      </c>
      <c r="F170" s="102" t="s">
        <v>12666</v>
      </c>
      <c r="G170" s="102" t="s">
        <v>12666</v>
      </c>
      <c r="H170" s="164"/>
      <c r="I170" s="51">
        <f>IF(speciated_chemicals_1103[[#This Row],[Inert / Not a Contaminant?]]="Yes", 0, speciated_chemicals_1103[[#This Row],[Weight Percent]]*(unique_components_1102[[#Totals],[Controlled lb/hr]]+standard_components_1101[[#Totals],[Controlled
lb/hr]]))</f>
        <v>0</v>
      </c>
      <c r="J170" s="51">
        <f>IF(speciated_chemicals_1103[[#This Row],[Inert / Not a Contaminant?]]="Yes", 0, speciated_chemicals_1103[[#This Row],[Weight Percent]]*(unique_components_1102[[#Totals],[Controlled
tpy]]+standard_components_1101[[#Totals],[Controlled
tpy]]))</f>
        <v>0</v>
      </c>
    </row>
    <row r="171" spans="1:10" x14ac:dyDescent="0.2">
      <c r="A171" s="103"/>
      <c r="B171" s="51" t="str">
        <f>IFERROR(VLOOKUP(speciated_chemicals_1103[[#This Row],[CAS '#]],species[],MATCH("Substance", species[#Headers], 0),FALSE),"No CAS Number Entered")</f>
        <v>No CAS Number Entered</v>
      </c>
      <c r="C171" s="102"/>
      <c r="D171" s="102" t="s">
        <v>12666</v>
      </c>
      <c r="E171" s="102" t="s">
        <v>12666</v>
      </c>
      <c r="F171" s="102" t="s">
        <v>12666</v>
      </c>
      <c r="G171" s="102" t="s">
        <v>12666</v>
      </c>
      <c r="H171" s="164"/>
      <c r="I171" s="51">
        <f>IF(speciated_chemicals_1103[[#This Row],[Inert / Not a Contaminant?]]="Yes", 0, speciated_chemicals_1103[[#This Row],[Weight Percent]]*(unique_components_1102[[#Totals],[Controlled lb/hr]]+standard_components_1101[[#Totals],[Controlled
lb/hr]]))</f>
        <v>0</v>
      </c>
      <c r="J171" s="51">
        <f>IF(speciated_chemicals_1103[[#This Row],[Inert / Not a Contaminant?]]="Yes", 0, speciated_chemicals_1103[[#This Row],[Weight Percent]]*(unique_components_1102[[#Totals],[Controlled
tpy]]+standard_components_1101[[#Totals],[Controlled
tpy]]))</f>
        <v>0</v>
      </c>
    </row>
    <row r="172" spans="1:10" x14ac:dyDescent="0.2">
      <c r="A172" s="103"/>
      <c r="B172" s="51" t="str">
        <f>IFERROR(VLOOKUP(speciated_chemicals_1103[[#This Row],[CAS '#]],species[],MATCH("Substance", species[#Headers], 0),FALSE),"No CAS Number Entered")</f>
        <v>No CAS Number Entered</v>
      </c>
      <c r="C172" s="102"/>
      <c r="D172" s="102" t="s">
        <v>12666</v>
      </c>
      <c r="E172" s="102" t="s">
        <v>12666</v>
      </c>
      <c r="F172" s="102" t="s">
        <v>12666</v>
      </c>
      <c r="G172" s="102" t="s">
        <v>12666</v>
      </c>
      <c r="H172" s="164"/>
      <c r="I172" s="51">
        <f>IF(speciated_chemicals_1103[[#This Row],[Inert / Not a Contaminant?]]="Yes", 0, speciated_chemicals_1103[[#This Row],[Weight Percent]]*(unique_components_1102[[#Totals],[Controlled lb/hr]]+standard_components_1101[[#Totals],[Controlled
lb/hr]]))</f>
        <v>0</v>
      </c>
      <c r="J172" s="51">
        <f>IF(speciated_chemicals_1103[[#This Row],[Inert / Not a Contaminant?]]="Yes", 0, speciated_chemicals_1103[[#This Row],[Weight Percent]]*(unique_components_1102[[#Totals],[Controlled
tpy]]+standard_components_1101[[#Totals],[Controlled
tpy]]))</f>
        <v>0</v>
      </c>
    </row>
    <row r="173" spans="1:10" x14ac:dyDescent="0.2">
      <c r="A173" s="103"/>
      <c r="B173" s="51" t="str">
        <f>IFERROR(VLOOKUP(speciated_chemicals_1103[[#This Row],[CAS '#]],species[],MATCH("Substance", species[#Headers], 0),FALSE),"No CAS Number Entered")</f>
        <v>No CAS Number Entered</v>
      </c>
      <c r="C173" s="102"/>
      <c r="D173" s="102" t="s">
        <v>12666</v>
      </c>
      <c r="E173" s="102" t="s">
        <v>12666</v>
      </c>
      <c r="F173" s="102" t="s">
        <v>12666</v>
      </c>
      <c r="G173" s="102" t="s">
        <v>12666</v>
      </c>
      <c r="H173" s="164"/>
      <c r="I173" s="51">
        <f>IF(speciated_chemicals_1103[[#This Row],[Inert / Not a Contaminant?]]="Yes", 0, speciated_chemicals_1103[[#This Row],[Weight Percent]]*(unique_components_1102[[#Totals],[Controlled lb/hr]]+standard_components_1101[[#Totals],[Controlled
lb/hr]]))</f>
        <v>0</v>
      </c>
      <c r="J173" s="51">
        <f>IF(speciated_chemicals_1103[[#This Row],[Inert / Not a Contaminant?]]="Yes", 0, speciated_chemicals_1103[[#This Row],[Weight Percent]]*(unique_components_1102[[#Totals],[Controlled
tpy]]+standard_components_1101[[#Totals],[Controlled
tpy]]))</f>
        <v>0</v>
      </c>
    </row>
    <row r="174" spans="1:10" x14ac:dyDescent="0.2">
      <c r="A174" s="103"/>
      <c r="B174" s="51" t="str">
        <f>IFERROR(VLOOKUP(speciated_chemicals_1103[[#This Row],[CAS '#]],species[],MATCH("Substance", species[#Headers], 0),FALSE),"No CAS Number Entered")</f>
        <v>No CAS Number Entered</v>
      </c>
      <c r="C174" s="102"/>
      <c r="D174" s="102" t="s">
        <v>12666</v>
      </c>
      <c r="E174" s="102" t="s">
        <v>12666</v>
      </c>
      <c r="F174" s="102" t="s">
        <v>12666</v>
      </c>
      <c r="G174" s="102" t="s">
        <v>12666</v>
      </c>
      <c r="H174" s="164"/>
      <c r="I174" s="51">
        <f>IF(speciated_chemicals_1103[[#This Row],[Inert / Not a Contaminant?]]="Yes", 0, speciated_chemicals_1103[[#This Row],[Weight Percent]]*(unique_components_1102[[#Totals],[Controlled lb/hr]]+standard_components_1101[[#Totals],[Controlled
lb/hr]]))</f>
        <v>0</v>
      </c>
      <c r="J174" s="51">
        <f>IF(speciated_chemicals_1103[[#This Row],[Inert / Not a Contaminant?]]="Yes", 0, speciated_chemicals_1103[[#This Row],[Weight Percent]]*(unique_components_1102[[#Totals],[Controlled
tpy]]+standard_components_1101[[#Totals],[Controlled
tpy]]))</f>
        <v>0</v>
      </c>
    </row>
    <row r="175" spans="1:10" x14ac:dyDescent="0.2">
      <c r="A175" s="103"/>
      <c r="B175" s="51" t="str">
        <f>IFERROR(VLOOKUP(speciated_chemicals_1103[[#This Row],[CAS '#]],species[],MATCH("Substance", species[#Headers], 0),FALSE),"No CAS Number Entered")</f>
        <v>No CAS Number Entered</v>
      </c>
      <c r="C175" s="102"/>
      <c r="D175" s="102" t="s">
        <v>12666</v>
      </c>
      <c r="E175" s="102" t="s">
        <v>12666</v>
      </c>
      <c r="F175" s="102" t="s">
        <v>12666</v>
      </c>
      <c r="G175" s="102" t="s">
        <v>12666</v>
      </c>
      <c r="H175" s="164"/>
      <c r="I175" s="51">
        <f>IF(speciated_chemicals_1103[[#This Row],[Inert / Not a Contaminant?]]="Yes", 0, speciated_chemicals_1103[[#This Row],[Weight Percent]]*(unique_components_1102[[#Totals],[Controlled lb/hr]]+standard_components_1101[[#Totals],[Controlled
lb/hr]]))</f>
        <v>0</v>
      </c>
      <c r="J175" s="51">
        <f>IF(speciated_chemicals_1103[[#This Row],[Inert / Not a Contaminant?]]="Yes", 0, speciated_chemicals_1103[[#This Row],[Weight Percent]]*(unique_components_1102[[#Totals],[Controlled
tpy]]+standard_components_1101[[#Totals],[Controlled
tpy]]))</f>
        <v>0</v>
      </c>
    </row>
    <row r="176" spans="1:10" x14ac:dyDescent="0.2">
      <c r="A176" s="165"/>
      <c r="B176" s="51" t="str">
        <f>IFERROR(VLOOKUP(speciated_chemicals_1103[[#This Row],[CAS '#]],species[],MATCH("Substance", species[#Headers], 0),FALSE),"No CAS Number Entered")</f>
        <v>No CAS Number Entered</v>
      </c>
      <c r="C176" s="102"/>
      <c r="D176" s="102" t="s">
        <v>12666</v>
      </c>
      <c r="E176" s="102" t="s">
        <v>12666</v>
      </c>
      <c r="F176" s="102" t="s">
        <v>12666</v>
      </c>
      <c r="G176" s="102" t="s">
        <v>12666</v>
      </c>
      <c r="H176" s="164"/>
      <c r="I176" s="51">
        <f>IF(speciated_chemicals_1103[[#This Row],[Inert / Not a Contaminant?]]="Yes", 0, speciated_chemicals_1103[[#This Row],[Weight Percent]]*(unique_components_1102[[#Totals],[Controlled lb/hr]]+standard_components_1101[[#Totals],[Controlled
lb/hr]]))</f>
        <v>0</v>
      </c>
      <c r="J176" s="51">
        <f>IF(speciated_chemicals_1103[[#This Row],[Inert / Not a Contaminant?]]="Yes", 0, speciated_chemicals_1103[[#This Row],[Weight Percent]]*(unique_components_1102[[#Totals],[Controlled
tpy]]+standard_components_1101[[#Totals],[Controlled
tpy]]))</f>
        <v>0</v>
      </c>
    </row>
    <row r="177" spans="1:10" x14ac:dyDescent="0.2">
      <c r="A177" s="103"/>
      <c r="B177" s="51" t="str">
        <f>IFERROR(VLOOKUP(speciated_chemicals_1103[[#This Row],[CAS '#]],species[],MATCH("Substance", species[#Headers], 0),FALSE),"No CAS Number Entered")</f>
        <v>No CAS Number Entered</v>
      </c>
      <c r="C177" s="102"/>
      <c r="D177" s="102" t="s">
        <v>12666</v>
      </c>
      <c r="E177" s="102" t="s">
        <v>12666</v>
      </c>
      <c r="F177" s="102" t="s">
        <v>12666</v>
      </c>
      <c r="G177" s="102" t="s">
        <v>12666</v>
      </c>
      <c r="H177" s="164"/>
      <c r="I177" s="51">
        <f>IF(speciated_chemicals_1103[[#This Row],[Inert / Not a Contaminant?]]="Yes", 0, speciated_chemicals_1103[[#This Row],[Weight Percent]]*(unique_components_1102[[#Totals],[Controlled lb/hr]]+standard_components_1101[[#Totals],[Controlled
lb/hr]]))</f>
        <v>0</v>
      </c>
      <c r="J177" s="51">
        <f>IF(speciated_chemicals_1103[[#This Row],[Inert / Not a Contaminant?]]="Yes", 0, speciated_chemicals_1103[[#This Row],[Weight Percent]]*(unique_components_1102[[#Totals],[Controlled
tpy]]+standard_components_1101[[#Totals],[Controlled
tpy]]))</f>
        <v>0</v>
      </c>
    </row>
    <row r="178" spans="1:10" x14ac:dyDescent="0.2">
      <c r="A178" s="103"/>
      <c r="B178" s="51" t="str">
        <f>IFERROR(VLOOKUP(speciated_chemicals_1103[[#This Row],[CAS '#]],species[],MATCH("Substance", species[#Headers], 0),FALSE),"No CAS Number Entered")</f>
        <v>No CAS Number Entered</v>
      </c>
      <c r="C178" s="102"/>
      <c r="D178" s="102" t="s">
        <v>12666</v>
      </c>
      <c r="E178" s="102" t="s">
        <v>12666</v>
      </c>
      <c r="F178" s="102" t="s">
        <v>12666</v>
      </c>
      <c r="G178" s="102" t="s">
        <v>12666</v>
      </c>
      <c r="H178" s="164"/>
      <c r="I178" s="51">
        <f>IF(speciated_chemicals_1103[[#This Row],[Inert / Not a Contaminant?]]="Yes", 0, speciated_chemicals_1103[[#This Row],[Weight Percent]]*(unique_components_1102[[#Totals],[Controlled lb/hr]]+standard_components_1101[[#Totals],[Controlled
lb/hr]]))</f>
        <v>0</v>
      </c>
      <c r="J178" s="51">
        <f>IF(speciated_chemicals_1103[[#This Row],[Inert / Not a Contaminant?]]="Yes", 0, speciated_chemicals_1103[[#This Row],[Weight Percent]]*(unique_components_1102[[#Totals],[Controlled
tpy]]+standard_components_1101[[#Totals],[Controlled
tpy]]))</f>
        <v>0</v>
      </c>
    </row>
    <row r="179" spans="1:10" x14ac:dyDescent="0.2">
      <c r="A179" s="103"/>
      <c r="B179" s="51" t="str">
        <f>IFERROR(VLOOKUP(speciated_chemicals_1103[[#This Row],[CAS '#]],species[],MATCH("Substance", species[#Headers], 0),FALSE),"No CAS Number Entered")</f>
        <v>No CAS Number Entered</v>
      </c>
      <c r="C179" s="102"/>
      <c r="D179" s="102" t="s">
        <v>12666</v>
      </c>
      <c r="E179" s="102" t="s">
        <v>12666</v>
      </c>
      <c r="F179" s="102" t="s">
        <v>12666</v>
      </c>
      <c r="G179" s="102" t="s">
        <v>12666</v>
      </c>
      <c r="H179" s="164"/>
      <c r="I179" s="51">
        <f>IF(speciated_chemicals_1103[[#This Row],[Inert / Not a Contaminant?]]="Yes", 0, speciated_chemicals_1103[[#This Row],[Weight Percent]]*(unique_components_1102[[#Totals],[Controlled lb/hr]]+standard_components_1101[[#Totals],[Controlled
lb/hr]]))</f>
        <v>0</v>
      </c>
      <c r="J179" s="51">
        <f>IF(speciated_chemicals_1103[[#This Row],[Inert / Not a Contaminant?]]="Yes", 0, speciated_chemicals_1103[[#This Row],[Weight Percent]]*(unique_components_1102[[#Totals],[Controlled
tpy]]+standard_components_1101[[#Totals],[Controlled
tpy]]))</f>
        <v>0</v>
      </c>
    </row>
    <row r="180" spans="1:10" x14ac:dyDescent="0.2">
      <c r="A180" s="103"/>
      <c r="B180" s="51" t="str">
        <f>IFERROR(VLOOKUP(speciated_chemicals_1103[[#This Row],[CAS '#]],species[],MATCH("Substance", species[#Headers], 0),FALSE),"No CAS Number Entered")</f>
        <v>No CAS Number Entered</v>
      </c>
      <c r="C180" s="102"/>
      <c r="D180" s="102" t="s">
        <v>12666</v>
      </c>
      <c r="E180" s="102" t="s">
        <v>12666</v>
      </c>
      <c r="F180" s="102" t="s">
        <v>12666</v>
      </c>
      <c r="G180" s="102" t="s">
        <v>12666</v>
      </c>
      <c r="H180" s="164"/>
      <c r="I180" s="51">
        <f>IF(speciated_chemicals_1103[[#This Row],[Inert / Not a Contaminant?]]="Yes", 0, speciated_chemicals_1103[[#This Row],[Weight Percent]]*(unique_components_1102[[#Totals],[Controlled lb/hr]]+standard_components_1101[[#Totals],[Controlled
lb/hr]]))</f>
        <v>0</v>
      </c>
      <c r="J180" s="51">
        <f>IF(speciated_chemicals_1103[[#This Row],[Inert / Not a Contaminant?]]="Yes", 0, speciated_chemicals_1103[[#This Row],[Weight Percent]]*(unique_components_1102[[#Totals],[Controlled
tpy]]+standard_components_1101[[#Totals],[Controlled
tpy]]))</f>
        <v>0</v>
      </c>
    </row>
    <row r="181" spans="1:10" ht="30" x14ac:dyDescent="0.2">
      <c r="A181" s="184" t="s">
        <v>12705</v>
      </c>
      <c r="B181" s="52"/>
      <c r="C181" s="53"/>
      <c r="D181" s="52"/>
      <c r="E181" s="52"/>
      <c r="F181" s="52"/>
      <c r="G181" s="52"/>
      <c r="H181" s="166">
        <f>SUBTOTAL(109,speciated_chemicals_1103[Weight Percent])</f>
        <v>0</v>
      </c>
      <c r="I181" s="167">
        <f>SUBTOTAL(109,speciated_chemicals_1103[lb/hr])</f>
        <v>0</v>
      </c>
      <c r="J181" s="167">
        <f>SUBTOTAL(109,speciated_chemicals_1103[tpy])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MATCH(speciated_ghg_1104[[#This Row],[CAS '#]], gwp_table[CAS No.], 0), MATCH("Name", gwp_table[#Headers], 0)),"No CAS Number Entered")</f>
        <v>No CAS Number Entered</v>
      </c>
      <c r="C185" s="79" t="str">
        <f>IFERROR(INDEX(gwp_table[], MATCH(speciated_ghg_1104[[#This Row],[CAS '#]], gwp_table[CAS No.], 0), MATCH("Global warming potential", gwp_table[#Headers], 0)),"No CAS Number Entered")</f>
        <v>No CAS Number Entered</v>
      </c>
      <c r="D185" s="219"/>
      <c r="E185" s="79">
        <f>IFERROR(speciated_ghg_1104[[#This Row],[Weight Percent]]*(unique_components_1102[[#Totals],[Controlled
tpy]]+standard_components_1101[[#Totals],[Controlled
tpy]]), "-")</f>
        <v>0</v>
      </c>
      <c r="F185" s="81" t="str">
        <f>IFERROR(speciated_ghg_1104[[#This Row],[Mass Emissions (U.S. tons per year)]]*speciated_ghg_1104[[#This Row],[Global Warming Potential (GWP)]], "-")</f>
        <v>-</v>
      </c>
      <c r="G185" s="30"/>
      <c r="H185" s="168"/>
      <c r="I185" s="168"/>
    </row>
    <row r="186" spans="1:10" x14ac:dyDescent="0.2">
      <c r="A186" s="210"/>
      <c r="B186" s="79" t="str">
        <f>IFERROR(INDEX(gwp_table[], MATCH(speciated_ghg_1104[[#This Row],[CAS '#]], gwp_table[CAS No.], 0), MATCH("Name", gwp_table[#Headers], 0)),"No CAS Number Entered")</f>
        <v>No CAS Number Entered</v>
      </c>
      <c r="C186" s="79" t="str">
        <f>IFERROR(INDEX(gwp_table[], MATCH(speciated_ghg_1104[[#This Row],[CAS '#]], gwp_table[CAS No.], 0), MATCH("Global warming potential", gwp_table[#Headers], 0)),"No CAS Number Entered")</f>
        <v>No CAS Number Entered</v>
      </c>
      <c r="D186" s="219"/>
      <c r="E186" s="79">
        <f>IFERROR(speciated_ghg_1104[[#This Row],[Weight Percent]]*(unique_components_1102[[#Totals],[Controlled
tpy]]+standard_components_1101[[#Totals],[Controlled
tpy]]), "-")</f>
        <v>0</v>
      </c>
      <c r="F186" s="81" t="str">
        <f>IFERROR(speciated_ghg_1104[[#This Row],[Mass Emissions (U.S. tons per year)]]*speciated_ghg_1104[[#This Row],[Global Warming Potential (GWP)]], "-")</f>
        <v>-</v>
      </c>
      <c r="G186" s="30"/>
      <c r="H186" s="168"/>
      <c r="I186" s="168"/>
    </row>
    <row r="187" spans="1:10" x14ac:dyDescent="0.2">
      <c r="A187" s="210"/>
      <c r="B187" s="79" t="str">
        <f>IFERROR(INDEX(gwp_table[], MATCH(speciated_ghg_1104[[#This Row],[CAS '#]], gwp_table[CAS No.], 0), MATCH("Name", gwp_table[#Headers], 0)),"No CAS Number Entered")</f>
        <v>No CAS Number Entered</v>
      </c>
      <c r="C187" s="79" t="str">
        <f>IFERROR(INDEX(gwp_table[], MATCH(speciated_ghg_1104[[#This Row],[CAS '#]], gwp_table[CAS No.], 0), MATCH("Global warming potential", gwp_table[#Headers], 0)),"No CAS Number Entered")</f>
        <v>No CAS Number Entered</v>
      </c>
      <c r="D187" s="219"/>
      <c r="E187" s="79">
        <f>IFERROR(speciated_ghg_1104[[#This Row],[Weight Percent]]*(unique_components_1102[[#Totals],[Controlled
tpy]]+standard_components_1101[[#Totals],[Controlled
tpy]]), "-")</f>
        <v>0</v>
      </c>
      <c r="F187" s="81" t="str">
        <f>IFERROR(speciated_ghg_1104[[#This Row],[Mass Emissions (U.S. tons per year)]]*speciated_ghg_1104[[#This Row],[Global Warming Potential (GWP)]], "-")</f>
        <v>-</v>
      </c>
      <c r="G187" s="30"/>
      <c r="H187" s="168"/>
      <c r="I187" s="168"/>
    </row>
    <row r="188" spans="1:10" x14ac:dyDescent="0.2">
      <c r="A188" s="210"/>
      <c r="B188" s="79" t="str">
        <f>IFERROR(INDEX(gwp_table[], MATCH(speciated_ghg_1104[[#This Row],[CAS '#]], gwp_table[CAS No.], 0), MATCH("Name", gwp_table[#Headers], 0)),"No CAS Number Entered")</f>
        <v>No CAS Number Entered</v>
      </c>
      <c r="C188" s="79" t="str">
        <f>IFERROR(INDEX(gwp_table[], MATCH(speciated_ghg_1104[[#This Row],[CAS '#]], gwp_table[CAS No.], 0), MATCH("Global warming potential", gwp_table[#Headers], 0)),"No CAS Number Entered")</f>
        <v>No CAS Number Entered</v>
      </c>
      <c r="D188" s="219"/>
      <c r="E188" s="79">
        <f>IFERROR(speciated_ghg_1104[[#This Row],[Weight Percent]]*(unique_components_1102[[#Totals],[Controlled
tpy]]+standard_components_1101[[#Totals],[Controlled
tpy]]), "-")</f>
        <v>0</v>
      </c>
      <c r="F188" s="81" t="str">
        <f>IFERROR(speciated_ghg_1104[[#This Row],[Mass Emissions (U.S. tons per year)]]*speciated_ghg_1104[[#This Row],[Global Warming Potential (GWP)]], "-")</f>
        <v>-</v>
      </c>
      <c r="G188" s="30"/>
      <c r="H188" s="168"/>
      <c r="I188" s="168"/>
    </row>
    <row r="189" spans="1:10" x14ac:dyDescent="0.2">
      <c r="A189" s="210"/>
      <c r="B189" s="79" t="str">
        <f>IFERROR(INDEX(gwp_table[], MATCH(speciated_ghg_1104[[#This Row],[CAS '#]], gwp_table[CAS No.], 0), MATCH("Name", gwp_table[#Headers], 0)),"No CAS Number Entered")</f>
        <v>No CAS Number Entered</v>
      </c>
      <c r="C189" s="79" t="str">
        <f>IFERROR(INDEX(gwp_table[], MATCH(speciated_ghg_1104[[#This Row],[CAS '#]], gwp_table[CAS No.], 0), MATCH("Global warming potential", gwp_table[#Headers], 0)),"No CAS Number Entered")</f>
        <v>No CAS Number Entered</v>
      </c>
      <c r="D189" s="219"/>
      <c r="E189" s="79">
        <f>IFERROR(speciated_ghg_1104[[#This Row],[Weight Percent]]*(unique_components_1102[[#Totals],[Controlled
tpy]]+standard_components_1101[[#Totals],[Controlled
tpy]]), "-")</f>
        <v>0</v>
      </c>
      <c r="F189" s="81" t="str">
        <f>IFERROR(speciated_ghg_1104[[#This Row],[Mass Emissions (U.S. tons per year)]]*speciated_ghg_1104[[#This Row],[Global Warming Potential (GWP)]], "-")</f>
        <v>-</v>
      </c>
      <c r="G189" s="30"/>
      <c r="H189" s="168"/>
      <c r="I189" s="168"/>
    </row>
    <row r="190" spans="1:10" x14ac:dyDescent="0.2">
      <c r="A190" s="210"/>
      <c r="B190" s="79" t="str">
        <f>IFERROR(INDEX(gwp_table[], MATCH(speciated_ghg_1104[[#This Row],[CAS '#]], gwp_table[CAS No.], 0), MATCH("Name", gwp_table[#Headers], 0)),"No CAS Number Entered")</f>
        <v>No CAS Number Entered</v>
      </c>
      <c r="C190" s="79" t="str">
        <f>IFERROR(INDEX(gwp_table[], MATCH(speciated_ghg_1104[[#This Row],[CAS '#]], gwp_table[CAS No.], 0), MATCH("Global warming potential", gwp_table[#Headers], 0)),"No CAS Number Entered")</f>
        <v>No CAS Number Entered</v>
      </c>
      <c r="D190" s="219"/>
      <c r="E190" s="79">
        <f>IFERROR(speciated_ghg_1104[[#This Row],[Weight Percent]]*(unique_components_1102[[#Totals],[Controlled
tpy]]+standard_components_1101[[#Totals],[Controlled
tpy]]), "-")</f>
        <v>0</v>
      </c>
      <c r="F190" s="81" t="str">
        <f>IFERROR(speciated_ghg_1104[[#This Row],[Mass Emissions (U.S. tons per year)]]*speciated_ghg_1104[[#This Row],[Global Warming Potential (GWP)]], "-")</f>
        <v>-</v>
      </c>
      <c r="G190" s="30"/>
      <c r="H190" s="168"/>
      <c r="I190" s="168"/>
    </row>
    <row r="191" spans="1:10" x14ac:dyDescent="0.2">
      <c r="A191" s="210"/>
      <c r="B191" s="79" t="str">
        <f>IFERROR(INDEX(gwp_table[], MATCH(speciated_ghg_1104[[#This Row],[CAS '#]], gwp_table[CAS No.], 0), MATCH("Name", gwp_table[#Headers], 0)),"No CAS Number Entered")</f>
        <v>No CAS Number Entered</v>
      </c>
      <c r="C191" s="79" t="str">
        <f>IFERROR(INDEX(gwp_table[], MATCH(speciated_ghg_1104[[#This Row],[CAS '#]], gwp_table[CAS No.], 0), MATCH("Global warming potential", gwp_table[#Headers], 0)),"No CAS Number Entered")</f>
        <v>No CAS Number Entered</v>
      </c>
      <c r="D191" s="219"/>
      <c r="E191" s="79">
        <f>IFERROR(speciated_ghg_1104[[#This Row],[Weight Percent]]*(unique_components_1102[[#Totals],[Controlled
tpy]]+standard_components_1101[[#Totals],[Controlled
tpy]]), "-")</f>
        <v>0</v>
      </c>
      <c r="F191" s="81" t="str">
        <f>IFERROR(speciated_ghg_1104[[#This Row],[Mass Emissions (U.S. tons per year)]]*speciated_ghg_1104[[#This Row],[Global Warming Potential (GWP)]], "-")</f>
        <v>-</v>
      </c>
      <c r="G191" s="17"/>
    </row>
    <row r="192" spans="1:10" ht="15" x14ac:dyDescent="0.25">
      <c r="A192" s="210"/>
      <c r="B192" s="79" t="str">
        <f>IFERROR(INDEX(gwp_table[], MATCH(speciated_ghg_1104[[#This Row],[CAS '#]], gwp_table[CAS No.], 0), MATCH("Name", gwp_table[#Headers], 0)),"No CAS Number Entered")</f>
        <v>No CAS Number Entered</v>
      </c>
      <c r="C192" s="79" t="str">
        <f>IFERROR(INDEX(gwp_table[], MATCH(speciated_ghg_1104[[#This Row],[CAS '#]], gwp_table[CAS No.], 0), MATCH("Global warming potential", gwp_table[#Headers], 0)),"No CAS Number Entered")</f>
        <v>No CAS Number Entered</v>
      </c>
      <c r="D192" s="219"/>
      <c r="E192" s="79">
        <f>IFERROR(speciated_ghg_1104[[#This Row],[Weight Percent]]*(unique_components_1102[[#Totals],[Controlled
tpy]]+standard_components_1101[[#Totals],[Controlled
tpy]]), "-")</f>
        <v>0</v>
      </c>
      <c r="F192" s="81" t="str">
        <f>IFERROR(speciated_ghg_1104[[#This Row],[Mass Emissions (U.S. tons per year)]]*speciated_ghg_1104[[#This Row],[Global Warming Potential (GWP)]], "-")</f>
        <v>-</v>
      </c>
      <c r="G192" s="134"/>
      <c r="H192" s="169"/>
    </row>
    <row r="193" spans="1:9" ht="15" x14ac:dyDescent="0.25">
      <c r="A193" s="210"/>
      <c r="B193" s="79" t="str">
        <f>IFERROR(INDEX(gwp_table[], MATCH(speciated_ghg_1104[[#This Row],[CAS '#]], gwp_table[CAS No.], 0), MATCH("Name", gwp_table[#Headers], 0)),"No CAS Number Entered")</f>
        <v>No CAS Number Entered</v>
      </c>
      <c r="C193" s="79" t="str">
        <f>IFERROR(INDEX(gwp_table[], MATCH(speciated_ghg_1104[[#This Row],[CAS '#]], gwp_table[CAS No.], 0), MATCH("Global warming potential", gwp_table[#Headers], 0)),"No CAS Number Entered")</f>
        <v>No CAS Number Entered</v>
      </c>
      <c r="D193" s="219"/>
      <c r="E193" s="79">
        <f>IFERROR(speciated_ghg_1104[[#This Row],[Weight Percent]]*(unique_components_1102[[#Totals],[Controlled
tpy]]+standard_components_1101[[#Totals],[Controlled
tpy]]), "-")</f>
        <v>0</v>
      </c>
      <c r="F193" s="81" t="str">
        <f>IFERROR(speciated_ghg_1104[[#This Row],[Mass Emissions (U.S. tons per year)]]*speciated_ghg_1104[[#This Row],[Global Warming Potential (GWP)]], "-")</f>
        <v>-</v>
      </c>
      <c r="G193" s="134"/>
      <c r="H193" s="169"/>
    </row>
    <row r="194" spans="1:9" ht="15" x14ac:dyDescent="0.25">
      <c r="A194" s="210"/>
      <c r="B194" s="79" t="str">
        <f>IFERROR(INDEX(gwp_table[], MATCH(speciated_ghg_1104[[#This Row],[CAS '#]], gwp_table[CAS No.], 0), MATCH("Name", gwp_table[#Headers], 0)),"No CAS Number Entered")</f>
        <v>No CAS Number Entered</v>
      </c>
      <c r="C194" s="79" t="str">
        <f>IFERROR(INDEX(gwp_table[], MATCH(speciated_ghg_1104[[#This Row],[CAS '#]], gwp_table[CAS No.], 0), MATCH("Global warming potential", gwp_table[#Headers], 0)),"No CAS Number Entered")</f>
        <v>No CAS Number Entered</v>
      </c>
      <c r="D194" s="219"/>
      <c r="E194" s="79">
        <f>IFERROR(speciated_ghg_1104[[#This Row],[Weight Percent]]*(unique_components_1102[[#Totals],[Controlled
tpy]]+standard_components_1101[[#Totals],[Controlled
tpy]]), "-")</f>
        <v>0</v>
      </c>
      <c r="F194" s="81" t="str">
        <f>IFERROR(speciated_ghg_1104[[#This Row],[Mass Emissions (U.S. tons per year)]]*speciated_ghg_1104[[#This Row],[Global Warming Potential (GWP)]], "-")</f>
        <v>-</v>
      </c>
      <c r="G194" s="134"/>
      <c r="H194" s="169"/>
    </row>
    <row r="195" spans="1:9" x14ac:dyDescent="0.2">
      <c r="A195" s="210"/>
      <c r="B195" s="79" t="str">
        <f>IFERROR(INDEX(gwp_table[], MATCH(speciated_ghg_1104[[#This Row],[CAS '#]], gwp_table[CAS No.], 0), MATCH("Name", gwp_table[#Headers], 0)),"No CAS Number Entered")</f>
        <v>No CAS Number Entered</v>
      </c>
      <c r="C195" s="79" t="str">
        <f>IFERROR(INDEX(gwp_table[], MATCH(speciated_ghg_1104[[#This Row],[CAS '#]], gwp_table[CAS No.], 0), MATCH("Global warming potential", gwp_table[#Headers], 0)),"No CAS Number Entered")</f>
        <v>No CAS Number Entered</v>
      </c>
      <c r="D195" s="219"/>
      <c r="E195" s="79">
        <f>IFERROR(speciated_ghg_1104[[#This Row],[Weight Percent]]*(unique_components_1102[[#Totals],[Controlled
tpy]]+standard_components_1101[[#Totals],[Controlled
tpy]]), "-")</f>
        <v>0</v>
      </c>
      <c r="F195" s="81" t="str">
        <f>IFERROR(speciated_ghg_1104[[#This Row],[Mass Emissions (U.S. tons per year)]]*speciated_ghg_1104[[#This Row],[Global Warming Potential (GWP)]], "-")</f>
        <v>-</v>
      </c>
      <c r="G195" s="69"/>
      <c r="H195" s="169"/>
    </row>
    <row r="196" spans="1:9" x14ac:dyDescent="0.2">
      <c r="A196" s="210"/>
      <c r="B196" s="79" t="str">
        <f>IFERROR(INDEX(gwp_table[], MATCH(speciated_ghg_1104[[#This Row],[CAS '#]], gwp_table[CAS No.], 0), MATCH("Name", gwp_table[#Headers], 0)),"No CAS Number Entered")</f>
        <v>No CAS Number Entered</v>
      </c>
      <c r="C196" s="79" t="str">
        <f>IFERROR(INDEX(gwp_table[], MATCH(speciated_ghg_1104[[#This Row],[CAS '#]], gwp_table[CAS No.], 0), MATCH("Global warming potential", gwp_table[#Headers], 0)),"No CAS Number Entered")</f>
        <v>No CAS Number Entered</v>
      </c>
      <c r="D196" s="219"/>
      <c r="E196" s="79">
        <f>IFERROR(speciated_ghg_1104[[#This Row],[Weight Percent]]*(unique_components_1102[[#Totals],[Controlled
tpy]]+standard_components_1101[[#Totals],[Controlled
tpy]]), "-")</f>
        <v>0</v>
      </c>
      <c r="F196" s="81" t="str">
        <f>IFERROR(speciated_ghg_1104[[#This Row],[Mass Emissions (U.S. tons per year)]]*speciated_ghg_1104[[#This Row],[Global Warming Potential (GWP)]], "-")</f>
        <v>-</v>
      </c>
      <c r="G196" s="29"/>
      <c r="H196" s="169"/>
    </row>
    <row r="197" spans="1:9" x14ac:dyDescent="0.2">
      <c r="A197" s="210"/>
      <c r="B197" s="79" t="str">
        <f>IFERROR(INDEX(gwp_table[], MATCH(speciated_ghg_1104[[#This Row],[CAS '#]], gwp_table[CAS No.], 0), MATCH("Name", gwp_table[#Headers], 0)),"No CAS Number Entered")</f>
        <v>No CAS Number Entered</v>
      </c>
      <c r="C197" s="79" t="str">
        <f>IFERROR(INDEX(gwp_table[], MATCH(speciated_ghg_1104[[#This Row],[CAS '#]], gwp_table[CAS No.], 0), MATCH("Global warming potential", gwp_table[#Headers], 0)),"No CAS Number Entered")</f>
        <v>No CAS Number Entered</v>
      </c>
      <c r="D197" s="219"/>
      <c r="E197" s="79">
        <f>IFERROR(speciated_ghg_1104[[#This Row],[Weight Percent]]*(unique_components_1102[[#Totals],[Controlled
tpy]]+standard_components_1101[[#Totals],[Controlled
tpy]]), "-")</f>
        <v>0</v>
      </c>
      <c r="F197" s="81" t="str">
        <f>IFERROR(speciated_ghg_1104[[#This Row],[Mass Emissions (U.S. tons per year)]]*speciated_ghg_1104[[#This Row],[Global Warming Potential (GWP)]], "-")</f>
        <v>-</v>
      </c>
      <c r="G197" s="29"/>
      <c r="H197" s="29"/>
      <c r="I197" s="169"/>
    </row>
    <row r="198" spans="1:9" x14ac:dyDescent="0.2">
      <c r="A198" s="210"/>
      <c r="B198" s="79" t="str">
        <f>IFERROR(INDEX(gwp_table[], MATCH(speciated_ghg_1104[[#This Row],[CAS '#]], gwp_table[CAS No.], 0), MATCH("Name", gwp_table[#Headers], 0)),"No CAS Number Entered")</f>
        <v>No CAS Number Entered</v>
      </c>
      <c r="C198" s="79" t="str">
        <f>IFERROR(INDEX(gwp_table[], MATCH(speciated_ghg_1104[[#This Row],[CAS '#]], gwp_table[CAS No.], 0), MATCH("Global warming potential", gwp_table[#Headers], 0)),"No CAS Number Entered")</f>
        <v>No CAS Number Entered</v>
      </c>
      <c r="D198" s="219"/>
      <c r="E198" s="79">
        <f>IFERROR(speciated_ghg_1104[[#This Row],[Weight Percent]]*(unique_components_1102[[#Totals],[Controlled
tpy]]+standard_components_1101[[#Totals],[Controlled
tpy]]), "-")</f>
        <v>0</v>
      </c>
      <c r="F198" s="81" t="str">
        <f>IFERROR(speciated_ghg_1104[[#This Row],[Mass Emissions (U.S. tons per year)]]*speciated_ghg_1104[[#This Row],[Global Warming Potential (GWP)]], "-")</f>
        <v>-</v>
      </c>
      <c r="G198" s="29"/>
      <c r="H198" s="29"/>
      <c r="I198" s="169"/>
    </row>
    <row r="199" spans="1:9" x14ac:dyDescent="0.2">
      <c r="A199" s="210"/>
      <c r="B199" s="79" t="str">
        <f>IFERROR(INDEX(gwp_table[], MATCH(speciated_ghg_1104[[#This Row],[CAS '#]], gwp_table[CAS No.], 0), MATCH("Name", gwp_table[#Headers], 0)),"No CAS Number Entered")</f>
        <v>No CAS Number Entered</v>
      </c>
      <c r="C199" s="79" t="str">
        <f>IFERROR(INDEX(gwp_table[], MATCH(speciated_ghg_1104[[#This Row],[CAS '#]], gwp_table[CAS No.], 0), MATCH("Global warming potential", gwp_table[#Headers], 0)),"No CAS Number Entered")</f>
        <v>No CAS Number Entered</v>
      </c>
      <c r="D199" s="219"/>
      <c r="E199" s="79">
        <f>IFERROR(speciated_ghg_1104[[#This Row],[Weight Percent]]*(unique_components_1102[[#Totals],[Controlled
tpy]]+standard_components_1101[[#Totals],[Controlled
tpy]]), "-")</f>
        <v>0</v>
      </c>
      <c r="F199" s="81" t="str">
        <f>IFERROR(speciated_ghg_1104[[#This Row],[Mass Emissions (U.S. tons per year)]]*speciated_ghg_1104[[#This Row],[Global Warming Potential (GWP)]], "-")</f>
        <v>-</v>
      </c>
      <c r="G199" s="29"/>
      <c r="H199" s="29"/>
      <c r="I199" s="169"/>
    </row>
    <row r="200" spans="1:9" x14ac:dyDescent="0.2">
      <c r="A200" s="210"/>
      <c r="B200" s="79" t="str">
        <f>IFERROR(INDEX(gwp_table[], MATCH(speciated_ghg_1104[[#This Row],[CAS '#]], gwp_table[CAS No.], 0), MATCH("Name", gwp_table[#Headers], 0)),"No CAS Number Entered")</f>
        <v>No CAS Number Entered</v>
      </c>
      <c r="C200" s="79" t="str">
        <f>IFERROR(INDEX(gwp_table[], MATCH(speciated_ghg_1104[[#This Row],[CAS '#]], gwp_table[CAS No.], 0), MATCH("Global warming potential", gwp_table[#Headers], 0)),"No CAS Number Entered")</f>
        <v>No CAS Number Entered</v>
      </c>
      <c r="D200" s="219"/>
      <c r="E200" s="79">
        <f>IFERROR(speciated_ghg_1104[[#This Row],[Weight Percent]]*(unique_components_1102[[#Totals],[Controlled
tpy]]+standard_components_1101[[#Totals],[Controlled
tpy]]), "-")</f>
        <v>0</v>
      </c>
      <c r="F200" s="81" t="str">
        <f>IFERROR(speciated_ghg_1104[[#This Row],[Mass Emissions (U.S. tons per year)]]*speciated_ghg_1104[[#This Row],[Global Warming Potential (GWP)]], "-")</f>
        <v>-</v>
      </c>
      <c r="G200" s="29"/>
      <c r="H200" s="29"/>
      <c r="I200" s="169"/>
    </row>
    <row r="201" spans="1:9" x14ac:dyDescent="0.2">
      <c r="A201" s="210"/>
      <c r="B201" s="79" t="str">
        <f>IFERROR(INDEX(gwp_table[], MATCH(speciated_ghg_1104[[#This Row],[CAS '#]], gwp_table[CAS No.], 0), MATCH("Name", gwp_table[#Headers], 0)),"No CAS Number Entered")</f>
        <v>No CAS Number Entered</v>
      </c>
      <c r="C201" s="79" t="str">
        <f>IFERROR(INDEX(gwp_table[], MATCH(speciated_ghg_1104[[#This Row],[CAS '#]], gwp_table[CAS No.], 0), MATCH("Global warming potential", gwp_table[#Headers], 0)),"No CAS Number Entered")</f>
        <v>No CAS Number Entered</v>
      </c>
      <c r="D201" s="219"/>
      <c r="E201" s="79">
        <f>IFERROR(speciated_ghg_1104[[#This Row],[Weight Percent]]*(unique_components_1102[[#Totals],[Controlled
tpy]]+standard_components_1101[[#Totals],[Controlled
tpy]]), "-")</f>
        <v>0</v>
      </c>
      <c r="F201" s="81" t="str">
        <f>IFERROR(speciated_ghg_1104[[#This Row],[Mass Emissions (U.S. tons per year)]]*speciated_ghg_1104[[#This Row],[Global Warming Potential (GWP)]], "-")</f>
        <v>-</v>
      </c>
      <c r="G201" s="169"/>
      <c r="H201" s="169"/>
      <c r="I201" s="169"/>
    </row>
    <row r="202" spans="1:9" x14ac:dyDescent="0.2">
      <c r="A202" s="210"/>
      <c r="B202" s="79" t="str">
        <f>IFERROR(INDEX(gwp_table[], MATCH(speciated_ghg_1104[[#This Row],[CAS '#]], gwp_table[CAS No.], 0), MATCH("Name", gwp_table[#Headers], 0)),"No CAS Number Entered")</f>
        <v>No CAS Number Entered</v>
      </c>
      <c r="C202" s="79" t="str">
        <f>IFERROR(INDEX(gwp_table[], MATCH(speciated_ghg_1104[[#This Row],[CAS '#]], gwp_table[CAS No.], 0), MATCH("Global warming potential", gwp_table[#Headers], 0)),"No CAS Number Entered")</f>
        <v>No CAS Number Entered</v>
      </c>
      <c r="D202" s="219"/>
      <c r="E202" s="79">
        <f>IFERROR(speciated_ghg_1104[[#This Row],[Weight Percent]]*(unique_components_1102[[#Totals],[Controlled
tpy]]+standard_components_1101[[#Totals],[Controlled
tpy]]), "-")</f>
        <v>0</v>
      </c>
      <c r="F202" s="81" t="str">
        <f>IFERROR(speciated_ghg_1104[[#This Row],[Mass Emissions (U.S. tons per year)]]*speciated_ghg_1104[[#This Row],[Global Warming Potential (GWP)]], "-")</f>
        <v>-</v>
      </c>
      <c r="G202" s="169"/>
      <c r="H202" s="169"/>
      <c r="I202" s="169"/>
    </row>
    <row r="203" spans="1:9" x14ac:dyDescent="0.2">
      <c r="A203" s="210"/>
      <c r="B203" s="79" t="str">
        <f>IFERROR(INDEX(gwp_table[], MATCH(speciated_ghg_1104[[#This Row],[CAS '#]], gwp_table[CAS No.], 0), MATCH("Name", gwp_table[#Headers], 0)),"No CAS Number Entered")</f>
        <v>No CAS Number Entered</v>
      </c>
      <c r="C203" s="79" t="str">
        <f>IFERROR(INDEX(gwp_table[], MATCH(speciated_ghg_1104[[#This Row],[CAS '#]], gwp_table[CAS No.], 0), MATCH("Global warming potential", gwp_table[#Headers], 0)),"No CAS Number Entered")</f>
        <v>No CAS Number Entered</v>
      </c>
      <c r="D203" s="219"/>
      <c r="E203" s="79">
        <f>IFERROR(speciated_ghg_1104[[#This Row],[Weight Percent]]*(unique_components_1102[[#Totals],[Controlled
tpy]]+standard_components_1101[[#Totals],[Controlled
tpy]]), "-")</f>
        <v>0</v>
      </c>
      <c r="F203" s="81" t="str">
        <f>IFERROR(speciated_ghg_1104[[#This Row],[Mass Emissions (U.S. tons per year)]]*speciated_ghg_1104[[#This Row],[Global Warming Potential (GWP)]], "-")</f>
        <v>-</v>
      </c>
      <c r="G203" s="169"/>
      <c r="H203" s="169"/>
      <c r="I203" s="169"/>
    </row>
    <row r="204" spans="1:9" ht="30" x14ac:dyDescent="0.25">
      <c r="A204" s="185" t="s">
        <v>13321</v>
      </c>
      <c r="B204" s="77"/>
      <c r="C204" s="77"/>
      <c r="D204" s="77"/>
      <c r="E204" s="80">
        <f>SUBTOTAL(109,speciated_ghg_1104[Mass Emissions (U.S. tons per year)])</f>
        <v>0</v>
      </c>
      <c r="F204" s="82">
        <f>SUBTOTAL(109,speciated_ghg_1104[CO2e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speciated_chemicals_1103[[#Totals],[lb/hr]]</f>
        <v>0</v>
      </c>
      <c r="C207" s="134"/>
      <c r="D207" s="134"/>
      <c r="E207" s="134"/>
      <c r="F207" s="134"/>
      <c r="G207" s="169"/>
      <c r="H207" s="169"/>
    </row>
    <row r="208" spans="1:9" ht="29.25" x14ac:dyDescent="0.25">
      <c r="A208" s="174" t="s">
        <v>13320</v>
      </c>
      <c r="B208" s="175">
        <f>speciated_chemicals_1103[[#Totals],[tpy]]</f>
        <v>0</v>
      </c>
      <c r="C208" s="134"/>
      <c r="D208" s="134"/>
      <c r="E208" s="134"/>
      <c r="F208" s="134"/>
      <c r="G208" s="169"/>
      <c r="H208" s="169"/>
    </row>
    <row r="209" spans="1:8" ht="15" x14ac:dyDescent="0.25">
      <c r="A209" s="126" t="s">
        <v>13277</v>
      </c>
      <c r="B209" s="128">
        <f>SUMIF(speciated_chemicals_1103[VOC?],"Yes",speciated_chemicals_1103[lb/hr])</f>
        <v>0</v>
      </c>
      <c r="C209" s="134"/>
      <c r="D209" s="29"/>
      <c r="E209" s="29"/>
      <c r="F209" s="29"/>
      <c r="G209" s="169"/>
      <c r="H209" s="169"/>
    </row>
    <row r="210" spans="1:8" ht="15" x14ac:dyDescent="0.25">
      <c r="A210" s="126" t="s">
        <v>12669</v>
      </c>
      <c r="B210" s="128">
        <f>SUMIF(speciated_chemicals_1103[VOC?],"Yes",speciated_chemicals_1103[tpy])</f>
        <v>0</v>
      </c>
      <c r="C210" s="134"/>
      <c r="D210" s="29"/>
      <c r="E210" s="29"/>
      <c r="F210" s="29"/>
      <c r="G210" s="169"/>
      <c r="H210" s="169"/>
    </row>
    <row r="211" spans="1:8" ht="15" x14ac:dyDescent="0.25">
      <c r="A211" s="126" t="s">
        <v>12775</v>
      </c>
      <c r="B211" s="128">
        <f>SUMIF(speciated_chemicals_1103[Inorganic?],"Yes",speciated_chemicals_1103[lb/hr])</f>
        <v>0</v>
      </c>
      <c r="C211" s="134"/>
      <c r="D211" s="29"/>
      <c r="E211" s="29"/>
      <c r="F211" s="29"/>
      <c r="G211" s="169"/>
      <c r="H211" s="169"/>
    </row>
    <row r="212" spans="1:8" ht="15" x14ac:dyDescent="0.25">
      <c r="A212" s="126" t="s">
        <v>12770</v>
      </c>
      <c r="B212" s="128">
        <f>SUMIF(speciated_chemicals_1103[Inorganic?],"Yes",speciated_chemicals_1103[tpy])</f>
        <v>0</v>
      </c>
      <c r="C212" s="134"/>
      <c r="D212" s="29"/>
      <c r="E212" s="29"/>
      <c r="F212" s="29"/>
      <c r="G212" s="169"/>
      <c r="H212" s="169"/>
    </row>
    <row r="213" spans="1:8" ht="15" x14ac:dyDescent="0.25">
      <c r="A213" s="126" t="s">
        <v>13276</v>
      </c>
      <c r="B213" s="128">
        <f>SUMIF(speciated_chemicals_1103[VOC-Exempt Solvent?],"Yes",speciated_chemicals_1103[lb/hr])</f>
        <v>0</v>
      </c>
      <c r="C213" s="134"/>
      <c r="D213" s="29"/>
      <c r="E213" s="29"/>
      <c r="F213" s="29"/>
      <c r="G213" s="169"/>
      <c r="H213" s="169"/>
    </row>
    <row r="214" spans="1:8" ht="15" x14ac:dyDescent="0.25">
      <c r="A214" s="126" t="s">
        <v>13278</v>
      </c>
      <c r="B214" s="128">
        <f>SUMIF(speciated_chemicals_1103[VOC-Exempt Solvent?],"Yes",speciated_chemicals_1103[tpy])</f>
        <v>0</v>
      </c>
      <c r="C214" s="134"/>
      <c r="D214" s="29"/>
      <c r="E214" s="29"/>
      <c r="F214" s="29"/>
      <c r="G214" s="169"/>
      <c r="H214" s="169"/>
    </row>
    <row r="215" spans="1:8" ht="15" x14ac:dyDescent="0.25">
      <c r="A215" s="127" t="s">
        <v>13280</v>
      </c>
      <c r="B215" s="176">
        <f>speciated_ghg_1104[[#Totals],[Mass Emissions (U.S. tons per year)]]</f>
        <v>0</v>
      </c>
      <c r="C215" s="134"/>
      <c r="D215" s="29"/>
      <c r="E215" s="29"/>
      <c r="F215" s="29"/>
      <c r="G215" s="169"/>
      <c r="H215" s="169"/>
    </row>
    <row r="216" spans="1:8" ht="18.75" x14ac:dyDescent="0.35">
      <c r="A216" s="127" t="s">
        <v>13281</v>
      </c>
      <c r="B216" s="176">
        <f>speciated_ghg_1104[[#Totals],[CO2e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c5eOz5+tiYyjRv6++P0RLSnf4inB/E/6uwgm5mTQncyjanWhA+G0bCsxUbsCRl1sLCjW8sQhAhFT1wlgCB+wcQ==" saltValue="Pv2z3C9R7xx6fsHwcRGrPA==" spinCount="100000" sheet="1" objects="1" scenarios="1" formatColumns="0" formatRows="0" autoFilter="0"/>
  <conditionalFormatting sqref="A21:H21">
    <cfRule type="expression" dxfId="397" priority="5">
      <formula>$F$19="No"</formula>
    </cfRule>
  </conditionalFormatting>
  <conditionalFormatting sqref="A105:E106 F106:G126">
    <cfRule type="expression" dxfId="396" priority="4">
      <formula>$E$104="no"</formula>
    </cfRule>
  </conditionalFormatting>
  <conditionalFormatting sqref="C131:C180">
    <cfRule type="expression" dxfId="395" priority="3">
      <formula>NOT(B131="Other (Please specify):")</formula>
    </cfRule>
  </conditionalFormatting>
  <conditionalFormatting sqref="A107:E126">
    <cfRule type="expression" dxfId="394" priority="2">
      <formula>$A$58="No"</formula>
    </cfRule>
  </conditionalFormatting>
  <conditionalFormatting sqref="A107:E126 A206:B214 A215:A216">
    <cfRule type="expression" dxfId="393"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0B1666FC-243E-495A-836D-B414E0D1D272}"/>
    <dataValidation type="list" allowBlank="1" showInputMessage="1" showErrorMessage="1" sqref="E104:H104 B10" xr:uid="{96566D1D-1814-48EC-AEDD-C67B4B6CDD9A}">
      <formula1>"Yes,No"</formula1>
    </dataValidation>
    <dataValidation type="list" allowBlank="1" showInputMessage="1" showErrorMessage="1" sqref="F19:H20" xr:uid="{4803C0EF-9488-41F0-8E63-FB3F85019EF9}">
      <formula1>"No,Yes - 75%,Yes - 95%"</formula1>
    </dataValidation>
    <dataValidation type="list" allowBlank="1" showInputMessage="1" showErrorMessage="1" sqref="F18" xr:uid="{E7361942-5C59-45A4-8E34-1C6B63B916B6}">
      <formula1>IF(#REF!="SOCMI Non-leaker",ListNone,ListInspection)</formula1>
    </dataValidation>
    <dataValidation type="list" allowBlank="1" showInputMessage="1" showErrorMessage="1" sqref="F16:F17" xr:uid="{7DE1401B-6559-4B82-A453-CB350801761E}">
      <formula1>IF(#REF!="SOCMI Non-Leaker",ListNone,ListInstrument)</formula1>
    </dataValidation>
    <dataValidation type="list" allowBlank="1" showInputMessage="1" prompt="Please specify whether the substance is a volatile organic compound (VOC); methane and ethane are not classifed as VOCs" sqref="D132:D180" xr:uid="{DE3577F0-8443-4AE0-A918-EB2AAE12C531}">
      <formula1>"Yes,No"</formula1>
    </dataValidation>
    <dataValidation allowBlank="1" showInputMessage="1" showErrorMessage="1" prompt="Enter the weight percent of the substance" sqref="H178:H180 H132:H176" xr:uid="{1068BBB8-A2BF-4818-9650-F6A7C06D4470}"/>
    <dataValidation type="list" allowBlank="1" showInputMessage="1" showErrorMessage="1" prompt="Enter or select Chemical Abstracts Service number; select &quot;N/A&quot; if a CAS # is not applicable" sqref="A131:A175 A177:A180" xr:uid="{1088965E-1007-439B-87F0-797461663AF6}">
      <formula1>SpeciesList</formula1>
    </dataValidation>
    <dataValidation type="list" allowBlank="1" showInputMessage="1" prompt="Select other species from dropdown" sqref="C131:C180" xr:uid="{C9423D1E-2671-406D-B0D0-A0CAFBDB5E54}">
      <formula1>NoCASList</formula1>
    </dataValidation>
    <dataValidation allowBlank="1" showInputMessage="1" showErrorMessage="1" prompt="Proposed control efficiency (0-1)" sqref="E107:E126" xr:uid="{6E698D77-F30B-4A3A-AD3B-997727E80038}"/>
    <dataValidation allowBlank="1" showInputMessage="1" showErrorMessage="1" prompt="Count of unique component" sqref="C107:C126" xr:uid="{D5BB2E3B-B828-4E14-B8EA-F457E6D62B42}"/>
    <dataValidation allowBlank="1" showInputMessage="1" showErrorMessage="1" prompt="Type of service (e.g. gas, vapor, or liquid)" sqref="B107:B126" xr:uid="{636405B8-5D8B-41D2-BD95-54A565DB81BF}"/>
    <dataValidation allowBlank="1" showInputMessage="1" showErrorMessage="1" prompt="Name of unique component" sqref="A107:A126" xr:uid="{A9EDE1A4-2C2F-49AD-B5C7-67D251E5D37E}"/>
    <dataValidation type="list" allowBlank="1" showInputMessage="1" showErrorMessage="1" sqref="B13" xr:uid="{414C523F-6D03-4204-8893-A9659B21934B}">
      <formula1>industry_names</formula1>
    </dataValidation>
    <dataValidation type="list" allowBlank="1" showInputMessage="1" showErrorMessage="1" sqref="B19" xr:uid="{08B0B496-C57F-4F45-96BD-5DA1648D2D24}">
      <formula1>yes_no_list</formula1>
    </dataValidation>
    <dataValidation type="list" allowBlank="1" showInputMessage="1" showErrorMessage="1" sqref="B20" xr:uid="{2662A9FB-8C3E-40DF-AA60-88B4F55E2898}">
      <formula1>process_drains_effs</formula1>
    </dataValidation>
    <dataValidation allowBlank="1" showInputMessage="1" showErrorMessage="1" prompt="Proposed emission factor" sqref="D107:D126" xr:uid="{A23D86CC-67E0-4AF3-AD15-B08510F5893A}"/>
    <dataValidation type="list" allowBlank="1" showInputMessage="1" prompt="Please specify if the substance is an inert substance or is not considered a contaminant (e.g. steam)" sqref="G131:G180" xr:uid="{C8AEE1D3-E608-4F6D-BACE-74F73BEFBA84}">
      <formula1>"Yes,No"</formula1>
    </dataValidation>
    <dataValidation type="list" allowBlank="1" showInputMessage="1" showErrorMessage="1" prompt="Please select from the dropdown" sqref="B104" xr:uid="{29A6A198-AC69-42FC-BE30-3FA73DB561A8}">
      <formula1>yes_no_list</formula1>
    </dataValidation>
    <dataValidation allowBlank="1" showInputMessage="1" showErrorMessage="1" prompt="Provide justification" sqref="B105" xr:uid="{FFEEC020-0310-4EE8-903F-E9E8CD2EBF7F}"/>
    <dataValidation type="list" showInputMessage="1" prompt="Please specify whether the substance is a volatile organic compound (VOC); methane and ethane are not classifed as VOCs" sqref="D131" xr:uid="{1B21A8B9-D8C8-4AB5-BD38-68FFBD08BACF}">
      <formula1>"Yes,No"</formula1>
    </dataValidation>
    <dataValidation type="list" showInputMessage="1" prompt="Please specify whether the substance is an inorganic contaminant (e.g. ammonia or chlorine gas)" sqref="E131:E180" xr:uid="{5BB79FA3-371D-411E-84EB-37C80A5AD569}">
      <formula1>"Yes,No"</formula1>
    </dataValidation>
    <dataValidation type="list" allowBlank="1" showInputMessage="1" prompt="Please specify whether the substance is an VOC-exempt solvent." sqref="F131:F180" xr:uid="{1379FC26-F1AE-446E-B760-AD920151592C}">
      <formula1>"Yes,No"</formula1>
    </dataValidation>
    <dataValidation type="list" allowBlank="1" showInputMessage="1" showErrorMessage="1" prompt="Enter or select Chemical Abstracts Service number; select &quot;N/A&quot; if a CAS # is not applicable" sqref="A185:A203 A176" xr:uid="{ED02D466-6A9C-44DE-B941-3107ED7E7E7F}">
      <formula1>gwp_table_cas</formula1>
    </dataValidation>
    <dataValidation type="decimal" allowBlank="1" showInputMessage="1" showErrorMessage="1" prompt="Enter the weight percent of the substance" sqref="H177" xr:uid="{F7F6F602-4803-4115-BD20-FCF1363C8F50}">
      <formula1>0</formula1>
      <formula2>1</formula2>
    </dataValidation>
    <dataValidation type="decimal" operator="greaterThan" allowBlank="1" showInputMessage="1" showErrorMessage="1" prompt="Enter the weight percent of the substance" sqref="H131 D185:D203" xr:uid="{C4310EB9-0FE1-4EC4-8D80-B130632D55C5}">
      <formula1>0</formula1>
    </dataValidation>
    <dataValidation type="list" allowBlank="1" showInputMessage="1" showErrorMessage="1" sqref="B18" xr:uid="{B5058E21-148F-41CD-99B2-5F44C423CA3B}">
      <formula1>inspection_ldar_list</formula1>
    </dataValidation>
    <dataValidation type="list" allowBlank="1" showInputMessage="1" showErrorMessage="1" sqref="B17" xr:uid="{3CCF09C7-5CF7-4419-BEC3-18DF9B81E71D}">
      <formula1>connector_ldar_list</formula1>
    </dataValidation>
    <dataValidation type="list" allowBlank="1" showInputMessage="1" showErrorMessage="1" sqref="B16" xr:uid="{6C9B251D-2BD6-40FD-A3C2-C9BC47C6B31C}">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9070-35EF-4CC9-9F82-77A8A0C4427A}">
  <sheetPr codeName="Sheet29">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INDEX((standard_components_1105[[#This Row],[Component]]=factor_eff_table[Component])*(standard_components_1105[[#This Row],[Service]]=factor_eff_table[Service]), 0, 1), 0)),
 "-")</f>
        <v>-</v>
      </c>
      <c r="E25" s="145" t="str" cm="1">
        <f t="array" ref="E2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25" s="145" t="str" cm="1">
        <f t="array" ref="F2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25" s="145" t="str" cm="1">
        <f t="array" ref="G2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2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2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INDEX((standard_components_1105[[#This Row],[Component]]=factor_eff_table[Component])*(standard_components_1105[[#This Row],[Service]]=factor_eff_table[Service]), 0, 1), 0)),
 "-")</f>
        <v>-</v>
      </c>
      <c r="E26" s="145" t="str" cm="1">
        <f t="array" ref="E2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26" s="145" t="str" cm="1">
        <f t="array" ref="F2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26" s="145" t="str" cm="1">
        <f t="array" ref="G2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2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2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INDEX((standard_components_1105[[#This Row],[Component]]=factor_eff_table[Component])*(standard_components_1105[[#This Row],[Service]]=factor_eff_table[Service]), 0, 1), 0)),
 "-")</f>
        <v>-</v>
      </c>
      <c r="E27" s="145" t="str" cm="1">
        <f t="array" ref="E2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27" s="145" t="str" cm="1">
        <f t="array" ref="F2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27" s="145" t="str" cm="1">
        <f t="array" ref="G2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2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2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INDEX((standard_components_1105[[#This Row],[Component]]=factor_eff_table[Component])*(standard_components_1105[[#This Row],[Service]]=factor_eff_table[Service]), 0, 1), 0)),
 "-")</f>
        <v>-</v>
      </c>
      <c r="E28" s="145" t="str" cm="1">
        <f t="array" ref="E2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28" s="145" t="str" cm="1">
        <f t="array" ref="F2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28" s="145" t="str" cm="1">
        <f t="array" ref="G2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2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2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INDEX((standard_components_1105[[#This Row],[Component]]=factor_eff_table[Component])*(standard_components_1105[[#This Row],[Service]]=factor_eff_table[Service]), 0, 1), 0)),
 "-")</f>
        <v>-</v>
      </c>
      <c r="E29" s="145" t="str" cm="1">
        <f t="array" ref="E2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29" s="145" t="str" cm="1">
        <f t="array" ref="F2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29" s="145" t="str" cm="1">
        <f t="array" ref="G2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2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2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INDEX((standard_components_1105[[#This Row],[Component]]=factor_eff_table[Component])*(standard_components_1105[[#This Row],[Service]]=factor_eff_table[Service]), 0, 1), 0)),
 "-")</f>
        <v>-</v>
      </c>
      <c r="E30" s="145" t="str" cm="1">
        <f t="array" ref="E3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0" s="145" t="str" cm="1">
        <f t="array" ref="F3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0" s="145" t="str" cm="1">
        <f t="array" ref="G3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INDEX((standard_components_1105[[#This Row],[Component]]=factor_eff_table[Component])*(standard_components_1105[[#This Row],[Service]]=factor_eff_table[Service]), 0, 1), 0)),
 "-")</f>
        <v>-</v>
      </c>
      <c r="E31" s="145" t="str" cm="1">
        <f t="array" ref="E3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1" s="145" t="str" cm="1">
        <f t="array" ref="F3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1" s="145" t="str" cm="1">
        <f t="array" ref="G3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INDEX((standard_components_1105[[#This Row],[Component]]=factor_eff_table[Component])*(standard_components_1105[[#This Row],[Service]]=factor_eff_table[Service]), 0, 1), 0)),
 "-")</f>
        <v>-</v>
      </c>
      <c r="E32" s="145" t="str" cm="1">
        <f t="array" ref="E3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2" s="145" t="str" cm="1">
        <f t="array" ref="F3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2" s="145" t="str" cm="1">
        <f t="array" ref="G3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INDEX((standard_components_1105[[#This Row],[Component]]=factor_eff_table[Component])*(standard_components_1105[[#This Row],[Service]]=factor_eff_table[Service]), 0, 1), 0)),
 "-")</f>
        <v>-</v>
      </c>
      <c r="E33" s="145" t="str" cm="1">
        <f t="array" ref="E3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3" s="145" t="str" cm="1">
        <f t="array" ref="F3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3" s="145" t="str" cm="1">
        <f t="array" ref="G3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INDEX((standard_components_1105[[#This Row],[Component]]=factor_eff_table[Component])*(standard_components_1105[[#This Row],[Service]]=factor_eff_table[Service]), 0, 1), 0)),
 "-")</f>
        <v>-</v>
      </c>
      <c r="E34" s="145" t="str" cm="1">
        <f t="array" ref="E3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4" s="145" t="str" cm="1">
        <f t="array" ref="F3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4" s="145" t="str" cm="1">
        <f t="array" ref="G3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INDEX((standard_components_1105[[#This Row],[Component]]=factor_eff_table[Component])*(standard_components_1105[[#This Row],[Service]]=factor_eff_table[Service]), 0, 1), 0)),
 "-")</f>
        <v>-</v>
      </c>
      <c r="E35" s="145" t="str" cm="1">
        <f t="array" ref="E3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5" s="145" t="str" cm="1">
        <f t="array" ref="F3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5" s="145" t="str" cm="1">
        <f t="array" ref="G3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INDEX((standard_components_1105[[#This Row],[Component]]=factor_eff_table[Component])*(standard_components_1105[[#This Row],[Service]]=factor_eff_table[Service]), 0, 1), 0)),
 "-")</f>
        <v>-</v>
      </c>
      <c r="E36" s="145" t="str" cm="1">
        <f t="array" ref="E3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6" s="145" t="str" cm="1">
        <f t="array" ref="F3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6" s="145" t="str" cm="1">
        <f t="array" ref="G3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INDEX((standard_components_1105[[#This Row],[Component]]=factor_eff_table[Component])*(standard_components_1105[[#This Row],[Service]]=factor_eff_table[Service]), 0, 1), 0)),
 "-")</f>
        <v>-</v>
      </c>
      <c r="E37" s="145" t="str" cm="1">
        <f t="array" ref="E3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7" s="145" t="str" cm="1">
        <f t="array" ref="F3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7" s="145" t="str" cm="1">
        <f t="array" ref="G3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INDEX((standard_components_1105[[#This Row],[Component]]=factor_eff_table[Component])*(standard_components_1105[[#This Row],[Service]]=factor_eff_table[Service]), 0, 1), 0)),
 "-")</f>
        <v>-</v>
      </c>
      <c r="E38" s="145" t="str" cm="1">
        <f t="array" ref="E3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8" s="145" t="str" cm="1">
        <f t="array" ref="F3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8" s="145" t="str" cm="1">
        <f t="array" ref="G3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INDEX((standard_components_1105[[#This Row],[Component]]=factor_eff_table[Component])*(standard_components_1105[[#This Row],[Service]]=factor_eff_table[Service]), 0, 1), 0)),
 "-")</f>
        <v>-</v>
      </c>
      <c r="E39" s="145" t="str" cm="1">
        <f t="array" ref="E3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39" s="145" t="str" cm="1">
        <f t="array" ref="F3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39" s="145" t="str" cm="1">
        <f t="array" ref="G3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3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3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INDEX((standard_components_1105[[#This Row],[Component]]=factor_eff_table[Component])*(standard_components_1105[[#This Row],[Service]]=factor_eff_table[Service]), 0, 1), 0)),
 "-")</f>
        <v>-</v>
      </c>
      <c r="E40" s="145" t="str" cm="1">
        <f t="array" ref="E4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0" s="145" t="str" cm="1">
        <f t="array" ref="F4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0" s="145" t="str" cm="1">
        <f t="array" ref="G4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INDEX((standard_components_1105[[#This Row],[Component]]=factor_eff_table[Component])*(standard_components_1105[[#This Row],[Service]]=factor_eff_table[Service]), 0, 1), 0)),
 "-")</f>
        <v>-</v>
      </c>
      <c r="E41" s="145" t="str" cm="1">
        <f t="array" ref="E4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1" s="145" t="str" cm="1">
        <f t="array" ref="F4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1" s="145" t="str" cm="1">
        <f t="array" ref="G4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INDEX((standard_components_1105[[#This Row],[Component]]=factor_eff_table[Component])*(standard_components_1105[[#This Row],[Service]]=factor_eff_table[Service]), 0, 1), 0)),
 "-")</f>
        <v>-</v>
      </c>
      <c r="E42" s="145" t="str" cm="1">
        <f t="array" ref="E4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2" s="145" t="str" cm="1">
        <f t="array" ref="F4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2" s="145" t="str" cm="1">
        <f t="array" ref="G4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INDEX((standard_components_1105[[#This Row],[Component]]=factor_eff_table[Component])*(standard_components_1105[[#This Row],[Service]]=factor_eff_table[Service]), 0, 1), 0)),
 "-")</f>
        <v>-</v>
      </c>
      <c r="E43" s="145" t="str" cm="1">
        <f t="array" ref="E4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3" s="145" t="str" cm="1">
        <f t="array" ref="F4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3" s="145" t="str" cm="1">
        <f t="array" ref="G4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INDEX((standard_components_1105[[#This Row],[Component]]=factor_eff_table[Component])*(standard_components_1105[[#This Row],[Service]]=factor_eff_table[Service]), 0, 1), 0)),
 "-")</f>
        <v>-</v>
      </c>
      <c r="E44" s="145" t="str" cm="1">
        <f t="array" ref="E4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4" s="145" t="str" cm="1">
        <f t="array" ref="F4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4" s="145" t="str" cm="1">
        <f t="array" ref="G4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INDEX((standard_components_1105[[#This Row],[Component]]=factor_eff_table[Component])*(standard_components_1105[[#This Row],[Service]]=factor_eff_table[Service]), 0, 1), 0)),
 "-")</f>
        <v>-</v>
      </c>
      <c r="E45" s="145" t="str" cm="1">
        <f t="array" ref="E4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5" s="145" t="str" cm="1">
        <f t="array" ref="F4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5" s="145" t="str" cm="1">
        <f t="array" ref="G4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INDEX((standard_components_1105[[#This Row],[Component]]=factor_eff_table[Component])*(standard_components_1105[[#This Row],[Service]]=factor_eff_table[Service]), 0, 1), 0)),
 "-")</f>
        <v>-</v>
      </c>
      <c r="E46" s="145" t="str" cm="1">
        <f t="array" ref="E4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6" s="145" t="str" cm="1">
        <f t="array" ref="F4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6" s="145" t="str" cm="1">
        <f t="array" ref="G4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INDEX((standard_components_1105[[#This Row],[Component]]=factor_eff_table[Component])*(standard_components_1105[[#This Row],[Service]]=factor_eff_table[Service]), 0, 1), 0)),
 "-")</f>
        <v>-</v>
      </c>
      <c r="E47" s="145" t="str" cm="1">
        <f t="array" ref="E4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7" s="145" t="str" cm="1">
        <f t="array" ref="F4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7" s="145" t="str" cm="1">
        <f t="array" ref="G4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INDEX((standard_components_1105[[#This Row],[Component]]=factor_eff_table[Component])*(standard_components_1105[[#This Row],[Service]]=factor_eff_table[Service]), 0, 1), 0)),
 "-")</f>
        <v>-</v>
      </c>
      <c r="E48" s="145" t="str" cm="1">
        <f t="array" ref="E4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8" s="145" t="str" cm="1">
        <f t="array" ref="F4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8" s="145" t="str" cm="1">
        <f t="array" ref="G4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INDEX((standard_components_1105[[#This Row],[Component]]=factor_eff_table[Component])*(standard_components_1105[[#This Row],[Service]]=factor_eff_table[Service]), 0, 1), 0)),
 "-")</f>
        <v>-</v>
      </c>
      <c r="E49" s="145" t="str" cm="1">
        <f t="array" ref="E4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49" s="145" t="str" cm="1">
        <f t="array" ref="F4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49" s="145" t="str" cm="1">
        <f t="array" ref="G4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4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4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INDEX((standard_components_1105[[#This Row],[Component]]=factor_eff_table[Component])*(standard_components_1105[[#This Row],[Service]]=factor_eff_table[Service]), 0, 1), 0)),
 "-")</f>
        <v>-</v>
      </c>
      <c r="E50" s="145" t="str" cm="1">
        <f t="array" ref="E5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0" s="145" t="str" cm="1">
        <f t="array" ref="F5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0" s="145" t="str" cm="1">
        <f t="array" ref="G5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INDEX((standard_components_1105[[#This Row],[Component]]=factor_eff_table[Component])*(standard_components_1105[[#This Row],[Service]]=factor_eff_table[Service]), 0, 1), 0)),
 "-")</f>
        <v>-</v>
      </c>
      <c r="E51" s="145" t="str" cm="1">
        <f t="array" ref="E5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1" s="145" t="str" cm="1">
        <f t="array" ref="F5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1" s="145" t="str" cm="1">
        <f t="array" ref="G5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INDEX((standard_components_1105[[#This Row],[Component]]=factor_eff_table[Component])*(standard_components_1105[[#This Row],[Service]]=factor_eff_table[Service]), 0, 1), 0)),
 "-")</f>
        <v>-</v>
      </c>
      <c r="E52" s="145" t="str" cm="1">
        <f t="array" ref="E5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2" s="145" t="str" cm="1">
        <f t="array" ref="F5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2" s="145" t="str" cm="1">
        <f t="array" ref="G5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INDEX((standard_components_1105[[#This Row],[Component]]=factor_eff_table[Component])*(standard_components_1105[[#This Row],[Service]]=factor_eff_table[Service]), 0, 1), 0)),
 "-")</f>
        <v>-</v>
      </c>
      <c r="E53" s="145" t="str" cm="1">
        <f t="array" ref="E5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3" s="145" t="str" cm="1">
        <f t="array" ref="F5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3" s="145" t="str" cm="1">
        <f t="array" ref="G5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INDEX((standard_components_1105[[#This Row],[Component]]=factor_eff_table[Component])*(standard_components_1105[[#This Row],[Service]]=factor_eff_table[Service]), 0, 1), 0)),
 "-")</f>
        <v>-</v>
      </c>
      <c r="E54" s="145" t="str" cm="1">
        <f t="array" ref="E5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4" s="145" t="str" cm="1">
        <f t="array" ref="F5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4" s="145" t="str" cm="1">
        <f t="array" ref="G5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INDEX((standard_components_1105[[#This Row],[Component]]=factor_eff_table[Component])*(standard_components_1105[[#This Row],[Service]]=factor_eff_table[Service]), 0, 1), 0)),
 "-")</f>
        <v>-</v>
      </c>
      <c r="E55" s="145" t="str" cm="1">
        <f t="array" ref="E5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5" s="145" t="str" cm="1">
        <f t="array" ref="F5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5" s="145" t="str" cm="1">
        <f t="array" ref="G5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INDEX((standard_components_1105[[#This Row],[Component]]=factor_eff_table[Component])*(standard_components_1105[[#This Row],[Service]]=factor_eff_table[Service]), 0, 1), 0)),
 "-")</f>
        <v>-</v>
      </c>
      <c r="E56" s="145" t="str" cm="1">
        <f t="array" ref="E5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6" s="145" t="str" cm="1">
        <f t="array" ref="F5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6" s="145" t="str" cm="1">
        <f t="array" ref="G5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INDEX((standard_components_1105[[#This Row],[Component]]=factor_eff_table[Component])*(standard_components_1105[[#This Row],[Service]]=factor_eff_table[Service]), 0, 1), 0)),
 "-")</f>
        <v>-</v>
      </c>
      <c r="E57" s="145" t="str" cm="1">
        <f t="array" ref="E5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7" s="145" t="str" cm="1">
        <f t="array" ref="F5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7" s="145" t="str" cm="1">
        <f t="array" ref="G5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INDEX((standard_components_1105[[#This Row],[Component]]=factor_eff_table[Component])*(standard_components_1105[[#This Row],[Service]]=factor_eff_table[Service]), 0, 1), 0)),
 "-")</f>
        <v>-</v>
      </c>
      <c r="E58" s="145" t="str" cm="1">
        <f t="array" ref="E5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8" s="145" t="str" cm="1">
        <f t="array" ref="F5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8" s="145" t="str" cm="1">
        <f t="array" ref="G5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INDEX((standard_components_1105[[#This Row],[Component]]=factor_eff_table[Component])*(standard_components_1105[[#This Row],[Service]]=factor_eff_table[Service]), 0, 1), 0)),
 "-")</f>
        <v>-</v>
      </c>
      <c r="E59" s="145" t="str" cm="1">
        <f t="array" ref="E5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59" s="145" t="str" cm="1">
        <f t="array" ref="F5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59" s="145" t="str" cm="1">
        <f t="array" ref="G5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5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5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INDEX((standard_components_1105[[#This Row],[Component]]=factor_eff_table[Component])*(standard_components_1105[[#This Row],[Service]]=factor_eff_table[Service]), 0, 1), 0)),
 "-")</f>
        <v>-</v>
      </c>
      <c r="E60" s="145" t="str" cm="1">
        <f t="array" ref="E6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0" s="145" t="str" cm="1">
        <f t="array" ref="F6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0" s="145" t="str" cm="1">
        <f t="array" ref="G6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INDEX((standard_components_1105[[#This Row],[Component]]=factor_eff_table[Component])*(standard_components_1105[[#This Row],[Service]]=factor_eff_table[Service]), 0, 1), 0)),
 "-")</f>
        <v>-</v>
      </c>
      <c r="E61" s="145" t="str" cm="1">
        <f t="array" ref="E6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1" s="145" t="str" cm="1">
        <f t="array" ref="F6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1" s="145" t="str" cm="1">
        <f t="array" ref="G6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INDEX((standard_components_1105[[#This Row],[Component]]=factor_eff_table[Component])*(standard_components_1105[[#This Row],[Service]]=factor_eff_table[Service]), 0, 1), 0)),
 "-")</f>
        <v>-</v>
      </c>
      <c r="E62" s="145" t="str" cm="1">
        <f t="array" ref="E6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2" s="145" t="str" cm="1">
        <f t="array" ref="F6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2" s="145" t="str" cm="1">
        <f t="array" ref="G6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INDEX((standard_components_1105[[#This Row],[Component]]=factor_eff_table[Component])*(standard_components_1105[[#This Row],[Service]]=factor_eff_table[Service]), 0, 1), 0)),
 "-")</f>
        <v>-</v>
      </c>
      <c r="E63" s="145" t="str" cm="1">
        <f t="array" ref="E6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3" s="145" t="str" cm="1">
        <f t="array" ref="F6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3" s="145" t="str" cm="1">
        <f t="array" ref="G6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INDEX((standard_components_1105[[#This Row],[Component]]=factor_eff_table[Component])*(standard_components_1105[[#This Row],[Service]]=factor_eff_table[Service]), 0, 1), 0)),
 "-")</f>
        <v>-</v>
      </c>
      <c r="E64" s="145" t="str" cm="1">
        <f t="array" ref="E6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4" s="145" t="str" cm="1">
        <f t="array" ref="F6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4" s="145" t="str" cm="1">
        <f t="array" ref="G6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INDEX((standard_components_1105[[#This Row],[Component]]=factor_eff_table[Component])*(standard_components_1105[[#This Row],[Service]]=factor_eff_table[Service]), 0, 1), 0)),
 "-")</f>
        <v>-</v>
      </c>
      <c r="E65" s="145" t="str" cm="1">
        <f t="array" ref="E6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5" s="145" t="str" cm="1">
        <f t="array" ref="F6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5" s="145" t="str" cm="1">
        <f t="array" ref="G6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INDEX((standard_components_1105[[#This Row],[Component]]=factor_eff_table[Component])*(standard_components_1105[[#This Row],[Service]]=factor_eff_table[Service]), 0, 1), 0)),
 "-")</f>
        <v>-</v>
      </c>
      <c r="E66" s="145" t="str" cm="1">
        <f t="array" ref="E6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6" s="145" t="str" cm="1">
        <f t="array" ref="F6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6" s="145" t="str" cm="1">
        <f t="array" ref="G6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INDEX((standard_components_1105[[#This Row],[Component]]=factor_eff_table[Component])*(standard_components_1105[[#This Row],[Service]]=factor_eff_table[Service]), 0, 1), 0)),
 "-")</f>
        <v>-</v>
      </c>
      <c r="E67" s="145" t="str" cm="1">
        <f t="array" ref="E6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7" s="145" t="str" cm="1">
        <f t="array" ref="F6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7" s="145" t="str" cm="1">
        <f t="array" ref="G6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INDEX((standard_components_1105[[#This Row],[Component]]=factor_eff_table[Component])*(standard_components_1105[[#This Row],[Service]]=factor_eff_table[Service]), 0, 1), 0)),
 "-")</f>
        <v>-</v>
      </c>
      <c r="E68" s="145" t="str" cm="1">
        <f t="array" ref="E6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8" s="145" t="str" cm="1">
        <f t="array" ref="F6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8" s="145" t="str" cm="1">
        <f t="array" ref="G6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INDEX((standard_components_1105[[#This Row],[Component]]=factor_eff_table[Component])*(standard_components_1105[[#This Row],[Service]]=factor_eff_table[Service]), 0, 1), 0)),
 "-")</f>
        <v>-</v>
      </c>
      <c r="E69" s="145" t="str" cm="1">
        <f t="array" ref="E6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69" s="145" t="str" cm="1">
        <f t="array" ref="F6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69" s="145" t="str" cm="1">
        <f t="array" ref="G6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6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6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INDEX((standard_components_1105[[#This Row],[Component]]=factor_eff_table[Component])*(standard_components_1105[[#This Row],[Service]]=factor_eff_table[Service]), 0, 1), 0)),
 "-")</f>
        <v>-</v>
      </c>
      <c r="E70" s="145" t="str" cm="1">
        <f t="array" ref="E7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0" s="145" t="str" cm="1">
        <f t="array" ref="F7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0" s="145" t="str" cm="1">
        <f t="array" ref="G7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INDEX((standard_components_1105[[#This Row],[Component]]=factor_eff_table[Component])*(standard_components_1105[[#This Row],[Service]]=factor_eff_table[Service]), 0, 1), 0)),
 "-")</f>
        <v>-</v>
      </c>
      <c r="E71" s="145" t="str" cm="1">
        <f t="array" ref="E7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1" s="145" t="str" cm="1">
        <f t="array" ref="F7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1" s="145" t="str" cm="1">
        <f t="array" ref="G7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INDEX((standard_components_1105[[#This Row],[Component]]=factor_eff_table[Component])*(standard_components_1105[[#This Row],[Service]]=factor_eff_table[Service]), 0, 1), 0)),
 "-")</f>
        <v>-</v>
      </c>
      <c r="E72" s="145" t="str" cm="1">
        <f t="array" ref="E7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2" s="145" t="str" cm="1">
        <f t="array" ref="F7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2" s="145" t="str" cm="1">
        <f t="array" ref="G7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INDEX((standard_components_1105[[#This Row],[Component]]=factor_eff_table[Component])*(standard_components_1105[[#This Row],[Service]]=factor_eff_table[Service]), 0, 1), 0)),
 "-")</f>
        <v>-</v>
      </c>
      <c r="E73" s="145" t="str" cm="1">
        <f t="array" ref="E7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3" s="145" t="str" cm="1">
        <f t="array" ref="F7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3" s="145" t="str" cm="1">
        <f t="array" ref="G7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INDEX((standard_components_1105[[#This Row],[Component]]=factor_eff_table[Component])*(standard_components_1105[[#This Row],[Service]]=factor_eff_table[Service]), 0, 1), 0)),
 "-")</f>
        <v>-</v>
      </c>
      <c r="E74" s="145" t="str" cm="1">
        <f t="array" ref="E7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4" s="145" t="str" cm="1">
        <f t="array" ref="F7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4" s="145" t="str" cm="1">
        <f t="array" ref="G7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INDEX((standard_components_1105[[#This Row],[Component]]=factor_eff_table[Component])*(standard_components_1105[[#This Row],[Service]]=factor_eff_table[Service]), 0, 1), 0)),
 "-")</f>
        <v>-</v>
      </c>
      <c r="E75" s="145" t="str" cm="1">
        <f t="array" ref="E7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5" s="145" t="str" cm="1">
        <f t="array" ref="F7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5" s="145" t="str" cm="1">
        <f t="array" ref="G7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INDEX((standard_components_1105[[#This Row],[Component]]=factor_eff_table[Component])*(standard_components_1105[[#This Row],[Service]]=factor_eff_table[Service]), 0, 1), 0)),
 "-")</f>
        <v>-</v>
      </c>
      <c r="E76" s="145" t="str" cm="1">
        <f t="array" ref="E7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6" s="145" t="str" cm="1">
        <f t="array" ref="F7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6" s="145" t="str" cm="1">
        <f t="array" ref="G7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INDEX((standard_components_1105[[#This Row],[Component]]=factor_eff_table[Component])*(standard_components_1105[[#This Row],[Service]]=factor_eff_table[Service]), 0, 1), 0)),
 "-")</f>
        <v>-</v>
      </c>
      <c r="E77" s="145" t="str" cm="1">
        <f t="array" ref="E7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7" s="145" t="str" cm="1">
        <f t="array" ref="F7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7" s="145" t="str" cm="1">
        <f t="array" ref="G7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INDEX((standard_components_1105[[#This Row],[Component]]=factor_eff_table[Component])*(standard_components_1105[[#This Row],[Service]]=factor_eff_table[Service]), 0, 1), 0)),
 "-")</f>
        <v>-</v>
      </c>
      <c r="E78" s="145" t="str" cm="1">
        <f t="array" ref="E7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8" s="145" t="str" cm="1">
        <f t="array" ref="F7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8" s="145" t="str" cm="1">
        <f t="array" ref="G7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INDEX((standard_components_1105[[#This Row],[Component]]=factor_eff_table[Component])*(standard_components_1105[[#This Row],[Service]]=factor_eff_table[Service]), 0, 1), 0)),
 "-")</f>
        <v>-</v>
      </c>
      <c r="E79" s="145" t="str" cm="1">
        <f t="array" ref="E7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79" s="145" t="str" cm="1">
        <f t="array" ref="F7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79" s="145" t="str" cm="1">
        <f t="array" ref="G7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7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7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INDEX((standard_components_1105[[#This Row],[Component]]=factor_eff_table[Component])*(standard_components_1105[[#This Row],[Service]]=factor_eff_table[Service]), 0, 1), 0)),
 "-")</f>
        <v>-</v>
      </c>
      <c r="E80" s="145" t="str" cm="1">
        <f t="array" ref="E8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0" s="145" t="str" cm="1">
        <f t="array" ref="F8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0" s="145" t="str" cm="1">
        <f t="array" ref="G8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INDEX((standard_components_1105[[#This Row],[Component]]=factor_eff_table[Component])*(standard_components_1105[[#This Row],[Service]]=factor_eff_table[Service]), 0, 1), 0)),
 "-")</f>
        <v>-</v>
      </c>
      <c r="E81" s="145" t="str" cm="1">
        <f t="array" ref="E8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1" s="145" t="str" cm="1">
        <f t="array" ref="F8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1" s="145" t="str" cm="1">
        <f t="array" ref="G8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INDEX((standard_components_1105[[#This Row],[Component]]=factor_eff_table[Component])*(standard_components_1105[[#This Row],[Service]]=factor_eff_table[Service]), 0, 1), 0)),
 "-")</f>
        <v>-</v>
      </c>
      <c r="E82" s="145" t="str" cm="1">
        <f t="array" ref="E8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2" s="145" t="str" cm="1">
        <f t="array" ref="F8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2" s="145" t="str" cm="1">
        <f t="array" ref="G8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INDEX((standard_components_1105[[#This Row],[Component]]=factor_eff_table[Component])*(standard_components_1105[[#This Row],[Service]]=factor_eff_table[Service]), 0, 1), 0)),
 "-")</f>
        <v>-</v>
      </c>
      <c r="E83" s="145" t="str" cm="1">
        <f t="array" ref="E8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3" s="145" t="str" cm="1">
        <f t="array" ref="F8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3" s="145" t="str" cm="1">
        <f t="array" ref="G8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INDEX((standard_components_1105[[#This Row],[Component]]=factor_eff_table[Component])*(standard_components_1105[[#This Row],[Service]]=factor_eff_table[Service]), 0, 1), 0)),
 "-")</f>
        <v>-</v>
      </c>
      <c r="E84" s="145" t="str" cm="1">
        <f t="array" ref="E8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4" s="145" t="str" cm="1">
        <f t="array" ref="F8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4" s="145" t="str" cm="1">
        <f t="array" ref="G8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INDEX((standard_components_1105[[#This Row],[Component]]=factor_eff_table[Component])*(standard_components_1105[[#This Row],[Service]]=factor_eff_table[Service]), 0, 1), 0)),
 "-")</f>
        <v>-</v>
      </c>
      <c r="E85" s="145" t="str" cm="1">
        <f t="array" ref="E8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5" s="145" t="str" cm="1">
        <f t="array" ref="F8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5" s="145" t="str" cm="1">
        <f t="array" ref="G8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INDEX((standard_components_1105[[#This Row],[Component]]=factor_eff_table[Component])*(standard_components_1105[[#This Row],[Service]]=factor_eff_table[Service]), 0, 1), 0)),
 "-")</f>
        <v>-</v>
      </c>
      <c r="E86" s="145" t="str" cm="1">
        <f t="array" ref="E8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6" s="145" t="str" cm="1">
        <f t="array" ref="F8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6" s="145" t="str" cm="1">
        <f t="array" ref="G8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INDEX((standard_components_1105[[#This Row],[Component]]=factor_eff_table[Component])*(standard_components_1105[[#This Row],[Service]]=factor_eff_table[Service]), 0, 1), 0)),
 "-")</f>
        <v>-</v>
      </c>
      <c r="E87" s="145" t="str" cm="1">
        <f t="array" ref="E8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7" s="145" t="str" cm="1">
        <f t="array" ref="F8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7" s="145" t="str" cm="1">
        <f t="array" ref="G8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INDEX((standard_components_1105[[#This Row],[Component]]=factor_eff_table[Component])*(standard_components_1105[[#This Row],[Service]]=factor_eff_table[Service]), 0, 1), 0)),
 "-")</f>
        <v>-</v>
      </c>
      <c r="E88" s="145" t="str" cm="1">
        <f t="array" ref="E8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8" s="145" t="str" cm="1">
        <f t="array" ref="F8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8" s="145" t="str" cm="1">
        <f t="array" ref="G8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INDEX((standard_components_1105[[#This Row],[Component]]=factor_eff_table[Component])*(standard_components_1105[[#This Row],[Service]]=factor_eff_table[Service]), 0, 1), 0)),
 "-")</f>
        <v>-</v>
      </c>
      <c r="E89" s="145" t="str" cm="1">
        <f t="array" ref="E8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89" s="145" t="str" cm="1">
        <f t="array" ref="F8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89" s="145" t="str" cm="1">
        <f t="array" ref="G8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8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8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INDEX((standard_components_1105[[#This Row],[Component]]=factor_eff_table[Component])*(standard_components_1105[[#This Row],[Service]]=factor_eff_table[Service]), 0, 1), 0)),
 "-")</f>
        <v>-</v>
      </c>
      <c r="E90" s="145" t="str" cm="1">
        <f t="array" ref="E9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0" s="145" t="str" cm="1">
        <f t="array" ref="F9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0" s="145" t="str" cm="1">
        <f t="array" ref="G9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INDEX((standard_components_1105[[#This Row],[Component]]=factor_eff_table[Component])*(standard_components_1105[[#This Row],[Service]]=factor_eff_table[Service]), 0, 1), 0)),
 "-")</f>
        <v>-</v>
      </c>
      <c r="E91" s="145" t="str" cm="1">
        <f t="array" ref="E91">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1" s="145" t="str" cm="1">
        <f t="array" ref="F91">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1" s="145" t="str" cm="1">
        <f t="array" ref="G91">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1"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1"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INDEX((standard_components_1105[[#This Row],[Component]]=factor_eff_table[Component])*(standard_components_1105[[#This Row],[Service]]=factor_eff_table[Service]), 0, 1), 0)),
 "-")</f>
        <v>-</v>
      </c>
      <c r="E92" s="145" t="str" cm="1">
        <f t="array" ref="E92">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2" s="145" t="str" cm="1">
        <f t="array" ref="F92">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2" s="145" t="str" cm="1">
        <f t="array" ref="G92">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2"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2"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INDEX((standard_components_1105[[#This Row],[Component]]=factor_eff_table[Component])*(standard_components_1105[[#This Row],[Service]]=factor_eff_table[Service]), 0, 1), 0)),
 "-")</f>
        <v>-</v>
      </c>
      <c r="E93" s="145" t="str" cm="1">
        <f t="array" ref="E93">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3" s="145" t="str" cm="1">
        <f t="array" ref="F93">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3" s="145" t="str" cm="1">
        <f t="array" ref="G93">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3"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3"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INDEX((standard_components_1105[[#This Row],[Component]]=factor_eff_table[Component])*(standard_components_1105[[#This Row],[Service]]=factor_eff_table[Service]), 0, 1), 0)),
 "-")</f>
        <v>-</v>
      </c>
      <c r="E94" s="145" t="str" cm="1">
        <f t="array" ref="E94">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4" s="145" t="str" cm="1">
        <f t="array" ref="F94">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4" s="145" t="str" cm="1">
        <f t="array" ref="G94">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4"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4"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INDEX((standard_components_1105[[#This Row],[Component]]=factor_eff_table[Component])*(standard_components_1105[[#This Row],[Service]]=factor_eff_table[Service]), 0, 1), 0)),
 "-")</f>
        <v>-</v>
      </c>
      <c r="E95" s="145" t="str" cm="1">
        <f t="array" ref="E95">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5" s="145" t="str" cm="1">
        <f t="array" ref="F95">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5" s="145" t="str" cm="1">
        <f t="array" ref="G95">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5"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5"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INDEX((standard_components_1105[[#This Row],[Component]]=factor_eff_table[Component])*(standard_components_1105[[#This Row],[Service]]=factor_eff_table[Service]), 0, 1), 0)),
 "-")</f>
        <v>-</v>
      </c>
      <c r="E96" s="145" t="str" cm="1">
        <f t="array" ref="E96">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6" s="145" t="str" cm="1">
        <f t="array" ref="F96">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6" s="145" t="str" cm="1">
        <f t="array" ref="G96">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6"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6"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INDEX((standard_components_1105[[#This Row],[Component]]=factor_eff_table[Component])*(standard_components_1105[[#This Row],[Service]]=factor_eff_table[Service]), 0, 1), 0)),
 "-")</f>
        <v>-</v>
      </c>
      <c r="E97" s="145" t="str" cm="1">
        <f t="array" ref="E97">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7" s="145" t="str" cm="1">
        <f t="array" ref="F97">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7" s="145" t="str" cm="1">
        <f t="array" ref="G97">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7"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7"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INDEX((standard_components_1105[[#This Row],[Component]]=factor_eff_table[Component])*(standard_components_1105[[#This Row],[Service]]=factor_eff_table[Service]), 0, 1), 0)),
 "-")</f>
        <v>-</v>
      </c>
      <c r="E98" s="145" t="str" cm="1">
        <f t="array" ref="E98">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8" s="145" t="str" cm="1">
        <f t="array" ref="F98">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8" s="145" t="str" cm="1">
        <f t="array" ref="G98">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8"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8"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INDEX((standard_components_1105[[#This Row],[Component]]=factor_eff_table[Component])*(standard_components_1105[[#This Row],[Service]]=factor_eff_table[Service]), 0, 1), 0)),
 "-")</f>
        <v>-</v>
      </c>
      <c r="E99" s="145" t="str" cm="1">
        <f t="array" ref="E99">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99" s="145" t="str" cm="1">
        <f t="array" ref="F99">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99" s="145" t="str" cm="1">
        <f t="array" ref="G99">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99"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99"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INDEX((standard_components_1105[[#This Row],[Component]]=factor_eff_table[Component])*(standard_components_1105[[#This Row],[Service]]=factor_eff_table[Service]), 0, 1), 0)),
 "-")</f>
        <v>-</v>
      </c>
      <c r="E100" s="145" t="str" cm="1">
        <f t="array" ref="E100">IF(AND(process_drain_bool="Yes",LEFT(standard_components_1105[[#This Row],[Component]], LEN("Process drains"))="Process Drains", ISBLANK(instrument_ldar)=FALSE), process_drain_eff,
IFERROR(
INDEX(
INDEX(factor_eff_table[], , MATCH(instrument_ldar, factor_eff_table[#Headers], 0)),
MATCH(1, INDEX((standard_components_1105[[#This Row],[Component]]=factor_eff_table[Component])*(standard_components_1105[[#This Row],[Service]]=factor_eff_table[Service]), 0, 1), 0)),
 "-"))</f>
        <v>-</v>
      </c>
      <c r="F100" s="145" t="str" cm="1">
        <f t="array" ref="F100">IF(AND(process_drain_bool="Yes",LEFT(standard_components_1105[[#This Row],[Component]], LEN("Process drains"))="Process Drains", ISBLANK(connector_ldar)=FALSE), process_drain_eff,
IFERROR(
INDEX(
INDEX(factor_eff_table[], , MATCH(connector_ldar, factor_eff_table[#Headers], 0)),
MATCH(1, INDEX((standard_components_1105[[#This Row],[Component]]=factor_eff_table[Component])*(standard_components_1105[[#This Row],[Service]]=factor_eff_table[Service]), 0, 1), 0)),
 "-"))</f>
        <v>-</v>
      </c>
      <c r="G100" s="145" t="str" cm="1">
        <f t="array" ref="G100">IF(AND(process_drain_bool="Yes",LEFT(standard_components_1105[[#This Row],[Component]], LEN("Process Drains"))="Process Drains", ISBLANK(inspection_ldar)=FALSE), process_drain_eff,
IFERROR(
INDEX(
INDEX(factor_eff_table[], , MATCH(inspection_ldar, factor_eff_table[#Headers], 0)),
MATCH(1, INDEX((standard_components_1105[[#This Row],[Component]]=factor_eff_table[Component])*(standard_components_1105[[#This Row],[Service]]=factor_eff_table[Service]), 0, 1), 0)),
 "-"))</f>
        <v>-</v>
      </c>
      <c r="H100" s="146" t="str">
        <f>IF(standard_components_1105[[#This Row],[Component]]="Sampling Connections (annual) [2]", "N/A",
 IF(standard_components_1105[[#This Row],[Component]]="Sampling Connections (hourly) [1]", standard_components_1105[[#This Row],[Count]]*standard_components_1105[[#This Row],[Industry Emission Factor]],
IFERROR(standard_components_1105[[#This Row],[Count]]*standard_components_1105[[#This Row],[Industry Emission Factor]]*MIN(1-standard_components_1105[[#This Row],[Instrument Monitoring LDAR Control Efficiency]], 1-standard_components_1105[[#This Row],[Physical Inspection LDAR Control Efficiency]], 1-standard_components_1105[[#This Row],[Connector Monitoring LDAR Control Efficiency]]), "-")))</f>
        <v>-</v>
      </c>
      <c r="I100" s="146" t="str">
        <f>IF(standard_components_1105[[#This Row],[Component]]="Sampling Connections (hourly) [1]", "N/A",
 IF(standard_components_1105[[#This Row],[Component]]="Sampling Connections (annual) [2]", standard_components_1105[[#This Row],[Count]]*standard_components_1105[[#This Row],[Industry Emission Factor]]/stons_to_lbs,
 IFERROR(years_to_hrs/stons_to_lbs*standard_components_1105[[#This Row],[Controlled
lb/hr]], "-")))</f>
        <v>-</v>
      </c>
    </row>
    <row r="101" spans="1:9" ht="15" x14ac:dyDescent="0.25">
      <c r="A101" s="147" t="s">
        <v>12776</v>
      </c>
      <c r="B101" s="148"/>
      <c r="C101" s="149">
        <f>SUBTOTAL(109,standard_components_1105[Count])</f>
        <v>0</v>
      </c>
      <c r="D101" s="150"/>
      <c r="E101" s="150"/>
      <c r="F101" s="150"/>
      <c r="G101" s="150"/>
      <c r="H101" s="151">
        <f>SUBTOTAL(109,standard_components_1105[Controlled
lb/hr])</f>
        <v>0</v>
      </c>
      <c r="I101" s="151">
        <f>SUBTOTAL(109,standard_components_1105[Controlled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unique_components_1106[[#This Row],[Count]]*unique_components_1106[[#This Row],[Proposed Emission Factor]]*(1-unique_components_1106[[#This Row],[Proposed Control Efficiency]])</f>
        <v>0</v>
      </c>
      <c r="G107" s="155">
        <f>IFERROR(unique_components_1106[[#This Row],[Controlled lb/hr]]*4.38,"")</f>
        <v>0</v>
      </c>
    </row>
    <row r="108" spans="1:9" x14ac:dyDescent="0.2">
      <c r="A108" s="103"/>
      <c r="B108" s="104"/>
      <c r="C108" s="153"/>
      <c r="D108" s="154"/>
      <c r="E108" s="154"/>
      <c r="F108" s="146">
        <f>unique_components_1106[[#This Row],[Count]]*unique_components_1106[[#This Row],[Proposed Emission Factor]]*(1-unique_components_1106[[#This Row],[Proposed Control Efficiency]])</f>
        <v>0</v>
      </c>
      <c r="G108" s="155">
        <f>IFERROR(unique_components_1106[[#This Row],[Controlled lb/hr]]*4.38,"")</f>
        <v>0</v>
      </c>
    </row>
    <row r="109" spans="1:9" x14ac:dyDescent="0.2">
      <c r="A109" s="103"/>
      <c r="B109" s="104"/>
      <c r="C109" s="153"/>
      <c r="D109" s="154"/>
      <c r="E109" s="154"/>
      <c r="F109" s="146">
        <f>unique_components_1106[[#This Row],[Count]]*unique_components_1106[[#This Row],[Proposed Emission Factor]]*(1-unique_components_1106[[#This Row],[Proposed Control Efficiency]])</f>
        <v>0</v>
      </c>
      <c r="G109" s="155">
        <f>IFERROR(unique_components_1106[[#This Row],[Controlled lb/hr]]*4.38,"")</f>
        <v>0</v>
      </c>
    </row>
    <row r="110" spans="1:9" x14ac:dyDescent="0.2">
      <c r="A110" s="103"/>
      <c r="B110" s="104"/>
      <c r="C110" s="153"/>
      <c r="D110" s="154"/>
      <c r="E110" s="154"/>
      <c r="F110" s="146">
        <f>unique_components_1106[[#This Row],[Count]]*unique_components_1106[[#This Row],[Proposed Emission Factor]]*(1-unique_components_1106[[#This Row],[Proposed Control Efficiency]])</f>
        <v>0</v>
      </c>
      <c r="G110" s="155">
        <f>IFERROR(unique_components_1106[[#This Row],[Controlled lb/hr]]*4.38,"")</f>
        <v>0</v>
      </c>
    </row>
    <row r="111" spans="1:9" x14ac:dyDescent="0.2">
      <c r="A111" s="103"/>
      <c r="B111" s="104"/>
      <c r="C111" s="153"/>
      <c r="D111" s="154"/>
      <c r="E111" s="154"/>
      <c r="F111" s="146">
        <f>unique_components_1106[[#This Row],[Count]]*unique_components_1106[[#This Row],[Proposed Emission Factor]]*(1-unique_components_1106[[#This Row],[Proposed Control Efficiency]])</f>
        <v>0</v>
      </c>
      <c r="G111" s="155">
        <f>IFERROR(unique_components_1106[[#This Row],[Controlled lb/hr]]*4.38,"")</f>
        <v>0</v>
      </c>
    </row>
    <row r="112" spans="1:9" x14ac:dyDescent="0.2">
      <c r="A112" s="103"/>
      <c r="B112" s="104"/>
      <c r="C112" s="153"/>
      <c r="D112" s="154"/>
      <c r="E112" s="154"/>
      <c r="F112" s="146">
        <f>unique_components_1106[[#This Row],[Count]]*unique_components_1106[[#This Row],[Proposed Emission Factor]]*(1-unique_components_1106[[#This Row],[Proposed Control Efficiency]])</f>
        <v>0</v>
      </c>
      <c r="G112" s="155">
        <f>IFERROR(unique_components_1106[[#This Row],[Controlled lb/hr]]*4.38,"")</f>
        <v>0</v>
      </c>
    </row>
    <row r="113" spans="1:8" x14ac:dyDescent="0.2">
      <c r="A113" s="103"/>
      <c r="B113" s="104"/>
      <c r="C113" s="153"/>
      <c r="D113" s="154"/>
      <c r="E113" s="154"/>
      <c r="F113" s="146">
        <f>unique_components_1106[[#This Row],[Count]]*unique_components_1106[[#This Row],[Proposed Emission Factor]]*(1-unique_components_1106[[#This Row],[Proposed Control Efficiency]])</f>
        <v>0</v>
      </c>
      <c r="G113" s="155">
        <f>IFERROR(unique_components_1106[[#This Row],[Controlled lb/hr]]*4.38,"")</f>
        <v>0</v>
      </c>
    </row>
    <row r="114" spans="1:8" x14ac:dyDescent="0.2">
      <c r="A114" s="103"/>
      <c r="B114" s="104"/>
      <c r="C114" s="153"/>
      <c r="D114" s="154"/>
      <c r="E114" s="154"/>
      <c r="F114" s="146">
        <f>unique_components_1106[[#This Row],[Count]]*unique_components_1106[[#This Row],[Proposed Emission Factor]]*(1-unique_components_1106[[#This Row],[Proposed Control Efficiency]])</f>
        <v>0</v>
      </c>
      <c r="G114" s="155">
        <f>IFERROR(unique_components_1106[[#This Row],[Controlled lb/hr]]*4.38,"")</f>
        <v>0</v>
      </c>
    </row>
    <row r="115" spans="1:8" x14ac:dyDescent="0.2">
      <c r="A115" s="103"/>
      <c r="B115" s="104"/>
      <c r="C115" s="153"/>
      <c r="D115" s="154"/>
      <c r="E115" s="154"/>
      <c r="F115" s="146">
        <f>unique_components_1106[[#This Row],[Count]]*unique_components_1106[[#This Row],[Proposed Emission Factor]]*(1-unique_components_1106[[#This Row],[Proposed Control Efficiency]])</f>
        <v>0</v>
      </c>
      <c r="G115" s="155">
        <f>IFERROR(unique_components_1106[[#This Row],[Controlled lb/hr]]*4.38,"")</f>
        <v>0</v>
      </c>
    </row>
    <row r="116" spans="1:8" x14ac:dyDescent="0.2">
      <c r="A116" s="103"/>
      <c r="B116" s="104"/>
      <c r="C116" s="153"/>
      <c r="D116" s="154"/>
      <c r="E116" s="154"/>
      <c r="F116" s="146">
        <f>unique_components_1106[[#This Row],[Count]]*unique_components_1106[[#This Row],[Proposed Emission Factor]]*(1-unique_components_1106[[#This Row],[Proposed Control Efficiency]])</f>
        <v>0</v>
      </c>
      <c r="G116" s="155">
        <f>IFERROR(unique_components_1106[[#This Row],[Controlled lb/hr]]*4.38,"")</f>
        <v>0</v>
      </c>
    </row>
    <row r="117" spans="1:8" x14ac:dyDescent="0.2">
      <c r="A117" s="103"/>
      <c r="B117" s="104"/>
      <c r="C117" s="153"/>
      <c r="D117" s="154"/>
      <c r="E117" s="154"/>
      <c r="F117" s="146">
        <f>unique_components_1106[[#This Row],[Count]]*unique_components_1106[[#This Row],[Proposed Emission Factor]]*(1-unique_components_1106[[#This Row],[Proposed Control Efficiency]])</f>
        <v>0</v>
      </c>
      <c r="G117" s="155">
        <f>IFERROR(unique_components_1106[[#This Row],[Controlled lb/hr]]*4.38,"")</f>
        <v>0</v>
      </c>
    </row>
    <row r="118" spans="1:8" x14ac:dyDescent="0.2">
      <c r="A118" s="103"/>
      <c r="B118" s="104"/>
      <c r="C118" s="153"/>
      <c r="D118" s="154"/>
      <c r="E118" s="154"/>
      <c r="F118" s="146">
        <f>unique_components_1106[[#This Row],[Count]]*unique_components_1106[[#This Row],[Proposed Emission Factor]]*(1-unique_components_1106[[#This Row],[Proposed Control Efficiency]])</f>
        <v>0</v>
      </c>
      <c r="G118" s="155">
        <f>IFERROR(unique_components_1106[[#This Row],[Controlled lb/hr]]*4.38,"")</f>
        <v>0</v>
      </c>
    </row>
    <row r="119" spans="1:8" x14ac:dyDescent="0.2">
      <c r="A119" s="103"/>
      <c r="B119" s="104"/>
      <c r="C119" s="153"/>
      <c r="D119" s="154"/>
      <c r="E119" s="154"/>
      <c r="F119" s="146">
        <f>unique_components_1106[[#This Row],[Count]]*unique_components_1106[[#This Row],[Proposed Emission Factor]]*(1-unique_components_1106[[#This Row],[Proposed Control Efficiency]])</f>
        <v>0</v>
      </c>
      <c r="G119" s="155">
        <f>IFERROR(unique_components_1106[[#This Row],[Controlled lb/hr]]*4.38,"")</f>
        <v>0</v>
      </c>
    </row>
    <row r="120" spans="1:8" x14ac:dyDescent="0.2">
      <c r="A120" s="103"/>
      <c r="B120" s="104"/>
      <c r="C120" s="153"/>
      <c r="D120" s="154"/>
      <c r="E120" s="154"/>
      <c r="F120" s="146">
        <f>unique_components_1106[[#This Row],[Count]]*unique_components_1106[[#This Row],[Proposed Emission Factor]]*(1-unique_components_1106[[#This Row],[Proposed Control Efficiency]])</f>
        <v>0</v>
      </c>
      <c r="G120" s="155">
        <f>IFERROR(unique_components_1106[[#This Row],[Controlled lb/hr]]*4.38,"")</f>
        <v>0</v>
      </c>
    </row>
    <row r="121" spans="1:8" x14ac:dyDescent="0.2">
      <c r="A121" s="103"/>
      <c r="B121" s="104"/>
      <c r="C121" s="153"/>
      <c r="D121" s="154"/>
      <c r="E121" s="154"/>
      <c r="F121" s="146">
        <f>unique_components_1106[[#This Row],[Count]]*unique_components_1106[[#This Row],[Proposed Emission Factor]]*(1-unique_components_1106[[#This Row],[Proposed Control Efficiency]])</f>
        <v>0</v>
      </c>
      <c r="G121" s="155">
        <f>IFERROR(unique_components_1106[[#This Row],[Controlled lb/hr]]*4.38,"")</f>
        <v>0</v>
      </c>
    </row>
    <row r="122" spans="1:8" x14ac:dyDescent="0.2">
      <c r="A122" s="103"/>
      <c r="B122" s="104"/>
      <c r="C122" s="153"/>
      <c r="D122" s="154"/>
      <c r="E122" s="154"/>
      <c r="F122" s="146">
        <f>unique_components_1106[[#This Row],[Count]]*unique_components_1106[[#This Row],[Proposed Emission Factor]]*(1-unique_components_1106[[#This Row],[Proposed Control Efficiency]])</f>
        <v>0</v>
      </c>
      <c r="G122" s="155">
        <f>IFERROR(unique_components_1106[[#This Row],[Controlled lb/hr]]*4.38,"")</f>
        <v>0</v>
      </c>
    </row>
    <row r="123" spans="1:8" x14ac:dyDescent="0.2">
      <c r="A123" s="103"/>
      <c r="B123" s="104"/>
      <c r="C123" s="153"/>
      <c r="D123" s="154"/>
      <c r="E123" s="154"/>
      <c r="F123" s="146">
        <f>unique_components_1106[[#This Row],[Count]]*unique_components_1106[[#This Row],[Proposed Emission Factor]]*(1-unique_components_1106[[#This Row],[Proposed Control Efficiency]])</f>
        <v>0</v>
      </c>
      <c r="G123" s="155">
        <f>IFERROR(unique_components_1106[[#This Row],[Controlled lb/hr]]*4.38,"")</f>
        <v>0</v>
      </c>
    </row>
    <row r="124" spans="1:8" x14ac:dyDescent="0.2">
      <c r="A124" s="103"/>
      <c r="B124" s="104"/>
      <c r="C124" s="153"/>
      <c r="D124" s="154"/>
      <c r="E124" s="154"/>
      <c r="F124" s="146">
        <f>unique_components_1106[[#This Row],[Count]]*unique_components_1106[[#This Row],[Proposed Emission Factor]]*(1-unique_components_1106[[#This Row],[Proposed Control Efficiency]])</f>
        <v>0</v>
      </c>
      <c r="G124" s="155">
        <f>IFERROR(unique_components_1106[[#This Row],[Controlled lb/hr]]*4.38,"")</f>
        <v>0</v>
      </c>
    </row>
    <row r="125" spans="1:8" x14ac:dyDescent="0.2">
      <c r="A125" s="103"/>
      <c r="B125" s="104"/>
      <c r="C125" s="153"/>
      <c r="D125" s="154"/>
      <c r="E125" s="154"/>
      <c r="F125" s="146">
        <f>unique_components_1106[[#This Row],[Count]]*unique_components_1106[[#This Row],[Proposed Emission Factor]]*(1-unique_components_1106[[#This Row],[Proposed Control Efficiency]])</f>
        <v>0</v>
      </c>
      <c r="G125" s="155">
        <f>IFERROR(unique_components_1106[[#This Row],[Controlled lb/hr]]*4.38,"")</f>
        <v>0</v>
      </c>
    </row>
    <row r="126" spans="1:8" x14ac:dyDescent="0.2">
      <c r="A126" s="105"/>
      <c r="B126" s="106"/>
      <c r="C126" s="156"/>
      <c r="D126" s="154"/>
      <c r="E126" s="157"/>
      <c r="F126" s="158">
        <f>unique_components_1106[[#This Row],[Count]]*unique_components_1106[[#This Row],[Proposed Emission Factor]]*(1-unique_components_1106[[#This Row],[Proposed Control Efficiency]])</f>
        <v>0</v>
      </c>
      <c r="G126" s="159">
        <f>IFERROR(unique_components_1106[[#This Row],[Controlled lb/hr]]*4.38,"")</f>
        <v>0</v>
      </c>
    </row>
    <row r="127" spans="1:8" ht="30" x14ac:dyDescent="0.2">
      <c r="A127" s="57" t="s">
        <v>13297</v>
      </c>
      <c r="B127" s="54"/>
      <c r="C127" s="160">
        <f>SUBTOTAL(109,unique_components_1106[Count])</f>
        <v>0</v>
      </c>
      <c r="D127" s="161"/>
      <c r="E127" s="161"/>
      <c r="F127" s="162">
        <f>SUBTOTAL(109,unique_components_1106[Controlled lb/hr])</f>
        <v>0</v>
      </c>
      <c r="G127" s="162">
        <f>SUBTOTAL(109,unique_components_1106[Controlled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IFERROR(VLOOKUP(speciated_chemicals_1107[[#This Row],[CAS '#]],species[],MATCH("Substance", species[#Headers], 0),FALSE),"No CAS Number Entered")</f>
        <v>No CAS Number Entered</v>
      </c>
      <c r="C131" s="102"/>
      <c r="D131" s="102" t="s">
        <v>12666</v>
      </c>
      <c r="E131" s="102" t="s">
        <v>12666</v>
      </c>
      <c r="F131" s="102" t="s">
        <v>12666</v>
      </c>
      <c r="G131" s="102" t="s">
        <v>12666</v>
      </c>
      <c r="H131" s="164"/>
      <c r="I131" s="51">
        <f>IF(speciated_chemicals_1107[[#This Row],[Inert / Not a Contaminant?]]="Yes", 0, speciated_chemicals_1107[[#This Row],[Weight Percent]]*(unique_components_1106[[#Totals],[Controlled lb/hr]]+standard_components_1105[[#Totals],[Controlled
lb/hr]]))</f>
        <v>0</v>
      </c>
      <c r="J131" s="51">
        <f>IF(speciated_chemicals_1107[[#This Row],[Inert / Not a Contaminant?]]="Yes", 0, speciated_chemicals_1107[[#This Row],[Weight Percent]]*(unique_components_1106[[#Totals],[Controlled
tpy]]+standard_components_1105[[#Totals],[Controlled
tpy]]))</f>
        <v>0</v>
      </c>
    </row>
    <row r="132" spans="1:10" x14ac:dyDescent="0.2">
      <c r="A132" s="103"/>
      <c r="B132" s="51" t="str">
        <f>IFERROR(VLOOKUP(speciated_chemicals_1107[[#This Row],[CAS '#]],species[],MATCH("Substance", species[#Headers], 0),FALSE),"No CAS Number Entered")</f>
        <v>No CAS Number Entered</v>
      </c>
      <c r="C132" s="102"/>
      <c r="D132" s="102" t="s">
        <v>12666</v>
      </c>
      <c r="E132" s="102" t="s">
        <v>12666</v>
      </c>
      <c r="F132" s="102" t="s">
        <v>12666</v>
      </c>
      <c r="G132" s="102" t="s">
        <v>12666</v>
      </c>
      <c r="H132" s="164"/>
      <c r="I132" s="51">
        <f>IF(speciated_chemicals_1107[[#This Row],[Inert / Not a Contaminant?]]="Yes", 0, speciated_chemicals_1107[[#This Row],[Weight Percent]]*(unique_components_1106[[#Totals],[Controlled lb/hr]]+standard_components_1105[[#Totals],[Controlled
lb/hr]]))</f>
        <v>0</v>
      </c>
      <c r="J132" s="51">
        <f>IF(speciated_chemicals_1107[[#This Row],[Inert / Not a Contaminant?]]="Yes", 0, speciated_chemicals_1107[[#This Row],[Weight Percent]]*(unique_components_1106[[#Totals],[Controlled
tpy]]+standard_components_1105[[#Totals],[Controlled
tpy]]))</f>
        <v>0</v>
      </c>
    </row>
    <row r="133" spans="1:10" x14ac:dyDescent="0.2">
      <c r="A133" s="103"/>
      <c r="B133" s="51" t="str">
        <f>IFERROR(VLOOKUP(speciated_chemicals_1107[[#This Row],[CAS '#]],species[],MATCH("Substance", species[#Headers], 0),FALSE),"No CAS Number Entered")</f>
        <v>No CAS Number Entered</v>
      </c>
      <c r="C133" s="102"/>
      <c r="D133" s="102" t="s">
        <v>12666</v>
      </c>
      <c r="E133" s="102" t="s">
        <v>12666</v>
      </c>
      <c r="F133" s="102" t="s">
        <v>12666</v>
      </c>
      <c r="G133" s="102" t="s">
        <v>12666</v>
      </c>
      <c r="H133" s="164"/>
      <c r="I133" s="51">
        <f>IF(speciated_chemicals_1107[[#This Row],[Inert / Not a Contaminant?]]="Yes", 0, speciated_chemicals_1107[[#This Row],[Weight Percent]]*(unique_components_1106[[#Totals],[Controlled lb/hr]]+standard_components_1105[[#Totals],[Controlled
lb/hr]]))</f>
        <v>0</v>
      </c>
      <c r="J133" s="51">
        <f>IF(speciated_chemicals_1107[[#This Row],[Inert / Not a Contaminant?]]="Yes", 0, speciated_chemicals_1107[[#This Row],[Weight Percent]]*(unique_components_1106[[#Totals],[Controlled
tpy]]+standard_components_1105[[#Totals],[Controlled
tpy]]))</f>
        <v>0</v>
      </c>
    </row>
    <row r="134" spans="1:10" x14ac:dyDescent="0.2">
      <c r="A134" s="103"/>
      <c r="B134" s="51" t="str">
        <f>IFERROR(VLOOKUP(speciated_chemicals_1107[[#This Row],[CAS '#]],species[],MATCH("Substance", species[#Headers], 0),FALSE),"No CAS Number Entered")</f>
        <v>No CAS Number Entered</v>
      </c>
      <c r="C134" s="102"/>
      <c r="D134" s="102" t="s">
        <v>12666</v>
      </c>
      <c r="E134" s="102" t="s">
        <v>12666</v>
      </c>
      <c r="F134" s="102" t="s">
        <v>12666</v>
      </c>
      <c r="G134" s="102" t="s">
        <v>12666</v>
      </c>
      <c r="H134" s="164"/>
      <c r="I134" s="51">
        <f>IF(speciated_chemicals_1107[[#This Row],[Inert / Not a Contaminant?]]="Yes", 0, speciated_chemicals_1107[[#This Row],[Weight Percent]]*(unique_components_1106[[#Totals],[Controlled lb/hr]]+standard_components_1105[[#Totals],[Controlled
lb/hr]]))</f>
        <v>0</v>
      </c>
      <c r="J134" s="51">
        <f>IF(speciated_chemicals_1107[[#This Row],[Inert / Not a Contaminant?]]="Yes", 0, speciated_chemicals_1107[[#This Row],[Weight Percent]]*(unique_components_1106[[#Totals],[Controlled
tpy]]+standard_components_1105[[#Totals],[Controlled
tpy]]))</f>
        <v>0</v>
      </c>
    </row>
    <row r="135" spans="1:10" x14ac:dyDescent="0.2">
      <c r="A135" s="103"/>
      <c r="B135" s="51" t="str">
        <f>IFERROR(VLOOKUP(speciated_chemicals_1107[[#This Row],[CAS '#]],species[],MATCH("Substance", species[#Headers], 0),FALSE),"No CAS Number Entered")</f>
        <v>No CAS Number Entered</v>
      </c>
      <c r="C135" s="102"/>
      <c r="D135" s="102" t="s">
        <v>12666</v>
      </c>
      <c r="E135" s="102" t="s">
        <v>12666</v>
      </c>
      <c r="F135" s="102" t="s">
        <v>12666</v>
      </c>
      <c r="G135" s="102" t="s">
        <v>12666</v>
      </c>
      <c r="H135" s="164"/>
      <c r="I135" s="51">
        <f>IF(speciated_chemicals_1107[[#This Row],[Inert / Not a Contaminant?]]="Yes", 0, speciated_chemicals_1107[[#This Row],[Weight Percent]]*(unique_components_1106[[#Totals],[Controlled lb/hr]]+standard_components_1105[[#Totals],[Controlled
lb/hr]]))</f>
        <v>0</v>
      </c>
      <c r="J135" s="51">
        <f>IF(speciated_chemicals_1107[[#This Row],[Inert / Not a Contaminant?]]="Yes", 0, speciated_chemicals_1107[[#This Row],[Weight Percent]]*(unique_components_1106[[#Totals],[Controlled
tpy]]+standard_components_1105[[#Totals],[Controlled
tpy]]))</f>
        <v>0</v>
      </c>
    </row>
    <row r="136" spans="1:10" x14ac:dyDescent="0.2">
      <c r="A136" s="103"/>
      <c r="B136" s="51" t="str">
        <f>IFERROR(VLOOKUP(speciated_chemicals_1107[[#This Row],[CAS '#]],species[],MATCH("Substance", species[#Headers], 0),FALSE),"No CAS Number Entered")</f>
        <v>No CAS Number Entered</v>
      </c>
      <c r="C136" s="102"/>
      <c r="D136" s="102" t="s">
        <v>12666</v>
      </c>
      <c r="E136" s="102" t="s">
        <v>12666</v>
      </c>
      <c r="F136" s="102" t="s">
        <v>12666</v>
      </c>
      <c r="G136" s="102" t="s">
        <v>12666</v>
      </c>
      <c r="H136" s="164"/>
      <c r="I136" s="51">
        <f>IF(speciated_chemicals_1107[[#This Row],[Inert / Not a Contaminant?]]="Yes", 0, speciated_chemicals_1107[[#This Row],[Weight Percent]]*(unique_components_1106[[#Totals],[Controlled lb/hr]]+standard_components_1105[[#Totals],[Controlled
lb/hr]]))</f>
        <v>0</v>
      </c>
      <c r="J136" s="51">
        <f>IF(speciated_chemicals_1107[[#This Row],[Inert / Not a Contaminant?]]="Yes", 0, speciated_chemicals_1107[[#This Row],[Weight Percent]]*(unique_components_1106[[#Totals],[Controlled
tpy]]+standard_components_1105[[#Totals],[Controlled
tpy]]))</f>
        <v>0</v>
      </c>
    </row>
    <row r="137" spans="1:10" x14ac:dyDescent="0.2">
      <c r="A137" s="103"/>
      <c r="B137" s="51" t="str">
        <f>IFERROR(VLOOKUP(speciated_chemicals_1107[[#This Row],[CAS '#]],species[],MATCH("Substance", species[#Headers], 0),FALSE),"No CAS Number Entered")</f>
        <v>No CAS Number Entered</v>
      </c>
      <c r="C137" s="102"/>
      <c r="D137" s="102" t="s">
        <v>12666</v>
      </c>
      <c r="E137" s="102" t="s">
        <v>12666</v>
      </c>
      <c r="F137" s="102" t="s">
        <v>12666</v>
      </c>
      <c r="G137" s="102" t="s">
        <v>12666</v>
      </c>
      <c r="H137" s="164"/>
      <c r="I137" s="51">
        <f>IF(speciated_chemicals_1107[[#This Row],[Inert / Not a Contaminant?]]="Yes", 0, speciated_chemicals_1107[[#This Row],[Weight Percent]]*(unique_components_1106[[#Totals],[Controlled lb/hr]]+standard_components_1105[[#Totals],[Controlled
lb/hr]]))</f>
        <v>0</v>
      </c>
      <c r="J137" s="51">
        <f>IF(speciated_chemicals_1107[[#This Row],[Inert / Not a Contaminant?]]="Yes", 0, speciated_chemicals_1107[[#This Row],[Weight Percent]]*(unique_components_1106[[#Totals],[Controlled
tpy]]+standard_components_1105[[#Totals],[Controlled
tpy]]))</f>
        <v>0</v>
      </c>
    </row>
    <row r="138" spans="1:10" x14ac:dyDescent="0.2">
      <c r="A138" s="103"/>
      <c r="B138" s="51" t="str">
        <f>IFERROR(VLOOKUP(speciated_chemicals_1107[[#This Row],[CAS '#]],species[],MATCH("Substance", species[#Headers], 0),FALSE),"No CAS Number Entered")</f>
        <v>No CAS Number Entered</v>
      </c>
      <c r="C138" s="102"/>
      <c r="D138" s="102" t="s">
        <v>12666</v>
      </c>
      <c r="E138" s="102" t="s">
        <v>12666</v>
      </c>
      <c r="F138" s="102" t="s">
        <v>12666</v>
      </c>
      <c r="G138" s="102" t="s">
        <v>12666</v>
      </c>
      <c r="H138" s="164"/>
      <c r="I138" s="51">
        <f>IF(speciated_chemicals_1107[[#This Row],[Inert / Not a Contaminant?]]="Yes", 0, speciated_chemicals_1107[[#This Row],[Weight Percent]]*(unique_components_1106[[#Totals],[Controlled lb/hr]]+standard_components_1105[[#Totals],[Controlled
lb/hr]]))</f>
        <v>0</v>
      </c>
      <c r="J138" s="51">
        <f>IF(speciated_chemicals_1107[[#This Row],[Inert / Not a Contaminant?]]="Yes", 0, speciated_chemicals_1107[[#This Row],[Weight Percent]]*(unique_components_1106[[#Totals],[Controlled
tpy]]+standard_components_1105[[#Totals],[Controlled
tpy]]))</f>
        <v>0</v>
      </c>
    </row>
    <row r="139" spans="1:10" x14ac:dyDescent="0.2">
      <c r="A139" s="103"/>
      <c r="B139" s="51" t="str">
        <f>IFERROR(VLOOKUP(speciated_chemicals_1107[[#This Row],[CAS '#]],species[],MATCH("Substance", species[#Headers], 0),FALSE),"No CAS Number Entered")</f>
        <v>No CAS Number Entered</v>
      </c>
      <c r="C139" s="102"/>
      <c r="D139" s="102" t="s">
        <v>12666</v>
      </c>
      <c r="E139" s="102" t="s">
        <v>12666</v>
      </c>
      <c r="F139" s="102" t="s">
        <v>12666</v>
      </c>
      <c r="G139" s="102" t="s">
        <v>12666</v>
      </c>
      <c r="H139" s="164"/>
      <c r="I139" s="51">
        <f>IF(speciated_chemicals_1107[[#This Row],[Inert / Not a Contaminant?]]="Yes", 0, speciated_chemicals_1107[[#This Row],[Weight Percent]]*(unique_components_1106[[#Totals],[Controlled lb/hr]]+standard_components_1105[[#Totals],[Controlled
lb/hr]]))</f>
        <v>0</v>
      </c>
      <c r="J139" s="51">
        <f>IF(speciated_chemicals_1107[[#This Row],[Inert / Not a Contaminant?]]="Yes", 0, speciated_chemicals_1107[[#This Row],[Weight Percent]]*(unique_components_1106[[#Totals],[Controlled
tpy]]+standard_components_1105[[#Totals],[Controlled
tpy]]))</f>
        <v>0</v>
      </c>
    </row>
    <row r="140" spans="1:10" x14ac:dyDescent="0.2">
      <c r="A140" s="103"/>
      <c r="B140" s="51" t="str">
        <f>IFERROR(VLOOKUP(speciated_chemicals_1107[[#This Row],[CAS '#]],species[],MATCH("Substance", species[#Headers], 0),FALSE),"No CAS Number Entered")</f>
        <v>No CAS Number Entered</v>
      </c>
      <c r="C140" s="102"/>
      <c r="D140" s="102" t="s">
        <v>12666</v>
      </c>
      <c r="E140" s="102" t="s">
        <v>12666</v>
      </c>
      <c r="F140" s="102" t="s">
        <v>12666</v>
      </c>
      <c r="G140" s="102" t="s">
        <v>12666</v>
      </c>
      <c r="H140" s="164"/>
      <c r="I140" s="51">
        <f>IF(speciated_chemicals_1107[[#This Row],[Inert / Not a Contaminant?]]="Yes", 0, speciated_chemicals_1107[[#This Row],[Weight Percent]]*(unique_components_1106[[#Totals],[Controlled lb/hr]]+standard_components_1105[[#Totals],[Controlled
lb/hr]]))</f>
        <v>0</v>
      </c>
      <c r="J140" s="51">
        <f>IF(speciated_chemicals_1107[[#This Row],[Inert / Not a Contaminant?]]="Yes", 0, speciated_chemicals_1107[[#This Row],[Weight Percent]]*(unique_components_1106[[#Totals],[Controlled
tpy]]+standard_components_1105[[#Totals],[Controlled
tpy]]))</f>
        <v>0</v>
      </c>
    </row>
    <row r="141" spans="1:10" x14ac:dyDescent="0.2">
      <c r="A141" s="103"/>
      <c r="B141" s="51" t="str">
        <f>IFERROR(VLOOKUP(speciated_chemicals_1107[[#This Row],[CAS '#]],species[],MATCH("Substance", species[#Headers], 0),FALSE),"No CAS Number Entered")</f>
        <v>No CAS Number Entered</v>
      </c>
      <c r="C141" s="102"/>
      <c r="D141" s="102" t="s">
        <v>12666</v>
      </c>
      <c r="E141" s="102" t="s">
        <v>12666</v>
      </c>
      <c r="F141" s="102" t="s">
        <v>12666</v>
      </c>
      <c r="G141" s="102" t="s">
        <v>12666</v>
      </c>
      <c r="H141" s="164"/>
      <c r="I141" s="51">
        <f>IF(speciated_chemicals_1107[[#This Row],[Inert / Not a Contaminant?]]="Yes", 0, speciated_chemicals_1107[[#This Row],[Weight Percent]]*(unique_components_1106[[#Totals],[Controlled lb/hr]]+standard_components_1105[[#Totals],[Controlled
lb/hr]]))</f>
        <v>0</v>
      </c>
      <c r="J141" s="51">
        <f>IF(speciated_chemicals_1107[[#This Row],[Inert / Not a Contaminant?]]="Yes", 0, speciated_chemicals_1107[[#This Row],[Weight Percent]]*(unique_components_1106[[#Totals],[Controlled
tpy]]+standard_components_1105[[#Totals],[Controlled
tpy]]))</f>
        <v>0</v>
      </c>
    </row>
    <row r="142" spans="1:10" x14ac:dyDescent="0.2">
      <c r="A142" s="103"/>
      <c r="B142" s="51" t="str">
        <f>IFERROR(VLOOKUP(speciated_chemicals_1107[[#This Row],[CAS '#]],species[],MATCH("Substance", species[#Headers], 0),FALSE),"No CAS Number Entered")</f>
        <v>No CAS Number Entered</v>
      </c>
      <c r="C142" s="102"/>
      <c r="D142" s="102" t="s">
        <v>12666</v>
      </c>
      <c r="E142" s="102" t="s">
        <v>12666</v>
      </c>
      <c r="F142" s="102" t="s">
        <v>12666</v>
      </c>
      <c r="G142" s="102" t="s">
        <v>12666</v>
      </c>
      <c r="H142" s="164"/>
      <c r="I142" s="51">
        <f>IF(speciated_chemicals_1107[[#This Row],[Inert / Not a Contaminant?]]="Yes", 0, speciated_chemicals_1107[[#This Row],[Weight Percent]]*(unique_components_1106[[#Totals],[Controlled lb/hr]]+standard_components_1105[[#Totals],[Controlled
lb/hr]]))</f>
        <v>0</v>
      </c>
      <c r="J142" s="51">
        <f>IF(speciated_chemicals_1107[[#This Row],[Inert / Not a Contaminant?]]="Yes", 0, speciated_chemicals_1107[[#This Row],[Weight Percent]]*(unique_components_1106[[#Totals],[Controlled
tpy]]+standard_components_1105[[#Totals],[Controlled
tpy]]))</f>
        <v>0</v>
      </c>
    </row>
    <row r="143" spans="1:10" x14ac:dyDescent="0.2">
      <c r="A143" s="103"/>
      <c r="B143" s="51" t="str">
        <f>IFERROR(VLOOKUP(speciated_chemicals_1107[[#This Row],[CAS '#]],species[],MATCH("Substance", species[#Headers], 0),FALSE),"No CAS Number Entered")</f>
        <v>No CAS Number Entered</v>
      </c>
      <c r="C143" s="102"/>
      <c r="D143" s="102" t="s">
        <v>12666</v>
      </c>
      <c r="E143" s="102" t="s">
        <v>12666</v>
      </c>
      <c r="F143" s="102" t="s">
        <v>12666</v>
      </c>
      <c r="G143" s="102" t="s">
        <v>12666</v>
      </c>
      <c r="H143" s="164"/>
      <c r="I143" s="51">
        <f>IF(speciated_chemicals_1107[[#This Row],[Inert / Not a Contaminant?]]="Yes", 0, speciated_chemicals_1107[[#This Row],[Weight Percent]]*(unique_components_1106[[#Totals],[Controlled lb/hr]]+standard_components_1105[[#Totals],[Controlled
lb/hr]]))</f>
        <v>0</v>
      </c>
      <c r="J143" s="51">
        <f>IF(speciated_chemicals_1107[[#This Row],[Inert / Not a Contaminant?]]="Yes", 0, speciated_chemicals_1107[[#This Row],[Weight Percent]]*(unique_components_1106[[#Totals],[Controlled
tpy]]+standard_components_1105[[#Totals],[Controlled
tpy]]))</f>
        <v>0</v>
      </c>
    </row>
    <row r="144" spans="1:10" x14ac:dyDescent="0.2">
      <c r="A144" s="103"/>
      <c r="B144" s="51" t="str">
        <f>IFERROR(VLOOKUP(speciated_chemicals_1107[[#This Row],[CAS '#]],species[],MATCH("Substance", species[#Headers], 0),FALSE),"No CAS Number Entered")</f>
        <v>No CAS Number Entered</v>
      </c>
      <c r="C144" s="102"/>
      <c r="D144" s="102" t="s">
        <v>12666</v>
      </c>
      <c r="E144" s="102" t="s">
        <v>12666</v>
      </c>
      <c r="F144" s="102" t="s">
        <v>12666</v>
      </c>
      <c r="G144" s="102" t="s">
        <v>12666</v>
      </c>
      <c r="H144" s="164"/>
      <c r="I144" s="51">
        <f>IF(speciated_chemicals_1107[[#This Row],[Inert / Not a Contaminant?]]="Yes", 0, speciated_chemicals_1107[[#This Row],[Weight Percent]]*(unique_components_1106[[#Totals],[Controlled lb/hr]]+standard_components_1105[[#Totals],[Controlled
lb/hr]]))</f>
        <v>0</v>
      </c>
      <c r="J144" s="51">
        <f>IF(speciated_chemicals_1107[[#This Row],[Inert / Not a Contaminant?]]="Yes", 0, speciated_chemicals_1107[[#This Row],[Weight Percent]]*(unique_components_1106[[#Totals],[Controlled
tpy]]+standard_components_1105[[#Totals],[Controlled
tpy]]))</f>
        <v>0</v>
      </c>
    </row>
    <row r="145" spans="1:10" x14ac:dyDescent="0.2">
      <c r="A145" s="103"/>
      <c r="B145" s="51" t="str">
        <f>IFERROR(VLOOKUP(speciated_chemicals_1107[[#This Row],[CAS '#]],species[],MATCH("Substance", species[#Headers], 0),FALSE),"No CAS Number Entered")</f>
        <v>No CAS Number Entered</v>
      </c>
      <c r="C145" s="102"/>
      <c r="D145" s="102" t="s">
        <v>12666</v>
      </c>
      <c r="E145" s="102" t="s">
        <v>12666</v>
      </c>
      <c r="F145" s="102" t="s">
        <v>12666</v>
      </c>
      <c r="G145" s="102" t="s">
        <v>12666</v>
      </c>
      <c r="H145" s="164"/>
      <c r="I145" s="51">
        <f>IF(speciated_chemicals_1107[[#This Row],[Inert / Not a Contaminant?]]="Yes", 0, speciated_chemicals_1107[[#This Row],[Weight Percent]]*(unique_components_1106[[#Totals],[Controlled lb/hr]]+standard_components_1105[[#Totals],[Controlled
lb/hr]]))</f>
        <v>0</v>
      </c>
      <c r="J145" s="51">
        <f>IF(speciated_chemicals_1107[[#This Row],[Inert / Not a Contaminant?]]="Yes", 0, speciated_chemicals_1107[[#This Row],[Weight Percent]]*(unique_components_1106[[#Totals],[Controlled
tpy]]+standard_components_1105[[#Totals],[Controlled
tpy]]))</f>
        <v>0</v>
      </c>
    </row>
    <row r="146" spans="1:10" x14ac:dyDescent="0.2">
      <c r="A146" s="103"/>
      <c r="B146" s="51" t="str">
        <f>IFERROR(VLOOKUP(speciated_chemicals_1107[[#This Row],[CAS '#]],species[],MATCH("Substance", species[#Headers], 0),FALSE),"No CAS Number Entered")</f>
        <v>No CAS Number Entered</v>
      </c>
      <c r="C146" s="102"/>
      <c r="D146" s="102" t="s">
        <v>12666</v>
      </c>
      <c r="E146" s="102" t="s">
        <v>12666</v>
      </c>
      <c r="F146" s="102" t="s">
        <v>12666</v>
      </c>
      <c r="G146" s="102" t="s">
        <v>12666</v>
      </c>
      <c r="H146" s="164"/>
      <c r="I146" s="51">
        <f>IF(speciated_chemicals_1107[[#This Row],[Inert / Not a Contaminant?]]="Yes", 0, speciated_chemicals_1107[[#This Row],[Weight Percent]]*(unique_components_1106[[#Totals],[Controlled lb/hr]]+standard_components_1105[[#Totals],[Controlled
lb/hr]]))</f>
        <v>0</v>
      </c>
      <c r="J146" s="51">
        <f>IF(speciated_chemicals_1107[[#This Row],[Inert / Not a Contaminant?]]="Yes", 0, speciated_chemicals_1107[[#This Row],[Weight Percent]]*(unique_components_1106[[#Totals],[Controlled
tpy]]+standard_components_1105[[#Totals],[Controlled
tpy]]))</f>
        <v>0</v>
      </c>
    </row>
    <row r="147" spans="1:10" x14ac:dyDescent="0.2">
      <c r="A147" s="103"/>
      <c r="B147" s="51" t="str">
        <f>IFERROR(VLOOKUP(speciated_chemicals_1107[[#This Row],[CAS '#]],species[],MATCH("Substance", species[#Headers], 0),FALSE),"No CAS Number Entered")</f>
        <v>No CAS Number Entered</v>
      </c>
      <c r="C147" s="102"/>
      <c r="D147" s="102" t="s">
        <v>12666</v>
      </c>
      <c r="E147" s="102" t="s">
        <v>12666</v>
      </c>
      <c r="F147" s="102" t="s">
        <v>12666</v>
      </c>
      <c r="G147" s="102" t="s">
        <v>12666</v>
      </c>
      <c r="H147" s="164"/>
      <c r="I147" s="51">
        <f>IF(speciated_chemicals_1107[[#This Row],[Inert / Not a Contaminant?]]="Yes", 0, speciated_chemicals_1107[[#This Row],[Weight Percent]]*(unique_components_1106[[#Totals],[Controlled lb/hr]]+standard_components_1105[[#Totals],[Controlled
lb/hr]]))</f>
        <v>0</v>
      </c>
      <c r="J147" s="51">
        <f>IF(speciated_chemicals_1107[[#This Row],[Inert / Not a Contaminant?]]="Yes", 0, speciated_chemicals_1107[[#This Row],[Weight Percent]]*(unique_components_1106[[#Totals],[Controlled
tpy]]+standard_components_1105[[#Totals],[Controlled
tpy]]))</f>
        <v>0</v>
      </c>
    </row>
    <row r="148" spans="1:10" x14ac:dyDescent="0.2">
      <c r="A148" s="103"/>
      <c r="B148" s="51" t="str">
        <f>IFERROR(VLOOKUP(speciated_chemicals_1107[[#This Row],[CAS '#]],species[],MATCH("Substance", species[#Headers], 0),FALSE),"No CAS Number Entered")</f>
        <v>No CAS Number Entered</v>
      </c>
      <c r="C148" s="102"/>
      <c r="D148" s="102" t="s">
        <v>12666</v>
      </c>
      <c r="E148" s="102" t="s">
        <v>12666</v>
      </c>
      <c r="F148" s="102" t="s">
        <v>12666</v>
      </c>
      <c r="G148" s="102" t="s">
        <v>12666</v>
      </c>
      <c r="H148" s="164"/>
      <c r="I148" s="51">
        <f>IF(speciated_chemicals_1107[[#This Row],[Inert / Not a Contaminant?]]="Yes", 0, speciated_chemicals_1107[[#This Row],[Weight Percent]]*(unique_components_1106[[#Totals],[Controlled lb/hr]]+standard_components_1105[[#Totals],[Controlled
lb/hr]]))</f>
        <v>0</v>
      </c>
      <c r="J148" s="51">
        <f>IF(speciated_chemicals_1107[[#This Row],[Inert / Not a Contaminant?]]="Yes", 0, speciated_chemicals_1107[[#This Row],[Weight Percent]]*(unique_components_1106[[#Totals],[Controlled
tpy]]+standard_components_1105[[#Totals],[Controlled
tpy]]))</f>
        <v>0</v>
      </c>
    </row>
    <row r="149" spans="1:10" x14ac:dyDescent="0.2">
      <c r="A149" s="103"/>
      <c r="B149" s="51" t="str">
        <f>IFERROR(VLOOKUP(speciated_chemicals_1107[[#This Row],[CAS '#]],species[],MATCH("Substance", species[#Headers], 0),FALSE),"No CAS Number Entered")</f>
        <v>No CAS Number Entered</v>
      </c>
      <c r="C149" s="102"/>
      <c r="D149" s="102" t="s">
        <v>12666</v>
      </c>
      <c r="E149" s="102" t="s">
        <v>12666</v>
      </c>
      <c r="F149" s="102" t="s">
        <v>12666</v>
      </c>
      <c r="G149" s="102" t="s">
        <v>12666</v>
      </c>
      <c r="H149" s="164"/>
      <c r="I149" s="51">
        <f>IF(speciated_chemicals_1107[[#This Row],[Inert / Not a Contaminant?]]="Yes", 0, speciated_chemicals_1107[[#This Row],[Weight Percent]]*(unique_components_1106[[#Totals],[Controlled lb/hr]]+standard_components_1105[[#Totals],[Controlled
lb/hr]]))</f>
        <v>0</v>
      </c>
      <c r="J149" s="51">
        <f>IF(speciated_chemicals_1107[[#This Row],[Inert / Not a Contaminant?]]="Yes", 0, speciated_chemicals_1107[[#This Row],[Weight Percent]]*(unique_components_1106[[#Totals],[Controlled
tpy]]+standard_components_1105[[#Totals],[Controlled
tpy]]))</f>
        <v>0</v>
      </c>
    </row>
    <row r="150" spans="1:10" x14ac:dyDescent="0.2">
      <c r="A150" s="103"/>
      <c r="B150" s="51" t="str">
        <f>IFERROR(VLOOKUP(speciated_chemicals_1107[[#This Row],[CAS '#]],species[],MATCH("Substance", species[#Headers], 0),FALSE),"No CAS Number Entered")</f>
        <v>No CAS Number Entered</v>
      </c>
      <c r="C150" s="102"/>
      <c r="D150" s="102" t="s">
        <v>12666</v>
      </c>
      <c r="E150" s="102" t="s">
        <v>12666</v>
      </c>
      <c r="F150" s="102" t="s">
        <v>12666</v>
      </c>
      <c r="G150" s="102" t="s">
        <v>12666</v>
      </c>
      <c r="H150" s="164"/>
      <c r="I150" s="51">
        <f>IF(speciated_chemicals_1107[[#This Row],[Inert / Not a Contaminant?]]="Yes", 0, speciated_chemicals_1107[[#This Row],[Weight Percent]]*(unique_components_1106[[#Totals],[Controlled lb/hr]]+standard_components_1105[[#Totals],[Controlled
lb/hr]]))</f>
        <v>0</v>
      </c>
      <c r="J150" s="51">
        <f>IF(speciated_chemicals_1107[[#This Row],[Inert / Not a Contaminant?]]="Yes", 0, speciated_chemicals_1107[[#This Row],[Weight Percent]]*(unique_components_1106[[#Totals],[Controlled
tpy]]+standard_components_1105[[#Totals],[Controlled
tpy]]))</f>
        <v>0</v>
      </c>
    </row>
    <row r="151" spans="1:10" x14ac:dyDescent="0.2">
      <c r="A151" s="103"/>
      <c r="B151" s="51" t="str">
        <f>IFERROR(VLOOKUP(speciated_chemicals_1107[[#This Row],[CAS '#]],species[],MATCH("Substance", species[#Headers], 0),FALSE),"No CAS Number Entered")</f>
        <v>No CAS Number Entered</v>
      </c>
      <c r="C151" s="102"/>
      <c r="D151" s="102" t="s">
        <v>12666</v>
      </c>
      <c r="E151" s="102" t="s">
        <v>12666</v>
      </c>
      <c r="F151" s="102" t="s">
        <v>12666</v>
      </c>
      <c r="G151" s="102" t="s">
        <v>12666</v>
      </c>
      <c r="H151" s="164"/>
      <c r="I151" s="51">
        <f>IF(speciated_chemicals_1107[[#This Row],[Inert / Not a Contaminant?]]="Yes", 0, speciated_chemicals_1107[[#This Row],[Weight Percent]]*(unique_components_1106[[#Totals],[Controlled lb/hr]]+standard_components_1105[[#Totals],[Controlled
lb/hr]]))</f>
        <v>0</v>
      </c>
      <c r="J151" s="51">
        <f>IF(speciated_chemicals_1107[[#This Row],[Inert / Not a Contaminant?]]="Yes", 0, speciated_chemicals_1107[[#This Row],[Weight Percent]]*(unique_components_1106[[#Totals],[Controlled
tpy]]+standard_components_1105[[#Totals],[Controlled
tpy]]))</f>
        <v>0</v>
      </c>
    </row>
    <row r="152" spans="1:10" x14ac:dyDescent="0.2">
      <c r="A152" s="103"/>
      <c r="B152" s="51" t="str">
        <f>IFERROR(VLOOKUP(speciated_chemicals_1107[[#This Row],[CAS '#]],species[],MATCH("Substance", species[#Headers], 0),FALSE),"No CAS Number Entered")</f>
        <v>No CAS Number Entered</v>
      </c>
      <c r="C152" s="102"/>
      <c r="D152" s="102" t="s">
        <v>12666</v>
      </c>
      <c r="E152" s="102" t="s">
        <v>12666</v>
      </c>
      <c r="F152" s="102" t="s">
        <v>12666</v>
      </c>
      <c r="G152" s="102" t="s">
        <v>12666</v>
      </c>
      <c r="H152" s="164"/>
      <c r="I152" s="51">
        <f>IF(speciated_chemicals_1107[[#This Row],[Inert / Not a Contaminant?]]="Yes", 0, speciated_chemicals_1107[[#This Row],[Weight Percent]]*(unique_components_1106[[#Totals],[Controlled lb/hr]]+standard_components_1105[[#Totals],[Controlled
lb/hr]]))</f>
        <v>0</v>
      </c>
      <c r="J152" s="51">
        <f>IF(speciated_chemicals_1107[[#This Row],[Inert / Not a Contaminant?]]="Yes", 0, speciated_chemicals_1107[[#This Row],[Weight Percent]]*(unique_components_1106[[#Totals],[Controlled
tpy]]+standard_components_1105[[#Totals],[Controlled
tpy]]))</f>
        <v>0</v>
      </c>
    </row>
    <row r="153" spans="1:10" x14ac:dyDescent="0.2">
      <c r="A153" s="103"/>
      <c r="B153" s="51" t="str">
        <f>IFERROR(VLOOKUP(speciated_chemicals_1107[[#This Row],[CAS '#]],species[],MATCH("Substance", species[#Headers], 0),FALSE),"No CAS Number Entered")</f>
        <v>No CAS Number Entered</v>
      </c>
      <c r="C153" s="102"/>
      <c r="D153" s="102" t="s">
        <v>12666</v>
      </c>
      <c r="E153" s="102" t="s">
        <v>12666</v>
      </c>
      <c r="F153" s="102" t="s">
        <v>12666</v>
      </c>
      <c r="G153" s="102" t="s">
        <v>12666</v>
      </c>
      <c r="H153" s="164"/>
      <c r="I153" s="51">
        <f>IF(speciated_chemicals_1107[[#This Row],[Inert / Not a Contaminant?]]="Yes", 0, speciated_chemicals_1107[[#This Row],[Weight Percent]]*(unique_components_1106[[#Totals],[Controlled lb/hr]]+standard_components_1105[[#Totals],[Controlled
lb/hr]]))</f>
        <v>0</v>
      </c>
      <c r="J153" s="51">
        <f>IF(speciated_chemicals_1107[[#This Row],[Inert / Not a Contaminant?]]="Yes", 0, speciated_chemicals_1107[[#This Row],[Weight Percent]]*(unique_components_1106[[#Totals],[Controlled
tpy]]+standard_components_1105[[#Totals],[Controlled
tpy]]))</f>
        <v>0</v>
      </c>
    </row>
    <row r="154" spans="1:10" x14ac:dyDescent="0.2">
      <c r="A154" s="103"/>
      <c r="B154" s="51" t="str">
        <f>IFERROR(VLOOKUP(speciated_chemicals_1107[[#This Row],[CAS '#]],species[],MATCH("Substance", species[#Headers], 0),FALSE),"No CAS Number Entered")</f>
        <v>No CAS Number Entered</v>
      </c>
      <c r="C154" s="102"/>
      <c r="D154" s="102" t="s">
        <v>12666</v>
      </c>
      <c r="E154" s="102" t="s">
        <v>12666</v>
      </c>
      <c r="F154" s="102" t="s">
        <v>12666</v>
      </c>
      <c r="G154" s="102" t="s">
        <v>12666</v>
      </c>
      <c r="H154" s="164"/>
      <c r="I154" s="51">
        <f>IF(speciated_chemicals_1107[[#This Row],[Inert / Not a Contaminant?]]="Yes", 0, speciated_chemicals_1107[[#This Row],[Weight Percent]]*(unique_components_1106[[#Totals],[Controlled lb/hr]]+standard_components_1105[[#Totals],[Controlled
lb/hr]]))</f>
        <v>0</v>
      </c>
      <c r="J154" s="51">
        <f>IF(speciated_chemicals_1107[[#This Row],[Inert / Not a Contaminant?]]="Yes", 0, speciated_chemicals_1107[[#This Row],[Weight Percent]]*(unique_components_1106[[#Totals],[Controlled
tpy]]+standard_components_1105[[#Totals],[Controlled
tpy]]))</f>
        <v>0</v>
      </c>
    </row>
    <row r="155" spans="1:10" x14ac:dyDescent="0.2">
      <c r="A155" s="103"/>
      <c r="B155" s="51" t="str">
        <f>IFERROR(VLOOKUP(speciated_chemicals_1107[[#This Row],[CAS '#]],species[],MATCH("Substance", species[#Headers], 0),FALSE),"No CAS Number Entered")</f>
        <v>No CAS Number Entered</v>
      </c>
      <c r="C155" s="102"/>
      <c r="D155" s="102" t="s">
        <v>12666</v>
      </c>
      <c r="E155" s="102" t="s">
        <v>12666</v>
      </c>
      <c r="F155" s="102" t="s">
        <v>12666</v>
      </c>
      <c r="G155" s="102" t="s">
        <v>12666</v>
      </c>
      <c r="H155" s="164"/>
      <c r="I155" s="51">
        <f>IF(speciated_chemicals_1107[[#This Row],[Inert / Not a Contaminant?]]="Yes", 0, speciated_chemicals_1107[[#This Row],[Weight Percent]]*(unique_components_1106[[#Totals],[Controlled lb/hr]]+standard_components_1105[[#Totals],[Controlled
lb/hr]]))</f>
        <v>0</v>
      </c>
      <c r="J155" s="51">
        <f>IF(speciated_chemicals_1107[[#This Row],[Inert / Not a Contaminant?]]="Yes", 0, speciated_chemicals_1107[[#This Row],[Weight Percent]]*(unique_components_1106[[#Totals],[Controlled
tpy]]+standard_components_1105[[#Totals],[Controlled
tpy]]))</f>
        <v>0</v>
      </c>
    </row>
    <row r="156" spans="1:10" x14ac:dyDescent="0.2">
      <c r="A156" s="103"/>
      <c r="B156" s="51" t="str">
        <f>IFERROR(VLOOKUP(speciated_chemicals_1107[[#This Row],[CAS '#]],species[],MATCH("Substance", species[#Headers], 0),FALSE),"No CAS Number Entered")</f>
        <v>No CAS Number Entered</v>
      </c>
      <c r="C156" s="102"/>
      <c r="D156" s="102" t="s">
        <v>12666</v>
      </c>
      <c r="E156" s="102" t="s">
        <v>12666</v>
      </c>
      <c r="F156" s="102" t="s">
        <v>12666</v>
      </c>
      <c r="G156" s="102" t="s">
        <v>12666</v>
      </c>
      <c r="H156" s="164"/>
      <c r="I156" s="51">
        <f>IF(speciated_chemicals_1107[[#This Row],[Inert / Not a Contaminant?]]="Yes", 0, speciated_chemicals_1107[[#This Row],[Weight Percent]]*(unique_components_1106[[#Totals],[Controlled lb/hr]]+standard_components_1105[[#Totals],[Controlled
lb/hr]]))</f>
        <v>0</v>
      </c>
      <c r="J156" s="51">
        <f>IF(speciated_chemicals_1107[[#This Row],[Inert / Not a Contaminant?]]="Yes", 0, speciated_chemicals_1107[[#This Row],[Weight Percent]]*(unique_components_1106[[#Totals],[Controlled
tpy]]+standard_components_1105[[#Totals],[Controlled
tpy]]))</f>
        <v>0</v>
      </c>
    </row>
    <row r="157" spans="1:10" x14ac:dyDescent="0.2">
      <c r="A157" s="103"/>
      <c r="B157" s="51" t="str">
        <f>IFERROR(VLOOKUP(speciated_chemicals_1107[[#This Row],[CAS '#]],species[],MATCH("Substance", species[#Headers], 0),FALSE),"No CAS Number Entered")</f>
        <v>No CAS Number Entered</v>
      </c>
      <c r="C157" s="102"/>
      <c r="D157" s="102" t="s">
        <v>12666</v>
      </c>
      <c r="E157" s="102" t="s">
        <v>12666</v>
      </c>
      <c r="F157" s="102" t="s">
        <v>12666</v>
      </c>
      <c r="G157" s="102" t="s">
        <v>12666</v>
      </c>
      <c r="H157" s="164"/>
      <c r="I157" s="51">
        <f>IF(speciated_chemicals_1107[[#This Row],[Inert / Not a Contaminant?]]="Yes", 0, speciated_chemicals_1107[[#This Row],[Weight Percent]]*(unique_components_1106[[#Totals],[Controlled lb/hr]]+standard_components_1105[[#Totals],[Controlled
lb/hr]]))</f>
        <v>0</v>
      </c>
      <c r="J157" s="51">
        <f>IF(speciated_chemicals_1107[[#This Row],[Inert / Not a Contaminant?]]="Yes", 0, speciated_chemicals_1107[[#This Row],[Weight Percent]]*(unique_components_1106[[#Totals],[Controlled
tpy]]+standard_components_1105[[#Totals],[Controlled
tpy]]))</f>
        <v>0</v>
      </c>
    </row>
    <row r="158" spans="1:10" x14ac:dyDescent="0.2">
      <c r="A158" s="103"/>
      <c r="B158" s="51" t="str">
        <f>IFERROR(VLOOKUP(speciated_chemicals_1107[[#This Row],[CAS '#]],species[],MATCH("Substance", species[#Headers], 0),FALSE),"No CAS Number Entered")</f>
        <v>No CAS Number Entered</v>
      </c>
      <c r="C158" s="102"/>
      <c r="D158" s="102" t="s">
        <v>12666</v>
      </c>
      <c r="E158" s="102" t="s">
        <v>12666</v>
      </c>
      <c r="F158" s="102" t="s">
        <v>12666</v>
      </c>
      <c r="G158" s="102" t="s">
        <v>12666</v>
      </c>
      <c r="H158" s="164"/>
      <c r="I158" s="51">
        <f>IF(speciated_chemicals_1107[[#This Row],[Inert / Not a Contaminant?]]="Yes", 0, speciated_chemicals_1107[[#This Row],[Weight Percent]]*(unique_components_1106[[#Totals],[Controlled lb/hr]]+standard_components_1105[[#Totals],[Controlled
lb/hr]]))</f>
        <v>0</v>
      </c>
      <c r="J158" s="51">
        <f>IF(speciated_chemicals_1107[[#This Row],[Inert / Not a Contaminant?]]="Yes", 0, speciated_chemicals_1107[[#This Row],[Weight Percent]]*(unique_components_1106[[#Totals],[Controlled
tpy]]+standard_components_1105[[#Totals],[Controlled
tpy]]))</f>
        <v>0</v>
      </c>
    </row>
    <row r="159" spans="1:10" x14ac:dyDescent="0.2">
      <c r="A159" s="103"/>
      <c r="B159" s="51" t="str">
        <f>IFERROR(VLOOKUP(speciated_chemicals_1107[[#This Row],[CAS '#]],species[],MATCH("Substance", species[#Headers], 0),FALSE),"No CAS Number Entered")</f>
        <v>No CAS Number Entered</v>
      </c>
      <c r="C159" s="102"/>
      <c r="D159" s="102" t="s">
        <v>12666</v>
      </c>
      <c r="E159" s="102" t="s">
        <v>12666</v>
      </c>
      <c r="F159" s="102" t="s">
        <v>12666</v>
      </c>
      <c r="G159" s="102" t="s">
        <v>12666</v>
      </c>
      <c r="H159" s="164"/>
      <c r="I159" s="51">
        <f>IF(speciated_chemicals_1107[[#This Row],[Inert / Not a Contaminant?]]="Yes", 0, speciated_chemicals_1107[[#This Row],[Weight Percent]]*(unique_components_1106[[#Totals],[Controlled lb/hr]]+standard_components_1105[[#Totals],[Controlled
lb/hr]]))</f>
        <v>0</v>
      </c>
      <c r="J159" s="51">
        <f>IF(speciated_chemicals_1107[[#This Row],[Inert / Not a Contaminant?]]="Yes", 0, speciated_chemicals_1107[[#This Row],[Weight Percent]]*(unique_components_1106[[#Totals],[Controlled
tpy]]+standard_components_1105[[#Totals],[Controlled
tpy]]))</f>
        <v>0</v>
      </c>
    </row>
    <row r="160" spans="1:10" x14ac:dyDescent="0.2">
      <c r="A160" s="103"/>
      <c r="B160" s="51" t="str">
        <f>IFERROR(VLOOKUP(speciated_chemicals_1107[[#This Row],[CAS '#]],species[],MATCH("Substance", species[#Headers], 0),FALSE),"No CAS Number Entered")</f>
        <v>No CAS Number Entered</v>
      </c>
      <c r="C160" s="102"/>
      <c r="D160" s="102" t="s">
        <v>12666</v>
      </c>
      <c r="E160" s="102" t="s">
        <v>12666</v>
      </c>
      <c r="F160" s="102" t="s">
        <v>12666</v>
      </c>
      <c r="G160" s="102" t="s">
        <v>12666</v>
      </c>
      <c r="H160" s="164"/>
      <c r="I160" s="51">
        <f>IF(speciated_chemicals_1107[[#This Row],[Inert / Not a Contaminant?]]="Yes", 0, speciated_chemicals_1107[[#This Row],[Weight Percent]]*(unique_components_1106[[#Totals],[Controlled lb/hr]]+standard_components_1105[[#Totals],[Controlled
lb/hr]]))</f>
        <v>0</v>
      </c>
      <c r="J160" s="51">
        <f>IF(speciated_chemicals_1107[[#This Row],[Inert / Not a Contaminant?]]="Yes", 0, speciated_chemicals_1107[[#This Row],[Weight Percent]]*(unique_components_1106[[#Totals],[Controlled
tpy]]+standard_components_1105[[#Totals],[Controlled
tpy]]))</f>
        <v>0</v>
      </c>
    </row>
    <row r="161" spans="1:10" x14ac:dyDescent="0.2">
      <c r="A161" s="103"/>
      <c r="B161" s="51" t="str">
        <f>IFERROR(VLOOKUP(speciated_chemicals_1107[[#This Row],[CAS '#]],species[],MATCH("Substance", species[#Headers], 0),FALSE),"No CAS Number Entered")</f>
        <v>No CAS Number Entered</v>
      </c>
      <c r="C161" s="102"/>
      <c r="D161" s="102" t="s">
        <v>12666</v>
      </c>
      <c r="E161" s="102" t="s">
        <v>12666</v>
      </c>
      <c r="F161" s="102" t="s">
        <v>12666</v>
      </c>
      <c r="G161" s="102" t="s">
        <v>12666</v>
      </c>
      <c r="H161" s="164"/>
      <c r="I161" s="51">
        <f>IF(speciated_chemicals_1107[[#This Row],[Inert / Not a Contaminant?]]="Yes", 0, speciated_chemicals_1107[[#This Row],[Weight Percent]]*(unique_components_1106[[#Totals],[Controlled lb/hr]]+standard_components_1105[[#Totals],[Controlled
lb/hr]]))</f>
        <v>0</v>
      </c>
      <c r="J161" s="51">
        <f>IF(speciated_chemicals_1107[[#This Row],[Inert / Not a Contaminant?]]="Yes", 0, speciated_chemicals_1107[[#This Row],[Weight Percent]]*(unique_components_1106[[#Totals],[Controlled
tpy]]+standard_components_1105[[#Totals],[Controlled
tpy]]))</f>
        <v>0</v>
      </c>
    </row>
    <row r="162" spans="1:10" x14ac:dyDescent="0.2">
      <c r="A162" s="103"/>
      <c r="B162" s="51" t="str">
        <f>IFERROR(VLOOKUP(speciated_chemicals_1107[[#This Row],[CAS '#]],species[],MATCH("Substance", species[#Headers], 0),FALSE),"No CAS Number Entered")</f>
        <v>No CAS Number Entered</v>
      </c>
      <c r="C162" s="102"/>
      <c r="D162" s="102" t="s">
        <v>12666</v>
      </c>
      <c r="E162" s="102" t="s">
        <v>12666</v>
      </c>
      <c r="F162" s="102" t="s">
        <v>12666</v>
      </c>
      <c r="G162" s="102" t="s">
        <v>12666</v>
      </c>
      <c r="H162" s="164"/>
      <c r="I162" s="51">
        <f>IF(speciated_chemicals_1107[[#This Row],[Inert / Not a Contaminant?]]="Yes", 0, speciated_chemicals_1107[[#This Row],[Weight Percent]]*(unique_components_1106[[#Totals],[Controlled lb/hr]]+standard_components_1105[[#Totals],[Controlled
lb/hr]]))</f>
        <v>0</v>
      </c>
      <c r="J162" s="51">
        <f>IF(speciated_chemicals_1107[[#This Row],[Inert / Not a Contaminant?]]="Yes", 0, speciated_chemicals_1107[[#This Row],[Weight Percent]]*(unique_components_1106[[#Totals],[Controlled
tpy]]+standard_components_1105[[#Totals],[Controlled
tpy]]))</f>
        <v>0</v>
      </c>
    </row>
    <row r="163" spans="1:10" x14ac:dyDescent="0.2">
      <c r="A163" s="103"/>
      <c r="B163" s="51" t="str">
        <f>IFERROR(VLOOKUP(speciated_chemicals_1107[[#This Row],[CAS '#]],species[],MATCH("Substance", species[#Headers], 0),FALSE),"No CAS Number Entered")</f>
        <v>No CAS Number Entered</v>
      </c>
      <c r="C163" s="102"/>
      <c r="D163" s="102" t="s">
        <v>12666</v>
      </c>
      <c r="E163" s="102" t="s">
        <v>12666</v>
      </c>
      <c r="F163" s="102" t="s">
        <v>12666</v>
      </c>
      <c r="G163" s="102" t="s">
        <v>12666</v>
      </c>
      <c r="H163" s="164"/>
      <c r="I163" s="51">
        <f>IF(speciated_chemicals_1107[[#This Row],[Inert / Not a Contaminant?]]="Yes", 0, speciated_chemicals_1107[[#This Row],[Weight Percent]]*(unique_components_1106[[#Totals],[Controlled lb/hr]]+standard_components_1105[[#Totals],[Controlled
lb/hr]]))</f>
        <v>0</v>
      </c>
      <c r="J163" s="51">
        <f>IF(speciated_chemicals_1107[[#This Row],[Inert / Not a Contaminant?]]="Yes", 0, speciated_chemicals_1107[[#This Row],[Weight Percent]]*(unique_components_1106[[#Totals],[Controlled
tpy]]+standard_components_1105[[#Totals],[Controlled
tpy]]))</f>
        <v>0</v>
      </c>
    </row>
    <row r="164" spans="1:10" x14ac:dyDescent="0.2">
      <c r="A164" s="103"/>
      <c r="B164" s="51" t="str">
        <f>IFERROR(VLOOKUP(speciated_chemicals_1107[[#This Row],[CAS '#]],species[],MATCH("Substance", species[#Headers], 0),FALSE),"No CAS Number Entered")</f>
        <v>No CAS Number Entered</v>
      </c>
      <c r="C164" s="102"/>
      <c r="D164" s="102" t="s">
        <v>12666</v>
      </c>
      <c r="E164" s="102" t="s">
        <v>12666</v>
      </c>
      <c r="F164" s="102" t="s">
        <v>12666</v>
      </c>
      <c r="G164" s="102" t="s">
        <v>12666</v>
      </c>
      <c r="H164" s="164"/>
      <c r="I164" s="51">
        <f>IF(speciated_chemicals_1107[[#This Row],[Inert / Not a Contaminant?]]="Yes", 0, speciated_chemicals_1107[[#This Row],[Weight Percent]]*(unique_components_1106[[#Totals],[Controlled lb/hr]]+standard_components_1105[[#Totals],[Controlled
lb/hr]]))</f>
        <v>0</v>
      </c>
      <c r="J164" s="51">
        <f>IF(speciated_chemicals_1107[[#This Row],[Inert / Not a Contaminant?]]="Yes", 0, speciated_chemicals_1107[[#This Row],[Weight Percent]]*(unique_components_1106[[#Totals],[Controlled
tpy]]+standard_components_1105[[#Totals],[Controlled
tpy]]))</f>
        <v>0</v>
      </c>
    </row>
    <row r="165" spans="1:10" x14ac:dyDescent="0.2">
      <c r="A165" s="103"/>
      <c r="B165" s="51" t="str">
        <f>IFERROR(VLOOKUP(speciated_chemicals_1107[[#This Row],[CAS '#]],species[],MATCH("Substance", species[#Headers], 0),FALSE),"No CAS Number Entered")</f>
        <v>No CAS Number Entered</v>
      </c>
      <c r="C165" s="102"/>
      <c r="D165" s="102" t="s">
        <v>12666</v>
      </c>
      <c r="E165" s="102" t="s">
        <v>12666</v>
      </c>
      <c r="F165" s="102" t="s">
        <v>12666</v>
      </c>
      <c r="G165" s="102" t="s">
        <v>12666</v>
      </c>
      <c r="H165" s="164"/>
      <c r="I165" s="51">
        <f>IF(speciated_chemicals_1107[[#This Row],[Inert / Not a Contaminant?]]="Yes", 0, speciated_chemicals_1107[[#This Row],[Weight Percent]]*(unique_components_1106[[#Totals],[Controlled lb/hr]]+standard_components_1105[[#Totals],[Controlled
lb/hr]]))</f>
        <v>0</v>
      </c>
      <c r="J165" s="51">
        <f>IF(speciated_chemicals_1107[[#This Row],[Inert / Not a Contaminant?]]="Yes", 0, speciated_chemicals_1107[[#This Row],[Weight Percent]]*(unique_components_1106[[#Totals],[Controlled
tpy]]+standard_components_1105[[#Totals],[Controlled
tpy]]))</f>
        <v>0</v>
      </c>
    </row>
    <row r="166" spans="1:10" x14ac:dyDescent="0.2">
      <c r="A166" s="103"/>
      <c r="B166" s="51" t="str">
        <f>IFERROR(VLOOKUP(speciated_chemicals_1107[[#This Row],[CAS '#]],species[],MATCH("Substance", species[#Headers], 0),FALSE),"No CAS Number Entered")</f>
        <v>No CAS Number Entered</v>
      </c>
      <c r="C166" s="102"/>
      <c r="D166" s="102" t="s">
        <v>12666</v>
      </c>
      <c r="E166" s="102" t="s">
        <v>12666</v>
      </c>
      <c r="F166" s="102" t="s">
        <v>12666</v>
      </c>
      <c r="G166" s="102" t="s">
        <v>12666</v>
      </c>
      <c r="H166" s="164"/>
      <c r="I166" s="51">
        <f>IF(speciated_chemicals_1107[[#This Row],[Inert / Not a Contaminant?]]="Yes", 0, speciated_chemicals_1107[[#This Row],[Weight Percent]]*(unique_components_1106[[#Totals],[Controlled lb/hr]]+standard_components_1105[[#Totals],[Controlled
lb/hr]]))</f>
        <v>0</v>
      </c>
      <c r="J166" s="51">
        <f>IF(speciated_chemicals_1107[[#This Row],[Inert / Not a Contaminant?]]="Yes", 0, speciated_chemicals_1107[[#This Row],[Weight Percent]]*(unique_components_1106[[#Totals],[Controlled
tpy]]+standard_components_1105[[#Totals],[Controlled
tpy]]))</f>
        <v>0</v>
      </c>
    </row>
    <row r="167" spans="1:10" x14ac:dyDescent="0.2">
      <c r="A167" s="103"/>
      <c r="B167" s="51" t="str">
        <f>IFERROR(VLOOKUP(speciated_chemicals_1107[[#This Row],[CAS '#]],species[],MATCH("Substance", species[#Headers], 0),FALSE),"No CAS Number Entered")</f>
        <v>No CAS Number Entered</v>
      </c>
      <c r="C167" s="102"/>
      <c r="D167" s="102" t="s">
        <v>12666</v>
      </c>
      <c r="E167" s="102" t="s">
        <v>12666</v>
      </c>
      <c r="F167" s="102" t="s">
        <v>12666</v>
      </c>
      <c r="G167" s="102" t="s">
        <v>12666</v>
      </c>
      <c r="H167" s="164"/>
      <c r="I167" s="51">
        <f>IF(speciated_chemicals_1107[[#This Row],[Inert / Not a Contaminant?]]="Yes", 0, speciated_chemicals_1107[[#This Row],[Weight Percent]]*(unique_components_1106[[#Totals],[Controlled lb/hr]]+standard_components_1105[[#Totals],[Controlled
lb/hr]]))</f>
        <v>0</v>
      </c>
      <c r="J167" s="51">
        <f>IF(speciated_chemicals_1107[[#This Row],[Inert / Not a Contaminant?]]="Yes", 0, speciated_chemicals_1107[[#This Row],[Weight Percent]]*(unique_components_1106[[#Totals],[Controlled
tpy]]+standard_components_1105[[#Totals],[Controlled
tpy]]))</f>
        <v>0</v>
      </c>
    </row>
    <row r="168" spans="1:10" x14ac:dyDescent="0.2">
      <c r="A168" s="103"/>
      <c r="B168" s="51" t="str">
        <f>IFERROR(VLOOKUP(speciated_chemicals_1107[[#This Row],[CAS '#]],species[],MATCH("Substance", species[#Headers], 0),FALSE),"No CAS Number Entered")</f>
        <v>No CAS Number Entered</v>
      </c>
      <c r="C168" s="102"/>
      <c r="D168" s="102" t="s">
        <v>12666</v>
      </c>
      <c r="E168" s="102" t="s">
        <v>12666</v>
      </c>
      <c r="F168" s="102" t="s">
        <v>12666</v>
      </c>
      <c r="G168" s="102" t="s">
        <v>12666</v>
      </c>
      <c r="H168" s="164"/>
      <c r="I168" s="51">
        <f>IF(speciated_chemicals_1107[[#This Row],[Inert / Not a Contaminant?]]="Yes", 0, speciated_chemicals_1107[[#This Row],[Weight Percent]]*(unique_components_1106[[#Totals],[Controlled lb/hr]]+standard_components_1105[[#Totals],[Controlled
lb/hr]]))</f>
        <v>0</v>
      </c>
      <c r="J168" s="51">
        <f>IF(speciated_chemicals_1107[[#This Row],[Inert / Not a Contaminant?]]="Yes", 0, speciated_chemicals_1107[[#This Row],[Weight Percent]]*(unique_components_1106[[#Totals],[Controlled
tpy]]+standard_components_1105[[#Totals],[Controlled
tpy]]))</f>
        <v>0</v>
      </c>
    </row>
    <row r="169" spans="1:10" x14ac:dyDescent="0.2">
      <c r="A169" s="103"/>
      <c r="B169" s="51" t="str">
        <f>IFERROR(VLOOKUP(speciated_chemicals_1107[[#This Row],[CAS '#]],species[],MATCH("Substance", species[#Headers], 0),FALSE),"No CAS Number Entered")</f>
        <v>No CAS Number Entered</v>
      </c>
      <c r="C169" s="102"/>
      <c r="D169" s="102" t="s">
        <v>12666</v>
      </c>
      <c r="E169" s="102" t="s">
        <v>12666</v>
      </c>
      <c r="F169" s="102" t="s">
        <v>12666</v>
      </c>
      <c r="G169" s="102" t="s">
        <v>12666</v>
      </c>
      <c r="H169" s="164"/>
      <c r="I169" s="51">
        <f>IF(speciated_chemicals_1107[[#This Row],[Inert / Not a Contaminant?]]="Yes", 0, speciated_chemicals_1107[[#This Row],[Weight Percent]]*(unique_components_1106[[#Totals],[Controlled lb/hr]]+standard_components_1105[[#Totals],[Controlled
lb/hr]]))</f>
        <v>0</v>
      </c>
      <c r="J169" s="51">
        <f>IF(speciated_chemicals_1107[[#This Row],[Inert / Not a Contaminant?]]="Yes", 0, speciated_chemicals_1107[[#This Row],[Weight Percent]]*(unique_components_1106[[#Totals],[Controlled
tpy]]+standard_components_1105[[#Totals],[Controlled
tpy]]))</f>
        <v>0</v>
      </c>
    </row>
    <row r="170" spans="1:10" x14ac:dyDescent="0.2">
      <c r="A170" s="103"/>
      <c r="B170" s="51" t="str">
        <f>IFERROR(VLOOKUP(speciated_chemicals_1107[[#This Row],[CAS '#]],species[],MATCH("Substance", species[#Headers], 0),FALSE),"No CAS Number Entered")</f>
        <v>No CAS Number Entered</v>
      </c>
      <c r="C170" s="102"/>
      <c r="D170" s="102" t="s">
        <v>12666</v>
      </c>
      <c r="E170" s="102" t="s">
        <v>12666</v>
      </c>
      <c r="F170" s="102" t="s">
        <v>12666</v>
      </c>
      <c r="G170" s="102" t="s">
        <v>12666</v>
      </c>
      <c r="H170" s="164"/>
      <c r="I170" s="51">
        <f>IF(speciated_chemicals_1107[[#This Row],[Inert / Not a Contaminant?]]="Yes", 0, speciated_chemicals_1107[[#This Row],[Weight Percent]]*(unique_components_1106[[#Totals],[Controlled lb/hr]]+standard_components_1105[[#Totals],[Controlled
lb/hr]]))</f>
        <v>0</v>
      </c>
      <c r="J170" s="51">
        <f>IF(speciated_chemicals_1107[[#This Row],[Inert / Not a Contaminant?]]="Yes", 0, speciated_chemicals_1107[[#This Row],[Weight Percent]]*(unique_components_1106[[#Totals],[Controlled
tpy]]+standard_components_1105[[#Totals],[Controlled
tpy]]))</f>
        <v>0</v>
      </c>
    </row>
    <row r="171" spans="1:10" x14ac:dyDescent="0.2">
      <c r="A171" s="103"/>
      <c r="B171" s="51" t="str">
        <f>IFERROR(VLOOKUP(speciated_chemicals_1107[[#This Row],[CAS '#]],species[],MATCH("Substance", species[#Headers], 0),FALSE),"No CAS Number Entered")</f>
        <v>No CAS Number Entered</v>
      </c>
      <c r="C171" s="102"/>
      <c r="D171" s="102" t="s">
        <v>12666</v>
      </c>
      <c r="E171" s="102" t="s">
        <v>12666</v>
      </c>
      <c r="F171" s="102" t="s">
        <v>12666</v>
      </c>
      <c r="G171" s="102" t="s">
        <v>12666</v>
      </c>
      <c r="H171" s="164"/>
      <c r="I171" s="51">
        <f>IF(speciated_chemicals_1107[[#This Row],[Inert / Not a Contaminant?]]="Yes", 0, speciated_chemicals_1107[[#This Row],[Weight Percent]]*(unique_components_1106[[#Totals],[Controlled lb/hr]]+standard_components_1105[[#Totals],[Controlled
lb/hr]]))</f>
        <v>0</v>
      </c>
      <c r="J171" s="51">
        <f>IF(speciated_chemicals_1107[[#This Row],[Inert / Not a Contaminant?]]="Yes", 0, speciated_chemicals_1107[[#This Row],[Weight Percent]]*(unique_components_1106[[#Totals],[Controlled
tpy]]+standard_components_1105[[#Totals],[Controlled
tpy]]))</f>
        <v>0</v>
      </c>
    </row>
    <row r="172" spans="1:10" x14ac:dyDescent="0.2">
      <c r="A172" s="103"/>
      <c r="B172" s="51" t="str">
        <f>IFERROR(VLOOKUP(speciated_chemicals_1107[[#This Row],[CAS '#]],species[],MATCH("Substance", species[#Headers], 0),FALSE),"No CAS Number Entered")</f>
        <v>No CAS Number Entered</v>
      </c>
      <c r="C172" s="102"/>
      <c r="D172" s="102" t="s">
        <v>12666</v>
      </c>
      <c r="E172" s="102" t="s">
        <v>12666</v>
      </c>
      <c r="F172" s="102" t="s">
        <v>12666</v>
      </c>
      <c r="G172" s="102" t="s">
        <v>12666</v>
      </c>
      <c r="H172" s="164"/>
      <c r="I172" s="51">
        <f>IF(speciated_chemicals_1107[[#This Row],[Inert / Not a Contaminant?]]="Yes", 0, speciated_chemicals_1107[[#This Row],[Weight Percent]]*(unique_components_1106[[#Totals],[Controlled lb/hr]]+standard_components_1105[[#Totals],[Controlled
lb/hr]]))</f>
        <v>0</v>
      </c>
      <c r="J172" s="51">
        <f>IF(speciated_chemicals_1107[[#This Row],[Inert / Not a Contaminant?]]="Yes", 0, speciated_chemicals_1107[[#This Row],[Weight Percent]]*(unique_components_1106[[#Totals],[Controlled
tpy]]+standard_components_1105[[#Totals],[Controlled
tpy]]))</f>
        <v>0</v>
      </c>
    </row>
    <row r="173" spans="1:10" x14ac:dyDescent="0.2">
      <c r="A173" s="103"/>
      <c r="B173" s="51" t="str">
        <f>IFERROR(VLOOKUP(speciated_chemicals_1107[[#This Row],[CAS '#]],species[],MATCH("Substance", species[#Headers], 0),FALSE),"No CAS Number Entered")</f>
        <v>No CAS Number Entered</v>
      </c>
      <c r="C173" s="102"/>
      <c r="D173" s="102" t="s">
        <v>12666</v>
      </c>
      <c r="E173" s="102" t="s">
        <v>12666</v>
      </c>
      <c r="F173" s="102" t="s">
        <v>12666</v>
      </c>
      <c r="G173" s="102" t="s">
        <v>12666</v>
      </c>
      <c r="H173" s="164"/>
      <c r="I173" s="51">
        <f>IF(speciated_chemicals_1107[[#This Row],[Inert / Not a Contaminant?]]="Yes", 0, speciated_chemicals_1107[[#This Row],[Weight Percent]]*(unique_components_1106[[#Totals],[Controlled lb/hr]]+standard_components_1105[[#Totals],[Controlled
lb/hr]]))</f>
        <v>0</v>
      </c>
      <c r="J173" s="51">
        <f>IF(speciated_chemicals_1107[[#This Row],[Inert / Not a Contaminant?]]="Yes", 0, speciated_chemicals_1107[[#This Row],[Weight Percent]]*(unique_components_1106[[#Totals],[Controlled
tpy]]+standard_components_1105[[#Totals],[Controlled
tpy]]))</f>
        <v>0</v>
      </c>
    </row>
    <row r="174" spans="1:10" x14ac:dyDescent="0.2">
      <c r="A174" s="103"/>
      <c r="B174" s="51" t="str">
        <f>IFERROR(VLOOKUP(speciated_chemicals_1107[[#This Row],[CAS '#]],species[],MATCH("Substance", species[#Headers], 0),FALSE),"No CAS Number Entered")</f>
        <v>No CAS Number Entered</v>
      </c>
      <c r="C174" s="102"/>
      <c r="D174" s="102" t="s">
        <v>12666</v>
      </c>
      <c r="E174" s="102" t="s">
        <v>12666</v>
      </c>
      <c r="F174" s="102" t="s">
        <v>12666</v>
      </c>
      <c r="G174" s="102" t="s">
        <v>12666</v>
      </c>
      <c r="H174" s="164"/>
      <c r="I174" s="51">
        <f>IF(speciated_chemicals_1107[[#This Row],[Inert / Not a Contaminant?]]="Yes", 0, speciated_chemicals_1107[[#This Row],[Weight Percent]]*(unique_components_1106[[#Totals],[Controlled lb/hr]]+standard_components_1105[[#Totals],[Controlled
lb/hr]]))</f>
        <v>0</v>
      </c>
      <c r="J174" s="51">
        <f>IF(speciated_chemicals_1107[[#This Row],[Inert / Not a Contaminant?]]="Yes", 0, speciated_chemicals_1107[[#This Row],[Weight Percent]]*(unique_components_1106[[#Totals],[Controlled
tpy]]+standard_components_1105[[#Totals],[Controlled
tpy]]))</f>
        <v>0</v>
      </c>
    </row>
    <row r="175" spans="1:10" x14ac:dyDescent="0.2">
      <c r="A175" s="103"/>
      <c r="B175" s="51" t="str">
        <f>IFERROR(VLOOKUP(speciated_chemicals_1107[[#This Row],[CAS '#]],species[],MATCH("Substance", species[#Headers], 0),FALSE),"No CAS Number Entered")</f>
        <v>No CAS Number Entered</v>
      </c>
      <c r="C175" s="102"/>
      <c r="D175" s="102" t="s">
        <v>12666</v>
      </c>
      <c r="E175" s="102" t="s">
        <v>12666</v>
      </c>
      <c r="F175" s="102" t="s">
        <v>12666</v>
      </c>
      <c r="G175" s="102" t="s">
        <v>12666</v>
      </c>
      <c r="H175" s="164"/>
      <c r="I175" s="51">
        <f>IF(speciated_chemicals_1107[[#This Row],[Inert / Not a Contaminant?]]="Yes", 0, speciated_chemicals_1107[[#This Row],[Weight Percent]]*(unique_components_1106[[#Totals],[Controlled lb/hr]]+standard_components_1105[[#Totals],[Controlled
lb/hr]]))</f>
        <v>0</v>
      </c>
      <c r="J175" s="51">
        <f>IF(speciated_chemicals_1107[[#This Row],[Inert / Not a Contaminant?]]="Yes", 0, speciated_chemicals_1107[[#This Row],[Weight Percent]]*(unique_components_1106[[#Totals],[Controlled
tpy]]+standard_components_1105[[#Totals],[Controlled
tpy]]))</f>
        <v>0</v>
      </c>
    </row>
    <row r="176" spans="1:10" x14ac:dyDescent="0.2">
      <c r="A176" s="165"/>
      <c r="B176" s="51" t="str">
        <f>IFERROR(VLOOKUP(speciated_chemicals_1107[[#This Row],[CAS '#]],species[],MATCH("Substance", species[#Headers], 0),FALSE),"No CAS Number Entered")</f>
        <v>No CAS Number Entered</v>
      </c>
      <c r="C176" s="102"/>
      <c r="D176" s="102" t="s">
        <v>12666</v>
      </c>
      <c r="E176" s="102" t="s">
        <v>12666</v>
      </c>
      <c r="F176" s="102" t="s">
        <v>12666</v>
      </c>
      <c r="G176" s="102" t="s">
        <v>12666</v>
      </c>
      <c r="H176" s="164"/>
      <c r="I176" s="51">
        <f>IF(speciated_chemicals_1107[[#This Row],[Inert / Not a Contaminant?]]="Yes", 0, speciated_chemicals_1107[[#This Row],[Weight Percent]]*(unique_components_1106[[#Totals],[Controlled lb/hr]]+standard_components_1105[[#Totals],[Controlled
lb/hr]]))</f>
        <v>0</v>
      </c>
      <c r="J176" s="51">
        <f>IF(speciated_chemicals_1107[[#This Row],[Inert / Not a Contaminant?]]="Yes", 0, speciated_chemicals_1107[[#This Row],[Weight Percent]]*(unique_components_1106[[#Totals],[Controlled
tpy]]+standard_components_1105[[#Totals],[Controlled
tpy]]))</f>
        <v>0</v>
      </c>
    </row>
    <row r="177" spans="1:10" x14ac:dyDescent="0.2">
      <c r="A177" s="103"/>
      <c r="B177" s="51" t="str">
        <f>IFERROR(VLOOKUP(speciated_chemicals_1107[[#This Row],[CAS '#]],species[],MATCH("Substance", species[#Headers], 0),FALSE),"No CAS Number Entered")</f>
        <v>No CAS Number Entered</v>
      </c>
      <c r="C177" s="102"/>
      <c r="D177" s="102" t="s">
        <v>12666</v>
      </c>
      <c r="E177" s="102" t="s">
        <v>12666</v>
      </c>
      <c r="F177" s="102" t="s">
        <v>12666</v>
      </c>
      <c r="G177" s="102" t="s">
        <v>12666</v>
      </c>
      <c r="H177" s="164"/>
      <c r="I177" s="51">
        <f>IF(speciated_chemicals_1107[[#This Row],[Inert / Not a Contaminant?]]="Yes", 0, speciated_chemicals_1107[[#This Row],[Weight Percent]]*(unique_components_1106[[#Totals],[Controlled lb/hr]]+standard_components_1105[[#Totals],[Controlled
lb/hr]]))</f>
        <v>0</v>
      </c>
      <c r="J177" s="51">
        <f>IF(speciated_chemicals_1107[[#This Row],[Inert / Not a Contaminant?]]="Yes", 0, speciated_chemicals_1107[[#This Row],[Weight Percent]]*(unique_components_1106[[#Totals],[Controlled
tpy]]+standard_components_1105[[#Totals],[Controlled
tpy]]))</f>
        <v>0</v>
      </c>
    </row>
    <row r="178" spans="1:10" x14ac:dyDescent="0.2">
      <c r="A178" s="103"/>
      <c r="B178" s="51" t="str">
        <f>IFERROR(VLOOKUP(speciated_chemicals_1107[[#This Row],[CAS '#]],species[],MATCH("Substance", species[#Headers], 0),FALSE),"No CAS Number Entered")</f>
        <v>No CAS Number Entered</v>
      </c>
      <c r="C178" s="102"/>
      <c r="D178" s="102" t="s">
        <v>12666</v>
      </c>
      <c r="E178" s="102" t="s">
        <v>12666</v>
      </c>
      <c r="F178" s="102" t="s">
        <v>12666</v>
      </c>
      <c r="G178" s="102" t="s">
        <v>12666</v>
      </c>
      <c r="H178" s="164"/>
      <c r="I178" s="51">
        <f>IF(speciated_chemicals_1107[[#This Row],[Inert / Not a Contaminant?]]="Yes", 0, speciated_chemicals_1107[[#This Row],[Weight Percent]]*(unique_components_1106[[#Totals],[Controlled lb/hr]]+standard_components_1105[[#Totals],[Controlled
lb/hr]]))</f>
        <v>0</v>
      </c>
      <c r="J178" s="51">
        <f>IF(speciated_chemicals_1107[[#This Row],[Inert / Not a Contaminant?]]="Yes", 0, speciated_chemicals_1107[[#This Row],[Weight Percent]]*(unique_components_1106[[#Totals],[Controlled
tpy]]+standard_components_1105[[#Totals],[Controlled
tpy]]))</f>
        <v>0</v>
      </c>
    </row>
    <row r="179" spans="1:10" x14ac:dyDescent="0.2">
      <c r="A179" s="103"/>
      <c r="B179" s="51" t="str">
        <f>IFERROR(VLOOKUP(speciated_chemicals_1107[[#This Row],[CAS '#]],species[],MATCH("Substance", species[#Headers], 0),FALSE),"No CAS Number Entered")</f>
        <v>No CAS Number Entered</v>
      </c>
      <c r="C179" s="102"/>
      <c r="D179" s="102" t="s">
        <v>12666</v>
      </c>
      <c r="E179" s="102" t="s">
        <v>12666</v>
      </c>
      <c r="F179" s="102" t="s">
        <v>12666</v>
      </c>
      <c r="G179" s="102" t="s">
        <v>12666</v>
      </c>
      <c r="H179" s="164"/>
      <c r="I179" s="51">
        <f>IF(speciated_chemicals_1107[[#This Row],[Inert / Not a Contaminant?]]="Yes", 0, speciated_chemicals_1107[[#This Row],[Weight Percent]]*(unique_components_1106[[#Totals],[Controlled lb/hr]]+standard_components_1105[[#Totals],[Controlled
lb/hr]]))</f>
        <v>0</v>
      </c>
      <c r="J179" s="51">
        <f>IF(speciated_chemicals_1107[[#This Row],[Inert / Not a Contaminant?]]="Yes", 0, speciated_chemicals_1107[[#This Row],[Weight Percent]]*(unique_components_1106[[#Totals],[Controlled
tpy]]+standard_components_1105[[#Totals],[Controlled
tpy]]))</f>
        <v>0</v>
      </c>
    </row>
    <row r="180" spans="1:10" x14ac:dyDescent="0.2">
      <c r="A180" s="103"/>
      <c r="B180" s="51" t="str">
        <f>IFERROR(VLOOKUP(speciated_chemicals_1107[[#This Row],[CAS '#]],species[],MATCH("Substance", species[#Headers], 0),FALSE),"No CAS Number Entered")</f>
        <v>No CAS Number Entered</v>
      </c>
      <c r="C180" s="102"/>
      <c r="D180" s="102" t="s">
        <v>12666</v>
      </c>
      <c r="E180" s="102" t="s">
        <v>12666</v>
      </c>
      <c r="F180" s="102" t="s">
        <v>12666</v>
      </c>
      <c r="G180" s="102" t="s">
        <v>12666</v>
      </c>
      <c r="H180" s="164"/>
      <c r="I180" s="51">
        <f>IF(speciated_chemicals_1107[[#This Row],[Inert / Not a Contaminant?]]="Yes", 0, speciated_chemicals_1107[[#This Row],[Weight Percent]]*(unique_components_1106[[#Totals],[Controlled lb/hr]]+standard_components_1105[[#Totals],[Controlled
lb/hr]]))</f>
        <v>0</v>
      </c>
      <c r="J180" s="51">
        <f>IF(speciated_chemicals_1107[[#This Row],[Inert / Not a Contaminant?]]="Yes", 0, speciated_chemicals_1107[[#This Row],[Weight Percent]]*(unique_components_1106[[#Totals],[Controlled
tpy]]+standard_components_1105[[#Totals],[Controlled
tpy]]))</f>
        <v>0</v>
      </c>
    </row>
    <row r="181" spans="1:10" ht="30" x14ac:dyDescent="0.2">
      <c r="A181" s="184" t="s">
        <v>12705</v>
      </c>
      <c r="B181" s="52"/>
      <c r="C181" s="53"/>
      <c r="D181" s="52"/>
      <c r="E181" s="52"/>
      <c r="F181" s="52"/>
      <c r="G181" s="52"/>
      <c r="H181" s="166">
        <f>SUBTOTAL(109,speciated_chemicals_1107[Weight Percent])</f>
        <v>0</v>
      </c>
      <c r="I181" s="167">
        <f>SUBTOTAL(109,speciated_chemicals_1107[lb/hr])</f>
        <v>0</v>
      </c>
      <c r="J181" s="167">
        <f>SUBTOTAL(109,speciated_chemicals_1107[tpy])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MATCH(speciated_ghg_1108[[#This Row],[CAS '#]], gwp_table[CAS No.], 0), MATCH("Name", gwp_table[#Headers], 0)),"No CAS Number Entered")</f>
        <v>No CAS Number Entered</v>
      </c>
      <c r="C185" s="79" t="str">
        <f>IFERROR(INDEX(gwp_table[], MATCH(speciated_ghg_1108[[#This Row],[CAS '#]], gwp_table[CAS No.], 0), MATCH("Global warming potential", gwp_table[#Headers], 0)),"No CAS Number Entered")</f>
        <v>No CAS Number Entered</v>
      </c>
      <c r="D185" s="219"/>
      <c r="E185" s="79">
        <f>IFERROR(speciated_ghg_1108[[#This Row],[Weight Percent]]*(unique_components_1106[[#Totals],[Controlled
tpy]]+standard_components_1105[[#Totals],[Controlled
tpy]]), "-")</f>
        <v>0</v>
      </c>
      <c r="F185" s="81" t="str">
        <f>IFERROR(speciated_ghg_1108[[#This Row],[Mass Emissions (U.S. tons per year)]]*speciated_ghg_1108[[#This Row],[Global Warming Potential (GWP)]], "-")</f>
        <v>-</v>
      </c>
      <c r="G185" s="30"/>
      <c r="H185" s="168"/>
      <c r="I185" s="168"/>
    </row>
    <row r="186" spans="1:10" x14ac:dyDescent="0.2">
      <c r="A186" s="210"/>
      <c r="B186" s="79" t="str">
        <f>IFERROR(INDEX(gwp_table[], MATCH(speciated_ghg_1108[[#This Row],[CAS '#]], gwp_table[CAS No.], 0), MATCH("Name", gwp_table[#Headers], 0)),"No CAS Number Entered")</f>
        <v>No CAS Number Entered</v>
      </c>
      <c r="C186" s="79" t="str">
        <f>IFERROR(INDEX(gwp_table[], MATCH(speciated_ghg_1108[[#This Row],[CAS '#]], gwp_table[CAS No.], 0), MATCH("Global warming potential", gwp_table[#Headers], 0)),"No CAS Number Entered")</f>
        <v>No CAS Number Entered</v>
      </c>
      <c r="D186" s="219"/>
      <c r="E186" s="79">
        <f>IFERROR(speciated_ghg_1108[[#This Row],[Weight Percent]]*(unique_components_1106[[#Totals],[Controlled
tpy]]+standard_components_1105[[#Totals],[Controlled
tpy]]), "-")</f>
        <v>0</v>
      </c>
      <c r="F186" s="81" t="str">
        <f>IFERROR(speciated_ghg_1108[[#This Row],[Mass Emissions (U.S. tons per year)]]*speciated_ghg_1108[[#This Row],[Global Warming Potential (GWP)]], "-")</f>
        <v>-</v>
      </c>
      <c r="G186" s="30"/>
      <c r="H186" s="168"/>
      <c r="I186" s="168"/>
    </row>
    <row r="187" spans="1:10" x14ac:dyDescent="0.2">
      <c r="A187" s="210"/>
      <c r="B187" s="79" t="str">
        <f>IFERROR(INDEX(gwp_table[], MATCH(speciated_ghg_1108[[#This Row],[CAS '#]], gwp_table[CAS No.], 0), MATCH("Name", gwp_table[#Headers], 0)),"No CAS Number Entered")</f>
        <v>No CAS Number Entered</v>
      </c>
      <c r="C187" s="79" t="str">
        <f>IFERROR(INDEX(gwp_table[], MATCH(speciated_ghg_1108[[#This Row],[CAS '#]], gwp_table[CAS No.], 0), MATCH("Global warming potential", gwp_table[#Headers], 0)),"No CAS Number Entered")</f>
        <v>No CAS Number Entered</v>
      </c>
      <c r="D187" s="219"/>
      <c r="E187" s="79">
        <f>IFERROR(speciated_ghg_1108[[#This Row],[Weight Percent]]*(unique_components_1106[[#Totals],[Controlled
tpy]]+standard_components_1105[[#Totals],[Controlled
tpy]]), "-")</f>
        <v>0</v>
      </c>
      <c r="F187" s="81" t="str">
        <f>IFERROR(speciated_ghg_1108[[#This Row],[Mass Emissions (U.S. tons per year)]]*speciated_ghg_1108[[#This Row],[Global Warming Potential (GWP)]], "-")</f>
        <v>-</v>
      </c>
      <c r="G187" s="30"/>
      <c r="H187" s="168"/>
      <c r="I187" s="168"/>
    </row>
    <row r="188" spans="1:10" x14ac:dyDescent="0.2">
      <c r="A188" s="210"/>
      <c r="B188" s="79" t="str">
        <f>IFERROR(INDEX(gwp_table[], MATCH(speciated_ghg_1108[[#This Row],[CAS '#]], gwp_table[CAS No.], 0), MATCH("Name", gwp_table[#Headers], 0)),"No CAS Number Entered")</f>
        <v>No CAS Number Entered</v>
      </c>
      <c r="C188" s="79" t="str">
        <f>IFERROR(INDEX(gwp_table[], MATCH(speciated_ghg_1108[[#This Row],[CAS '#]], gwp_table[CAS No.], 0), MATCH("Global warming potential", gwp_table[#Headers], 0)),"No CAS Number Entered")</f>
        <v>No CAS Number Entered</v>
      </c>
      <c r="D188" s="219"/>
      <c r="E188" s="79">
        <f>IFERROR(speciated_ghg_1108[[#This Row],[Weight Percent]]*(unique_components_1106[[#Totals],[Controlled
tpy]]+standard_components_1105[[#Totals],[Controlled
tpy]]), "-")</f>
        <v>0</v>
      </c>
      <c r="F188" s="81" t="str">
        <f>IFERROR(speciated_ghg_1108[[#This Row],[Mass Emissions (U.S. tons per year)]]*speciated_ghg_1108[[#This Row],[Global Warming Potential (GWP)]], "-")</f>
        <v>-</v>
      </c>
      <c r="G188" s="30"/>
      <c r="H188" s="168"/>
      <c r="I188" s="168"/>
    </row>
    <row r="189" spans="1:10" x14ac:dyDescent="0.2">
      <c r="A189" s="210"/>
      <c r="B189" s="79" t="str">
        <f>IFERROR(INDEX(gwp_table[], MATCH(speciated_ghg_1108[[#This Row],[CAS '#]], gwp_table[CAS No.], 0), MATCH("Name", gwp_table[#Headers], 0)),"No CAS Number Entered")</f>
        <v>No CAS Number Entered</v>
      </c>
      <c r="C189" s="79" t="str">
        <f>IFERROR(INDEX(gwp_table[], MATCH(speciated_ghg_1108[[#This Row],[CAS '#]], gwp_table[CAS No.], 0), MATCH("Global warming potential", gwp_table[#Headers], 0)),"No CAS Number Entered")</f>
        <v>No CAS Number Entered</v>
      </c>
      <c r="D189" s="219"/>
      <c r="E189" s="79">
        <f>IFERROR(speciated_ghg_1108[[#This Row],[Weight Percent]]*(unique_components_1106[[#Totals],[Controlled
tpy]]+standard_components_1105[[#Totals],[Controlled
tpy]]), "-")</f>
        <v>0</v>
      </c>
      <c r="F189" s="81" t="str">
        <f>IFERROR(speciated_ghg_1108[[#This Row],[Mass Emissions (U.S. tons per year)]]*speciated_ghg_1108[[#This Row],[Global Warming Potential (GWP)]], "-")</f>
        <v>-</v>
      </c>
      <c r="G189" s="30"/>
      <c r="H189" s="168"/>
      <c r="I189" s="168"/>
    </row>
    <row r="190" spans="1:10" x14ac:dyDescent="0.2">
      <c r="A190" s="210"/>
      <c r="B190" s="79" t="str">
        <f>IFERROR(INDEX(gwp_table[], MATCH(speciated_ghg_1108[[#This Row],[CAS '#]], gwp_table[CAS No.], 0), MATCH("Name", gwp_table[#Headers], 0)),"No CAS Number Entered")</f>
        <v>No CAS Number Entered</v>
      </c>
      <c r="C190" s="79" t="str">
        <f>IFERROR(INDEX(gwp_table[], MATCH(speciated_ghg_1108[[#This Row],[CAS '#]], gwp_table[CAS No.], 0), MATCH("Global warming potential", gwp_table[#Headers], 0)),"No CAS Number Entered")</f>
        <v>No CAS Number Entered</v>
      </c>
      <c r="D190" s="219"/>
      <c r="E190" s="79">
        <f>IFERROR(speciated_ghg_1108[[#This Row],[Weight Percent]]*(unique_components_1106[[#Totals],[Controlled
tpy]]+standard_components_1105[[#Totals],[Controlled
tpy]]), "-")</f>
        <v>0</v>
      </c>
      <c r="F190" s="81" t="str">
        <f>IFERROR(speciated_ghg_1108[[#This Row],[Mass Emissions (U.S. tons per year)]]*speciated_ghg_1108[[#This Row],[Global Warming Potential (GWP)]], "-")</f>
        <v>-</v>
      </c>
      <c r="G190" s="30"/>
      <c r="H190" s="168"/>
      <c r="I190" s="168"/>
    </row>
    <row r="191" spans="1:10" x14ac:dyDescent="0.2">
      <c r="A191" s="210"/>
      <c r="B191" s="79" t="str">
        <f>IFERROR(INDEX(gwp_table[], MATCH(speciated_ghg_1108[[#This Row],[CAS '#]], gwp_table[CAS No.], 0), MATCH("Name", gwp_table[#Headers], 0)),"No CAS Number Entered")</f>
        <v>No CAS Number Entered</v>
      </c>
      <c r="C191" s="79" t="str">
        <f>IFERROR(INDEX(gwp_table[], MATCH(speciated_ghg_1108[[#This Row],[CAS '#]], gwp_table[CAS No.], 0), MATCH("Global warming potential", gwp_table[#Headers], 0)),"No CAS Number Entered")</f>
        <v>No CAS Number Entered</v>
      </c>
      <c r="D191" s="219"/>
      <c r="E191" s="79">
        <f>IFERROR(speciated_ghg_1108[[#This Row],[Weight Percent]]*(unique_components_1106[[#Totals],[Controlled
tpy]]+standard_components_1105[[#Totals],[Controlled
tpy]]), "-")</f>
        <v>0</v>
      </c>
      <c r="F191" s="81" t="str">
        <f>IFERROR(speciated_ghg_1108[[#This Row],[Mass Emissions (U.S. tons per year)]]*speciated_ghg_1108[[#This Row],[Global Warming Potential (GWP)]], "-")</f>
        <v>-</v>
      </c>
      <c r="G191" s="17"/>
    </row>
    <row r="192" spans="1:10" ht="15" x14ac:dyDescent="0.25">
      <c r="A192" s="210"/>
      <c r="B192" s="79" t="str">
        <f>IFERROR(INDEX(gwp_table[], MATCH(speciated_ghg_1108[[#This Row],[CAS '#]], gwp_table[CAS No.], 0), MATCH("Name", gwp_table[#Headers], 0)),"No CAS Number Entered")</f>
        <v>No CAS Number Entered</v>
      </c>
      <c r="C192" s="79" t="str">
        <f>IFERROR(INDEX(gwp_table[], MATCH(speciated_ghg_1108[[#This Row],[CAS '#]], gwp_table[CAS No.], 0), MATCH("Global warming potential", gwp_table[#Headers], 0)),"No CAS Number Entered")</f>
        <v>No CAS Number Entered</v>
      </c>
      <c r="D192" s="219"/>
      <c r="E192" s="79">
        <f>IFERROR(speciated_ghg_1108[[#This Row],[Weight Percent]]*(unique_components_1106[[#Totals],[Controlled
tpy]]+standard_components_1105[[#Totals],[Controlled
tpy]]), "-")</f>
        <v>0</v>
      </c>
      <c r="F192" s="81" t="str">
        <f>IFERROR(speciated_ghg_1108[[#This Row],[Mass Emissions (U.S. tons per year)]]*speciated_ghg_1108[[#This Row],[Global Warming Potential (GWP)]], "-")</f>
        <v>-</v>
      </c>
      <c r="G192" s="134"/>
      <c r="H192" s="169"/>
    </row>
    <row r="193" spans="1:9" ht="15" x14ac:dyDescent="0.25">
      <c r="A193" s="210"/>
      <c r="B193" s="79" t="str">
        <f>IFERROR(INDEX(gwp_table[], MATCH(speciated_ghg_1108[[#This Row],[CAS '#]], gwp_table[CAS No.], 0), MATCH("Name", gwp_table[#Headers], 0)),"No CAS Number Entered")</f>
        <v>No CAS Number Entered</v>
      </c>
      <c r="C193" s="79" t="str">
        <f>IFERROR(INDEX(gwp_table[], MATCH(speciated_ghg_1108[[#This Row],[CAS '#]], gwp_table[CAS No.], 0), MATCH("Global warming potential", gwp_table[#Headers], 0)),"No CAS Number Entered")</f>
        <v>No CAS Number Entered</v>
      </c>
      <c r="D193" s="219"/>
      <c r="E193" s="79">
        <f>IFERROR(speciated_ghg_1108[[#This Row],[Weight Percent]]*(unique_components_1106[[#Totals],[Controlled
tpy]]+standard_components_1105[[#Totals],[Controlled
tpy]]), "-")</f>
        <v>0</v>
      </c>
      <c r="F193" s="81" t="str">
        <f>IFERROR(speciated_ghg_1108[[#This Row],[Mass Emissions (U.S. tons per year)]]*speciated_ghg_1108[[#This Row],[Global Warming Potential (GWP)]], "-")</f>
        <v>-</v>
      </c>
      <c r="G193" s="134"/>
      <c r="H193" s="169"/>
    </row>
    <row r="194" spans="1:9" ht="15" x14ac:dyDescent="0.25">
      <c r="A194" s="210"/>
      <c r="B194" s="79" t="str">
        <f>IFERROR(INDEX(gwp_table[], MATCH(speciated_ghg_1108[[#This Row],[CAS '#]], gwp_table[CAS No.], 0), MATCH("Name", gwp_table[#Headers], 0)),"No CAS Number Entered")</f>
        <v>No CAS Number Entered</v>
      </c>
      <c r="C194" s="79" t="str">
        <f>IFERROR(INDEX(gwp_table[], MATCH(speciated_ghg_1108[[#This Row],[CAS '#]], gwp_table[CAS No.], 0), MATCH("Global warming potential", gwp_table[#Headers], 0)),"No CAS Number Entered")</f>
        <v>No CAS Number Entered</v>
      </c>
      <c r="D194" s="219"/>
      <c r="E194" s="79">
        <f>IFERROR(speciated_ghg_1108[[#This Row],[Weight Percent]]*(unique_components_1106[[#Totals],[Controlled
tpy]]+standard_components_1105[[#Totals],[Controlled
tpy]]), "-")</f>
        <v>0</v>
      </c>
      <c r="F194" s="81" t="str">
        <f>IFERROR(speciated_ghg_1108[[#This Row],[Mass Emissions (U.S. tons per year)]]*speciated_ghg_1108[[#This Row],[Global Warming Potential (GWP)]], "-")</f>
        <v>-</v>
      </c>
      <c r="G194" s="134"/>
      <c r="H194" s="169"/>
    </row>
    <row r="195" spans="1:9" x14ac:dyDescent="0.2">
      <c r="A195" s="210"/>
      <c r="B195" s="79" t="str">
        <f>IFERROR(INDEX(gwp_table[], MATCH(speciated_ghg_1108[[#This Row],[CAS '#]], gwp_table[CAS No.], 0), MATCH("Name", gwp_table[#Headers], 0)),"No CAS Number Entered")</f>
        <v>No CAS Number Entered</v>
      </c>
      <c r="C195" s="79" t="str">
        <f>IFERROR(INDEX(gwp_table[], MATCH(speciated_ghg_1108[[#This Row],[CAS '#]], gwp_table[CAS No.], 0), MATCH("Global warming potential", gwp_table[#Headers], 0)),"No CAS Number Entered")</f>
        <v>No CAS Number Entered</v>
      </c>
      <c r="D195" s="219"/>
      <c r="E195" s="79">
        <f>IFERROR(speciated_ghg_1108[[#This Row],[Weight Percent]]*(unique_components_1106[[#Totals],[Controlled
tpy]]+standard_components_1105[[#Totals],[Controlled
tpy]]), "-")</f>
        <v>0</v>
      </c>
      <c r="F195" s="81" t="str">
        <f>IFERROR(speciated_ghg_1108[[#This Row],[Mass Emissions (U.S. tons per year)]]*speciated_ghg_1108[[#This Row],[Global Warming Potential (GWP)]], "-")</f>
        <v>-</v>
      </c>
      <c r="G195" s="69"/>
      <c r="H195" s="169"/>
    </row>
    <row r="196" spans="1:9" x14ac:dyDescent="0.2">
      <c r="A196" s="210"/>
      <c r="B196" s="79" t="str">
        <f>IFERROR(INDEX(gwp_table[], MATCH(speciated_ghg_1108[[#This Row],[CAS '#]], gwp_table[CAS No.], 0), MATCH("Name", gwp_table[#Headers], 0)),"No CAS Number Entered")</f>
        <v>No CAS Number Entered</v>
      </c>
      <c r="C196" s="79" t="str">
        <f>IFERROR(INDEX(gwp_table[], MATCH(speciated_ghg_1108[[#This Row],[CAS '#]], gwp_table[CAS No.], 0), MATCH("Global warming potential", gwp_table[#Headers], 0)),"No CAS Number Entered")</f>
        <v>No CAS Number Entered</v>
      </c>
      <c r="D196" s="219"/>
      <c r="E196" s="79">
        <f>IFERROR(speciated_ghg_1108[[#This Row],[Weight Percent]]*(unique_components_1106[[#Totals],[Controlled
tpy]]+standard_components_1105[[#Totals],[Controlled
tpy]]), "-")</f>
        <v>0</v>
      </c>
      <c r="F196" s="81" t="str">
        <f>IFERROR(speciated_ghg_1108[[#This Row],[Mass Emissions (U.S. tons per year)]]*speciated_ghg_1108[[#This Row],[Global Warming Potential (GWP)]], "-")</f>
        <v>-</v>
      </c>
      <c r="G196" s="29"/>
      <c r="H196" s="169"/>
    </row>
    <row r="197" spans="1:9" x14ac:dyDescent="0.2">
      <c r="A197" s="210"/>
      <c r="B197" s="79" t="str">
        <f>IFERROR(INDEX(gwp_table[], MATCH(speciated_ghg_1108[[#This Row],[CAS '#]], gwp_table[CAS No.], 0), MATCH("Name", gwp_table[#Headers], 0)),"No CAS Number Entered")</f>
        <v>No CAS Number Entered</v>
      </c>
      <c r="C197" s="79" t="str">
        <f>IFERROR(INDEX(gwp_table[], MATCH(speciated_ghg_1108[[#This Row],[CAS '#]], gwp_table[CAS No.], 0), MATCH("Global warming potential", gwp_table[#Headers], 0)),"No CAS Number Entered")</f>
        <v>No CAS Number Entered</v>
      </c>
      <c r="D197" s="219"/>
      <c r="E197" s="79">
        <f>IFERROR(speciated_ghg_1108[[#This Row],[Weight Percent]]*(unique_components_1106[[#Totals],[Controlled
tpy]]+standard_components_1105[[#Totals],[Controlled
tpy]]), "-")</f>
        <v>0</v>
      </c>
      <c r="F197" s="81" t="str">
        <f>IFERROR(speciated_ghg_1108[[#This Row],[Mass Emissions (U.S. tons per year)]]*speciated_ghg_1108[[#This Row],[Global Warming Potential (GWP)]], "-")</f>
        <v>-</v>
      </c>
      <c r="G197" s="29"/>
      <c r="H197" s="29"/>
      <c r="I197" s="169"/>
    </row>
    <row r="198" spans="1:9" x14ac:dyDescent="0.2">
      <c r="A198" s="210"/>
      <c r="B198" s="79" t="str">
        <f>IFERROR(INDEX(gwp_table[], MATCH(speciated_ghg_1108[[#This Row],[CAS '#]], gwp_table[CAS No.], 0), MATCH("Name", gwp_table[#Headers], 0)),"No CAS Number Entered")</f>
        <v>No CAS Number Entered</v>
      </c>
      <c r="C198" s="79" t="str">
        <f>IFERROR(INDEX(gwp_table[], MATCH(speciated_ghg_1108[[#This Row],[CAS '#]], gwp_table[CAS No.], 0), MATCH("Global warming potential", gwp_table[#Headers], 0)),"No CAS Number Entered")</f>
        <v>No CAS Number Entered</v>
      </c>
      <c r="D198" s="219"/>
      <c r="E198" s="79">
        <f>IFERROR(speciated_ghg_1108[[#This Row],[Weight Percent]]*(unique_components_1106[[#Totals],[Controlled
tpy]]+standard_components_1105[[#Totals],[Controlled
tpy]]), "-")</f>
        <v>0</v>
      </c>
      <c r="F198" s="81" t="str">
        <f>IFERROR(speciated_ghg_1108[[#This Row],[Mass Emissions (U.S. tons per year)]]*speciated_ghg_1108[[#This Row],[Global Warming Potential (GWP)]], "-")</f>
        <v>-</v>
      </c>
      <c r="G198" s="29"/>
      <c r="H198" s="29"/>
      <c r="I198" s="169"/>
    </row>
    <row r="199" spans="1:9" x14ac:dyDescent="0.2">
      <c r="A199" s="210"/>
      <c r="B199" s="79" t="str">
        <f>IFERROR(INDEX(gwp_table[], MATCH(speciated_ghg_1108[[#This Row],[CAS '#]], gwp_table[CAS No.], 0), MATCH("Name", gwp_table[#Headers], 0)),"No CAS Number Entered")</f>
        <v>No CAS Number Entered</v>
      </c>
      <c r="C199" s="79" t="str">
        <f>IFERROR(INDEX(gwp_table[], MATCH(speciated_ghg_1108[[#This Row],[CAS '#]], gwp_table[CAS No.], 0), MATCH("Global warming potential", gwp_table[#Headers], 0)),"No CAS Number Entered")</f>
        <v>No CAS Number Entered</v>
      </c>
      <c r="D199" s="219"/>
      <c r="E199" s="79">
        <f>IFERROR(speciated_ghg_1108[[#This Row],[Weight Percent]]*(unique_components_1106[[#Totals],[Controlled
tpy]]+standard_components_1105[[#Totals],[Controlled
tpy]]), "-")</f>
        <v>0</v>
      </c>
      <c r="F199" s="81" t="str">
        <f>IFERROR(speciated_ghg_1108[[#This Row],[Mass Emissions (U.S. tons per year)]]*speciated_ghg_1108[[#This Row],[Global Warming Potential (GWP)]], "-")</f>
        <v>-</v>
      </c>
      <c r="G199" s="29"/>
      <c r="H199" s="29"/>
      <c r="I199" s="169"/>
    </row>
    <row r="200" spans="1:9" x14ac:dyDescent="0.2">
      <c r="A200" s="210"/>
      <c r="B200" s="79" t="str">
        <f>IFERROR(INDEX(gwp_table[], MATCH(speciated_ghg_1108[[#This Row],[CAS '#]], gwp_table[CAS No.], 0), MATCH("Name", gwp_table[#Headers], 0)),"No CAS Number Entered")</f>
        <v>No CAS Number Entered</v>
      </c>
      <c r="C200" s="79" t="str">
        <f>IFERROR(INDEX(gwp_table[], MATCH(speciated_ghg_1108[[#This Row],[CAS '#]], gwp_table[CAS No.], 0), MATCH("Global warming potential", gwp_table[#Headers], 0)),"No CAS Number Entered")</f>
        <v>No CAS Number Entered</v>
      </c>
      <c r="D200" s="219"/>
      <c r="E200" s="79">
        <f>IFERROR(speciated_ghg_1108[[#This Row],[Weight Percent]]*(unique_components_1106[[#Totals],[Controlled
tpy]]+standard_components_1105[[#Totals],[Controlled
tpy]]), "-")</f>
        <v>0</v>
      </c>
      <c r="F200" s="81" t="str">
        <f>IFERROR(speciated_ghg_1108[[#This Row],[Mass Emissions (U.S. tons per year)]]*speciated_ghg_1108[[#This Row],[Global Warming Potential (GWP)]], "-")</f>
        <v>-</v>
      </c>
      <c r="G200" s="29"/>
      <c r="H200" s="29"/>
      <c r="I200" s="169"/>
    </row>
    <row r="201" spans="1:9" x14ac:dyDescent="0.2">
      <c r="A201" s="210"/>
      <c r="B201" s="79" t="str">
        <f>IFERROR(INDEX(gwp_table[], MATCH(speciated_ghg_1108[[#This Row],[CAS '#]], gwp_table[CAS No.], 0), MATCH("Name", gwp_table[#Headers], 0)),"No CAS Number Entered")</f>
        <v>No CAS Number Entered</v>
      </c>
      <c r="C201" s="79" t="str">
        <f>IFERROR(INDEX(gwp_table[], MATCH(speciated_ghg_1108[[#This Row],[CAS '#]], gwp_table[CAS No.], 0), MATCH("Global warming potential", gwp_table[#Headers], 0)),"No CAS Number Entered")</f>
        <v>No CAS Number Entered</v>
      </c>
      <c r="D201" s="219"/>
      <c r="E201" s="79">
        <f>IFERROR(speciated_ghg_1108[[#This Row],[Weight Percent]]*(unique_components_1106[[#Totals],[Controlled
tpy]]+standard_components_1105[[#Totals],[Controlled
tpy]]), "-")</f>
        <v>0</v>
      </c>
      <c r="F201" s="81" t="str">
        <f>IFERROR(speciated_ghg_1108[[#This Row],[Mass Emissions (U.S. tons per year)]]*speciated_ghg_1108[[#This Row],[Global Warming Potential (GWP)]], "-")</f>
        <v>-</v>
      </c>
      <c r="G201" s="169"/>
      <c r="H201" s="169"/>
      <c r="I201" s="169"/>
    </row>
    <row r="202" spans="1:9" x14ac:dyDescent="0.2">
      <c r="A202" s="210"/>
      <c r="B202" s="79" t="str">
        <f>IFERROR(INDEX(gwp_table[], MATCH(speciated_ghg_1108[[#This Row],[CAS '#]], gwp_table[CAS No.], 0), MATCH("Name", gwp_table[#Headers], 0)),"No CAS Number Entered")</f>
        <v>No CAS Number Entered</v>
      </c>
      <c r="C202" s="79" t="str">
        <f>IFERROR(INDEX(gwp_table[], MATCH(speciated_ghg_1108[[#This Row],[CAS '#]], gwp_table[CAS No.], 0), MATCH("Global warming potential", gwp_table[#Headers], 0)),"No CAS Number Entered")</f>
        <v>No CAS Number Entered</v>
      </c>
      <c r="D202" s="219"/>
      <c r="E202" s="79">
        <f>IFERROR(speciated_ghg_1108[[#This Row],[Weight Percent]]*(unique_components_1106[[#Totals],[Controlled
tpy]]+standard_components_1105[[#Totals],[Controlled
tpy]]), "-")</f>
        <v>0</v>
      </c>
      <c r="F202" s="81" t="str">
        <f>IFERROR(speciated_ghg_1108[[#This Row],[Mass Emissions (U.S. tons per year)]]*speciated_ghg_1108[[#This Row],[Global Warming Potential (GWP)]], "-")</f>
        <v>-</v>
      </c>
      <c r="G202" s="169"/>
      <c r="H202" s="169"/>
      <c r="I202" s="169"/>
    </row>
    <row r="203" spans="1:9" x14ac:dyDescent="0.2">
      <c r="A203" s="210"/>
      <c r="B203" s="79" t="str">
        <f>IFERROR(INDEX(gwp_table[], MATCH(speciated_ghg_1108[[#This Row],[CAS '#]], gwp_table[CAS No.], 0), MATCH("Name", gwp_table[#Headers], 0)),"No CAS Number Entered")</f>
        <v>No CAS Number Entered</v>
      </c>
      <c r="C203" s="79" t="str">
        <f>IFERROR(INDEX(gwp_table[], MATCH(speciated_ghg_1108[[#This Row],[CAS '#]], gwp_table[CAS No.], 0), MATCH("Global warming potential", gwp_table[#Headers], 0)),"No CAS Number Entered")</f>
        <v>No CAS Number Entered</v>
      </c>
      <c r="D203" s="219"/>
      <c r="E203" s="79">
        <f>IFERROR(speciated_ghg_1108[[#This Row],[Weight Percent]]*(unique_components_1106[[#Totals],[Controlled
tpy]]+standard_components_1105[[#Totals],[Controlled
tpy]]), "-")</f>
        <v>0</v>
      </c>
      <c r="F203" s="81" t="str">
        <f>IFERROR(speciated_ghg_1108[[#This Row],[Mass Emissions (U.S. tons per year)]]*speciated_ghg_1108[[#This Row],[Global Warming Potential (GWP)]], "-")</f>
        <v>-</v>
      </c>
      <c r="G203" s="169"/>
      <c r="H203" s="169"/>
      <c r="I203" s="169"/>
    </row>
    <row r="204" spans="1:9" ht="30" x14ac:dyDescent="0.25">
      <c r="A204" s="185" t="s">
        <v>13321</v>
      </c>
      <c r="B204" s="77"/>
      <c r="C204" s="77"/>
      <c r="D204" s="77"/>
      <c r="E204" s="80">
        <f>SUBTOTAL(109,speciated_ghg_1108[Mass Emissions (U.S. tons per year)])</f>
        <v>0</v>
      </c>
      <c r="F204" s="82">
        <f>SUBTOTAL(109,speciated_ghg_1108[CO2e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speciated_chemicals_1107[[#Totals],[lb/hr]]</f>
        <v>0</v>
      </c>
      <c r="C207" s="134"/>
      <c r="D207" s="134"/>
      <c r="E207" s="134"/>
      <c r="F207" s="134"/>
      <c r="G207" s="169"/>
      <c r="H207" s="169"/>
    </row>
    <row r="208" spans="1:9" ht="29.25" x14ac:dyDescent="0.25">
      <c r="A208" s="174" t="s">
        <v>13320</v>
      </c>
      <c r="B208" s="175">
        <f>speciated_chemicals_1107[[#Totals],[tpy]]</f>
        <v>0</v>
      </c>
      <c r="C208" s="134"/>
      <c r="D208" s="134"/>
      <c r="E208" s="134"/>
      <c r="F208" s="134"/>
      <c r="G208" s="169"/>
      <c r="H208" s="169"/>
    </row>
    <row r="209" spans="1:8" ht="15" x14ac:dyDescent="0.25">
      <c r="A209" s="126" t="s">
        <v>13277</v>
      </c>
      <c r="B209" s="128">
        <f>SUMIF(speciated_chemicals_1107[VOC?],"Yes",speciated_chemicals_1107[lb/hr])</f>
        <v>0</v>
      </c>
      <c r="C209" s="134"/>
      <c r="D209" s="29"/>
      <c r="E209" s="29"/>
      <c r="F209" s="29"/>
      <c r="G209" s="169"/>
      <c r="H209" s="169"/>
    </row>
    <row r="210" spans="1:8" ht="15" x14ac:dyDescent="0.25">
      <c r="A210" s="126" t="s">
        <v>12669</v>
      </c>
      <c r="B210" s="128">
        <f>SUMIF(speciated_chemicals_1107[VOC?],"Yes",speciated_chemicals_1107[tpy])</f>
        <v>0</v>
      </c>
      <c r="C210" s="134"/>
      <c r="D210" s="29"/>
      <c r="E210" s="29"/>
      <c r="F210" s="29"/>
      <c r="G210" s="169"/>
      <c r="H210" s="169"/>
    </row>
    <row r="211" spans="1:8" ht="15" x14ac:dyDescent="0.25">
      <c r="A211" s="126" t="s">
        <v>12775</v>
      </c>
      <c r="B211" s="128">
        <f>SUMIF(speciated_chemicals_1107[Inorganic?],"Yes",speciated_chemicals_1107[lb/hr])</f>
        <v>0</v>
      </c>
      <c r="C211" s="134"/>
      <c r="D211" s="29"/>
      <c r="E211" s="29"/>
      <c r="F211" s="29"/>
      <c r="G211" s="169"/>
      <c r="H211" s="169"/>
    </row>
    <row r="212" spans="1:8" ht="15" x14ac:dyDescent="0.25">
      <c r="A212" s="126" t="s">
        <v>12770</v>
      </c>
      <c r="B212" s="128">
        <f>SUMIF(speciated_chemicals_1107[Inorganic?],"Yes",speciated_chemicals_1107[tpy])</f>
        <v>0</v>
      </c>
      <c r="C212" s="134"/>
      <c r="D212" s="29"/>
      <c r="E212" s="29"/>
      <c r="F212" s="29"/>
      <c r="G212" s="169"/>
      <c r="H212" s="169"/>
    </row>
    <row r="213" spans="1:8" ht="15" x14ac:dyDescent="0.25">
      <c r="A213" s="126" t="s">
        <v>13276</v>
      </c>
      <c r="B213" s="128">
        <f>SUMIF(speciated_chemicals_1107[VOC-Exempt Solvent?],"Yes",speciated_chemicals_1107[lb/hr])</f>
        <v>0</v>
      </c>
      <c r="C213" s="134"/>
      <c r="D213" s="29"/>
      <c r="E213" s="29"/>
      <c r="F213" s="29"/>
      <c r="G213" s="169"/>
      <c r="H213" s="169"/>
    </row>
    <row r="214" spans="1:8" ht="15" x14ac:dyDescent="0.25">
      <c r="A214" s="126" t="s">
        <v>13278</v>
      </c>
      <c r="B214" s="128">
        <f>SUMIF(speciated_chemicals_1107[VOC-Exempt Solvent?],"Yes",speciated_chemicals_1107[tpy])</f>
        <v>0</v>
      </c>
      <c r="C214" s="134"/>
      <c r="D214" s="29"/>
      <c r="E214" s="29"/>
      <c r="F214" s="29"/>
      <c r="G214" s="169"/>
      <c r="H214" s="169"/>
    </row>
    <row r="215" spans="1:8" ht="15" x14ac:dyDescent="0.25">
      <c r="A215" s="127" t="s">
        <v>13280</v>
      </c>
      <c r="B215" s="176">
        <f>speciated_ghg_1108[[#Totals],[Mass Emissions (U.S. tons per year)]]</f>
        <v>0</v>
      </c>
      <c r="C215" s="134"/>
      <c r="D215" s="29"/>
      <c r="E215" s="29"/>
      <c r="F215" s="29"/>
      <c r="G215" s="169"/>
      <c r="H215" s="169"/>
    </row>
    <row r="216" spans="1:8" ht="18.75" x14ac:dyDescent="0.35">
      <c r="A216" s="127" t="s">
        <v>13281</v>
      </c>
      <c r="B216" s="176">
        <f>speciated_ghg_1108[[#Totals],[CO2e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QfbKtqCKkZfFr5DWJeiDHJjTvel+rYJh/ujnQdfNpIc0gh5lSNNSq86D9JKBZDNABE0naShkrkFK7zrmSHvVOg==" saltValue="VARdPT1gvJdDRcAp14BANg==" spinCount="100000" sheet="1" objects="1" scenarios="1" formatColumns="0" formatRows="0" autoFilter="0"/>
  <conditionalFormatting sqref="A21:H21">
    <cfRule type="expression" dxfId="304" priority="5">
      <formula>$F$19="No"</formula>
    </cfRule>
  </conditionalFormatting>
  <conditionalFormatting sqref="A105:E106 F106:G126">
    <cfRule type="expression" dxfId="303" priority="4">
      <formula>$E$104="no"</formula>
    </cfRule>
  </conditionalFormatting>
  <conditionalFormatting sqref="C131:C180">
    <cfRule type="expression" dxfId="302" priority="3">
      <formula>NOT(B131="Other (Please specify):")</formula>
    </cfRule>
  </conditionalFormatting>
  <conditionalFormatting sqref="A107:E126">
    <cfRule type="expression" dxfId="301" priority="2">
      <formula>$A$58="No"</formula>
    </cfRule>
  </conditionalFormatting>
  <conditionalFormatting sqref="A107:E126 A206:B214 A215:A216">
    <cfRule type="expression" dxfId="300"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83660134-9779-42B3-8B0D-44FEB06CFFE7}"/>
    <dataValidation type="list" allowBlank="1" showInputMessage="1" showErrorMessage="1" sqref="E104:H104 B10" xr:uid="{995EE8F3-E742-427D-A89C-AA62E1423AE5}">
      <formula1>"Yes,No"</formula1>
    </dataValidation>
    <dataValidation type="list" allowBlank="1" showInputMessage="1" showErrorMessage="1" sqref="F19:H20" xr:uid="{9203425B-399F-4700-B56E-8435C2520820}">
      <formula1>"No,Yes - 75%,Yes - 95%"</formula1>
    </dataValidation>
    <dataValidation type="list" allowBlank="1" showInputMessage="1" showErrorMessage="1" sqref="F18" xr:uid="{4DD0F418-B938-4A5D-BD87-AADA119FD9B6}">
      <formula1>IF(#REF!="SOCMI Non-leaker",ListNone,ListInspection)</formula1>
    </dataValidation>
    <dataValidation type="list" allowBlank="1" showInputMessage="1" showErrorMessage="1" sqref="F16:F17" xr:uid="{8456390B-F4F3-4B50-8C61-D8C93BD579D8}">
      <formula1>IF(#REF!="SOCMI Non-Leaker",ListNone,ListInstrument)</formula1>
    </dataValidation>
    <dataValidation type="list" allowBlank="1" showInputMessage="1" prompt="Please specify whether the substance is a volatile organic compound (VOC); methane and ethane are not classifed as VOCs" sqref="D132:D180" xr:uid="{66B78CDB-7F77-4521-AFC9-BCE300A7E7C9}">
      <formula1>"Yes,No"</formula1>
    </dataValidation>
    <dataValidation allowBlank="1" showInputMessage="1" showErrorMessage="1" prompt="Enter the weight percent of the substance" sqref="H178:H180 H132:H176" xr:uid="{BE843791-8EEC-4335-A4CF-70CF69FE04F4}"/>
    <dataValidation type="list" allowBlank="1" showInputMessage="1" showErrorMessage="1" prompt="Enter or select Chemical Abstracts Service number; select &quot;N/A&quot; if a CAS # is not applicable" sqref="A131:A175 A177:A180" xr:uid="{DD9A1228-0094-448D-B221-453A80D802CC}">
      <formula1>SpeciesList</formula1>
    </dataValidation>
    <dataValidation type="list" allowBlank="1" showInputMessage="1" prompt="Select other species from dropdown" sqref="C131:C180" xr:uid="{3352A1B2-297C-4B27-8F1A-566073D08EC3}">
      <formula1>NoCASList</formula1>
    </dataValidation>
    <dataValidation allowBlank="1" showInputMessage="1" showErrorMessage="1" prompt="Proposed control efficiency (0-1)" sqref="E107:E126" xr:uid="{8B36341F-CDDB-4938-909B-F4C914B1D2DE}"/>
    <dataValidation allowBlank="1" showInputMessage="1" showErrorMessage="1" prompt="Count of unique component" sqref="C107:C126" xr:uid="{2AAD1F8D-F6A8-40EE-8642-336FE2B32823}"/>
    <dataValidation allowBlank="1" showInputMessage="1" showErrorMessage="1" prompt="Type of service (e.g. gas, vapor, or liquid)" sqref="B107:B126" xr:uid="{AD681AE2-8613-4161-AB41-CC04E17222BD}"/>
    <dataValidation allowBlank="1" showInputMessage="1" showErrorMessage="1" prompt="Name of unique component" sqref="A107:A126" xr:uid="{D1268A24-8B22-4765-B3A8-0566AAE2C6FA}"/>
    <dataValidation type="list" allowBlank="1" showInputMessage="1" showErrorMessage="1" sqref="B13" xr:uid="{24887E71-AA01-460D-BBA7-2817ACB2356F}">
      <formula1>industry_names</formula1>
    </dataValidation>
    <dataValidation type="list" allowBlank="1" showInputMessage="1" showErrorMessage="1" sqref="B19" xr:uid="{40694295-03B6-4FE2-8B42-BCE02D80E64A}">
      <formula1>yes_no_list</formula1>
    </dataValidation>
    <dataValidation type="list" allowBlank="1" showInputMessage="1" showErrorMessage="1" sqref="B20" xr:uid="{A970783A-F253-45A6-8EB2-187427C4DA90}">
      <formula1>process_drains_effs</formula1>
    </dataValidation>
    <dataValidation allowBlank="1" showInputMessage="1" showErrorMessage="1" prompt="Proposed emission factor" sqref="D107:D126" xr:uid="{A6CC5EDF-DED3-457D-8A2E-2640EA3B1E4F}"/>
    <dataValidation type="list" allowBlank="1" showInputMessage="1" prompt="Please specify if the substance is an inert substance or is not considered a contaminant (e.g. steam)" sqref="G131:G180" xr:uid="{76EA955F-2603-4703-974D-1CA178052C00}">
      <formula1>"Yes,No"</formula1>
    </dataValidation>
    <dataValidation type="list" allowBlank="1" showInputMessage="1" showErrorMessage="1" prompt="Please select from the dropdown" sqref="B104" xr:uid="{681569EB-40AA-41A0-8B44-E75C1FA73EE1}">
      <formula1>yes_no_list</formula1>
    </dataValidation>
    <dataValidation allowBlank="1" showInputMessage="1" showErrorMessage="1" prompt="Provide justification" sqref="B105" xr:uid="{44F30EF8-1FB3-4141-ADA0-3157FE1C75FB}"/>
    <dataValidation type="list" showInputMessage="1" prompt="Please specify whether the substance is a volatile organic compound (VOC); methane and ethane are not classifed as VOCs" sqref="D131" xr:uid="{2A466654-E324-49EF-B6A7-86F735EF515D}">
      <formula1>"Yes,No"</formula1>
    </dataValidation>
    <dataValidation type="list" showInputMessage="1" prompt="Please specify whether the substance is an inorganic contaminant (e.g. ammonia or chlorine gas)" sqref="E131:E180" xr:uid="{F72E3F67-63D5-4B38-9024-42EAE843DEC3}">
      <formula1>"Yes,No"</formula1>
    </dataValidation>
    <dataValidation type="list" allowBlank="1" showInputMessage="1" prompt="Please specify whether the substance is an VOC-exempt solvent." sqref="F131:F180" xr:uid="{B84EC2E7-CC76-4EAC-ABED-D4267FF5A66B}">
      <formula1>"Yes,No"</formula1>
    </dataValidation>
    <dataValidation type="list" allowBlank="1" showInputMessage="1" showErrorMessage="1" prompt="Enter or select Chemical Abstracts Service number; select &quot;N/A&quot; if a CAS # is not applicable" sqref="A185:A203 A176" xr:uid="{AC38DE5F-AC4A-4E43-B314-981DAE4BC993}">
      <formula1>gwp_table_cas</formula1>
    </dataValidation>
    <dataValidation type="decimal" allowBlank="1" showInputMessage="1" showErrorMessage="1" prompt="Enter the weight percent of the substance" sqref="H177" xr:uid="{479CD7C1-6E36-4FBF-A2B5-82B084137A1E}">
      <formula1>0</formula1>
      <formula2>1</formula2>
    </dataValidation>
    <dataValidation type="decimal" operator="greaterThan" allowBlank="1" showInputMessage="1" showErrorMessage="1" prompt="Enter the weight percent of the substance" sqref="H131 D185:D203" xr:uid="{91226487-B328-4062-9293-A5BBAE61F942}">
      <formula1>0</formula1>
    </dataValidation>
    <dataValidation type="list" allowBlank="1" showInputMessage="1" showErrorMessage="1" sqref="B18" xr:uid="{590D52CB-291F-4C1E-81AA-F94C717DEC4C}">
      <formula1>inspection_ldar_list</formula1>
    </dataValidation>
    <dataValidation type="list" allowBlank="1" showInputMessage="1" showErrorMessage="1" sqref="B17" xr:uid="{006D35C4-97BF-47CE-A122-AD1DFEDCDB95}">
      <formula1>connector_ldar_list</formula1>
    </dataValidation>
    <dataValidation type="list" allowBlank="1" showInputMessage="1" showErrorMessage="1" sqref="B16" xr:uid="{EF89FCEA-F17B-41AF-98A4-9CAB2BDF27A6}">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2C57-087A-47C3-A517-8D398D24AE6B}">
  <sheetPr codeName="Sheet30">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INDEX((standard_components_1109[[#This Row],[Component]]=factor_eff_table[Component])*(standard_components_1109[[#This Row],[Service]]=factor_eff_table[Service]), 0, 1), 0)),
 "-")</f>
        <v>-</v>
      </c>
      <c r="E25" s="145" t="str" cm="1">
        <f t="array" ref="E2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25" s="145" t="str" cm="1">
        <f t="array" ref="F2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25" s="145" t="str" cm="1">
        <f t="array" ref="G2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2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2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INDEX((standard_components_1109[[#This Row],[Component]]=factor_eff_table[Component])*(standard_components_1109[[#This Row],[Service]]=factor_eff_table[Service]), 0, 1), 0)),
 "-")</f>
        <v>-</v>
      </c>
      <c r="E26" s="145" t="str" cm="1">
        <f t="array" ref="E2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26" s="145" t="str" cm="1">
        <f t="array" ref="F2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26" s="145" t="str" cm="1">
        <f t="array" ref="G2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2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2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INDEX((standard_components_1109[[#This Row],[Component]]=factor_eff_table[Component])*(standard_components_1109[[#This Row],[Service]]=factor_eff_table[Service]), 0, 1), 0)),
 "-")</f>
        <v>-</v>
      </c>
      <c r="E27" s="145" t="str" cm="1">
        <f t="array" ref="E2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27" s="145" t="str" cm="1">
        <f t="array" ref="F2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27" s="145" t="str" cm="1">
        <f t="array" ref="G2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2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2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INDEX((standard_components_1109[[#This Row],[Component]]=factor_eff_table[Component])*(standard_components_1109[[#This Row],[Service]]=factor_eff_table[Service]), 0, 1), 0)),
 "-")</f>
        <v>-</v>
      </c>
      <c r="E28" s="145" t="str" cm="1">
        <f t="array" ref="E2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28" s="145" t="str" cm="1">
        <f t="array" ref="F2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28" s="145" t="str" cm="1">
        <f t="array" ref="G2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2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2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INDEX((standard_components_1109[[#This Row],[Component]]=factor_eff_table[Component])*(standard_components_1109[[#This Row],[Service]]=factor_eff_table[Service]), 0, 1), 0)),
 "-")</f>
        <v>-</v>
      </c>
      <c r="E29" s="145" t="str" cm="1">
        <f t="array" ref="E2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29" s="145" t="str" cm="1">
        <f t="array" ref="F2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29" s="145" t="str" cm="1">
        <f t="array" ref="G2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2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2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INDEX((standard_components_1109[[#This Row],[Component]]=factor_eff_table[Component])*(standard_components_1109[[#This Row],[Service]]=factor_eff_table[Service]), 0, 1), 0)),
 "-")</f>
        <v>-</v>
      </c>
      <c r="E30" s="145" t="str" cm="1">
        <f t="array" ref="E3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0" s="145" t="str" cm="1">
        <f t="array" ref="F3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0" s="145" t="str" cm="1">
        <f t="array" ref="G3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INDEX((standard_components_1109[[#This Row],[Component]]=factor_eff_table[Component])*(standard_components_1109[[#This Row],[Service]]=factor_eff_table[Service]), 0, 1), 0)),
 "-")</f>
        <v>-</v>
      </c>
      <c r="E31" s="145" t="str" cm="1">
        <f t="array" ref="E3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1" s="145" t="str" cm="1">
        <f t="array" ref="F3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1" s="145" t="str" cm="1">
        <f t="array" ref="G3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INDEX((standard_components_1109[[#This Row],[Component]]=factor_eff_table[Component])*(standard_components_1109[[#This Row],[Service]]=factor_eff_table[Service]), 0, 1), 0)),
 "-")</f>
        <v>-</v>
      </c>
      <c r="E32" s="145" t="str" cm="1">
        <f t="array" ref="E3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2" s="145" t="str" cm="1">
        <f t="array" ref="F3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2" s="145" t="str" cm="1">
        <f t="array" ref="G3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INDEX((standard_components_1109[[#This Row],[Component]]=factor_eff_table[Component])*(standard_components_1109[[#This Row],[Service]]=factor_eff_table[Service]), 0, 1), 0)),
 "-")</f>
        <v>-</v>
      </c>
      <c r="E33" s="145" t="str" cm="1">
        <f t="array" ref="E3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3" s="145" t="str" cm="1">
        <f t="array" ref="F3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3" s="145" t="str" cm="1">
        <f t="array" ref="G3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INDEX((standard_components_1109[[#This Row],[Component]]=factor_eff_table[Component])*(standard_components_1109[[#This Row],[Service]]=factor_eff_table[Service]), 0, 1), 0)),
 "-")</f>
        <v>-</v>
      </c>
      <c r="E34" s="145" t="str" cm="1">
        <f t="array" ref="E3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4" s="145" t="str" cm="1">
        <f t="array" ref="F3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4" s="145" t="str" cm="1">
        <f t="array" ref="G3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INDEX((standard_components_1109[[#This Row],[Component]]=factor_eff_table[Component])*(standard_components_1109[[#This Row],[Service]]=factor_eff_table[Service]), 0, 1), 0)),
 "-")</f>
        <v>-</v>
      </c>
      <c r="E35" s="145" t="str" cm="1">
        <f t="array" ref="E3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5" s="145" t="str" cm="1">
        <f t="array" ref="F3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5" s="145" t="str" cm="1">
        <f t="array" ref="G3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INDEX((standard_components_1109[[#This Row],[Component]]=factor_eff_table[Component])*(standard_components_1109[[#This Row],[Service]]=factor_eff_table[Service]), 0, 1), 0)),
 "-")</f>
        <v>-</v>
      </c>
      <c r="E36" s="145" t="str" cm="1">
        <f t="array" ref="E3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6" s="145" t="str" cm="1">
        <f t="array" ref="F3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6" s="145" t="str" cm="1">
        <f t="array" ref="G3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INDEX((standard_components_1109[[#This Row],[Component]]=factor_eff_table[Component])*(standard_components_1109[[#This Row],[Service]]=factor_eff_table[Service]), 0, 1), 0)),
 "-")</f>
        <v>-</v>
      </c>
      <c r="E37" s="145" t="str" cm="1">
        <f t="array" ref="E3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7" s="145" t="str" cm="1">
        <f t="array" ref="F3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7" s="145" t="str" cm="1">
        <f t="array" ref="G3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INDEX((standard_components_1109[[#This Row],[Component]]=factor_eff_table[Component])*(standard_components_1109[[#This Row],[Service]]=factor_eff_table[Service]), 0, 1), 0)),
 "-")</f>
        <v>-</v>
      </c>
      <c r="E38" s="145" t="str" cm="1">
        <f t="array" ref="E3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8" s="145" t="str" cm="1">
        <f t="array" ref="F3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8" s="145" t="str" cm="1">
        <f t="array" ref="G3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INDEX((standard_components_1109[[#This Row],[Component]]=factor_eff_table[Component])*(standard_components_1109[[#This Row],[Service]]=factor_eff_table[Service]), 0, 1), 0)),
 "-")</f>
        <v>-</v>
      </c>
      <c r="E39" s="145" t="str" cm="1">
        <f t="array" ref="E3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39" s="145" t="str" cm="1">
        <f t="array" ref="F3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39" s="145" t="str" cm="1">
        <f t="array" ref="G3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3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3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INDEX((standard_components_1109[[#This Row],[Component]]=factor_eff_table[Component])*(standard_components_1109[[#This Row],[Service]]=factor_eff_table[Service]), 0, 1), 0)),
 "-")</f>
        <v>-</v>
      </c>
      <c r="E40" s="145" t="str" cm="1">
        <f t="array" ref="E4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0" s="145" t="str" cm="1">
        <f t="array" ref="F4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0" s="145" t="str" cm="1">
        <f t="array" ref="G4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INDEX((standard_components_1109[[#This Row],[Component]]=factor_eff_table[Component])*(standard_components_1109[[#This Row],[Service]]=factor_eff_table[Service]), 0, 1), 0)),
 "-")</f>
        <v>-</v>
      </c>
      <c r="E41" s="145" t="str" cm="1">
        <f t="array" ref="E4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1" s="145" t="str" cm="1">
        <f t="array" ref="F4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1" s="145" t="str" cm="1">
        <f t="array" ref="G4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INDEX((standard_components_1109[[#This Row],[Component]]=factor_eff_table[Component])*(standard_components_1109[[#This Row],[Service]]=factor_eff_table[Service]), 0, 1), 0)),
 "-")</f>
        <v>-</v>
      </c>
      <c r="E42" s="145" t="str" cm="1">
        <f t="array" ref="E4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2" s="145" t="str" cm="1">
        <f t="array" ref="F4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2" s="145" t="str" cm="1">
        <f t="array" ref="G4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INDEX((standard_components_1109[[#This Row],[Component]]=factor_eff_table[Component])*(standard_components_1109[[#This Row],[Service]]=factor_eff_table[Service]), 0, 1), 0)),
 "-")</f>
        <v>-</v>
      </c>
      <c r="E43" s="145" t="str" cm="1">
        <f t="array" ref="E4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3" s="145" t="str" cm="1">
        <f t="array" ref="F4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3" s="145" t="str" cm="1">
        <f t="array" ref="G4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INDEX((standard_components_1109[[#This Row],[Component]]=factor_eff_table[Component])*(standard_components_1109[[#This Row],[Service]]=factor_eff_table[Service]), 0, 1), 0)),
 "-")</f>
        <v>-</v>
      </c>
      <c r="E44" s="145" t="str" cm="1">
        <f t="array" ref="E4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4" s="145" t="str" cm="1">
        <f t="array" ref="F4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4" s="145" t="str" cm="1">
        <f t="array" ref="G4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INDEX((standard_components_1109[[#This Row],[Component]]=factor_eff_table[Component])*(standard_components_1109[[#This Row],[Service]]=factor_eff_table[Service]), 0, 1), 0)),
 "-")</f>
        <v>-</v>
      </c>
      <c r="E45" s="145" t="str" cm="1">
        <f t="array" ref="E4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5" s="145" t="str" cm="1">
        <f t="array" ref="F4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5" s="145" t="str" cm="1">
        <f t="array" ref="G4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INDEX((standard_components_1109[[#This Row],[Component]]=factor_eff_table[Component])*(standard_components_1109[[#This Row],[Service]]=factor_eff_table[Service]), 0, 1), 0)),
 "-")</f>
        <v>-</v>
      </c>
      <c r="E46" s="145" t="str" cm="1">
        <f t="array" ref="E4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6" s="145" t="str" cm="1">
        <f t="array" ref="F4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6" s="145" t="str" cm="1">
        <f t="array" ref="G4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INDEX((standard_components_1109[[#This Row],[Component]]=factor_eff_table[Component])*(standard_components_1109[[#This Row],[Service]]=factor_eff_table[Service]), 0, 1), 0)),
 "-")</f>
        <v>-</v>
      </c>
      <c r="E47" s="145" t="str" cm="1">
        <f t="array" ref="E4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7" s="145" t="str" cm="1">
        <f t="array" ref="F4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7" s="145" t="str" cm="1">
        <f t="array" ref="G4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INDEX((standard_components_1109[[#This Row],[Component]]=factor_eff_table[Component])*(standard_components_1109[[#This Row],[Service]]=factor_eff_table[Service]), 0, 1), 0)),
 "-")</f>
        <v>-</v>
      </c>
      <c r="E48" s="145" t="str" cm="1">
        <f t="array" ref="E4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8" s="145" t="str" cm="1">
        <f t="array" ref="F4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8" s="145" t="str" cm="1">
        <f t="array" ref="G4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INDEX((standard_components_1109[[#This Row],[Component]]=factor_eff_table[Component])*(standard_components_1109[[#This Row],[Service]]=factor_eff_table[Service]), 0, 1), 0)),
 "-")</f>
        <v>-</v>
      </c>
      <c r="E49" s="145" t="str" cm="1">
        <f t="array" ref="E4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49" s="145" t="str" cm="1">
        <f t="array" ref="F4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49" s="145" t="str" cm="1">
        <f t="array" ref="G4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4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4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INDEX((standard_components_1109[[#This Row],[Component]]=factor_eff_table[Component])*(standard_components_1109[[#This Row],[Service]]=factor_eff_table[Service]), 0, 1), 0)),
 "-")</f>
        <v>-</v>
      </c>
      <c r="E50" s="145" t="str" cm="1">
        <f t="array" ref="E5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0" s="145" t="str" cm="1">
        <f t="array" ref="F5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0" s="145" t="str" cm="1">
        <f t="array" ref="G5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INDEX((standard_components_1109[[#This Row],[Component]]=factor_eff_table[Component])*(standard_components_1109[[#This Row],[Service]]=factor_eff_table[Service]), 0, 1), 0)),
 "-")</f>
        <v>-</v>
      </c>
      <c r="E51" s="145" t="str" cm="1">
        <f t="array" ref="E5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1" s="145" t="str" cm="1">
        <f t="array" ref="F5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1" s="145" t="str" cm="1">
        <f t="array" ref="G5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INDEX((standard_components_1109[[#This Row],[Component]]=factor_eff_table[Component])*(standard_components_1109[[#This Row],[Service]]=factor_eff_table[Service]), 0, 1), 0)),
 "-")</f>
        <v>-</v>
      </c>
      <c r="E52" s="145" t="str" cm="1">
        <f t="array" ref="E5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2" s="145" t="str" cm="1">
        <f t="array" ref="F5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2" s="145" t="str" cm="1">
        <f t="array" ref="G5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INDEX((standard_components_1109[[#This Row],[Component]]=factor_eff_table[Component])*(standard_components_1109[[#This Row],[Service]]=factor_eff_table[Service]), 0, 1), 0)),
 "-")</f>
        <v>-</v>
      </c>
      <c r="E53" s="145" t="str" cm="1">
        <f t="array" ref="E5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3" s="145" t="str" cm="1">
        <f t="array" ref="F5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3" s="145" t="str" cm="1">
        <f t="array" ref="G5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INDEX((standard_components_1109[[#This Row],[Component]]=factor_eff_table[Component])*(standard_components_1109[[#This Row],[Service]]=factor_eff_table[Service]), 0, 1), 0)),
 "-")</f>
        <v>-</v>
      </c>
      <c r="E54" s="145" t="str" cm="1">
        <f t="array" ref="E5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4" s="145" t="str" cm="1">
        <f t="array" ref="F5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4" s="145" t="str" cm="1">
        <f t="array" ref="G5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INDEX((standard_components_1109[[#This Row],[Component]]=factor_eff_table[Component])*(standard_components_1109[[#This Row],[Service]]=factor_eff_table[Service]), 0, 1), 0)),
 "-")</f>
        <v>-</v>
      </c>
      <c r="E55" s="145" t="str" cm="1">
        <f t="array" ref="E5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5" s="145" t="str" cm="1">
        <f t="array" ref="F5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5" s="145" t="str" cm="1">
        <f t="array" ref="G5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INDEX((standard_components_1109[[#This Row],[Component]]=factor_eff_table[Component])*(standard_components_1109[[#This Row],[Service]]=factor_eff_table[Service]), 0, 1), 0)),
 "-")</f>
        <v>-</v>
      </c>
      <c r="E56" s="145" t="str" cm="1">
        <f t="array" ref="E5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6" s="145" t="str" cm="1">
        <f t="array" ref="F5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6" s="145" t="str" cm="1">
        <f t="array" ref="G5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INDEX((standard_components_1109[[#This Row],[Component]]=factor_eff_table[Component])*(standard_components_1109[[#This Row],[Service]]=factor_eff_table[Service]), 0, 1), 0)),
 "-")</f>
        <v>-</v>
      </c>
      <c r="E57" s="145" t="str" cm="1">
        <f t="array" ref="E5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7" s="145" t="str" cm="1">
        <f t="array" ref="F5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7" s="145" t="str" cm="1">
        <f t="array" ref="G5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INDEX((standard_components_1109[[#This Row],[Component]]=factor_eff_table[Component])*(standard_components_1109[[#This Row],[Service]]=factor_eff_table[Service]), 0, 1), 0)),
 "-")</f>
        <v>-</v>
      </c>
      <c r="E58" s="145" t="str" cm="1">
        <f t="array" ref="E5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8" s="145" t="str" cm="1">
        <f t="array" ref="F5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8" s="145" t="str" cm="1">
        <f t="array" ref="G5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INDEX((standard_components_1109[[#This Row],[Component]]=factor_eff_table[Component])*(standard_components_1109[[#This Row],[Service]]=factor_eff_table[Service]), 0, 1), 0)),
 "-")</f>
        <v>-</v>
      </c>
      <c r="E59" s="145" t="str" cm="1">
        <f t="array" ref="E5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59" s="145" t="str" cm="1">
        <f t="array" ref="F5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59" s="145" t="str" cm="1">
        <f t="array" ref="G5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5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5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INDEX((standard_components_1109[[#This Row],[Component]]=factor_eff_table[Component])*(standard_components_1109[[#This Row],[Service]]=factor_eff_table[Service]), 0, 1), 0)),
 "-")</f>
        <v>-</v>
      </c>
      <c r="E60" s="145" t="str" cm="1">
        <f t="array" ref="E6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0" s="145" t="str" cm="1">
        <f t="array" ref="F6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0" s="145" t="str" cm="1">
        <f t="array" ref="G6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INDEX((standard_components_1109[[#This Row],[Component]]=factor_eff_table[Component])*(standard_components_1109[[#This Row],[Service]]=factor_eff_table[Service]), 0, 1), 0)),
 "-")</f>
        <v>-</v>
      </c>
      <c r="E61" s="145" t="str" cm="1">
        <f t="array" ref="E6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1" s="145" t="str" cm="1">
        <f t="array" ref="F6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1" s="145" t="str" cm="1">
        <f t="array" ref="G6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INDEX((standard_components_1109[[#This Row],[Component]]=factor_eff_table[Component])*(standard_components_1109[[#This Row],[Service]]=factor_eff_table[Service]), 0, 1), 0)),
 "-")</f>
        <v>-</v>
      </c>
      <c r="E62" s="145" t="str" cm="1">
        <f t="array" ref="E6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2" s="145" t="str" cm="1">
        <f t="array" ref="F6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2" s="145" t="str" cm="1">
        <f t="array" ref="G6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INDEX((standard_components_1109[[#This Row],[Component]]=factor_eff_table[Component])*(standard_components_1109[[#This Row],[Service]]=factor_eff_table[Service]), 0, 1), 0)),
 "-")</f>
        <v>-</v>
      </c>
      <c r="E63" s="145" t="str" cm="1">
        <f t="array" ref="E6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3" s="145" t="str" cm="1">
        <f t="array" ref="F6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3" s="145" t="str" cm="1">
        <f t="array" ref="G6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INDEX((standard_components_1109[[#This Row],[Component]]=factor_eff_table[Component])*(standard_components_1109[[#This Row],[Service]]=factor_eff_table[Service]), 0, 1), 0)),
 "-")</f>
        <v>-</v>
      </c>
      <c r="E64" s="145" t="str" cm="1">
        <f t="array" ref="E6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4" s="145" t="str" cm="1">
        <f t="array" ref="F6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4" s="145" t="str" cm="1">
        <f t="array" ref="G6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INDEX((standard_components_1109[[#This Row],[Component]]=factor_eff_table[Component])*(standard_components_1109[[#This Row],[Service]]=factor_eff_table[Service]), 0, 1), 0)),
 "-")</f>
        <v>-</v>
      </c>
      <c r="E65" s="145" t="str" cm="1">
        <f t="array" ref="E6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5" s="145" t="str" cm="1">
        <f t="array" ref="F6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5" s="145" t="str" cm="1">
        <f t="array" ref="G6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INDEX((standard_components_1109[[#This Row],[Component]]=factor_eff_table[Component])*(standard_components_1109[[#This Row],[Service]]=factor_eff_table[Service]), 0, 1), 0)),
 "-")</f>
        <v>-</v>
      </c>
      <c r="E66" s="145" t="str" cm="1">
        <f t="array" ref="E6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6" s="145" t="str" cm="1">
        <f t="array" ref="F6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6" s="145" t="str" cm="1">
        <f t="array" ref="G6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INDEX((standard_components_1109[[#This Row],[Component]]=factor_eff_table[Component])*(standard_components_1109[[#This Row],[Service]]=factor_eff_table[Service]), 0, 1), 0)),
 "-")</f>
        <v>-</v>
      </c>
      <c r="E67" s="145" t="str" cm="1">
        <f t="array" ref="E6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7" s="145" t="str" cm="1">
        <f t="array" ref="F6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7" s="145" t="str" cm="1">
        <f t="array" ref="G6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INDEX((standard_components_1109[[#This Row],[Component]]=factor_eff_table[Component])*(standard_components_1109[[#This Row],[Service]]=factor_eff_table[Service]), 0, 1), 0)),
 "-")</f>
        <v>-</v>
      </c>
      <c r="E68" s="145" t="str" cm="1">
        <f t="array" ref="E6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8" s="145" t="str" cm="1">
        <f t="array" ref="F6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8" s="145" t="str" cm="1">
        <f t="array" ref="G6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INDEX((standard_components_1109[[#This Row],[Component]]=factor_eff_table[Component])*(standard_components_1109[[#This Row],[Service]]=factor_eff_table[Service]), 0, 1), 0)),
 "-")</f>
        <v>-</v>
      </c>
      <c r="E69" s="145" t="str" cm="1">
        <f t="array" ref="E6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69" s="145" t="str" cm="1">
        <f t="array" ref="F6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69" s="145" t="str" cm="1">
        <f t="array" ref="G6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6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6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INDEX((standard_components_1109[[#This Row],[Component]]=factor_eff_table[Component])*(standard_components_1109[[#This Row],[Service]]=factor_eff_table[Service]), 0, 1), 0)),
 "-")</f>
        <v>-</v>
      </c>
      <c r="E70" s="145" t="str" cm="1">
        <f t="array" ref="E7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0" s="145" t="str" cm="1">
        <f t="array" ref="F7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0" s="145" t="str" cm="1">
        <f t="array" ref="G7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INDEX((standard_components_1109[[#This Row],[Component]]=factor_eff_table[Component])*(standard_components_1109[[#This Row],[Service]]=factor_eff_table[Service]), 0, 1), 0)),
 "-")</f>
        <v>-</v>
      </c>
      <c r="E71" s="145" t="str" cm="1">
        <f t="array" ref="E7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1" s="145" t="str" cm="1">
        <f t="array" ref="F7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1" s="145" t="str" cm="1">
        <f t="array" ref="G7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INDEX((standard_components_1109[[#This Row],[Component]]=factor_eff_table[Component])*(standard_components_1109[[#This Row],[Service]]=factor_eff_table[Service]), 0, 1), 0)),
 "-")</f>
        <v>-</v>
      </c>
      <c r="E72" s="145" t="str" cm="1">
        <f t="array" ref="E7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2" s="145" t="str" cm="1">
        <f t="array" ref="F7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2" s="145" t="str" cm="1">
        <f t="array" ref="G7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INDEX((standard_components_1109[[#This Row],[Component]]=factor_eff_table[Component])*(standard_components_1109[[#This Row],[Service]]=factor_eff_table[Service]), 0, 1), 0)),
 "-")</f>
        <v>-</v>
      </c>
      <c r="E73" s="145" t="str" cm="1">
        <f t="array" ref="E7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3" s="145" t="str" cm="1">
        <f t="array" ref="F7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3" s="145" t="str" cm="1">
        <f t="array" ref="G7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INDEX((standard_components_1109[[#This Row],[Component]]=factor_eff_table[Component])*(standard_components_1109[[#This Row],[Service]]=factor_eff_table[Service]), 0, 1), 0)),
 "-")</f>
        <v>-</v>
      </c>
      <c r="E74" s="145" t="str" cm="1">
        <f t="array" ref="E7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4" s="145" t="str" cm="1">
        <f t="array" ref="F7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4" s="145" t="str" cm="1">
        <f t="array" ref="G7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INDEX((standard_components_1109[[#This Row],[Component]]=factor_eff_table[Component])*(standard_components_1109[[#This Row],[Service]]=factor_eff_table[Service]), 0, 1), 0)),
 "-")</f>
        <v>-</v>
      </c>
      <c r="E75" s="145" t="str" cm="1">
        <f t="array" ref="E7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5" s="145" t="str" cm="1">
        <f t="array" ref="F7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5" s="145" t="str" cm="1">
        <f t="array" ref="G7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INDEX((standard_components_1109[[#This Row],[Component]]=factor_eff_table[Component])*(standard_components_1109[[#This Row],[Service]]=factor_eff_table[Service]), 0, 1), 0)),
 "-")</f>
        <v>-</v>
      </c>
      <c r="E76" s="145" t="str" cm="1">
        <f t="array" ref="E7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6" s="145" t="str" cm="1">
        <f t="array" ref="F7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6" s="145" t="str" cm="1">
        <f t="array" ref="G7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INDEX((standard_components_1109[[#This Row],[Component]]=factor_eff_table[Component])*(standard_components_1109[[#This Row],[Service]]=factor_eff_table[Service]), 0, 1), 0)),
 "-")</f>
        <v>-</v>
      </c>
      <c r="E77" s="145" t="str" cm="1">
        <f t="array" ref="E7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7" s="145" t="str" cm="1">
        <f t="array" ref="F7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7" s="145" t="str" cm="1">
        <f t="array" ref="G7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INDEX((standard_components_1109[[#This Row],[Component]]=factor_eff_table[Component])*(standard_components_1109[[#This Row],[Service]]=factor_eff_table[Service]), 0, 1), 0)),
 "-")</f>
        <v>-</v>
      </c>
      <c r="E78" s="145" t="str" cm="1">
        <f t="array" ref="E7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8" s="145" t="str" cm="1">
        <f t="array" ref="F7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8" s="145" t="str" cm="1">
        <f t="array" ref="G7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INDEX((standard_components_1109[[#This Row],[Component]]=factor_eff_table[Component])*(standard_components_1109[[#This Row],[Service]]=factor_eff_table[Service]), 0, 1), 0)),
 "-")</f>
        <v>-</v>
      </c>
      <c r="E79" s="145" t="str" cm="1">
        <f t="array" ref="E7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79" s="145" t="str" cm="1">
        <f t="array" ref="F7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79" s="145" t="str" cm="1">
        <f t="array" ref="G7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7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7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INDEX((standard_components_1109[[#This Row],[Component]]=factor_eff_table[Component])*(standard_components_1109[[#This Row],[Service]]=factor_eff_table[Service]), 0, 1), 0)),
 "-")</f>
        <v>-</v>
      </c>
      <c r="E80" s="145" t="str" cm="1">
        <f t="array" ref="E8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0" s="145" t="str" cm="1">
        <f t="array" ref="F8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0" s="145" t="str" cm="1">
        <f t="array" ref="G8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INDEX((standard_components_1109[[#This Row],[Component]]=factor_eff_table[Component])*(standard_components_1109[[#This Row],[Service]]=factor_eff_table[Service]), 0, 1), 0)),
 "-")</f>
        <v>-</v>
      </c>
      <c r="E81" s="145" t="str" cm="1">
        <f t="array" ref="E8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1" s="145" t="str" cm="1">
        <f t="array" ref="F8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1" s="145" t="str" cm="1">
        <f t="array" ref="G8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INDEX((standard_components_1109[[#This Row],[Component]]=factor_eff_table[Component])*(standard_components_1109[[#This Row],[Service]]=factor_eff_table[Service]), 0, 1), 0)),
 "-")</f>
        <v>-</v>
      </c>
      <c r="E82" s="145" t="str" cm="1">
        <f t="array" ref="E8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2" s="145" t="str" cm="1">
        <f t="array" ref="F8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2" s="145" t="str" cm="1">
        <f t="array" ref="G8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INDEX((standard_components_1109[[#This Row],[Component]]=factor_eff_table[Component])*(standard_components_1109[[#This Row],[Service]]=factor_eff_table[Service]), 0, 1), 0)),
 "-")</f>
        <v>-</v>
      </c>
      <c r="E83" s="145" t="str" cm="1">
        <f t="array" ref="E8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3" s="145" t="str" cm="1">
        <f t="array" ref="F8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3" s="145" t="str" cm="1">
        <f t="array" ref="G8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INDEX((standard_components_1109[[#This Row],[Component]]=factor_eff_table[Component])*(standard_components_1109[[#This Row],[Service]]=factor_eff_table[Service]), 0, 1), 0)),
 "-")</f>
        <v>-</v>
      </c>
      <c r="E84" s="145" t="str" cm="1">
        <f t="array" ref="E8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4" s="145" t="str" cm="1">
        <f t="array" ref="F8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4" s="145" t="str" cm="1">
        <f t="array" ref="G8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INDEX((standard_components_1109[[#This Row],[Component]]=factor_eff_table[Component])*(standard_components_1109[[#This Row],[Service]]=factor_eff_table[Service]), 0, 1), 0)),
 "-")</f>
        <v>-</v>
      </c>
      <c r="E85" s="145" t="str" cm="1">
        <f t="array" ref="E8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5" s="145" t="str" cm="1">
        <f t="array" ref="F8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5" s="145" t="str" cm="1">
        <f t="array" ref="G8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INDEX((standard_components_1109[[#This Row],[Component]]=factor_eff_table[Component])*(standard_components_1109[[#This Row],[Service]]=factor_eff_table[Service]), 0, 1), 0)),
 "-")</f>
        <v>-</v>
      </c>
      <c r="E86" s="145" t="str" cm="1">
        <f t="array" ref="E8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6" s="145" t="str" cm="1">
        <f t="array" ref="F8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6" s="145" t="str" cm="1">
        <f t="array" ref="G8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INDEX((standard_components_1109[[#This Row],[Component]]=factor_eff_table[Component])*(standard_components_1109[[#This Row],[Service]]=factor_eff_table[Service]), 0, 1), 0)),
 "-")</f>
        <v>-</v>
      </c>
      <c r="E87" s="145" t="str" cm="1">
        <f t="array" ref="E8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7" s="145" t="str" cm="1">
        <f t="array" ref="F8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7" s="145" t="str" cm="1">
        <f t="array" ref="G8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INDEX((standard_components_1109[[#This Row],[Component]]=factor_eff_table[Component])*(standard_components_1109[[#This Row],[Service]]=factor_eff_table[Service]), 0, 1), 0)),
 "-")</f>
        <v>-</v>
      </c>
      <c r="E88" s="145" t="str" cm="1">
        <f t="array" ref="E8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8" s="145" t="str" cm="1">
        <f t="array" ref="F8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8" s="145" t="str" cm="1">
        <f t="array" ref="G8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INDEX((standard_components_1109[[#This Row],[Component]]=factor_eff_table[Component])*(standard_components_1109[[#This Row],[Service]]=factor_eff_table[Service]), 0, 1), 0)),
 "-")</f>
        <v>-</v>
      </c>
      <c r="E89" s="145" t="str" cm="1">
        <f t="array" ref="E8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89" s="145" t="str" cm="1">
        <f t="array" ref="F8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89" s="145" t="str" cm="1">
        <f t="array" ref="G8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8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8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INDEX((standard_components_1109[[#This Row],[Component]]=factor_eff_table[Component])*(standard_components_1109[[#This Row],[Service]]=factor_eff_table[Service]), 0, 1), 0)),
 "-")</f>
        <v>-</v>
      </c>
      <c r="E90" s="145" t="str" cm="1">
        <f t="array" ref="E9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0" s="145" t="str" cm="1">
        <f t="array" ref="F9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0" s="145" t="str" cm="1">
        <f t="array" ref="G9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INDEX((standard_components_1109[[#This Row],[Component]]=factor_eff_table[Component])*(standard_components_1109[[#This Row],[Service]]=factor_eff_table[Service]), 0, 1), 0)),
 "-")</f>
        <v>-</v>
      </c>
      <c r="E91" s="145" t="str" cm="1">
        <f t="array" ref="E91">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1" s="145" t="str" cm="1">
        <f t="array" ref="F91">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1" s="145" t="str" cm="1">
        <f t="array" ref="G91">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1"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1"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INDEX((standard_components_1109[[#This Row],[Component]]=factor_eff_table[Component])*(standard_components_1109[[#This Row],[Service]]=factor_eff_table[Service]), 0, 1), 0)),
 "-")</f>
        <v>-</v>
      </c>
      <c r="E92" s="145" t="str" cm="1">
        <f t="array" ref="E92">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2" s="145" t="str" cm="1">
        <f t="array" ref="F92">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2" s="145" t="str" cm="1">
        <f t="array" ref="G92">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2"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2"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INDEX((standard_components_1109[[#This Row],[Component]]=factor_eff_table[Component])*(standard_components_1109[[#This Row],[Service]]=factor_eff_table[Service]), 0, 1), 0)),
 "-")</f>
        <v>-</v>
      </c>
      <c r="E93" s="145" t="str" cm="1">
        <f t="array" ref="E93">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3" s="145" t="str" cm="1">
        <f t="array" ref="F93">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3" s="145" t="str" cm="1">
        <f t="array" ref="G93">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3"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3"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INDEX((standard_components_1109[[#This Row],[Component]]=factor_eff_table[Component])*(standard_components_1109[[#This Row],[Service]]=factor_eff_table[Service]), 0, 1), 0)),
 "-")</f>
        <v>-</v>
      </c>
      <c r="E94" s="145" t="str" cm="1">
        <f t="array" ref="E94">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4" s="145" t="str" cm="1">
        <f t="array" ref="F94">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4" s="145" t="str" cm="1">
        <f t="array" ref="G94">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4"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4"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INDEX((standard_components_1109[[#This Row],[Component]]=factor_eff_table[Component])*(standard_components_1109[[#This Row],[Service]]=factor_eff_table[Service]), 0, 1), 0)),
 "-")</f>
        <v>-</v>
      </c>
      <c r="E95" s="145" t="str" cm="1">
        <f t="array" ref="E95">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5" s="145" t="str" cm="1">
        <f t="array" ref="F95">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5" s="145" t="str" cm="1">
        <f t="array" ref="G95">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5"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5"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INDEX((standard_components_1109[[#This Row],[Component]]=factor_eff_table[Component])*(standard_components_1109[[#This Row],[Service]]=factor_eff_table[Service]), 0, 1), 0)),
 "-")</f>
        <v>-</v>
      </c>
      <c r="E96" s="145" t="str" cm="1">
        <f t="array" ref="E96">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6" s="145" t="str" cm="1">
        <f t="array" ref="F96">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6" s="145" t="str" cm="1">
        <f t="array" ref="G96">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6"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6"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INDEX((standard_components_1109[[#This Row],[Component]]=factor_eff_table[Component])*(standard_components_1109[[#This Row],[Service]]=factor_eff_table[Service]), 0, 1), 0)),
 "-")</f>
        <v>-</v>
      </c>
      <c r="E97" s="145" t="str" cm="1">
        <f t="array" ref="E97">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7" s="145" t="str" cm="1">
        <f t="array" ref="F97">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7" s="145" t="str" cm="1">
        <f t="array" ref="G97">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7"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7"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INDEX((standard_components_1109[[#This Row],[Component]]=factor_eff_table[Component])*(standard_components_1109[[#This Row],[Service]]=factor_eff_table[Service]), 0, 1), 0)),
 "-")</f>
        <v>-</v>
      </c>
      <c r="E98" s="145" t="str" cm="1">
        <f t="array" ref="E98">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8" s="145" t="str" cm="1">
        <f t="array" ref="F98">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8" s="145" t="str" cm="1">
        <f t="array" ref="G98">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8"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8"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INDEX((standard_components_1109[[#This Row],[Component]]=factor_eff_table[Component])*(standard_components_1109[[#This Row],[Service]]=factor_eff_table[Service]), 0, 1), 0)),
 "-")</f>
        <v>-</v>
      </c>
      <c r="E99" s="145" t="str" cm="1">
        <f t="array" ref="E99">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99" s="145" t="str" cm="1">
        <f t="array" ref="F99">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99" s="145" t="str" cm="1">
        <f t="array" ref="G99">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99"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99"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INDEX((standard_components_1109[[#This Row],[Component]]=factor_eff_table[Component])*(standard_components_1109[[#This Row],[Service]]=factor_eff_table[Service]), 0, 1), 0)),
 "-")</f>
        <v>-</v>
      </c>
      <c r="E100" s="145" t="str" cm="1">
        <f t="array" ref="E100">IF(AND(process_drain_bool="Yes",LEFT(standard_components_1109[[#This Row],[Component]], LEN("Process drains"))="Process Drains", ISBLANK(instrument_ldar)=FALSE), process_drain_eff,
IFERROR(
INDEX(
INDEX(factor_eff_table[], , MATCH(instrument_ldar, factor_eff_table[#Headers], 0)),
MATCH(1, INDEX((standard_components_1109[[#This Row],[Component]]=factor_eff_table[Component])*(standard_components_1109[[#This Row],[Service]]=factor_eff_table[Service]), 0, 1), 0)),
 "-"))</f>
        <v>-</v>
      </c>
      <c r="F100" s="145" t="str" cm="1">
        <f t="array" ref="F100">IF(AND(process_drain_bool="Yes",LEFT(standard_components_1109[[#This Row],[Component]], LEN("Process drains"))="Process Drains", ISBLANK(connector_ldar)=FALSE), process_drain_eff,
IFERROR(
INDEX(
INDEX(factor_eff_table[], , MATCH(connector_ldar, factor_eff_table[#Headers], 0)),
MATCH(1, INDEX((standard_components_1109[[#This Row],[Component]]=factor_eff_table[Component])*(standard_components_1109[[#This Row],[Service]]=factor_eff_table[Service]), 0, 1), 0)),
 "-"))</f>
        <v>-</v>
      </c>
      <c r="G100" s="145" t="str" cm="1">
        <f t="array" ref="G100">IF(AND(process_drain_bool="Yes",LEFT(standard_components_1109[[#This Row],[Component]], LEN("Process Drains"))="Process Drains", ISBLANK(inspection_ldar)=FALSE), process_drain_eff,
IFERROR(
INDEX(
INDEX(factor_eff_table[], , MATCH(inspection_ldar, factor_eff_table[#Headers], 0)),
MATCH(1, INDEX((standard_components_1109[[#This Row],[Component]]=factor_eff_table[Component])*(standard_components_1109[[#This Row],[Service]]=factor_eff_table[Service]), 0, 1), 0)),
 "-"))</f>
        <v>-</v>
      </c>
      <c r="H100" s="146" t="str">
        <f>IF(standard_components_1109[[#This Row],[Component]]="Sampling Connections (annual) [2]", "N/A",
 IF(standard_components_1109[[#This Row],[Component]]="Sampling Connections (hourly) [1]", standard_components_1109[[#This Row],[Count]]*standard_components_1109[[#This Row],[Industry Emission Factor]],
IFERROR(standard_components_1109[[#This Row],[Count]]*standard_components_1109[[#This Row],[Industry Emission Factor]]*MIN(1-standard_components_1109[[#This Row],[Instrument Monitoring LDAR Control Efficiency]], 1-standard_components_1109[[#This Row],[Physical Inspection LDAR Control Efficiency]], 1-standard_components_1109[[#This Row],[Connector Monitoring LDAR Control Efficiency]]), "-")))</f>
        <v>-</v>
      </c>
      <c r="I100" s="146" t="str">
        <f>IF(standard_components_1109[[#This Row],[Component]]="Sampling Connections (hourly) [1]", "N/A",
 IF(standard_components_1109[[#This Row],[Component]]="Sampling Connections (annual) [2]", standard_components_1109[[#This Row],[Count]]*standard_components_1109[[#This Row],[Industry Emission Factor]]/stons_to_lbs,
 IFERROR(years_to_hrs/stons_to_lbs*standard_components_1109[[#This Row],[Controlled
lb/hr]], "-")))</f>
        <v>-</v>
      </c>
    </row>
    <row r="101" spans="1:9" ht="15" x14ac:dyDescent="0.25">
      <c r="A101" s="147" t="s">
        <v>12776</v>
      </c>
      <c r="B101" s="148"/>
      <c r="C101" s="149">
        <f>SUBTOTAL(109,standard_components_1109[Count])</f>
        <v>0</v>
      </c>
      <c r="D101" s="150"/>
      <c r="E101" s="150"/>
      <c r="F101" s="150"/>
      <c r="G101" s="150"/>
      <c r="H101" s="151">
        <f>SUBTOTAL(109,standard_components_1109[Controlled
lb/hr])</f>
        <v>0</v>
      </c>
      <c r="I101" s="151">
        <f>SUBTOTAL(109,standard_components_1109[Controlled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unique_components_1110[[#This Row],[Count]]*unique_components_1110[[#This Row],[Proposed Emission Factor]]*(1-unique_components_1110[[#This Row],[Proposed Control Efficiency]])</f>
        <v>0</v>
      </c>
      <c r="G107" s="155">
        <f>IFERROR(unique_components_1110[[#This Row],[Controlled lb/hr]]*4.38,"")</f>
        <v>0</v>
      </c>
    </row>
    <row r="108" spans="1:9" x14ac:dyDescent="0.2">
      <c r="A108" s="103"/>
      <c r="B108" s="104"/>
      <c r="C108" s="153"/>
      <c r="D108" s="154"/>
      <c r="E108" s="154"/>
      <c r="F108" s="146">
        <f>unique_components_1110[[#This Row],[Count]]*unique_components_1110[[#This Row],[Proposed Emission Factor]]*(1-unique_components_1110[[#This Row],[Proposed Control Efficiency]])</f>
        <v>0</v>
      </c>
      <c r="G108" s="155">
        <f>IFERROR(unique_components_1110[[#This Row],[Controlled lb/hr]]*4.38,"")</f>
        <v>0</v>
      </c>
    </row>
    <row r="109" spans="1:9" x14ac:dyDescent="0.2">
      <c r="A109" s="103"/>
      <c r="B109" s="104"/>
      <c r="C109" s="153"/>
      <c r="D109" s="154"/>
      <c r="E109" s="154"/>
      <c r="F109" s="146">
        <f>unique_components_1110[[#This Row],[Count]]*unique_components_1110[[#This Row],[Proposed Emission Factor]]*(1-unique_components_1110[[#This Row],[Proposed Control Efficiency]])</f>
        <v>0</v>
      </c>
      <c r="G109" s="155">
        <f>IFERROR(unique_components_1110[[#This Row],[Controlled lb/hr]]*4.38,"")</f>
        <v>0</v>
      </c>
    </row>
    <row r="110" spans="1:9" x14ac:dyDescent="0.2">
      <c r="A110" s="103"/>
      <c r="B110" s="104"/>
      <c r="C110" s="153"/>
      <c r="D110" s="154"/>
      <c r="E110" s="154"/>
      <c r="F110" s="146">
        <f>unique_components_1110[[#This Row],[Count]]*unique_components_1110[[#This Row],[Proposed Emission Factor]]*(1-unique_components_1110[[#This Row],[Proposed Control Efficiency]])</f>
        <v>0</v>
      </c>
      <c r="G110" s="155">
        <f>IFERROR(unique_components_1110[[#This Row],[Controlled lb/hr]]*4.38,"")</f>
        <v>0</v>
      </c>
    </row>
    <row r="111" spans="1:9" x14ac:dyDescent="0.2">
      <c r="A111" s="103"/>
      <c r="B111" s="104"/>
      <c r="C111" s="153"/>
      <c r="D111" s="154"/>
      <c r="E111" s="154"/>
      <c r="F111" s="146">
        <f>unique_components_1110[[#This Row],[Count]]*unique_components_1110[[#This Row],[Proposed Emission Factor]]*(1-unique_components_1110[[#This Row],[Proposed Control Efficiency]])</f>
        <v>0</v>
      </c>
      <c r="G111" s="155">
        <f>IFERROR(unique_components_1110[[#This Row],[Controlled lb/hr]]*4.38,"")</f>
        <v>0</v>
      </c>
    </row>
    <row r="112" spans="1:9" x14ac:dyDescent="0.2">
      <c r="A112" s="103"/>
      <c r="B112" s="104"/>
      <c r="C112" s="153"/>
      <c r="D112" s="154"/>
      <c r="E112" s="154"/>
      <c r="F112" s="146">
        <f>unique_components_1110[[#This Row],[Count]]*unique_components_1110[[#This Row],[Proposed Emission Factor]]*(1-unique_components_1110[[#This Row],[Proposed Control Efficiency]])</f>
        <v>0</v>
      </c>
      <c r="G112" s="155">
        <f>IFERROR(unique_components_1110[[#This Row],[Controlled lb/hr]]*4.38,"")</f>
        <v>0</v>
      </c>
    </row>
    <row r="113" spans="1:8" x14ac:dyDescent="0.2">
      <c r="A113" s="103"/>
      <c r="B113" s="104"/>
      <c r="C113" s="153"/>
      <c r="D113" s="154"/>
      <c r="E113" s="154"/>
      <c r="F113" s="146">
        <f>unique_components_1110[[#This Row],[Count]]*unique_components_1110[[#This Row],[Proposed Emission Factor]]*(1-unique_components_1110[[#This Row],[Proposed Control Efficiency]])</f>
        <v>0</v>
      </c>
      <c r="G113" s="155">
        <f>IFERROR(unique_components_1110[[#This Row],[Controlled lb/hr]]*4.38,"")</f>
        <v>0</v>
      </c>
    </row>
    <row r="114" spans="1:8" x14ac:dyDescent="0.2">
      <c r="A114" s="103"/>
      <c r="B114" s="104"/>
      <c r="C114" s="153"/>
      <c r="D114" s="154"/>
      <c r="E114" s="154"/>
      <c r="F114" s="146">
        <f>unique_components_1110[[#This Row],[Count]]*unique_components_1110[[#This Row],[Proposed Emission Factor]]*(1-unique_components_1110[[#This Row],[Proposed Control Efficiency]])</f>
        <v>0</v>
      </c>
      <c r="G114" s="155">
        <f>IFERROR(unique_components_1110[[#This Row],[Controlled lb/hr]]*4.38,"")</f>
        <v>0</v>
      </c>
    </row>
    <row r="115" spans="1:8" x14ac:dyDescent="0.2">
      <c r="A115" s="103"/>
      <c r="B115" s="104"/>
      <c r="C115" s="153"/>
      <c r="D115" s="154"/>
      <c r="E115" s="154"/>
      <c r="F115" s="146">
        <f>unique_components_1110[[#This Row],[Count]]*unique_components_1110[[#This Row],[Proposed Emission Factor]]*(1-unique_components_1110[[#This Row],[Proposed Control Efficiency]])</f>
        <v>0</v>
      </c>
      <c r="G115" s="155">
        <f>IFERROR(unique_components_1110[[#This Row],[Controlled lb/hr]]*4.38,"")</f>
        <v>0</v>
      </c>
    </row>
    <row r="116" spans="1:8" x14ac:dyDescent="0.2">
      <c r="A116" s="103"/>
      <c r="B116" s="104"/>
      <c r="C116" s="153"/>
      <c r="D116" s="154"/>
      <c r="E116" s="154"/>
      <c r="F116" s="146">
        <f>unique_components_1110[[#This Row],[Count]]*unique_components_1110[[#This Row],[Proposed Emission Factor]]*(1-unique_components_1110[[#This Row],[Proposed Control Efficiency]])</f>
        <v>0</v>
      </c>
      <c r="G116" s="155">
        <f>IFERROR(unique_components_1110[[#This Row],[Controlled lb/hr]]*4.38,"")</f>
        <v>0</v>
      </c>
    </row>
    <row r="117" spans="1:8" x14ac:dyDescent="0.2">
      <c r="A117" s="103"/>
      <c r="B117" s="104"/>
      <c r="C117" s="153"/>
      <c r="D117" s="154"/>
      <c r="E117" s="154"/>
      <c r="F117" s="146">
        <f>unique_components_1110[[#This Row],[Count]]*unique_components_1110[[#This Row],[Proposed Emission Factor]]*(1-unique_components_1110[[#This Row],[Proposed Control Efficiency]])</f>
        <v>0</v>
      </c>
      <c r="G117" s="155">
        <f>IFERROR(unique_components_1110[[#This Row],[Controlled lb/hr]]*4.38,"")</f>
        <v>0</v>
      </c>
    </row>
    <row r="118" spans="1:8" x14ac:dyDescent="0.2">
      <c r="A118" s="103"/>
      <c r="B118" s="104"/>
      <c r="C118" s="153"/>
      <c r="D118" s="154"/>
      <c r="E118" s="154"/>
      <c r="F118" s="146">
        <f>unique_components_1110[[#This Row],[Count]]*unique_components_1110[[#This Row],[Proposed Emission Factor]]*(1-unique_components_1110[[#This Row],[Proposed Control Efficiency]])</f>
        <v>0</v>
      </c>
      <c r="G118" s="155">
        <f>IFERROR(unique_components_1110[[#This Row],[Controlled lb/hr]]*4.38,"")</f>
        <v>0</v>
      </c>
    </row>
    <row r="119" spans="1:8" x14ac:dyDescent="0.2">
      <c r="A119" s="103"/>
      <c r="B119" s="104"/>
      <c r="C119" s="153"/>
      <c r="D119" s="154"/>
      <c r="E119" s="154"/>
      <c r="F119" s="146">
        <f>unique_components_1110[[#This Row],[Count]]*unique_components_1110[[#This Row],[Proposed Emission Factor]]*(1-unique_components_1110[[#This Row],[Proposed Control Efficiency]])</f>
        <v>0</v>
      </c>
      <c r="G119" s="155">
        <f>IFERROR(unique_components_1110[[#This Row],[Controlled lb/hr]]*4.38,"")</f>
        <v>0</v>
      </c>
    </row>
    <row r="120" spans="1:8" x14ac:dyDescent="0.2">
      <c r="A120" s="103"/>
      <c r="B120" s="104"/>
      <c r="C120" s="153"/>
      <c r="D120" s="154"/>
      <c r="E120" s="154"/>
      <c r="F120" s="146">
        <f>unique_components_1110[[#This Row],[Count]]*unique_components_1110[[#This Row],[Proposed Emission Factor]]*(1-unique_components_1110[[#This Row],[Proposed Control Efficiency]])</f>
        <v>0</v>
      </c>
      <c r="G120" s="155">
        <f>IFERROR(unique_components_1110[[#This Row],[Controlled lb/hr]]*4.38,"")</f>
        <v>0</v>
      </c>
    </row>
    <row r="121" spans="1:8" x14ac:dyDescent="0.2">
      <c r="A121" s="103"/>
      <c r="B121" s="104"/>
      <c r="C121" s="153"/>
      <c r="D121" s="154"/>
      <c r="E121" s="154"/>
      <c r="F121" s="146">
        <f>unique_components_1110[[#This Row],[Count]]*unique_components_1110[[#This Row],[Proposed Emission Factor]]*(1-unique_components_1110[[#This Row],[Proposed Control Efficiency]])</f>
        <v>0</v>
      </c>
      <c r="G121" s="155">
        <f>IFERROR(unique_components_1110[[#This Row],[Controlled lb/hr]]*4.38,"")</f>
        <v>0</v>
      </c>
    </row>
    <row r="122" spans="1:8" x14ac:dyDescent="0.2">
      <c r="A122" s="103"/>
      <c r="B122" s="104"/>
      <c r="C122" s="153"/>
      <c r="D122" s="154"/>
      <c r="E122" s="154"/>
      <c r="F122" s="146">
        <f>unique_components_1110[[#This Row],[Count]]*unique_components_1110[[#This Row],[Proposed Emission Factor]]*(1-unique_components_1110[[#This Row],[Proposed Control Efficiency]])</f>
        <v>0</v>
      </c>
      <c r="G122" s="155">
        <f>IFERROR(unique_components_1110[[#This Row],[Controlled lb/hr]]*4.38,"")</f>
        <v>0</v>
      </c>
    </row>
    <row r="123" spans="1:8" x14ac:dyDescent="0.2">
      <c r="A123" s="103"/>
      <c r="B123" s="104"/>
      <c r="C123" s="153"/>
      <c r="D123" s="154"/>
      <c r="E123" s="154"/>
      <c r="F123" s="146">
        <f>unique_components_1110[[#This Row],[Count]]*unique_components_1110[[#This Row],[Proposed Emission Factor]]*(1-unique_components_1110[[#This Row],[Proposed Control Efficiency]])</f>
        <v>0</v>
      </c>
      <c r="G123" s="155">
        <f>IFERROR(unique_components_1110[[#This Row],[Controlled lb/hr]]*4.38,"")</f>
        <v>0</v>
      </c>
    </row>
    <row r="124" spans="1:8" x14ac:dyDescent="0.2">
      <c r="A124" s="103"/>
      <c r="B124" s="104"/>
      <c r="C124" s="153"/>
      <c r="D124" s="154"/>
      <c r="E124" s="154"/>
      <c r="F124" s="146">
        <f>unique_components_1110[[#This Row],[Count]]*unique_components_1110[[#This Row],[Proposed Emission Factor]]*(1-unique_components_1110[[#This Row],[Proposed Control Efficiency]])</f>
        <v>0</v>
      </c>
      <c r="G124" s="155">
        <f>IFERROR(unique_components_1110[[#This Row],[Controlled lb/hr]]*4.38,"")</f>
        <v>0</v>
      </c>
    </row>
    <row r="125" spans="1:8" x14ac:dyDescent="0.2">
      <c r="A125" s="103"/>
      <c r="B125" s="104"/>
      <c r="C125" s="153"/>
      <c r="D125" s="154"/>
      <c r="E125" s="154"/>
      <c r="F125" s="146">
        <f>unique_components_1110[[#This Row],[Count]]*unique_components_1110[[#This Row],[Proposed Emission Factor]]*(1-unique_components_1110[[#This Row],[Proposed Control Efficiency]])</f>
        <v>0</v>
      </c>
      <c r="G125" s="155">
        <f>IFERROR(unique_components_1110[[#This Row],[Controlled lb/hr]]*4.38,"")</f>
        <v>0</v>
      </c>
    </row>
    <row r="126" spans="1:8" x14ac:dyDescent="0.2">
      <c r="A126" s="105"/>
      <c r="B126" s="106"/>
      <c r="C126" s="156"/>
      <c r="D126" s="154"/>
      <c r="E126" s="157"/>
      <c r="F126" s="158">
        <f>unique_components_1110[[#This Row],[Count]]*unique_components_1110[[#This Row],[Proposed Emission Factor]]*(1-unique_components_1110[[#This Row],[Proposed Control Efficiency]])</f>
        <v>0</v>
      </c>
      <c r="G126" s="159">
        <f>IFERROR(unique_components_1110[[#This Row],[Controlled lb/hr]]*4.38,"")</f>
        <v>0</v>
      </c>
    </row>
    <row r="127" spans="1:8" ht="30" x14ac:dyDescent="0.2">
      <c r="A127" s="57" t="s">
        <v>13297</v>
      </c>
      <c r="B127" s="54"/>
      <c r="C127" s="160">
        <f>SUBTOTAL(109,unique_components_1110[Count])</f>
        <v>0</v>
      </c>
      <c r="D127" s="161"/>
      <c r="E127" s="161"/>
      <c r="F127" s="162">
        <f>SUBTOTAL(109,unique_components_1110[Controlled lb/hr])</f>
        <v>0</v>
      </c>
      <c r="G127" s="162">
        <f>SUBTOTAL(109,unique_components_1110[Controlled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IFERROR(VLOOKUP(speciated_chemicals_1111[[#This Row],[CAS '#]],species[],MATCH("Substance", species[#Headers], 0),FALSE),"No CAS Number Entered")</f>
        <v>No CAS Number Entered</v>
      </c>
      <c r="C131" s="102"/>
      <c r="D131" s="102" t="s">
        <v>12666</v>
      </c>
      <c r="E131" s="102" t="s">
        <v>12666</v>
      </c>
      <c r="F131" s="102" t="s">
        <v>12666</v>
      </c>
      <c r="G131" s="102" t="s">
        <v>12666</v>
      </c>
      <c r="H131" s="164"/>
      <c r="I131" s="51">
        <f>IF(speciated_chemicals_1111[[#This Row],[Inert / Not a Contaminant?]]="Yes", 0, speciated_chemicals_1111[[#This Row],[Weight Percent]]*(unique_components_1110[[#Totals],[Controlled lb/hr]]+standard_components_1109[[#Totals],[Controlled
lb/hr]]))</f>
        <v>0</v>
      </c>
      <c r="J131" s="51">
        <f>IF(speciated_chemicals_1111[[#This Row],[Inert / Not a Contaminant?]]="Yes", 0, speciated_chemicals_1111[[#This Row],[Weight Percent]]*(unique_components_1110[[#Totals],[Controlled
tpy]]+standard_components_1109[[#Totals],[Controlled
tpy]]))</f>
        <v>0</v>
      </c>
    </row>
    <row r="132" spans="1:10" x14ac:dyDescent="0.2">
      <c r="A132" s="103"/>
      <c r="B132" s="51" t="str">
        <f>IFERROR(VLOOKUP(speciated_chemicals_1111[[#This Row],[CAS '#]],species[],MATCH("Substance", species[#Headers], 0),FALSE),"No CAS Number Entered")</f>
        <v>No CAS Number Entered</v>
      </c>
      <c r="C132" s="102"/>
      <c r="D132" s="102" t="s">
        <v>12666</v>
      </c>
      <c r="E132" s="102" t="s">
        <v>12666</v>
      </c>
      <c r="F132" s="102" t="s">
        <v>12666</v>
      </c>
      <c r="G132" s="102" t="s">
        <v>12666</v>
      </c>
      <c r="H132" s="164"/>
      <c r="I132" s="51">
        <f>IF(speciated_chemicals_1111[[#This Row],[Inert / Not a Contaminant?]]="Yes", 0, speciated_chemicals_1111[[#This Row],[Weight Percent]]*(unique_components_1110[[#Totals],[Controlled lb/hr]]+standard_components_1109[[#Totals],[Controlled
lb/hr]]))</f>
        <v>0</v>
      </c>
      <c r="J132" s="51">
        <f>IF(speciated_chemicals_1111[[#This Row],[Inert / Not a Contaminant?]]="Yes", 0, speciated_chemicals_1111[[#This Row],[Weight Percent]]*(unique_components_1110[[#Totals],[Controlled
tpy]]+standard_components_1109[[#Totals],[Controlled
tpy]]))</f>
        <v>0</v>
      </c>
    </row>
    <row r="133" spans="1:10" x14ac:dyDescent="0.2">
      <c r="A133" s="103"/>
      <c r="B133" s="51" t="str">
        <f>IFERROR(VLOOKUP(speciated_chemicals_1111[[#This Row],[CAS '#]],species[],MATCH("Substance", species[#Headers], 0),FALSE),"No CAS Number Entered")</f>
        <v>No CAS Number Entered</v>
      </c>
      <c r="C133" s="102"/>
      <c r="D133" s="102" t="s">
        <v>12666</v>
      </c>
      <c r="E133" s="102" t="s">
        <v>12666</v>
      </c>
      <c r="F133" s="102" t="s">
        <v>12666</v>
      </c>
      <c r="G133" s="102" t="s">
        <v>12666</v>
      </c>
      <c r="H133" s="164"/>
      <c r="I133" s="51">
        <f>IF(speciated_chemicals_1111[[#This Row],[Inert / Not a Contaminant?]]="Yes", 0, speciated_chemicals_1111[[#This Row],[Weight Percent]]*(unique_components_1110[[#Totals],[Controlled lb/hr]]+standard_components_1109[[#Totals],[Controlled
lb/hr]]))</f>
        <v>0</v>
      </c>
      <c r="J133" s="51">
        <f>IF(speciated_chemicals_1111[[#This Row],[Inert / Not a Contaminant?]]="Yes", 0, speciated_chemicals_1111[[#This Row],[Weight Percent]]*(unique_components_1110[[#Totals],[Controlled
tpy]]+standard_components_1109[[#Totals],[Controlled
tpy]]))</f>
        <v>0</v>
      </c>
    </row>
    <row r="134" spans="1:10" x14ac:dyDescent="0.2">
      <c r="A134" s="103"/>
      <c r="B134" s="51" t="str">
        <f>IFERROR(VLOOKUP(speciated_chemicals_1111[[#This Row],[CAS '#]],species[],MATCH("Substance", species[#Headers], 0),FALSE),"No CAS Number Entered")</f>
        <v>No CAS Number Entered</v>
      </c>
      <c r="C134" s="102"/>
      <c r="D134" s="102" t="s">
        <v>12666</v>
      </c>
      <c r="E134" s="102" t="s">
        <v>12666</v>
      </c>
      <c r="F134" s="102" t="s">
        <v>12666</v>
      </c>
      <c r="G134" s="102" t="s">
        <v>12666</v>
      </c>
      <c r="H134" s="164"/>
      <c r="I134" s="51">
        <f>IF(speciated_chemicals_1111[[#This Row],[Inert / Not a Contaminant?]]="Yes", 0, speciated_chemicals_1111[[#This Row],[Weight Percent]]*(unique_components_1110[[#Totals],[Controlled lb/hr]]+standard_components_1109[[#Totals],[Controlled
lb/hr]]))</f>
        <v>0</v>
      </c>
      <c r="J134" s="51">
        <f>IF(speciated_chemicals_1111[[#This Row],[Inert / Not a Contaminant?]]="Yes", 0, speciated_chemicals_1111[[#This Row],[Weight Percent]]*(unique_components_1110[[#Totals],[Controlled
tpy]]+standard_components_1109[[#Totals],[Controlled
tpy]]))</f>
        <v>0</v>
      </c>
    </row>
    <row r="135" spans="1:10" x14ac:dyDescent="0.2">
      <c r="A135" s="103"/>
      <c r="B135" s="51" t="str">
        <f>IFERROR(VLOOKUP(speciated_chemicals_1111[[#This Row],[CAS '#]],species[],MATCH("Substance", species[#Headers], 0),FALSE),"No CAS Number Entered")</f>
        <v>No CAS Number Entered</v>
      </c>
      <c r="C135" s="102"/>
      <c r="D135" s="102" t="s">
        <v>12666</v>
      </c>
      <c r="E135" s="102" t="s">
        <v>12666</v>
      </c>
      <c r="F135" s="102" t="s">
        <v>12666</v>
      </c>
      <c r="G135" s="102" t="s">
        <v>12666</v>
      </c>
      <c r="H135" s="164"/>
      <c r="I135" s="51">
        <f>IF(speciated_chemicals_1111[[#This Row],[Inert / Not a Contaminant?]]="Yes", 0, speciated_chemicals_1111[[#This Row],[Weight Percent]]*(unique_components_1110[[#Totals],[Controlled lb/hr]]+standard_components_1109[[#Totals],[Controlled
lb/hr]]))</f>
        <v>0</v>
      </c>
      <c r="J135" s="51">
        <f>IF(speciated_chemicals_1111[[#This Row],[Inert / Not a Contaminant?]]="Yes", 0, speciated_chemicals_1111[[#This Row],[Weight Percent]]*(unique_components_1110[[#Totals],[Controlled
tpy]]+standard_components_1109[[#Totals],[Controlled
tpy]]))</f>
        <v>0</v>
      </c>
    </row>
    <row r="136" spans="1:10" x14ac:dyDescent="0.2">
      <c r="A136" s="103"/>
      <c r="B136" s="51" t="str">
        <f>IFERROR(VLOOKUP(speciated_chemicals_1111[[#This Row],[CAS '#]],species[],MATCH("Substance", species[#Headers], 0),FALSE),"No CAS Number Entered")</f>
        <v>No CAS Number Entered</v>
      </c>
      <c r="C136" s="102"/>
      <c r="D136" s="102" t="s">
        <v>12666</v>
      </c>
      <c r="E136" s="102" t="s">
        <v>12666</v>
      </c>
      <c r="F136" s="102" t="s">
        <v>12666</v>
      </c>
      <c r="G136" s="102" t="s">
        <v>12666</v>
      </c>
      <c r="H136" s="164"/>
      <c r="I136" s="51">
        <f>IF(speciated_chemicals_1111[[#This Row],[Inert / Not a Contaminant?]]="Yes", 0, speciated_chemicals_1111[[#This Row],[Weight Percent]]*(unique_components_1110[[#Totals],[Controlled lb/hr]]+standard_components_1109[[#Totals],[Controlled
lb/hr]]))</f>
        <v>0</v>
      </c>
      <c r="J136" s="51">
        <f>IF(speciated_chemicals_1111[[#This Row],[Inert / Not a Contaminant?]]="Yes", 0, speciated_chemicals_1111[[#This Row],[Weight Percent]]*(unique_components_1110[[#Totals],[Controlled
tpy]]+standard_components_1109[[#Totals],[Controlled
tpy]]))</f>
        <v>0</v>
      </c>
    </row>
    <row r="137" spans="1:10" x14ac:dyDescent="0.2">
      <c r="A137" s="103"/>
      <c r="B137" s="51" t="str">
        <f>IFERROR(VLOOKUP(speciated_chemicals_1111[[#This Row],[CAS '#]],species[],MATCH("Substance", species[#Headers], 0),FALSE),"No CAS Number Entered")</f>
        <v>No CAS Number Entered</v>
      </c>
      <c r="C137" s="102"/>
      <c r="D137" s="102" t="s">
        <v>12666</v>
      </c>
      <c r="E137" s="102" t="s">
        <v>12666</v>
      </c>
      <c r="F137" s="102" t="s">
        <v>12666</v>
      </c>
      <c r="G137" s="102" t="s">
        <v>12666</v>
      </c>
      <c r="H137" s="164"/>
      <c r="I137" s="51">
        <f>IF(speciated_chemicals_1111[[#This Row],[Inert / Not a Contaminant?]]="Yes", 0, speciated_chemicals_1111[[#This Row],[Weight Percent]]*(unique_components_1110[[#Totals],[Controlled lb/hr]]+standard_components_1109[[#Totals],[Controlled
lb/hr]]))</f>
        <v>0</v>
      </c>
      <c r="J137" s="51">
        <f>IF(speciated_chemicals_1111[[#This Row],[Inert / Not a Contaminant?]]="Yes", 0, speciated_chemicals_1111[[#This Row],[Weight Percent]]*(unique_components_1110[[#Totals],[Controlled
tpy]]+standard_components_1109[[#Totals],[Controlled
tpy]]))</f>
        <v>0</v>
      </c>
    </row>
    <row r="138" spans="1:10" x14ac:dyDescent="0.2">
      <c r="A138" s="103"/>
      <c r="B138" s="51" t="str">
        <f>IFERROR(VLOOKUP(speciated_chemicals_1111[[#This Row],[CAS '#]],species[],MATCH("Substance", species[#Headers], 0),FALSE),"No CAS Number Entered")</f>
        <v>No CAS Number Entered</v>
      </c>
      <c r="C138" s="102"/>
      <c r="D138" s="102" t="s">
        <v>12666</v>
      </c>
      <c r="E138" s="102" t="s">
        <v>12666</v>
      </c>
      <c r="F138" s="102" t="s">
        <v>12666</v>
      </c>
      <c r="G138" s="102" t="s">
        <v>12666</v>
      </c>
      <c r="H138" s="164"/>
      <c r="I138" s="51">
        <f>IF(speciated_chemicals_1111[[#This Row],[Inert / Not a Contaminant?]]="Yes", 0, speciated_chemicals_1111[[#This Row],[Weight Percent]]*(unique_components_1110[[#Totals],[Controlled lb/hr]]+standard_components_1109[[#Totals],[Controlled
lb/hr]]))</f>
        <v>0</v>
      </c>
      <c r="J138" s="51">
        <f>IF(speciated_chemicals_1111[[#This Row],[Inert / Not a Contaminant?]]="Yes", 0, speciated_chemicals_1111[[#This Row],[Weight Percent]]*(unique_components_1110[[#Totals],[Controlled
tpy]]+standard_components_1109[[#Totals],[Controlled
tpy]]))</f>
        <v>0</v>
      </c>
    </row>
    <row r="139" spans="1:10" x14ac:dyDescent="0.2">
      <c r="A139" s="103"/>
      <c r="B139" s="51" t="str">
        <f>IFERROR(VLOOKUP(speciated_chemicals_1111[[#This Row],[CAS '#]],species[],MATCH("Substance", species[#Headers], 0),FALSE),"No CAS Number Entered")</f>
        <v>No CAS Number Entered</v>
      </c>
      <c r="C139" s="102"/>
      <c r="D139" s="102" t="s">
        <v>12666</v>
      </c>
      <c r="E139" s="102" t="s">
        <v>12666</v>
      </c>
      <c r="F139" s="102" t="s">
        <v>12666</v>
      </c>
      <c r="G139" s="102" t="s">
        <v>12666</v>
      </c>
      <c r="H139" s="164"/>
      <c r="I139" s="51">
        <f>IF(speciated_chemicals_1111[[#This Row],[Inert / Not a Contaminant?]]="Yes", 0, speciated_chemicals_1111[[#This Row],[Weight Percent]]*(unique_components_1110[[#Totals],[Controlled lb/hr]]+standard_components_1109[[#Totals],[Controlled
lb/hr]]))</f>
        <v>0</v>
      </c>
      <c r="J139" s="51">
        <f>IF(speciated_chemicals_1111[[#This Row],[Inert / Not a Contaminant?]]="Yes", 0, speciated_chemicals_1111[[#This Row],[Weight Percent]]*(unique_components_1110[[#Totals],[Controlled
tpy]]+standard_components_1109[[#Totals],[Controlled
tpy]]))</f>
        <v>0</v>
      </c>
    </row>
    <row r="140" spans="1:10" x14ac:dyDescent="0.2">
      <c r="A140" s="103"/>
      <c r="B140" s="51" t="str">
        <f>IFERROR(VLOOKUP(speciated_chemicals_1111[[#This Row],[CAS '#]],species[],MATCH("Substance", species[#Headers], 0),FALSE),"No CAS Number Entered")</f>
        <v>No CAS Number Entered</v>
      </c>
      <c r="C140" s="102"/>
      <c r="D140" s="102" t="s">
        <v>12666</v>
      </c>
      <c r="E140" s="102" t="s">
        <v>12666</v>
      </c>
      <c r="F140" s="102" t="s">
        <v>12666</v>
      </c>
      <c r="G140" s="102" t="s">
        <v>12666</v>
      </c>
      <c r="H140" s="164"/>
      <c r="I140" s="51">
        <f>IF(speciated_chemicals_1111[[#This Row],[Inert / Not a Contaminant?]]="Yes", 0, speciated_chemicals_1111[[#This Row],[Weight Percent]]*(unique_components_1110[[#Totals],[Controlled lb/hr]]+standard_components_1109[[#Totals],[Controlled
lb/hr]]))</f>
        <v>0</v>
      </c>
      <c r="J140" s="51">
        <f>IF(speciated_chemicals_1111[[#This Row],[Inert / Not a Contaminant?]]="Yes", 0, speciated_chemicals_1111[[#This Row],[Weight Percent]]*(unique_components_1110[[#Totals],[Controlled
tpy]]+standard_components_1109[[#Totals],[Controlled
tpy]]))</f>
        <v>0</v>
      </c>
    </row>
    <row r="141" spans="1:10" x14ac:dyDescent="0.2">
      <c r="A141" s="103"/>
      <c r="B141" s="51" t="str">
        <f>IFERROR(VLOOKUP(speciated_chemicals_1111[[#This Row],[CAS '#]],species[],MATCH("Substance", species[#Headers], 0),FALSE),"No CAS Number Entered")</f>
        <v>No CAS Number Entered</v>
      </c>
      <c r="C141" s="102"/>
      <c r="D141" s="102" t="s">
        <v>12666</v>
      </c>
      <c r="E141" s="102" t="s">
        <v>12666</v>
      </c>
      <c r="F141" s="102" t="s">
        <v>12666</v>
      </c>
      <c r="G141" s="102" t="s">
        <v>12666</v>
      </c>
      <c r="H141" s="164"/>
      <c r="I141" s="51">
        <f>IF(speciated_chemicals_1111[[#This Row],[Inert / Not a Contaminant?]]="Yes", 0, speciated_chemicals_1111[[#This Row],[Weight Percent]]*(unique_components_1110[[#Totals],[Controlled lb/hr]]+standard_components_1109[[#Totals],[Controlled
lb/hr]]))</f>
        <v>0</v>
      </c>
      <c r="J141" s="51">
        <f>IF(speciated_chemicals_1111[[#This Row],[Inert / Not a Contaminant?]]="Yes", 0, speciated_chemicals_1111[[#This Row],[Weight Percent]]*(unique_components_1110[[#Totals],[Controlled
tpy]]+standard_components_1109[[#Totals],[Controlled
tpy]]))</f>
        <v>0</v>
      </c>
    </row>
    <row r="142" spans="1:10" x14ac:dyDescent="0.2">
      <c r="A142" s="103"/>
      <c r="B142" s="51" t="str">
        <f>IFERROR(VLOOKUP(speciated_chemicals_1111[[#This Row],[CAS '#]],species[],MATCH("Substance", species[#Headers], 0),FALSE),"No CAS Number Entered")</f>
        <v>No CAS Number Entered</v>
      </c>
      <c r="C142" s="102"/>
      <c r="D142" s="102" t="s">
        <v>12666</v>
      </c>
      <c r="E142" s="102" t="s">
        <v>12666</v>
      </c>
      <c r="F142" s="102" t="s">
        <v>12666</v>
      </c>
      <c r="G142" s="102" t="s">
        <v>12666</v>
      </c>
      <c r="H142" s="164"/>
      <c r="I142" s="51">
        <f>IF(speciated_chemicals_1111[[#This Row],[Inert / Not a Contaminant?]]="Yes", 0, speciated_chemicals_1111[[#This Row],[Weight Percent]]*(unique_components_1110[[#Totals],[Controlled lb/hr]]+standard_components_1109[[#Totals],[Controlled
lb/hr]]))</f>
        <v>0</v>
      </c>
      <c r="J142" s="51">
        <f>IF(speciated_chemicals_1111[[#This Row],[Inert / Not a Contaminant?]]="Yes", 0, speciated_chemicals_1111[[#This Row],[Weight Percent]]*(unique_components_1110[[#Totals],[Controlled
tpy]]+standard_components_1109[[#Totals],[Controlled
tpy]]))</f>
        <v>0</v>
      </c>
    </row>
    <row r="143" spans="1:10" x14ac:dyDescent="0.2">
      <c r="A143" s="103"/>
      <c r="B143" s="51" t="str">
        <f>IFERROR(VLOOKUP(speciated_chemicals_1111[[#This Row],[CAS '#]],species[],MATCH("Substance", species[#Headers], 0),FALSE),"No CAS Number Entered")</f>
        <v>No CAS Number Entered</v>
      </c>
      <c r="C143" s="102"/>
      <c r="D143" s="102" t="s">
        <v>12666</v>
      </c>
      <c r="E143" s="102" t="s">
        <v>12666</v>
      </c>
      <c r="F143" s="102" t="s">
        <v>12666</v>
      </c>
      <c r="G143" s="102" t="s">
        <v>12666</v>
      </c>
      <c r="H143" s="164"/>
      <c r="I143" s="51">
        <f>IF(speciated_chemicals_1111[[#This Row],[Inert / Not a Contaminant?]]="Yes", 0, speciated_chemicals_1111[[#This Row],[Weight Percent]]*(unique_components_1110[[#Totals],[Controlled lb/hr]]+standard_components_1109[[#Totals],[Controlled
lb/hr]]))</f>
        <v>0</v>
      </c>
      <c r="J143" s="51">
        <f>IF(speciated_chemicals_1111[[#This Row],[Inert / Not a Contaminant?]]="Yes", 0, speciated_chemicals_1111[[#This Row],[Weight Percent]]*(unique_components_1110[[#Totals],[Controlled
tpy]]+standard_components_1109[[#Totals],[Controlled
tpy]]))</f>
        <v>0</v>
      </c>
    </row>
    <row r="144" spans="1:10" x14ac:dyDescent="0.2">
      <c r="A144" s="103"/>
      <c r="B144" s="51" t="str">
        <f>IFERROR(VLOOKUP(speciated_chemicals_1111[[#This Row],[CAS '#]],species[],MATCH("Substance", species[#Headers], 0),FALSE),"No CAS Number Entered")</f>
        <v>No CAS Number Entered</v>
      </c>
      <c r="C144" s="102"/>
      <c r="D144" s="102" t="s">
        <v>12666</v>
      </c>
      <c r="E144" s="102" t="s">
        <v>12666</v>
      </c>
      <c r="F144" s="102" t="s">
        <v>12666</v>
      </c>
      <c r="G144" s="102" t="s">
        <v>12666</v>
      </c>
      <c r="H144" s="164"/>
      <c r="I144" s="51">
        <f>IF(speciated_chemicals_1111[[#This Row],[Inert / Not a Contaminant?]]="Yes", 0, speciated_chemicals_1111[[#This Row],[Weight Percent]]*(unique_components_1110[[#Totals],[Controlled lb/hr]]+standard_components_1109[[#Totals],[Controlled
lb/hr]]))</f>
        <v>0</v>
      </c>
      <c r="J144" s="51">
        <f>IF(speciated_chemicals_1111[[#This Row],[Inert / Not a Contaminant?]]="Yes", 0, speciated_chemicals_1111[[#This Row],[Weight Percent]]*(unique_components_1110[[#Totals],[Controlled
tpy]]+standard_components_1109[[#Totals],[Controlled
tpy]]))</f>
        <v>0</v>
      </c>
    </row>
    <row r="145" spans="1:10" x14ac:dyDescent="0.2">
      <c r="A145" s="103"/>
      <c r="B145" s="51" t="str">
        <f>IFERROR(VLOOKUP(speciated_chemicals_1111[[#This Row],[CAS '#]],species[],MATCH("Substance", species[#Headers], 0),FALSE),"No CAS Number Entered")</f>
        <v>No CAS Number Entered</v>
      </c>
      <c r="C145" s="102"/>
      <c r="D145" s="102" t="s">
        <v>12666</v>
      </c>
      <c r="E145" s="102" t="s">
        <v>12666</v>
      </c>
      <c r="F145" s="102" t="s">
        <v>12666</v>
      </c>
      <c r="G145" s="102" t="s">
        <v>12666</v>
      </c>
      <c r="H145" s="164"/>
      <c r="I145" s="51">
        <f>IF(speciated_chemicals_1111[[#This Row],[Inert / Not a Contaminant?]]="Yes", 0, speciated_chemicals_1111[[#This Row],[Weight Percent]]*(unique_components_1110[[#Totals],[Controlled lb/hr]]+standard_components_1109[[#Totals],[Controlled
lb/hr]]))</f>
        <v>0</v>
      </c>
      <c r="J145" s="51">
        <f>IF(speciated_chemicals_1111[[#This Row],[Inert / Not a Contaminant?]]="Yes", 0, speciated_chemicals_1111[[#This Row],[Weight Percent]]*(unique_components_1110[[#Totals],[Controlled
tpy]]+standard_components_1109[[#Totals],[Controlled
tpy]]))</f>
        <v>0</v>
      </c>
    </row>
    <row r="146" spans="1:10" x14ac:dyDescent="0.2">
      <c r="A146" s="103"/>
      <c r="B146" s="51" t="str">
        <f>IFERROR(VLOOKUP(speciated_chemicals_1111[[#This Row],[CAS '#]],species[],MATCH("Substance", species[#Headers], 0),FALSE),"No CAS Number Entered")</f>
        <v>No CAS Number Entered</v>
      </c>
      <c r="C146" s="102"/>
      <c r="D146" s="102" t="s">
        <v>12666</v>
      </c>
      <c r="E146" s="102" t="s">
        <v>12666</v>
      </c>
      <c r="F146" s="102" t="s">
        <v>12666</v>
      </c>
      <c r="G146" s="102" t="s">
        <v>12666</v>
      </c>
      <c r="H146" s="164"/>
      <c r="I146" s="51">
        <f>IF(speciated_chemicals_1111[[#This Row],[Inert / Not a Contaminant?]]="Yes", 0, speciated_chemicals_1111[[#This Row],[Weight Percent]]*(unique_components_1110[[#Totals],[Controlled lb/hr]]+standard_components_1109[[#Totals],[Controlled
lb/hr]]))</f>
        <v>0</v>
      </c>
      <c r="J146" s="51">
        <f>IF(speciated_chemicals_1111[[#This Row],[Inert / Not a Contaminant?]]="Yes", 0, speciated_chemicals_1111[[#This Row],[Weight Percent]]*(unique_components_1110[[#Totals],[Controlled
tpy]]+standard_components_1109[[#Totals],[Controlled
tpy]]))</f>
        <v>0</v>
      </c>
    </row>
    <row r="147" spans="1:10" x14ac:dyDescent="0.2">
      <c r="A147" s="103"/>
      <c r="B147" s="51" t="str">
        <f>IFERROR(VLOOKUP(speciated_chemicals_1111[[#This Row],[CAS '#]],species[],MATCH("Substance", species[#Headers], 0),FALSE),"No CAS Number Entered")</f>
        <v>No CAS Number Entered</v>
      </c>
      <c r="C147" s="102"/>
      <c r="D147" s="102" t="s">
        <v>12666</v>
      </c>
      <c r="E147" s="102" t="s">
        <v>12666</v>
      </c>
      <c r="F147" s="102" t="s">
        <v>12666</v>
      </c>
      <c r="G147" s="102" t="s">
        <v>12666</v>
      </c>
      <c r="H147" s="164"/>
      <c r="I147" s="51">
        <f>IF(speciated_chemicals_1111[[#This Row],[Inert / Not a Contaminant?]]="Yes", 0, speciated_chemicals_1111[[#This Row],[Weight Percent]]*(unique_components_1110[[#Totals],[Controlled lb/hr]]+standard_components_1109[[#Totals],[Controlled
lb/hr]]))</f>
        <v>0</v>
      </c>
      <c r="J147" s="51">
        <f>IF(speciated_chemicals_1111[[#This Row],[Inert / Not a Contaminant?]]="Yes", 0, speciated_chemicals_1111[[#This Row],[Weight Percent]]*(unique_components_1110[[#Totals],[Controlled
tpy]]+standard_components_1109[[#Totals],[Controlled
tpy]]))</f>
        <v>0</v>
      </c>
    </row>
    <row r="148" spans="1:10" x14ac:dyDescent="0.2">
      <c r="A148" s="103"/>
      <c r="B148" s="51" t="str">
        <f>IFERROR(VLOOKUP(speciated_chemicals_1111[[#This Row],[CAS '#]],species[],MATCH("Substance", species[#Headers], 0),FALSE),"No CAS Number Entered")</f>
        <v>No CAS Number Entered</v>
      </c>
      <c r="C148" s="102"/>
      <c r="D148" s="102" t="s">
        <v>12666</v>
      </c>
      <c r="E148" s="102" t="s">
        <v>12666</v>
      </c>
      <c r="F148" s="102" t="s">
        <v>12666</v>
      </c>
      <c r="G148" s="102" t="s">
        <v>12666</v>
      </c>
      <c r="H148" s="164"/>
      <c r="I148" s="51">
        <f>IF(speciated_chemicals_1111[[#This Row],[Inert / Not a Contaminant?]]="Yes", 0, speciated_chemicals_1111[[#This Row],[Weight Percent]]*(unique_components_1110[[#Totals],[Controlled lb/hr]]+standard_components_1109[[#Totals],[Controlled
lb/hr]]))</f>
        <v>0</v>
      </c>
      <c r="J148" s="51">
        <f>IF(speciated_chemicals_1111[[#This Row],[Inert / Not a Contaminant?]]="Yes", 0, speciated_chemicals_1111[[#This Row],[Weight Percent]]*(unique_components_1110[[#Totals],[Controlled
tpy]]+standard_components_1109[[#Totals],[Controlled
tpy]]))</f>
        <v>0</v>
      </c>
    </row>
    <row r="149" spans="1:10" x14ac:dyDescent="0.2">
      <c r="A149" s="103"/>
      <c r="B149" s="51" t="str">
        <f>IFERROR(VLOOKUP(speciated_chemicals_1111[[#This Row],[CAS '#]],species[],MATCH("Substance", species[#Headers], 0),FALSE),"No CAS Number Entered")</f>
        <v>No CAS Number Entered</v>
      </c>
      <c r="C149" s="102"/>
      <c r="D149" s="102" t="s">
        <v>12666</v>
      </c>
      <c r="E149" s="102" t="s">
        <v>12666</v>
      </c>
      <c r="F149" s="102" t="s">
        <v>12666</v>
      </c>
      <c r="G149" s="102" t="s">
        <v>12666</v>
      </c>
      <c r="H149" s="164"/>
      <c r="I149" s="51">
        <f>IF(speciated_chemicals_1111[[#This Row],[Inert / Not a Contaminant?]]="Yes", 0, speciated_chemicals_1111[[#This Row],[Weight Percent]]*(unique_components_1110[[#Totals],[Controlled lb/hr]]+standard_components_1109[[#Totals],[Controlled
lb/hr]]))</f>
        <v>0</v>
      </c>
      <c r="J149" s="51">
        <f>IF(speciated_chemicals_1111[[#This Row],[Inert / Not a Contaminant?]]="Yes", 0, speciated_chemicals_1111[[#This Row],[Weight Percent]]*(unique_components_1110[[#Totals],[Controlled
tpy]]+standard_components_1109[[#Totals],[Controlled
tpy]]))</f>
        <v>0</v>
      </c>
    </row>
    <row r="150" spans="1:10" x14ac:dyDescent="0.2">
      <c r="A150" s="103"/>
      <c r="B150" s="51" t="str">
        <f>IFERROR(VLOOKUP(speciated_chemicals_1111[[#This Row],[CAS '#]],species[],MATCH("Substance", species[#Headers], 0),FALSE),"No CAS Number Entered")</f>
        <v>No CAS Number Entered</v>
      </c>
      <c r="C150" s="102"/>
      <c r="D150" s="102" t="s">
        <v>12666</v>
      </c>
      <c r="E150" s="102" t="s">
        <v>12666</v>
      </c>
      <c r="F150" s="102" t="s">
        <v>12666</v>
      </c>
      <c r="G150" s="102" t="s">
        <v>12666</v>
      </c>
      <c r="H150" s="164"/>
      <c r="I150" s="51">
        <f>IF(speciated_chemicals_1111[[#This Row],[Inert / Not a Contaminant?]]="Yes", 0, speciated_chemicals_1111[[#This Row],[Weight Percent]]*(unique_components_1110[[#Totals],[Controlled lb/hr]]+standard_components_1109[[#Totals],[Controlled
lb/hr]]))</f>
        <v>0</v>
      </c>
      <c r="J150" s="51">
        <f>IF(speciated_chemicals_1111[[#This Row],[Inert / Not a Contaminant?]]="Yes", 0, speciated_chemicals_1111[[#This Row],[Weight Percent]]*(unique_components_1110[[#Totals],[Controlled
tpy]]+standard_components_1109[[#Totals],[Controlled
tpy]]))</f>
        <v>0</v>
      </c>
    </row>
    <row r="151" spans="1:10" x14ac:dyDescent="0.2">
      <c r="A151" s="103"/>
      <c r="B151" s="51" t="str">
        <f>IFERROR(VLOOKUP(speciated_chemicals_1111[[#This Row],[CAS '#]],species[],MATCH("Substance", species[#Headers], 0),FALSE),"No CAS Number Entered")</f>
        <v>No CAS Number Entered</v>
      </c>
      <c r="C151" s="102"/>
      <c r="D151" s="102" t="s">
        <v>12666</v>
      </c>
      <c r="E151" s="102" t="s">
        <v>12666</v>
      </c>
      <c r="F151" s="102" t="s">
        <v>12666</v>
      </c>
      <c r="G151" s="102" t="s">
        <v>12666</v>
      </c>
      <c r="H151" s="164"/>
      <c r="I151" s="51">
        <f>IF(speciated_chemicals_1111[[#This Row],[Inert / Not a Contaminant?]]="Yes", 0, speciated_chemicals_1111[[#This Row],[Weight Percent]]*(unique_components_1110[[#Totals],[Controlled lb/hr]]+standard_components_1109[[#Totals],[Controlled
lb/hr]]))</f>
        <v>0</v>
      </c>
      <c r="J151" s="51">
        <f>IF(speciated_chemicals_1111[[#This Row],[Inert / Not a Contaminant?]]="Yes", 0, speciated_chemicals_1111[[#This Row],[Weight Percent]]*(unique_components_1110[[#Totals],[Controlled
tpy]]+standard_components_1109[[#Totals],[Controlled
tpy]]))</f>
        <v>0</v>
      </c>
    </row>
    <row r="152" spans="1:10" x14ac:dyDescent="0.2">
      <c r="A152" s="103"/>
      <c r="B152" s="51" t="str">
        <f>IFERROR(VLOOKUP(speciated_chemicals_1111[[#This Row],[CAS '#]],species[],MATCH("Substance", species[#Headers], 0),FALSE),"No CAS Number Entered")</f>
        <v>No CAS Number Entered</v>
      </c>
      <c r="C152" s="102"/>
      <c r="D152" s="102" t="s">
        <v>12666</v>
      </c>
      <c r="E152" s="102" t="s">
        <v>12666</v>
      </c>
      <c r="F152" s="102" t="s">
        <v>12666</v>
      </c>
      <c r="G152" s="102" t="s">
        <v>12666</v>
      </c>
      <c r="H152" s="164"/>
      <c r="I152" s="51">
        <f>IF(speciated_chemicals_1111[[#This Row],[Inert / Not a Contaminant?]]="Yes", 0, speciated_chemicals_1111[[#This Row],[Weight Percent]]*(unique_components_1110[[#Totals],[Controlled lb/hr]]+standard_components_1109[[#Totals],[Controlled
lb/hr]]))</f>
        <v>0</v>
      </c>
      <c r="J152" s="51">
        <f>IF(speciated_chemicals_1111[[#This Row],[Inert / Not a Contaminant?]]="Yes", 0, speciated_chemicals_1111[[#This Row],[Weight Percent]]*(unique_components_1110[[#Totals],[Controlled
tpy]]+standard_components_1109[[#Totals],[Controlled
tpy]]))</f>
        <v>0</v>
      </c>
    </row>
    <row r="153" spans="1:10" x14ac:dyDescent="0.2">
      <c r="A153" s="103"/>
      <c r="B153" s="51" t="str">
        <f>IFERROR(VLOOKUP(speciated_chemicals_1111[[#This Row],[CAS '#]],species[],MATCH("Substance", species[#Headers], 0),FALSE),"No CAS Number Entered")</f>
        <v>No CAS Number Entered</v>
      </c>
      <c r="C153" s="102"/>
      <c r="D153" s="102" t="s">
        <v>12666</v>
      </c>
      <c r="E153" s="102" t="s">
        <v>12666</v>
      </c>
      <c r="F153" s="102" t="s">
        <v>12666</v>
      </c>
      <c r="G153" s="102" t="s">
        <v>12666</v>
      </c>
      <c r="H153" s="164"/>
      <c r="I153" s="51">
        <f>IF(speciated_chemicals_1111[[#This Row],[Inert / Not a Contaminant?]]="Yes", 0, speciated_chemicals_1111[[#This Row],[Weight Percent]]*(unique_components_1110[[#Totals],[Controlled lb/hr]]+standard_components_1109[[#Totals],[Controlled
lb/hr]]))</f>
        <v>0</v>
      </c>
      <c r="J153" s="51">
        <f>IF(speciated_chemicals_1111[[#This Row],[Inert / Not a Contaminant?]]="Yes", 0, speciated_chemicals_1111[[#This Row],[Weight Percent]]*(unique_components_1110[[#Totals],[Controlled
tpy]]+standard_components_1109[[#Totals],[Controlled
tpy]]))</f>
        <v>0</v>
      </c>
    </row>
    <row r="154" spans="1:10" x14ac:dyDescent="0.2">
      <c r="A154" s="103"/>
      <c r="B154" s="51" t="str">
        <f>IFERROR(VLOOKUP(speciated_chemicals_1111[[#This Row],[CAS '#]],species[],MATCH("Substance", species[#Headers], 0),FALSE),"No CAS Number Entered")</f>
        <v>No CAS Number Entered</v>
      </c>
      <c r="C154" s="102"/>
      <c r="D154" s="102" t="s">
        <v>12666</v>
      </c>
      <c r="E154" s="102" t="s">
        <v>12666</v>
      </c>
      <c r="F154" s="102" t="s">
        <v>12666</v>
      </c>
      <c r="G154" s="102" t="s">
        <v>12666</v>
      </c>
      <c r="H154" s="164"/>
      <c r="I154" s="51">
        <f>IF(speciated_chemicals_1111[[#This Row],[Inert / Not a Contaminant?]]="Yes", 0, speciated_chemicals_1111[[#This Row],[Weight Percent]]*(unique_components_1110[[#Totals],[Controlled lb/hr]]+standard_components_1109[[#Totals],[Controlled
lb/hr]]))</f>
        <v>0</v>
      </c>
      <c r="J154" s="51">
        <f>IF(speciated_chemicals_1111[[#This Row],[Inert / Not a Contaminant?]]="Yes", 0, speciated_chemicals_1111[[#This Row],[Weight Percent]]*(unique_components_1110[[#Totals],[Controlled
tpy]]+standard_components_1109[[#Totals],[Controlled
tpy]]))</f>
        <v>0</v>
      </c>
    </row>
    <row r="155" spans="1:10" x14ac:dyDescent="0.2">
      <c r="A155" s="103"/>
      <c r="B155" s="51" t="str">
        <f>IFERROR(VLOOKUP(speciated_chemicals_1111[[#This Row],[CAS '#]],species[],MATCH("Substance", species[#Headers], 0),FALSE),"No CAS Number Entered")</f>
        <v>No CAS Number Entered</v>
      </c>
      <c r="C155" s="102"/>
      <c r="D155" s="102" t="s">
        <v>12666</v>
      </c>
      <c r="E155" s="102" t="s">
        <v>12666</v>
      </c>
      <c r="F155" s="102" t="s">
        <v>12666</v>
      </c>
      <c r="G155" s="102" t="s">
        <v>12666</v>
      </c>
      <c r="H155" s="164"/>
      <c r="I155" s="51">
        <f>IF(speciated_chemicals_1111[[#This Row],[Inert / Not a Contaminant?]]="Yes", 0, speciated_chemicals_1111[[#This Row],[Weight Percent]]*(unique_components_1110[[#Totals],[Controlled lb/hr]]+standard_components_1109[[#Totals],[Controlled
lb/hr]]))</f>
        <v>0</v>
      </c>
      <c r="J155" s="51">
        <f>IF(speciated_chemicals_1111[[#This Row],[Inert / Not a Contaminant?]]="Yes", 0, speciated_chemicals_1111[[#This Row],[Weight Percent]]*(unique_components_1110[[#Totals],[Controlled
tpy]]+standard_components_1109[[#Totals],[Controlled
tpy]]))</f>
        <v>0</v>
      </c>
    </row>
    <row r="156" spans="1:10" x14ac:dyDescent="0.2">
      <c r="A156" s="103"/>
      <c r="B156" s="51" t="str">
        <f>IFERROR(VLOOKUP(speciated_chemicals_1111[[#This Row],[CAS '#]],species[],MATCH("Substance", species[#Headers], 0),FALSE),"No CAS Number Entered")</f>
        <v>No CAS Number Entered</v>
      </c>
      <c r="C156" s="102"/>
      <c r="D156" s="102" t="s">
        <v>12666</v>
      </c>
      <c r="E156" s="102" t="s">
        <v>12666</v>
      </c>
      <c r="F156" s="102" t="s">
        <v>12666</v>
      </c>
      <c r="G156" s="102" t="s">
        <v>12666</v>
      </c>
      <c r="H156" s="164"/>
      <c r="I156" s="51">
        <f>IF(speciated_chemicals_1111[[#This Row],[Inert / Not a Contaminant?]]="Yes", 0, speciated_chemicals_1111[[#This Row],[Weight Percent]]*(unique_components_1110[[#Totals],[Controlled lb/hr]]+standard_components_1109[[#Totals],[Controlled
lb/hr]]))</f>
        <v>0</v>
      </c>
      <c r="J156" s="51">
        <f>IF(speciated_chemicals_1111[[#This Row],[Inert / Not a Contaminant?]]="Yes", 0, speciated_chemicals_1111[[#This Row],[Weight Percent]]*(unique_components_1110[[#Totals],[Controlled
tpy]]+standard_components_1109[[#Totals],[Controlled
tpy]]))</f>
        <v>0</v>
      </c>
    </row>
    <row r="157" spans="1:10" x14ac:dyDescent="0.2">
      <c r="A157" s="103"/>
      <c r="B157" s="51" t="str">
        <f>IFERROR(VLOOKUP(speciated_chemicals_1111[[#This Row],[CAS '#]],species[],MATCH("Substance", species[#Headers], 0),FALSE),"No CAS Number Entered")</f>
        <v>No CAS Number Entered</v>
      </c>
      <c r="C157" s="102"/>
      <c r="D157" s="102" t="s">
        <v>12666</v>
      </c>
      <c r="E157" s="102" t="s">
        <v>12666</v>
      </c>
      <c r="F157" s="102" t="s">
        <v>12666</v>
      </c>
      <c r="G157" s="102" t="s">
        <v>12666</v>
      </c>
      <c r="H157" s="164"/>
      <c r="I157" s="51">
        <f>IF(speciated_chemicals_1111[[#This Row],[Inert / Not a Contaminant?]]="Yes", 0, speciated_chemicals_1111[[#This Row],[Weight Percent]]*(unique_components_1110[[#Totals],[Controlled lb/hr]]+standard_components_1109[[#Totals],[Controlled
lb/hr]]))</f>
        <v>0</v>
      </c>
      <c r="J157" s="51">
        <f>IF(speciated_chemicals_1111[[#This Row],[Inert / Not a Contaminant?]]="Yes", 0, speciated_chemicals_1111[[#This Row],[Weight Percent]]*(unique_components_1110[[#Totals],[Controlled
tpy]]+standard_components_1109[[#Totals],[Controlled
tpy]]))</f>
        <v>0</v>
      </c>
    </row>
    <row r="158" spans="1:10" x14ac:dyDescent="0.2">
      <c r="A158" s="103"/>
      <c r="B158" s="51" t="str">
        <f>IFERROR(VLOOKUP(speciated_chemicals_1111[[#This Row],[CAS '#]],species[],MATCH("Substance", species[#Headers], 0),FALSE),"No CAS Number Entered")</f>
        <v>No CAS Number Entered</v>
      </c>
      <c r="C158" s="102"/>
      <c r="D158" s="102" t="s">
        <v>12666</v>
      </c>
      <c r="E158" s="102" t="s">
        <v>12666</v>
      </c>
      <c r="F158" s="102" t="s">
        <v>12666</v>
      </c>
      <c r="G158" s="102" t="s">
        <v>12666</v>
      </c>
      <c r="H158" s="164"/>
      <c r="I158" s="51">
        <f>IF(speciated_chemicals_1111[[#This Row],[Inert / Not a Contaminant?]]="Yes", 0, speciated_chemicals_1111[[#This Row],[Weight Percent]]*(unique_components_1110[[#Totals],[Controlled lb/hr]]+standard_components_1109[[#Totals],[Controlled
lb/hr]]))</f>
        <v>0</v>
      </c>
      <c r="J158" s="51">
        <f>IF(speciated_chemicals_1111[[#This Row],[Inert / Not a Contaminant?]]="Yes", 0, speciated_chemicals_1111[[#This Row],[Weight Percent]]*(unique_components_1110[[#Totals],[Controlled
tpy]]+standard_components_1109[[#Totals],[Controlled
tpy]]))</f>
        <v>0</v>
      </c>
    </row>
    <row r="159" spans="1:10" x14ac:dyDescent="0.2">
      <c r="A159" s="103"/>
      <c r="B159" s="51" t="str">
        <f>IFERROR(VLOOKUP(speciated_chemicals_1111[[#This Row],[CAS '#]],species[],MATCH("Substance", species[#Headers], 0),FALSE),"No CAS Number Entered")</f>
        <v>No CAS Number Entered</v>
      </c>
      <c r="C159" s="102"/>
      <c r="D159" s="102" t="s">
        <v>12666</v>
      </c>
      <c r="E159" s="102" t="s">
        <v>12666</v>
      </c>
      <c r="F159" s="102" t="s">
        <v>12666</v>
      </c>
      <c r="G159" s="102" t="s">
        <v>12666</v>
      </c>
      <c r="H159" s="164"/>
      <c r="I159" s="51">
        <f>IF(speciated_chemicals_1111[[#This Row],[Inert / Not a Contaminant?]]="Yes", 0, speciated_chemicals_1111[[#This Row],[Weight Percent]]*(unique_components_1110[[#Totals],[Controlled lb/hr]]+standard_components_1109[[#Totals],[Controlled
lb/hr]]))</f>
        <v>0</v>
      </c>
      <c r="J159" s="51">
        <f>IF(speciated_chemicals_1111[[#This Row],[Inert / Not a Contaminant?]]="Yes", 0, speciated_chemicals_1111[[#This Row],[Weight Percent]]*(unique_components_1110[[#Totals],[Controlled
tpy]]+standard_components_1109[[#Totals],[Controlled
tpy]]))</f>
        <v>0</v>
      </c>
    </row>
    <row r="160" spans="1:10" x14ac:dyDescent="0.2">
      <c r="A160" s="103"/>
      <c r="B160" s="51" t="str">
        <f>IFERROR(VLOOKUP(speciated_chemicals_1111[[#This Row],[CAS '#]],species[],MATCH("Substance", species[#Headers], 0),FALSE),"No CAS Number Entered")</f>
        <v>No CAS Number Entered</v>
      </c>
      <c r="C160" s="102"/>
      <c r="D160" s="102" t="s">
        <v>12666</v>
      </c>
      <c r="E160" s="102" t="s">
        <v>12666</v>
      </c>
      <c r="F160" s="102" t="s">
        <v>12666</v>
      </c>
      <c r="G160" s="102" t="s">
        <v>12666</v>
      </c>
      <c r="H160" s="164"/>
      <c r="I160" s="51">
        <f>IF(speciated_chemicals_1111[[#This Row],[Inert / Not a Contaminant?]]="Yes", 0, speciated_chemicals_1111[[#This Row],[Weight Percent]]*(unique_components_1110[[#Totals],[Controlled lb/hr]]+standard_components_1109[[#Totals],[Controlled
lb/hr]]))</f>
        <v>0</v>
      </c>
      <c r="J160" s="51">
        <f>IF(speciated_chemicals_1111[[#This Row],[Inert / Not a Contaminant?]]="Yes", 0, speciated_chemicals_1111[[#This Row],[Weight Percent]]*(unique_components_1110[[#Totals],[Controlled
tpy]]+standard_components_1109[[#Totals],[Controlled
tpy]]))</f>
        <v>0</v>
      </c>
    </row>
    <row r="161" spans="1:10" x14ac:dyDescent="0.2">
      <c r="A161" s="103"/>
      <c r="B161" s="51" t="str">
        <f>IFERROR(VLOOKUP(speciated_chemicals_1111[[#This Row],[CAS '#]],species[],MATCH("Substance", species[#Headers], 0),FALSE),"No CAS Number Entered")</f>
        <v>No CAS Number Entered</v>
      </c>
      <c r="C161" s="102"/>
      <c r="D161" s="102" t="s">
        <v>12666</v>
      </c>
      <c r="E161" s="102" t="s">
        <v>12666</v>
      </c>
      <c r="F161" s="102" t="s">
        <v>12666</v>
      </c>
      <c r="G161" s="102" t="s">
        <v>12666</v>
      </c>
      <c r="H161" s="164"/>
      <c r="I161" s="51">
        <f>IF(speciated_chemicals_1111[[#This Row],[Inert / Not a Contaminant?]]="Yes", 0, speciated_chemicals_1111[[#This Row],[Weight Percent]]*(unique_components_1110[[#Totals],[Controlled lb/hr]]+standard_components_1109[[#Totals],[Controlled
lb/hr]]))</f>
        <v>0</v>
      </c>
      <c r="J161" s="51">
        <f>IF(speciated_chemicals_1111[[#This Row],[Inert / Not a Contaminant?]]="Yes", 0, speciated_chemicals_1111[[#This Row],[Weight Percent]]*(unique_components_1110[[#Totals],[Controlled
tpy]]+standard_components_1109[[#Totals],[Controlled
tpy]]))</f>
        <v>0</v>
      </c>
    </row>
    <row r="162" spans="1:10" x14ac:dyDescent="0.2">
      <c r="A162" s="103"/>
      <c r="B162" s="51" t="str">
        <f>IFERROR(VLOOKUP(speciated_chemicals_1111[[#This Row],[CAS '#]],species[],MATCH("Substance", species[#Headers], 0),FALSE),"No CAS Number Entered")</f>
        <v>No CAS Number Entered</v>
      </c>
      <c r="C162" s="102"/>
      <c r="D162" s="102" t="s">
        <v>12666</v>
      </c>
      <c r="E162" s="102" t="s">
        <v>12666</v>
      </c>
      <c r="F162" s="102" t="s">
        <v>12666</v>
      </c>
      <c r="G162" s="102" t="s">
        <v>12666</v>
      </c>
      <c r="H162" s="164"/>
      <c r="I162" s="51">
        <f>IF(speciated_chemicals_1111[[#This Row],[Inert / Not a Contaminant?]]="Yes", 0, speciated_chemicals_1111[[#This Row],[Weight Percent]]*(unique_components_1110[[#Totals],[Controlled lb/hr]]+standard_components_1109[[#Totals],[Controlled
lb/hr]]))</f>
        <v>0</v>
      </c>
      <c r="J162" s="51">
        <f>IF(speciated_chemicals_1111[[#This Row],[Inert / Not a Contaminant?]]="Yes", 0, speciated_chemicals_1111[[#This Row],[Weight Percent]]*(unique_components_1110[[#Totals],[Controlled
tpy]]+standard_components_1109[[#Totals],[Controlled
tpy]]))</f>
        <v>0</v>
      </c>
    </row>
    <row r="163" spans="1:10" x14ac:dyDescent="0.2">
      <c r="A163" s="103"/>
      <c r="B163" s="51" t="str">
        <f>IFERROR(VLOOKUP(speciated_chemicals_1111[[#This Row],[CAS '#]],species[],MATCH("Substance", species[#Headers], 0),FALSE),"No CAS Number Entered")</f>
        <v>No CAS Number Entered</v>
      </c>
      <c r="C163" s="102"/>
      <c r="D163" s="102" t="s">
        <v>12666</v>
      </c>
      <c r="E163" s="102" t="s">
        <v>12666</v>
      </c>
      <c r="F163" s="102" t="s">
        <v>12666</v>
      </c>
      <c r="G163" s="102" t="s">
        <v>12666</v>
      </c>
      <c r="H163" s="164"/>
      <c r="I163" s="51">
        <f>IF(speciated_chemicals_1111[[#This Row],[Inert / Not a Contaminant?]]="Yes", 0, speciated_chemicals_1111[[#This Row],[Weight Percent]]*(unique_components_1110[[#Totals],[Controlled lb/hr]]+standard_components_1109[[#Totals],[Controlled
lb/hr]]))</f>
        <v>0</v>
      </c>
      <c r="J163" s="51">
        <f>IF(speciated_chemicals_1111[[#This Row],[Inert / Not a Contaminant?]]="Yes", 0, speciated_chemicals_1111[[#This Row],[Weight Percent]]*(unique_components_1110[[#Totals],[Controlled
tpy]]+standard_components_1109[[#Totals],[Controlled
tpy]]))</f>
        <v>0</v>
      </c>
    </row>
    <row r="164" spans="1:10" x14ac:dyDescent="0.2">
      <c r="A164" s="103"/>
      <c r="B164" s="51" t="str">
        <f>IFERROR(VLOOKUP(speciated_chemicals_1111[[#This Row],[CAS '#]],species[],MATCH("Substance", species[#Headers], 0),FALSE),"No CAS Number Entered")</f>
        <v>No CAS Number Entered</v>
      </c>
      <c r="C164" s="102"/>
      <c r="D164" s="102" t="s">
        <v>12666</v>
      </c>
      <c r="E164" s="102" t="s">
        <v>12666</v>
      </c>
      <c r="F164" s="102" t="s">
        <v>12666</v>
      </c>
      <c r="G164" s="102" t="s">
        <v>12666</v>
      </c>
      <c r="H164" s="164"/>
      <c r="I164" s="51">
        <f>IF(speciated_chemicals_1111[[#This Row],[Inert / Not a Contaminant?]]="Yes", 0, speciated_chemicals_1111[[#This Row],[Weight Percent]]*(unique_components_1110[[#Totals],[Controlled lb/hr]]+standard_components_1109[[#Totals],[Controlled
lb/hr]]))</f>
        <v>0</v>
      </c>
      <c r="J164" s="51">
        <f>IF(speciated_chemicals_1111[[#This Row],[Inert / Not a Contaminant?]]="Yes", 0, speciated_chemicals_1111[[#This Row],[Weight Percent]]*(unique_components_1110[[#Totals],[Controlled
tpy]]+standard_components_1109[[#Totals],[Controlled
tpy]]))</f>
        <v>0</v>
      </c>
    </row>
    <row r="165" spans="1:10" x14ac:dyDescent="0.2">
      <c r="A165" s="103"/>
      <c r="B165" s="51" t="str">
        <f>IFERROR(VLOOKUP(speciated_chemicals_1111[[#This Row],[CAS '#]],species[],MATCH("Substance", species[#Headers], 0),FALSE),"No CAS Number Entered")</f>
        <v>No CAS Number Entered</v>
      </c>
      <c r="C165" s="102"/>
      <c r="D165" s="102" t="s">
        <v>12666</v>
      </c>
      <c r="E165" s="102" t="s">
        <v>12666</v>
      </c>
      <c r="F165" s="102" t="s">
        <v>12666</v>
      </c>
      <c r="G165" s="102" t="s">
        <v>12666</v>
      </c>
      <c r="H165" s="164"/>
      <c r="I165" s="51">
        <f>IF(speciated_chemicals_1111[[#This Row],[Inert / Not a Contaminant?]]="Yes", 0, speciated_chemicals_1111[[#This Row],[Weight Percent]]*(unique_components_1110[[#Totals],[Controlled lb/hr]]+standard_components_1109[[#Totals],[Controlled
lb/hr]]))</f>
        <v>0</v>
      </c>
      <c r="J165" s="51">
        <f>IF(speciated_chemicals_1111[[#This Row],[Inert / Not a Contaminant?]]="Yes", 0, speciated_chemicals_1111[[#This Row],[Weight Percent]]*(unique_components_1110[[#Totals],[Controlled
tpy]]+standard_components_1109[[#Totals],[Controlled
tpy]]))</f>
        <v>0</v>
      </c>
    </row>
    <row r="166" spans="1:10" x14ac:dyDescent="0.2">
      <c r="A166" s="103"/>
      <c r="B166" s="51" t="str">
        <f>IFERROR(VLOOKUP(speciated_chemicals_1111[[#This Row],[CAS '#]],species[],MATCH("Substance", species[#Headers], 0),FALSE),"No CAS Number Entered")</f>
        <v>No CAS Number Entered</v>
      </c>
      <c r="C166" s="102"/>
      <c r="D166" s="102" t="s">
        <v>12666</v>
      </c>
      <c r="E166" s="102" t="s">
        <v>12666</v>
      </c>
      <c r="F166" s="102" t="s">
        <v>12666</v>
      </c>
      <c r="G166" s="102" t="s">
        <v>12666</v>
      </c>
      <c r="H166" s="164"/>
      <c r="I166" s="51">
        <f>IF(speciated_chemicals_1111[[#This Row],[Inert / Not a Contaminant?]]="Yes", 0, speciated_chemicals_1111[[#This Row],[Weight Percent]]*(unique_components_1110[[#Totals],[Controlled lb/hr]]+standard_components_1109[[#Totals],[Controlled
lb/hr]]))</f>
        <v>0</v>
      </c>
      <c r="J166" s="51">
        <f>IF(speciated_chemicals_1111[[#This Row],[Inert / Not a Contaminant?]]="Yes", 0, speciated_chemicals_1111[[#This Row],[Weight Percent]]*(unique_components_1110[[#Totals],[Controlled
tpy]]+standard_components_1109[[#Totals],[Controlled
tpy]]))</f>
        <v>0</v>
      </c>
    </row>
    <row r="167" spans="1:10" x14ac:dyDescent="0.2">
      <c r="A167" s="103"/>
      <c r="B167" s="51" t="str">
        <f>IFERROR(VLOOKUP(speciated_chemicals_1111[[#This Row],[CAS '#]],species[],MATCH("Substance", species[#Headers], 0),FALSE),"No CAS Number Entered")</f>
        <v>No CAS Number Entered</v>
      </c>
      <c r="C167" s="102"/>
      <c r="D167" s="102" t="s">
        <v>12666</v>
      </c>
      <c r="E167" s="102" t="s">
        <v>12666</v>
      </c>
      <c r="F167" s="102" t="s">
        <v>12666</v>
      </c>
      <c r="G167" s="102" t="s">
        <v>12666</v>
      </c>
      <c r="H167" s="164"/>
      <c r="I167" s="51">
        <f>IF(speciated_chemicals_1111[[#This Row],[Inert / Not a Contaminant?]]="Yes", 0, speciated_chemicals_1111[[#This Row],[Weight Percent]]*(unique_components_1110[[#Totals],[Controlled lb/hr]]+standard_components_1109[[#Totals],[Controlled
lb/hr]]))</f>
        <v>0</v>
      </c>
      <c r="J167" s="51">
        <f>IF(speciated_chemicals_1111[[#This Row],[Inert / Not a Contaminant?]]="Yes", 0, speciated_chemicals_1111[[#This Row],[Weight Percent]]*(unique_components_1110[[#Totals],[Controlled
tpy]]+standard_components_1109[[#Totals],[Controlled
tpy]]))</f>
        <v>0</v>
      </c>
    </row>
    <row r="168" spans="1:10" x14ac:dyDescent="0.2">
      <c r="A168" s="103"/>
      <c r="B168" s="51" t="str">
        <f>IFERROR(VLOOKUP(speciated_chemicals_1111[[#This Row],[CAS '#]],species[],MATCH("Substance", species[#Headers], 0),FALSE),"No CAS Number Entered")</f>
        <v>No CAS Number Entered</v>
      </c>
      <c r="C168" s="102"/>
      <c r="D168" s="102" t="s">
        <v>12666</v>
      </c>
      <c r="E168" s="102" t="s">
        <v>12666</v>
      </c>
      <c r="F168" s="102" t="s">
        <v>12666</v>
      </c>
      <c r="G168" s="102" t="s">
        <v>12666</v>
      </c>
      <c r="H168" s="164"/>
      <c r="I168" s="51">
        <f>IF(speciated_chemicals_1111[[#This Row],[Inert / Not a Contaminant?]]="Yes", 0, speciated_chemicals_1111[[#This Row],[Weight Percent]]*(unique_components_1110[[#Totals],[Controlled lb/hr]]+standard_components_1109[[#Totals],[Controlled
lb/hr]]))</f>
        <v>0</v>
      </c>
      <c r="J168" s="51">
        <f>IF(speciated_chemicals_1111[[#This Row],[Inert / Not a Contaminant?]]="Yes", 0, speciated_chemicals_1111[[#This Row],[Weight Percent]]*(unique_components_1110[[#Totals],[Controlled
tpy]]+standard_components_1109[[#Totals],[Controlled
tpy]]))</f>
        <v>0</v>
      </c>
    </row>
    <row r="169" spans="1:10" x14ac:dyDescent="0.2">
      <c r="A169" s="103"/>
      <c r="B169" s="51" t="str">
        <f>IFERROR(VLOOKUP(speciated_chemicals_1111[[#This Row],[CAS '#]],species[],MATCH("Substance", species[#Headers], 0),FALSE),"No CAS Number Entered")</f>
        <v>No CAS Number Entered</v>
      </c>
      <c r="C169" s="102"/>
      <c r="D169" s="102" t="s">
        <v>12666</v>
      </c>
      <c r="E169" s="102" t="s">
        <v>12666</v>
      </c>
      <c r="F169" s="102" t="s">
        <v>12666</v>
      </c>
      <c r="G169" s="102" t="s">
        <v>12666</v>
      </c>
      <c r="H169" s="164"/>
      <c r="I169" s="51">
        <f>IF(speciated_chemicals_1111[[#This Row],[Inert / Not a Contaminant?]]="Yes", 0, speciated_chemicals_1111[[#This Row],[Weight Percent]]*(unique_components_1110[[#Totals],[Controlled lb/hr]]+standard_components_1109[[#Totals],[Controlled
lb/hr]]))</f>
        <v>0</v>
      </c>
      <c r="J169" s="51">
        <f>IF(speciated_chemicals_1111[[#This Row],[Inert / Not a Contaminant?]]="Yes", 0, speciated_chemicals_1111[[#This Row],[Weight Percent]]*(unique_components_1110[[#Totals],[Controlled
tpy]]+standard_components_1109[[#Totals],[Controlled
tpy]]))</f>
        <v>0</v>
      </c>
    </row>
    <row r="170" spans="1:10" x14ac:dyDescent="0.2">
      <c r="A170" s="103"/>
      <c r="B170" s="51" t="str">
        <f>IFERROR(VLOOKUP(speciated_chemicals_1111[[#This Row],[CAS '#]],species[],MATCH("Substance", species[#Headers], 0),FALSE),"No CAS Number Entered")</f>
        <v>No CAS Number Entered</v>
      </c>
      <c r="C170" s="102"/>
      <c r="D170" s="102" t="s">
        <v>12666</v>
      </c>
      <c r="E170" s="102" t="s">
        <v>12666</v>
      </c>
      <c r="F170" s="102" t="s">
        <v>12666</v>
      </c>
      <c r="G170" s="102" t="s">
        <v>12666</v>
      </c>
      <c r="H170" s="164"/>
      <c r="I170" s="51">
        <f>IF(speciated_chemicals_1111[[#This Row],[Inert / Not a Contaminant?]]="Yes", 0, speciated_chemicals_1111[[#This Row],[Weight Percent]]*(unique_components_1110[[#Totals],[Controlled lb/hr]]+standard_components_1109[[#Totals],[Controlled
lb/hr]]))</f>
        <v>0</v>
      </c>
      <c r="J170" s="51">
        <f>IF(speciated_chemicals_1111[[#This Row],[Inert / Not a Contaminant?]]="Yes", 0, speciated_chemicals_1111[[#This Row],[Weight Percent]]*(unique_components_1110[[#Totals],[Controlled
tpy]]+standard_components_1109[[#Totals],[Controlled
tpy]]))</f>
        <v>0</v>
      </c>
    </row>
    <row r="171" spans="1:10" x14ac:dyDescent="0.2">
      <c r="A171" s="103"/>
      <c r="B171" s="51" t="str">
        <f>IFERROR(VLOOKUP(speciated_chemicals_1111[[#This Row],[CAS '#]],species[],MATCH("Substance", species[#Headers], 0),FALSE),"No CAS Number Entered")</f>
        <v>No CAS Number Entered</v>
      </c>
      <c r="C171" s="102"/>
      <c r="D171" s="102" t="s">
        <v>12666</v>
      </c>
      <c r="E171" s="102" t="s">
        <v>12666</v>
      </c>
      <c r="F171" s="102" t="s">
        <v>12666</v>
      </c>
      <c r="G171" s="102" t="s">
        <v>12666</v>
      </c>
      <c r="H171" s="164"/>
      <c r="I171" s="51">
        <f>IF(speciated_chemicals_1111[[#This Row],[Inert / Not a Contaminant?]]="Yes", 0, speciated_chemicals_1111[[#This Row],[Weight Percent]]*(unique_components_1110[[#Totals],[Controlled lb/hr]]+standard_components_1109[[#Totals],[Controlled
lb/hr]]))</f>
        <v>0</v>
      </c>
      <c r="J171" s="51">
        <f>IF(speciated_chemicals_1111[[#This Row],[Inert / Not a Contaminant?]]="Yes", 0, speciated_chemicals_1111[[#This Row],[Weight Percent]]*(unique_components_1110[[#Totals],[Controlled
tpy]]+standard_components_1109[[#Totals],[Controlled
tpy]]))</f>
        <v>0</v>
      </c>
    </row>
    <row r="172" spans="1:10" x14ac:dyDescent="0.2">
      <c r="A172" s="103"/>
      <c r="B172" s="51" t="str">
        <f>IFERROR(VLOOKUP(speciated_chemicals_1111[[#This Row],[CAS '#]],species[],MATCH("Substance", species[#Headers], 0),FALSE),"No CAS Number Entered")</f>
        <v>No CAS Number Entered</v>
      </c>
      <c r="C172" s="102"/>
      <c r="D172" s="102" t="s">
        <v>12666</v>
      </c>
      <c r="E172" s="102" t="s">
        <v>12666</v>
      </c>
      <c r="F172" s="102" t="s">
        <v>12666</v>
      </c>
      <c r="G172" s="102" t="s">
        <v>12666</v>
      </c>
      <c r="H172" s="164"/>
      <c r="I172" s="51">
        <f>IF(speciated_chemicals_1111[[#This Row],[Inert / Not a Contaminant?]]="Yes", 0, speciated_chemicals_1111[[#This Row],[Weight Percent]]*(unique_components_1110[[#Totals],[Controlled lb/hr]]+standard_components_1109[[#Totals],[Controlled
lb/hr]]))</f>
        <v>0</v>
      </c>
      <c r="J172" s="51">
        <f>IF(speciated_chemicals_1111[[#This Row],[Inert / Not a Contaminant?]]="Yes", 0, speciated_chemicals_1111[[#This Row],[Weight Percent]]*(unique_components_1110[[#Totals],[Controlled
tpy]]+standard_components_1109[[#Totals],[Controlled
tpy]]))</f>
        <v>0</v>
      </c>
    </row>
    <row r="173" spans="1:10" x14ac:dyDescent="0.2">
      <c r="A173" s="103"/>
      <c r="B173" s="51" t="str">
        <f>IFERROR(VLOOKUP(speciated_chemicals_1111[[#This Row],[CAS '#]],species[],MATCH("Substance", species[#Headers], 0),FALSE),"No CAS Number Entered")</f>
        <v>No CAS Number Entered</v>
      </c>
      <c r="C173" s="102"/>
      <c r="D173" s="102" t="s">
        <v>12666</v>
      </c>
      <c r="E173" s="102" t="s">
        <v>12666</v>
      </c>
      <c r="F173" s="102" t="s">
        <v>12666</v>
      </c>
      <c r="G173" s="102" t="s">
        <v>12666</v>
      </c>
      <c r="H173" s="164"/>
      <c r="I173" s="51">
        <f>IF(speciated_chemicals_1111[[#This Row],[Inert / Not a Contaminant?]]="Yes", 0, speciated_chemicals_1111[[#This Row],[Weight Percent]]*(unique_components_1110[[#Totals],[Controlled lb/hr]]+standard_components_1109[[#Totals],[Controlled
lb/hr]]))</f>
        <v>0</v>
      </c>
      <c r="J173" s="51">
        <f>IF(speciated_chemicals_1111[[#This Row],[Inert / Not a Contaminant?]]="Yes", 0, speciated_chemicals_1111[[#This Row],[Weight Percent]]*(unique_components_1110[[#Totals],[Controlled
tpy]]+standard_components_1109[[#Totals],[Controlled
tpy]]))</f>
        <v>0</v>
      </c>
    </row>
    <row r="174" spans="1:10" x14ac:dyDescent="0.2">
      <c r="A174" s="103"/>
      <c r="B174" s="51" t="str">
        <f>IFERROR(VLOOKUP(speciated_chemicals_1111[[#This Row],[CAS '#]],species[],MATCH("Substance", species[#Headers], 0),FALSE),"No CAS Number Entered")</f>
        <v>No CAS Number Entered</v>
      </c>
      <c r="C174" s="102"/>
      <c r="D174" s="102" t="s">
        <v>12666</v>
      </c>
      <c r="E174" s="102" t="s">
        <v>12666</v>
      </c>
      <c r="F174" s="102" t="s">
        <v>12666</v>
      </c>
      <c r="G174" s="102" t="s">
        <v>12666</v>
      </c>
      <c r="H174" s="164"/>
      <c r="I174" s="51">
        <f>IF(speciated_chemicals_1111[[#This Row],[Inert / Not a Contaminant?]]="Yes", 0, speciated_chemicals_1111[[#This Row],[Weight Percent]]*(unique_components_1110[[#Totals],[Controlled lb/hr]]+standard_components_1109[[#Totals],[Controlled
lb/hr]]))</f>
        <v>0</v>
      </c>
      <c r="J174" s="51">
        <f>IF(speciated_chemicals_1111[[#This Row],[Inert / Not a Contaminant?]]="Yes", 0, speciated_chemicals_1111[[#This Row],[Weight Percent]]*(unique_components_1110[[#Totals],[Controlled
tpy]]+standard_components_1109[[#Totals],[Controlled
tpy]]))</f>
        <v>0</v>
      </c>
    </row>
    <row r="175" spans="1:10" x14ac:dyDescent="0.2">
      <c r="A175" s="103"/>
      <c r="B175" s="51" t="str">
        <f>IFERROR(VLOOKUP(speciated_chemicals_1111[[#This Row],[CAS '#]],species[],MATCH("Substance", species[#Headers], 0),FALSE),"No CAS Number Entered")</f>
        <v>No CAS Number Entered</v>
      </c>
      <c r="C175" s="102"/>
      <c r="D175" s="102" t="s">
        <v>12666</v>
      </c>
      <c r="E175" s="102" t="s">
        <v>12666</v>
      </c>
      <c r="F175" s="102" t="s">
        <v>12666</v>
      </c>
      <c r="G175" s="102" t="s">
        <v>12666</v>
      </c>
      <c r="H175" s="164"/>
      <c r="I175" s="51">
        <f>IF(speciated_chemicals_1111[[#This Row],[Inert / Not a Contaminant?]]="Yes", 0, speciated_chemicals_1111[[#This Row],[Weight Percent]]*(unique_components_1110[[#Totals],[Controlled lb/hr]]+standard_components_1109[[#Totals],[Controlled
lb/hr]]))</f>
        <v>0</v>
      </c>
      <c r="J175" s="51">
        <f>IF(speciated_chemicals_1111[[#This Row],[Inert / Not a Contaminant?]]="Yes", 0, speciated_chemicals_1111[[#This Row],[Weight Percent]]*(unique_components_1110[[#Totals],[Controlled
tpy]]+standard_components_1109[[#Totals],[Controlled
tpy]]))</f>
        <v>0</v>
      </c>
    </row>
    <row r="176" spans="1:10" x14ac:dyDescent="0.2">
      <c r="A176" s="165"/>
      <c r="B176" s="51" t="str">
        <f>IFERROR(VLOOKUP(speciated_chemicals_1111[[#This Row],[CAS '#]],species[],MATCH("Substance", species[#Headers], 0),FALSE),"No CAS Number Entered")</f>
        <v>No CAS Number Entered</v>
      </c>
      <c r="C176" s="102"/>
      <c r="D176" s="102" t="s">
        <v>12666</v>
      </c>
      <c r="E176" s="102" t="s">
        <v>12666</v>
      </c>
      <c r="F176" s="102" t="s">
        <v>12666</v>
      </c>
      <c r="G176" s="102" t="s">
        <v>12666</v>
      </c>
      <c r="H176" s="164"/>
      <c r="I176" s="51">
        <f>IF(speciated_chemicals_1111[[#This Row],[Inert / Not a Contaminant?]]="Yes", 0, speciated_chemicals_1111[[#This Row],[Weight Percent]]*(unique_components_1110[[#Totals],[Controlled lb/hr]]+standard_components_1109[[#Totals],[Controlled
lb/hr]]))</f>
        <v>0</v>
      </c>
      <c r="J176" s="51">
        <f>IF(speciated_chemicals_1111[[#This Row],[Inert / Not a Contaminant?]]="Yes", 0, speciated_chemicals_1111[[#This Row],[Weight Percent]]*(unique_components_1110[[#Totals],[Controlled
tpy]]+standard_components_1109[[#Totals],[Controlled
tpy]]))</f>
        <v>0</v>
      </c>
    </row>
    <row r="177" spans="1:10" x14ac:dyDescent="0.2">
      <c r="A177" s="103"/>
      <c r="B177" s="51" t="str">
        <f>IFERROR(VLOOKUP(speciated_chemicals_1111[[#This Row],[CAS '#]],species[],MATCH("Substance", species[#Headers], 0),FALSE),"No CAS Number Entered")</f>
        <v>No CAS Number Entered</v>
      </c>
      <c r="C177" s="102"/>
      <c r="D177" s="102" t="s">
        <v>12666</v>
      </c>
      <c r="E177" s="102" t="s">
        <v>12666</v>
      </c>
      <c r="F177" s="102" t="s">
        <v>12666</v>
      </c>
      <c r="G177" s="102" t="s">
        <v>12666</v>
      </c>
      <c r="H177" s="164"/>
      <c r="I177" s="51">
        <f>IF(speciated_chemicals_1111[[#This Row],[Inert / Not a Contaminant?]]="Yes", 0, speciated_chemicals_1111[[#This Row],[Weight Percent]]*(unique_components_1110[[#Totals],[Controlled lb/hr]]+standard_components_1109[[#Totals],[Controlled
lb/hr]]))</f>
        <v>0</v>
      </c>
      <c r="J177" s="51">
        <f>IF(speciated_chemicals_1111[[#This Row],[Inert / Not a Contaminant?]]="Yes", 0, speciated_chemicals_1111[[#This Row],[Weight Percent]]*(unique_components_1110[[#Totals],[Controlled
tpy]]+standard_components_1109[[#Totals],[Controlled
tpy]]))</f>
        <v>0</v>
      </c>
    </row>
    <row r="178" spans="1:10" x14ac:dyDescent="0.2">
      <c r="A178" s="103"/>
      <c r="B178" s="51" t="str">
        <f>IFERROR(VLOOKUP(speciated_chemicals_1111[[#This Row],[CAS '#]],species[],MATCH("Substance", species[#Headers], 0),FALSE),"No CAS Number Entered")</f>
        <v>No CAS Number Entered</v>
      </c>
      <c r="C178" s="102"/>
      <c r="D178" s="102" t="s">
        <v>12666</v>
      </c>
      <c r="E178" s="102" t="s">
        <v>12666</v>
      </c>
      <c r="F178" s="102" t="s">
        <v>12666</v>
      </c>
      <c r="G178" s="102" t="s">
        <v>12666</v>
      </c>
      <c r="H178" s="164"/>
      <c r="I178" s="51">
        <f>IF(speciated_chemicals_1111[[#This Row],[Inert / Not a Contaminant?]]="Yes", 0, speciated_chemicals_1111[[#This Row],[Weight Percent]]*(unique_components_1110[[#Totals],[Controlled lb/hr]]+standard_components_1109[[#Totals],[Controlled
lb/hr]]))</f>
        <v>0</v>
      </c>
      <c r="J178" s="51">
        <f>IF(speciated_chemicals_1111[[#This Row],[Inert / Not a Contaminant?]]="Yes", 0, speciated_chemicals_1111[[#This Row],[Weight Percent]]*(unique_components_1110[[#Totals],[Controlled
tpy]]+standard_components_1109[[#Totals],[Controlled
tpy]]))</f>
        <v>0</v>
      </c>
    </row>
    <row r="179" spans="1:10" x14ac:dyDescent="0.2">
      <c r="A179" s="103"/>
      <c r="B179" s="51" t="str">
        <f>IFERROR(VLOOKUP(speciated_chemicals_1111[[#This Row],[CAS '#]],species[],MATCH("Substance", species[#Headers], 0),FALSE),"No CAS Number Entered")</f>
        <v>No CAS Number Entered</v>
      </c>
      <c r="C179" s="102"/>
      <c r="D179" s="102" t="s">
        <v>12666</v>
      </c>
      <c r="E179" s="102" t="s">
        <v>12666</v>
      </c>
      <c r="F179" s="102" t="s">
        <v>12666</v>
      </c>
      <c r="G179" s="102" t="s">
        <v>12666</v>
      </c>
      <c r="H179" s="164"/>
      <c r="I179" s="51">
        <f>IF(speciated_chemicals_1111[[#This Row],[Inert / Not a Contaminant?]]="Yes", 0, speciated_chemicals_1111[[#This Row],[Weight Percent]]*(unique_components_1110[[#Totals],[Controlled lb/hr]]+standard_components_1109[[#Totals],[Controlled
lb/hr]]))</f>
        <v>0</v>
      </c>
      <c r="J179" s="51">
        <f>IF(speciated_chemicals_1111[[#This Row],[Inert / Not a Contaminant?]]="Yes", 0, speciated_chemicals_1111[[#This Row],[Weight Percent]]*(unique_components_1110[[#Totals],[Controlled
tpy]]+standard_components_1109[[#Totals],[Controlled
tpy]]))</f>
        <v>0</v>
      </c>
    </row>
    <row r="180" spans="1:10" x14ac:dyDescent="0.2">
      <c r="A180" s="103"/>
      <c r="B180" s="51" t="str">
        <f>IFERROR(VLOOKUP(speciated_chemicals_1111[[#This Row],[CAS '#]],species[],MATCH("Substance", species[#Headers], 0),FALSE),"No CAS Number Entered")</f>
        <v>No CAS Number Entered</v>
      </c>
      <c r="C180" s="102"/>
      <c r="D180" s="102" t="s">
        <v>12666</v>
      </c>
      <c r="E180" s="102" t="s">
        <v>12666</v>
      </c>
      <c r="F180" s="102" t="s">
        <v>12666</v>
      </c>
      <c r="G180" s="102" t="s">
        <v>12666</v>
      </c>
      <c r="H180" s="164"/>
      <c r="I180" s="51">
        <f>IF(speciated_chemicals_1111[[#This Row],[Inert / Not a Contaminant?]]="Yes", 0, speciated_chemicals_1111[[#This Row],[Weight Percent]]*(unique_components_1110[[#Totals],[Controlled lb/hr]]+standard_components_1109[[#Totals],[Controlled
lb/hr]]))</f>
        <v>0</v>
      </c>
      <c r="J180" s="51">
        <f>IF(speciated_chemicals_1111[[#This Row],[Inert / Not a Contaminant?]]="Yes", 0, speciated_chemicals_1111[[#This Row],[Weight Percent]]*(unique_components_1110[[#Totals],[Controlled
tpy]]+standard_components_1109[[#Totals],[Controlled
tpy]]))</f>
        <v>0</v>
      </c>
    </row>
    <row r="181" spans="1:10" ht="30" x14ac:dyDescent="0.2">
      <c r="A181" s="184" t="s">
        <v>12705</v>
      </c>
      <c r="B181" s="52"/>
      <c r="C181" s="53"/>
      <c r="D181" s="52"/>
      <c r="E181" s="52"/>
      <c r="F181" s="52"/>
      <c r="G181" s="52"/>
      <c r="H181" s="166">
        <f>SUBTOTAL(109,speciated_chemicals_1111[Weight Percent])</f>
        <v>0</v>
      </c>
      <c r="I181" s="167">
        <f>SUBTOTAL(109,speciated_chemicals_1111[lb/hr])</f>
        <v>0</v>
      </c>
      <c r="J181" s="167">
        <f>SUBTOTAL(109,speciated_chemicals_1111[tpy])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MATCH(speciated_ghg_1112[[#This Row],[CAS '#]], gwp_table[CAS No.], 0), MATCH("Name", gwp_table[#Headers], 0)),"No CAS Number Entered")</f>
        <v>No CAS Number Entered</v>
      </c>
      <c r="C185" s="79" t="str">
        <f>IFERROR(INDEX(gwp_table[], MATCH(speciated_ghg_1112[[#This Row],[CAS '#]], gwp_table[CAS No.], 0), MATCH("Global warming potential", gwp_table[#Headers], 0)),"No CAS Number Entered")</f>
        <v>No CAS Number Entered</v>
      </c>
      <c r="D185" s="219"/>
      <c r="E185" s="79">
        <f>IFERROR(speciated_ghg_1112[[#This Row],[Weight Percent]]*(unique_components_1110[[#Totals],[Controlled
tpy]]+standard_components_1109[[#Totals],[Controlled
tpy]]), "-")</f>
        <v>0</v>
      </c>
      <c r="F185" s="81" t="str">
        <f>IFERROR(speciated_ghg_1112[[#This Row],[Mass Emissions (U.S. tons per year)]]*speciated_ghg_1112[[#This Row],[Global Warming Potential (GWP)]], "-")</f>
        <v>-</v>
      </c>
      <c r="G185" s="30"/>
      <c r="H185" s="168"/>
      <c r="I185" s="168"/>
    </row>
    <row r="186" spans="1:10" x14ac:dyDescent="0.2">
      <c r="A186" s="210"/>
      <c r="B186" s="79" t="str">
        <f>IFERROR(INDEX(gwp_table[], MATCH(speciated_ghg_1112[[#This Row],[CAS '#]], gwp_table[CAS No.], 0), MATCH("Name", gwp_table[#Headers], 0)),"No CAS Number Entered")</f>
        <v>No CAS Number Entered</v>
      </c>
      <c r="C186" s="79" t="str">
        <f>IFERROR(INDEX(gwp_table[], MATCH(speciated_ghg_1112[[#This Row],[CAS '#]], gwp_table[CAS No.], 0), MATCH("Global warming potential", gwp_table[#Headers], 0)),"No CAS Number Entered")</f>
        <v>No CAS Number Entered</v>
      </c>
      <c r="D186" s="219"/>
      <c r="E186" s="79">
        <f>IFERROR(speciated_ghg_1112[[#This Row],[Weight Percent]]*(unique_components_1110[[#Totals],[Controlled
tpy]]+standard_components_1109[[#Totals],[Controlled
tpy]]), "-")</f>
        <v>0</v>
      </c>
      <c r="F186" s="81" t="str">
        <f>IFERROR(speciated_ghg_1112[[#This Row],[Mass Emissions (U.S. tons per year)]]*speciated_ghg_1112[[#This Row],[Global Warming Potential (GWP)]], "-")</f>
        <v>-</v>
      </c>
      <c r="G186" s="30"/>
      <c r="H186" s="168"/>
      <c r="I186" s="168"/>
    </row>
    <row r="187" spans="1:10" x14ac:dyDescent="0.2">
      <c r="A187" s="210"/>
      <c r="B187" s="79" t="str">
        <f>IFERROR(INDEX(gwp_table[], MATCH(speciated_ghg_1112[[#This Row],[CAS '#]], gwp_table[CAS No.], 0), MATCH("Name", gwp_table[#Headers], 0)),"No CAS Number Entered")</f>
        <v>No CAS Number Entered</v>
      </c>
      <c r="C187" s="79" t="str">
        <f>IFERROR(INDEX(gwp_table[], MATCH(speciated_ghg_1112[[#This Row],[CAS '#]], gwp_table[CAS No.], 0), MATCH("Global warming potential", gwp_table[#Headers], 0)),"No CAS Number Entered")</f>
        <v>No CAS Number Entered</v>
      </c>
      <c r="D187" s="219"/>
      <c r="E187" s="79">
        <f>IFERROR(speciated_ghg_1112[[#This Row],[Weight Percent]]*(unique_components_1110[[#Totals],[Controlled
tpy]]+standard_components_1109[[#Totals],[Controlled
tpy]]), "-")</f>
        <v>0</v>
      </c>
      <c r="F187" s="81" t="str">
        <f>IFERROR(speciated_ghg_1112[[#This Row],[Mass Emissions (U.S. tons per year)]]*speciated_ghg_1112[[#This Row],[Global Warming Potential (GWP)]], "-")</f>
        <v>-</v>
      </c>
      <c r="G187" s="30"/>
      <c r="H187" s="168"/>
      <c r="I187" s="168"/>
    </row>
    <row r="188" spans="1:10" x14ac:dyDescent="0.2">
      <c r="A188" s="210"/>
      <c r="B188" s="79" t="str">
        <f>IFERROR(INDEX(gwp_table[], MATCH(speciated_ghg_1112[[#This Row],[CAS '#]], gwp_table[CAS No.], 0), MATCH("Name", gwp_table[#Headers], 0)),"No CAS Number Entered")</f>
        <v>No CAS Number Entered</v>
      </c>
      <c r="C188" s="79" t="str">
        <f>IFERROR(INDEX(gwp_table[], MATCH(speciated_ghg_1112[[#This Row],[CAS '#]], gwp_table[CAS No.], 0), MATCH("Global warming potential", gwp_table[#Headers], 0)),"No CAS Number Entered")</f>
        <v>No CAS Number Entered</v>
      </c>
      <c r="D188" s="219"/>
      <c r="E188" s="79">
        <f>IFERROR(speciated_ghg_1112[[#This Row],[Weight Percent]]*(unique_components_1110[[#Totals],[Controlled
tpy]]+standard_components_1109[[#Totals],[Controlled
tpy]]), "-")</f>
        <v>0</v>
      </c>
      <c r="F188" s="81" t="str">
        <f>IFERROR(speciated_ghg_1112[[#This Row],[Mass Emissions (U.S. tons per year)]]*speciated_ghg_1112[[#This Row],[Global Warming Potential (GWP)]], "-")</f>
        <v>-</v>
      </c>
      <c r="G188" s="30"/>
      <c r="H188" s="168"/>
      <c r="I188" s="168"/>
    </row>
    <row r="189" spans="1:10" x14ac:dyDescent="0.2">
      <c r="A189" s="210"/>
      <c r="B189" s="79" t="str">
        <f>IFERROR(INDEX(gwp_table[], MATCH(speciated_ghg_1112[[#This Row],[CAS '#]], gwp_table[CAS No.], 0), MATCH("Name", gwp_table[#Headers], 0)),"No CAS Number Entered")</f>
        <v>No CAS Number Entered</v>
      </c>
      <c r="C189" s="79" t="str">
        <f>IFERROR(INDEX(gwp_table[], MATCH(speciated_ghg_1112[[#This Row],[CAS '#]], gwp_table[CAS No.], 0), MATCH("Global warming potential", gwp_table[#Headers], 0)),"No CAS Number Entered")</f>
        <v>No CAS Number Entered</v>
      </c>
      <c r="D189" s="219"/>
      <c r="E189" s="79">
        <f>IFERROR(speciated_ghg_1112[[#This Row],[Weight Percent]]*(unique_components_1110[[#Totals],[Controlled
tpy]]+standard_components_1109[[#Totals],[Controlled
tpy]]), "-")</f>
        <v>0</v>
      </c>
      <c r="F189" s="81" t="str">
        <f>IFERROR(speciated_ghg_1112[[#This Row],[Mass Emissions (U.S. tons per year)]]*speciated_ghg_1112[[#This Row],[Global Warming Potential (GWP)]], "-")</f>
        <v>-</v>
      </c>
      <c r="G189" s="30"/>
      <c r="H189" s="168"/>
      <c r="I189" s="168"/>
    </row>
    <row r="190" spans="1:10" x14ac:dyDescent="0.2">
      <c r="A190" s="210"/>
      <c r="B190" s="79" t="str">
        <f>IFERROR(INDEX(gwp_table[], MATCH(speciated_ghg_1112[[#This Row],[CAS '#]], gwp_table[CAS No.], 0), MATCH("Name", gwp_table[#Headers], 0)),"No CAS Number Entered")</f>
        <v>No CAS Number Entered</v>
      </c>
      <c r="C190" s="79" t="str">
        <f>IFERROR(INDEX(gwp_table[], MATCH(speciated_ghg_1112[[#This Row],[CAS '#]], gwp_table[CAS No.], 0), MATCH("Global warming potential", gwp_table[#Headers], 0)),"No CAS Number Entered")</f>
        <v>No CAS Number Entered</v>
      </c>
      <c r="D190" s="219"/>
      <c r="E190" s="79">
        <f>IFERROR(speciated_ghg_1112[[#This Row],[Weight Percent]]*(unique_components_1110[[#Totals],[Controlled
tpy]]+standard_components_1109[[#Totals],[Controlled
tpy]]), "-")</f>
        <v>0</v>
      </c>
      <c r="F190" s="81" t="str">
        <f>IFERROR(speciated_ghg_1112[[#This Row],[Mass Emissions (U.S. tons per year)]]*speciated_ghg_1112[[#This Row],[Global Warming Potential (GWP)]], "-")</f>
        <v>-</v>
      </c>
      <c r="G190" s="30"/>
      <c r="H190" s="168"/>
      <c r="I190" s="168"/>
    </row>
    <row r="191" spans="1:10" x14ac:dyDescent="0.2">
      <c r="A191" s="210"/>
      <c r="B191" s="79" t="str">
        <f>IFERROR(INDEX(gwp_table[], MATCH(speciated_ghg_1112[[#This Row],[CAS '#]], gwp_table[CAS No.], 0), MATCH("Name", gwp_table[#Headers], 0)),"No CAS Number Entered")</f>
        <v>No CAS Number Entered</v>
      </c>
      <c r="C191" s="79" t="str">
        <f>IFERROR(INDEX(gwp_table[], MATCH(speciated_ghg_1112[[#This Row],[CAS '#]], gwp_table[CAS No.], 0), MATCH("Global warming potential", gwp_table[#Headers], 0)),"No CAS Number Entered")</f>
        <v>No CAS Number Entered</v>
      </c>
      <c r="D191" s="219"/>
      <c r="E191" s="79">
        <f>IFERROR(speciated_ghg_1112[[#This Row],[Weight Percent]]*(unique_components_1110[[#Totals],[Controlled
tpy]]+standard_components_1109[[#Totals],[Controlled
tpy]]), "-")</f>
        <v>0</v>
      </c>
      <c r="F191" s="81" t="str">
        <f>IFERROR(speciated_ghg_1112[[#This Row],[Mass Emissions (U.S. tons per year)]]*speciated_ghg_1112[[#This Row],[Global Warming Potential (GWP)]], "-")</f>
        <v>-</v>
      </c>
      <c r="G191" s="17"/>
    </row>
    <row r="192" spans="1:10" ht="15" x14ac:dyDescent="0.25">
      <c r="A192" s="210"/>
      <c r="B192" s="79" t="str">
        <f>IFERROR(INDEX(gwp_table[], MATCH(speciated_ghg_1112[[#This Row],[CAS '#]], gwp_table[CAS No.], 0), MATCH("Name", gwp_table[#Headers], 0)),"No CAS Number Entered")</f>
        <v>No CAS Number Entered</v>
      </c>
      <c r="C192" s="79" t="str">
        <f>IFERROR(INDEX(gwp_table[], MATCH(speciated_ghg_1112[[#This Row],[CAS '#]], gwp_table[CAS No.], 0), MATCH("Global warming potential", gwp_table[#Headers], 0)),"No CAS Number Entered")</f>
        <v>No CAS Number Entered</v>
      </c>
      <c r="D192" s="219"/>
      <c r="E192" s="79">
        <f>IFERROR(speciated_ghg_1112[[#This Row],[Weight Percent]]*(unique_components_1110[[#Totals],[Controlled
tpy]]+standard_components_1109[[#Totals],[Controlled
tpy]]), "-")</f>
        <v>0</v>
      </c>
      <c r="F192" s="81" t="str">
        <f>IFERROR(speciated_ghg_1112[[#This Row],[Mass Emissions (U.S. tons per year)]]*speciated_ghg_1112[[#This Row],[Global Warming Potential (GWP)]], "-")</f>
        <v>-</v>
      </c>
      <c r="G192" s="134"/>
      <c r="H192" s="169"/>
    </row>
    <row r="193" spans="1:9" ht="15" x14ac:dyDescent="0.25">
      <c r="A193" s="210"/>
      <c r="B193" s="79" t="str">
        <f>IFERROR(INDEX(gwp_table[], MATCH(speciated_ghg_1112[[#This Row],[CAS '#]], gwp_table[CAS No.], 0), MATCH("Name", gwp_table[#Headers], 0)),"No CAS Number Entered")</f>
        <v>No CAS Number Entered</v>
      </c>
      <c r="C193" s="79" t="str">
        <f>IFERROR(INDEX(gwp_table[], MATCH(speciated_ghg_1112[[#This Row],[CAS '#]], gwp_table[CAS No.], 0), MATCH("Global warming potential", gwp_table[#Headers], 0)),"No CAS Number Entered")</f>
        <v>No CAS Number Entered</v>
      </c>
      <c r="D193" s="219"/>
      <c r="E193" s="79">
        <f>IFERROR(speciated_ghg_1112[[#This Row],[Weight Percent]]*(unique_components_1110[[#Totals],[Controlled
tpy]]+standard_components_1109[[#Totals],[Controlled
tpy]]), "-")</f>
        <v>0</v>
      </c>
      <c r="F193" s="81" t="str">
        <f>IFERROR(speciated_ghg_1112[[#This Row],[Mass Emissions (U.S. tons per year)]]*speciated_ghg_1112[[#This Row],[Global Warming Potential (GWP)]], "-")</f>
        <v>-</v>
      </c>
      <c r="G193" s="134"/>
      <c r="H193" s="169"/>
    </row>
    <row r="194" spans="1:9" ht="15" x14ac:dyDescent="0.25">
      <c r="A194" s="210"/>
      <c r="B194" s="79" t="str">
        <f>IFERROR(INDEX(gwp_table[], MATCH(speciated_ghg_1112[[#This Row],[CAS '#]], gwp_table[CAS No.], 0), MATCH("Name", gwp_table[#Headers], 0)),"No CAS Number Entered")</f>
        <v>No CAS Number Entered</v>
      </c>
      <c r="C194" s="79" t="str">
        <f>IFERROR(INDEX(gwp_table[], MATCH(speciated_ghg_1112[[#This Row],[CAS '#]], gwp_table[CAS No.], 0), MATCH("Global warming potential", gwp_table[#Headers], 0)),"No CAS Number Entered")</f>
        <v>No CAS Number Entered</v>
      </c>
      <c r="D194" s="219"/>
      <c r="E194" s="79">
        <f>IFERROR(speciated_ghg_1112[[#This Row],[Weight Percent]]*(unique_components_1110[[#Totals],[Controlled
tpy]]+standard_components_1109[[#Totals],[Controlled
tpy]]), "-")</f>
        <v>0</v>
      </c>
      <c r="F194" s="81" t="str">
        <f>IFERROR(speciated_ghg_1112[[#This Row],[Mass Emissions (U.S. tons per year)]]*speciated_ghg_1112[[#This Row],[Global Warming Potential (GWP)]], "-")</f>
        <v>-</v>
      </c>
      <c r="G194" s="134"/>
      <c r="H194" s="169"/>
    </row>
    <row r="195" spans="1:9" x14ac:dyDescent="0.2">
      <c r="A195" s="210"/>
      <c r="B195" s="79" t="str">
        <f>IFERROR(INDEX(gwp_table[], MATCH(speciated_ghg_1112[[#This Row],[CAS '#]], gwp_table[CAS No.], 0), MATCH("Name", gwp_table[#Headers], 0)),"No CAS Number Entered")</f>
        <v>No CAS Number Entered</v>
      </c>
      <c r="C195" s="79" t="str">
        <f>IFERROR(INDEX(gwp_table[], MATCH(speciated_ghg_1112[[#This Row],[CAS '#]], gwp_table[CAS No.], 0), MATCH("Global warming potential", gwp_table[#Headers], 0)),"No CAS Number Entered")</f>
        <v>No CAS Number Entered</v>
      </c>
      <c r="D195" s="219"/>
      <c r="E195" s="79">
        <f>IFERROR(speciated_ghg_1112[[#This Row],[Weight Percent]]*(unique_components_1110[[#Totals],[Controlled
tpy]]+standard_components_1109[[#Totals],[Controlled
tpy]]), "-")</f>
        <v>0</v>
      </c>
      <c r="F195" s="81" t="str">
        <f>IFERROR(speciated_ghg_1112[[#This Row],[Mass Emissions (U.S. tons per year)]]*speciated_ghg_1112[[#This Row],[Global Warming Potential (GWP)]], "-")</f>
        <v>-</v>
      </c>
      <c r="G195" s="69"/>
      <c r="H195" s="169"/>
    </row>
    <row r="196" spans="1:9" x14ac:dyDescent="0.2">
      <c r="A196" s="210"/>
      <c r="B196" s="79" t="str">
        <f>IFERROR(INDEX(gwp_table[], MATCH(speciated_ghg_1112[[#This Row],[CAS '#]], gwp_table[CAS No.], 0), MATCH("Name", gwp_table[#Headers], 0)),"No CAS Number Entered")</f>
        <v>No CAS Number Entered</v>
      </c>
      <c r="C196" s="79" t="str">
        <f>IFERROR(INDEX(gwp_table[], MATCH(speciated_ghg_1112[[#This Row],[CAS '#]], gwp_table[CAS No.], 0), MATCH("Global warming potential", gwp_table[#Headers], 0)),"No CAS Number Entered")</f>
        <v>No CAS Number Entered</v>
      </c>
      <c r="D196" s="219"/>
      <c r="E196" s="79">
        <f>IFERROR(speciated_ghg_1112[[#This Row],[Weight Percent]]*(unique_components_1110[[#Totals],[Controlled
tpy]]+standard_components_1109[[#Totals],[Controlled
tpy]]), "-")</f>
        <v>0</v>
      </c>
      <c r="F196" s="81" t="str">
        <f>IFERROR(speciated_ghg_1112[[#This Row],[Mass Emissions (U.S. tons per year)]]*speciated_ghg_1112[[#This Row],[Global Warming Potential (GWP)]], "-")</f>
        <v>-</v>
      </c>
      <c r="G196" s="29"/>
      <c r="H196" s="169"/>
    </row>
    <row r="197" spans="1:9" x14ac:dyDescent="0.2">
      <c r="A197" s="210"/>
      <c r="B197" s="79" t="str">
        <f>IFERROR(INDEX(gwp_table[], MATCH(speciated_ghg_1112[[#This Row],[CAS '#]], gwp_table[CAS No.], 0), MATCH("Name", gwp_table[#Headers], 0)),"No CAS Number Entered")</f>
        <v>No CAS Number Entered</v>
      </c>
      <c r="C197" s="79" t="str">
        <f>IFERROR(INDEX(gwp_table[], MATCH(speciated_ghg_1112[[#This Row],[CAS '#]], gwp_table[CAS No.], 0), MATCH("Global warming potential", gwp_table[#Headers], 0)),"No CAS Number Entered")</f>
        <v>No CAS Number Entered</v>
      </c>
      <c r="D197" s="219"/>
      <c r="E197" s="79">
        <f>IFERROR(speciated_ghg_1112[[#This Row],[Weight Percent]]*(unique_components_1110[[#Totals],[Controlled
tpy]]+standard_components_1109[[#Totals],[Controlled
tpy]]), "-")</f>
        <v>0</v>
      </c>
      <c r="F197" s="81" t="str">
        <f>IFERROR(speciated_ghg_1112[[#This Row],[Mass Emissions (U.S. tons per year)]]*speciated_ghg_1112[[#This Row],[Global Warming Potential (GWP)]], "-")</f>
        <v>-</v>
      </c>
      <c r="G197" s="29"/>
      <c r="H197" s="29"/>
      <c r="I197" s="169"/>
    </row>
    <row r="198" spans="1:9" x14ac:dyDescent="0.2">
      <c r="A198" s="210"/>
      <c r="B198" s="79" t="str">
        <f>IFERROR(INDEX(gwp_table[], MATCH(speciated_ghg_1112[[#This Row],[CAS '#]], gwp_table[CAS No.], 0), MATCH("Name", gwp_table[#Headers], 0)),"No CAS Number Entered")</f>
        <v>No CAS Number Entered</v>
      </c>
      <c r="C198" s="79" t="str">
        <f>IFERROR(INDEX(gwp_table[], MATCH(speciated_ghg_1112[[#This Row],[CAS '#]], gwp_table[CAS No.], 0), MATCH("Global warming potential", gwp_table[#Headers], 0)),"No CAS Number Entered")</f>
        <v>No CAS Number Entered</v>
      </c>
      <c r="D198" s="219"/>
      <c r="E198" s="79">
        <f>IFERROR(speciated_ghg_1112[[#This Row],[Weight Percent]]*(unique_components_1110[[#Totals],[Controlled
tpy]]+standard_components_1109[[#Totals],[Controlled
tpy]]), "-")</f>
        <v>0</v>
      </c>
      <c r="F198" s="81" t="str">
        <f>IFERROR(speciated_ghg_1112[[#This Row],[Mass Emissions (U.S. tons per year)]]*speciated_ghg_1112[[#This Row],[Global Warming Potential (GWP)]], "-")</f>
        <v>-</v>
      </c>
      <c r="G198" s="29"/>
      <c r="H198" s="29"/>
      <c r="I198" s="169"/>
    </row>
    <row r="199" spans="1:9" x14ac:dyDescent="0.2">
      <c r="A199" s="210"/>
      <c r="B199" s="79" t="str">
        <f>IFERROR(INDEX(gwp_table[], MATCH(speciated_ghg_1112[[#This Row],[CAS '#]], gwp_table[CAS No.], 0), MATCH("Name", gwp_table[#Headers], 0)),"No CAS Number Entered")</f>
        <v>No CAS Number Entered</v>
      </c>
      <c r="C199" s="79" t="str">
        <f>IFERROR(INDEX(gwp_table[], MATCH(speciated_ghg_1112[[#This Row],[CAS '#]], gwp_table[CAS No.], 0), MATCH("Global warming potential", gwp_table[#Headers], 0)),"No CAS Number Entered")</f>
        <v>No CAS Number Entered</v>
      </c>
      <c r="D199" s="219"/>
      <c r="E199" s="79">
        <f>IFERROR(speciated_ghg_1112[[#This Row],[Weight Percent]]*(unique_components_1110[[#Totals],[Controlled
tpy]]+standard_components_1109[[#Totals],[Controlled
tpy]]), "-")</f>
        <v>0</v>
      </c>
      <c r="F199" s="81" t="str">
        <f>IFERROR(speciated_ghg_1112[[#This Row],[Mass Emissions (U.S. tons per year)]]*speciated_ghg_1112[[#This Row],[Global Warming Potential (GWP)]], "-")</f>
        <v>-</v>
      </c>
      <c r="G199" s="29"/>
      <c r="H199" s="29"/>
      <c r="I199" s="169"/>
    </row>
    <row r="200" spans="1:9" x14ac:dyDescent="0.2">
      <c r="A200" s="210"/>
      <c r="B200" s="79" t="str">
        <f>IFERROR(INDEX(gwp_table[], MATCH(speciated_ghg_1112[[#This Row],[CAS '#]], gwp_table[CAS No.], 0), MATCH("Name", gwp_table[#Headers], 0)),"No CAS Number Entered")</f>
        <v>No CAS Number Entered</v>
      </c>
      <c r="C200" s="79" t="str">
        <f>IFERROR(INDEX(gwp_table[], MATCH(speciated_ghg_1112[[#This Row],[CAS '#]], gwp_table[CAS No.], 0), MATCH("Global warming potential", gwp_table[#Headers], 0)),"No CAS Number Entered")</f>
        <v>No CAS Number Entered</v>
      </c>
      <c r="D200" s="219"/>
      <c r="E200" s="79">
        <f>IFERROR(speciated_ghg_1112[[#This Row],[Weight Percent]]*(unique_components_1110[[#Totals],[Controlled
tpy]]+standard_components_1109[[#Totals],[Controlled
tpy]]), "-")</f>
        <v>0</v>
      </c>
      <c r="F200" s="81" t="str">
        <f>IFERROR(speciated_ghg_1112[[#This Row],[Mass Emissions (U.S. tons per year)]]*speciated_ghg_1112[[#This Row],[Global Warming Potential (GWP)]], "-")</f>
        <v>-</v>
      </c>
      <c r="G200" s="29"/>
      <c r="H200" s="29"/>
      <c r="I200" s="169"/>
    </row>
    <row r="201" spans="1:9" x14ac:dyDescent="0.2">
      <c r="A201" s="210"/>
      <c r="B201" s="79" t="str">
        <f>IFERROR(INDEX(gwp_table[], MATCH(speciated_ghg_1112[[#This Row],[CAS '#]], gwp_table[CAS No.], 0), MATCH("Name", gwp_table[#Headers], 0)),"No CAS Number Entered")</f>
        <v>No CAS Number Entered</v>
      </c>
      <c r="C201" s="79" t="str">
        <f>IFERROR(INDEX(gwp_table[], MATCH(speciated_ghg_1112[[#This Row],[CAS '#]], gwp_table[CAS No.], 0), MATCH("Global warming potential", gwp_table[#Headers], 0)),"No CAS Number Entered")</f>
        <v>No CAS Number Entered</v>
      </c>
      <c r="D201" s="219"/>
      <c r="E201" s="79">
        <f>IFERROR(speciated_ghg_1112[[#This Row],[Weight Percent]]*(unique_components_1110[[#Totals],[Controlled
tpy]]+standard_components_1109[[#Totals],[Controlled
tpy]]), "-")</f>
        <v>0</v>
      </c>
      <c r="F201" s="81" t="str">
        <f>IFERROR(speciated_ghg_1112[[#This Row],[Mass Emissions (U.S. tons per year)]]*speciated_ghg_1112[[#This Row],[Global Warming Potential (GWP)]], "-")</f>
        <v>-</v>
      </c>
      <c r="G201" s="169"/>
      <c r="H201" s="169"/>
      <c r="I201" s="169"/>
    </row>
    <row r="202" spans="1:9" x14ac:dyDescent="0.2">
      <c r="A202" s="210"/>
      <c r="B202" s="79" t="str">
        <f>IFERROR(INDEX(gwp_table[], MATCH(speciated_ghg_1112[[#This Row],[CAS '#]], gwp_table[CAS No.], 0), MATCH("Name", gwp_table[#Headers], 0)),"No CAS Number Entered")</f>
        <v>No CAS Number Entered</v>
      </c>
      <c r="C202" s="79" t="str">
        <f>IFERROR(INDEX(gwp_table[], MATCH(speciated_ghg_1112[[#This Row],[CAS '#]], gwp_table[CAS No.], 0), MATCH("Global warming potential", gwp_table[#Headers], 0)),"No CAS Number Entered")</f>
        <v>No CAS Number Entered</v>
      </c>
      <c r="D202" s="219"/>
      <c r="E202" s="79">
        <f>IFERROR(speciated_ghg_1112[[#This Row],[Weight Percent]]*(unique_components_1110[[#Totals],[Controlled
tpy]]+standard_components_1109[[#Totals],[Controlled
tpy]]), "-")</f>
        <v>0</v>
      </c>
      <c r="F202" s="81" t="str">
        <f>IFERROR(speciated_ghg_1112[[#This Row],[Mass Emissions (U.S. tons per year)]]*speciated_ghg_1112[[#This Row],[Global Warming Potential (GWP)]], "-")</f>
        <v>-</v>
      </c>
      <c r="G202" s="169"/>
      <c r="H202" s="169"/>
      <c r="I202" s="169"/>
    </row>
    <row r="203" spans="1:9" x14ac:dyDescent="0.2">
      <c r="A203" s="210"/>
      <c r="B203" s="79" t="str">
        <f>IFERROR(INDEX(gwp_table[], MATCH(speciated_ghg_1112[[#This Row],[CAS '#]], gwp_table[CAS No.], 0), MATCH("Name", gwp_table[#Headers], 0)),"No CAS Number Entered")</f>
        <v>No CAS Number Entered</v>
      </c>
      <c r="C203" s="79" t="str">
        <f>IFERROR(INDEX(gwp_table[], MATCH(speciated_ghg_1112[[#This Row],[CAS '#]], gwp_table[CAS No.], 0), MATCH("Global warming potential", gwp_table[#Headers], 0)),"No CAS Number Entered")</f>
        <v>No CAS Number Entered</v>
      </c>
      <c r="D203" s="219"/>
      <c r="E203" s="79">
        <f>IFERROR(speciated_ghg_1112[[#This Row],[Weight Percent]]*(unique_components_1110[[#Totals],[Controlled
tpy]]+standard_components_1109[[#Totals],[Controlled
tpy]]), "-")</f>
        <v>0</v>
      </c>
      <c r="F203" s="81" t="str">
        <f>IFERROR(speciated_ghg_1112[[#This Row],[Mass Emissions (U.S. tons per year)]]*speciated_ghg_1112[[#This Row],[Global Warming Potential (GWP)]], "-")</f>
        <v>-</v>
      </c>
      <c r="G203" s="169"/>
      <c r="H203" s="169"/>
      <c r="I203" s="169"/>
    </row>
    <row r="204" spans="1:9" ht="30" x14ac:dyDescent="0.25">
      <c r="A204" s="185" t="s">
        <v>13321</v>
      </c>
      <c r="B204" s="77"/>
      <c r="C204" s="77"/>
      <c r="D204" s="77"/>
      <c r="E204" s="80">
        <f>SUBTOTAL(109,speciated_ghg_1112[Mass Emissions (U.S. tons per year)])</f>
        <v>0</v>
      </c>
      <c r="F204" s="82">
        <f>SUBTOTAL(109,speciated_ghg_1112[CO2e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speciated_chemicals_1111[[#Totals],[lb/hr]]</f>
        <v>0</v>
      </c>
      <c r="C207" s="134"/>
      <c r="D207" s="134"/>
      <c r="E207" s="134"/>
      <c r="F207" s="134"/>
      <c r="G207" s="169"/>
      <c r="H207" s="169"/>
    </row>
    <row r="208" spans="1:9" ht="29.25" x14ac:dyDescent="0.25">
      <c r="A208" s="174" t="s">
        <v>13320</v>
      </c>
      <c r="B208" s="175">
        <f>speciated_chemicals_1111[[#Totals],[tpy]]</f>
        <v>0</v>
      </c>
      <c r="C208" s="134"/>
      <c r="D208" s="134"/>
      <c r="E208" s="134"/>
      <c r="F208" s="134"/>
      <c r="G208" s="169"/>
      <c r="H208" s="169"/>
    </row>
    <row r="209" spans="1:8" ht="15" x14ac:dyDescent="0.25">
      <c r="A209" s="126" t="s">
        <v>13277</v>
      </c>
      <c r="B209" s="128">
        <f>SUMIF(speciated_chemicals_1111[VOC?],"Yes",speciated_chemicals_1111[lb/hr])</f>
        <v>0</v>
      </c>
      <c r="C209" s="134"/>
      <c r="D209" s="29"/>
      <c r="E209" s="29"/>
      <c r="F209" s="29"/>
      <c r="G209" s="169"/>
      <c r="H209" s="169"/>
    </row>
    <row r="210" spans="1:8" ht="15" x14ac:dyDescent="0.25">
      <c r="A210" s="126" t="s">
        <v>12669</v>
      </c>
      <c r="B210" s="128">
        <f>SUMIF(speciated_chemicals_1111[VOC?],"Yes",speciated_chemicals_1111[tpy])</f>
        <v>0</v>
      </c>
      <c r="C210" s="134"/>
      <c r="D210" s="29"/>
      <c r="E210" s="29"/>
      <c r="F210" s="29"/>
      <c r="G210" s="169"/>
      <c r="H210" s="169"/>
    </row>
    <row r="211" spans="1:8" ht="15" x14ac:dyDescent="0.25">
      <c r="A211" s="126" t="s">
        <v>12775</v>
      </c>
      <c r="B211" s="128">
        <f>SUMIF(speciated_chemicals_1111[Inorganic?],"Yes",speciated_chemicals_1111[lb/hr])</f>
        <v>0</v>
      </c>
      <c r="C211" s="134"/>
      <c r="D211" s="29"/>
      <c r="E211" s="29"/>
      <c r="F211" s="29"/>
      <c r="G211" s="169"/>
      <c r="H211" s="169"/>
    </row>
    <row r="212" spans="1:8" ht="15" x14ac:dyDescent="0.25">
      <c r="A212" s="126" t="s">
        <v>12770</v>
      </c>
      <c r="B212" s="128">
        <f>SUMIF(speciated_chemicals_1111[Inorganic?],"Yes",speciated_chemicals_1111[tpy])</f>
        <v>0</v>
      </c>
      <c r="C212" s="134"/>
      <c r="D212" s="29"/>
      <c r="E212" s="29"/>
      <c r="F212" s="29"/>
      <c r="G212" s="169"/>
      <c r="H212" s="169"/>
    </row>
    <row r="213" spans="1:8" ht="15" x14ac:dyDescent="0.25">
      <c r="A213" s="126" t="s">
        <v>13276</v>
      </c>
      <c r="B213" s="128">
        <f>SUMIF(speciated_chemicals_1111[VOC-Exempt Solvent?],"Yes",speciated_chemicals_1111[lb/hr])</f>
        <v>0</v>
      </c>
      <c r="C213" s="134"/>
      <c r="D213" s="29"/>
      <c r="E213" s="29"/>
      <c r="F213" s="29"/>
      <c r="G213" s="169"/>
      <c r="H213" s="169"/>
    </row>
    <row r="214" spans="1:8" ht="15" x14ac:dyDescent="0.25">
      <c r="A214" s="126" t="s">
        <v>13278</v>
      </c>
      <c r="B214" s="128">
        <f>SUMIF(speciated_chemicals_1111[VOC-Exempt Solvent?],"Yes",speciated_chemicals_1111[tpy])</f>
        <v>0</v>
      </c>
      <c r="C214" s="134"/>
      <c r="D214" s="29"/>
      <c r="E214" s="29"/>
      <c r="F214" s="29"/>
      <c r="G214" s="169"/>
      <c r="H214" s="169"/>
    </row>
    <row r="215" spans="1:8" ht="15" x14ac:dyDescent="0.25">
      <c r="A215" s="127" t="s">
        <v>13280</v>
      </c>
      <c r="B215" s="176">
        <f>speciated_ghg_1112[[#Totals],[Mass Emissions (U.S. tons per year)]]</f>
        <v>0</v>
      </c>
      <c r="C215" s="134"/>
      <c r="D215" s="29"/>
      <c r="E215" s="29"/>
      <c r="F215" s="29"/>
      <c r="G215" s="169"/>
      <c r="H215" s="169"/>
    </row>
    <row r="216" spans="1:8" ht="18.75" x14ac:dyDescent="0.35">
      <c r="A216" s="127" t="s">
        <v>13281</v>
      </c>
      <c r="B216" s="176">
        <f>speciated_ghg_1112[[#Totals],[CO2e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OYxCqO89ySQHJsueXQadF3utbOebDzAfegfNqKJ/nYgtojZ3QKvfWNcQBEUjcoSdo6KsEEMVJ3epOHUqIo/8hQ==" saltValue="IeXraagi5Vdo7B+RGdsoCA==" spinCount="100000" sheet="1" objects="1" scenarios="1" formatColumns="0" formatRows="0" autoFilter="0"/>
  <conditionalFormatting sqref="A21:H21">
    <cfRule type="expression" dxfId="211" priority="5">
      <formula>$F$19="No"</formula>
    </cfRule>
  </conditionalFormatting>
  <conditionalFormatting sqref="A105:E106 F106:G126">
    <cfRule type="expression" dxfId="210" priority="4">
      <formula>$E$104="no"</formula>
    </cfRule>
  </conditionalFormatting>
  <conditionalFormatting sqref="C131:C180">
    <cfRule type="expression" dxfId="209" priority="3">
      <formula>NOT(B131="Other (Please specify):")</formula>
    </cfRule>
  </conditionalFormatting>
  <conditionalFormatting sqref="A107:E126">
    <cfRule type="expression" dxfId="208" priority="2">
      <formula>$A$58="No"</formula>
    </cfRule>
  </conditionalFormatting>
  <conditionalFormatting sqref="A107:E126 A206:B214 A215:A216">
    <cfRule type="expression" dxfId="207"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36FEB7FE-A269-43E1-9CA9-569C97FACDD3}"/>
    <dataValidation type="list" allowBlank="1" showInputMessage="1" showErrorMessage="1" sqref="E104:H104 B10" xr:uid="{3B41F3F8-A0D5-4833-BB99-0F7368436FE2}">
      <formula1>"Yes,No"</formula1>
    </dataValidation>
    <dataValidation type="list" allowBlank="1" showInputMessage="1" showErrorMessage="1" sqref="F19:H20" xr:uid="{E8C8F805-1D5F-46B7-A875-7D16785048B4}">
      <formula1>"No,Yes - 75%,Yes - 95%"</formula1>
    </dataValidation>
    <dataValidation type="list" allowBlank="1" showInputMessage="1" showErrorMessage="1" sqref="F18" xr:uid="{6E2B1DD5-D213-443E-95A0-2ED2454B1CA6}">
      <formula1>IF(#REF!="SOCMI Non-leaker",ListNone,ListInspection)</formula1>
    </dataValidation>
    <dataValidation type="list" allowBlank="1" showInputMessage="1" showErrorMessage="1" sqref="F16:F17" xr:uid="{45EC3076-7F77-44CC-82BA-999D41D29CFD}">
      <formula1>IF(#REF!="SOCMI Non-Leaker",ListNone,ListInstrument)</formula1>
    </dataValidation>
    <dataValidation type="list" allowBlank="1" showInputMessage="1" prompt="Please specify whether the substance is a volatile organic compound (VOC); methane and ethane are not classifed as VOCs" sqref="D132:D180" xr:uid="{B5E35960-CC50-4024-9BC2-45DDC46906B3}">
      <formula1>"Yes,No"</formula1>
    </dataValidation>
    <dataValidation allowBlank="1" showInputMessage="1" showErrorMessage="1" prompt="Enter the weight percent of the substance" sqref="H178:H180 H132:H176" xr:uid="{585F8913-695C-4185-B3E5-A319AEDA14E4}"/>
    <dataValidation type="list" allowBlank="1" showInputMessage="1" showErrorMessage="1" prompt="Enter or select Chemical Abstracts Service number; select &quot;N/A&quot; if a CAS # is not applicable" sqref="A131:A175 A177:A180" xr:uid="{27408CA7-2C6F-4FBC-BF92-DDCC783617DD}">
      <formula1>SpeciesList</formula1>
    </dataValidation>
    <dataValidation type="list" allowBlank="1" showInputMessage="1" prompt="Select other species from dropdown" sqref="C131:C180" xr:uid="{8B87EB14-3F5F-4462-A87F-1C9F1D27934E}">
      <formula1>NoCASList</formula1>
    </dataValidation>
    <dataValidation allowBlank="1" showInputMessage="1" showErrorMessage="1" prompt="Proposed control efficiency (0-1)" sqref="E107:E126" xr:uid="{CFEE6530-FA2B-43FF-8BDE-4723E6FDA14E}"/>
    <dataValidation allowBlank="1" showInputMessage="1" showErrorMessage="1" prompt="Count of unique component" sqref="C107:C126" xr:uid="{CBB5EF93-1C00-4C1B-9069-CC2F6A53FAAB}"/>
    <dataValidation allowBlank="1" showInputMessage="1" showErrorMessage="1" prompt="Type of service (e.g. gas, vapor, or liquid)" sqref="B107:B126" xr:uid="{99F8E21E-3E1E-4B65-8070-E2A0D7DEF4EE}"/>
    <dataValidation allowBlank="1" showInputMessage="1" showErrorMessage="1" prompt="Name of unique component" sqref="A107:A126" xr:uid="{2AF01313-BB9F-48F3-9862-295274BD831B}"/>
    <dataValidation type="list" allowBlank="1" showInputMessage="1" showErrorMessage="1" sqref="B13" xr:uid="{E592CEA4-5607-46E4-918F-5A014B92189E}">
      <formula1>industry_names</formula1>
    </dataValidation>
    <dataValidation type="list" allowBlank="1" showInputMessage="1" showErrorMessage="1" sqref="B19" xr:uid="{9DE5D0BA-14BA-40D4-BC91-8222061C6778}">
      <formula1>yes_no_list</formula1>
    </dataValidation>
    <dataValidation type="list" allowBlank="1" showInputMessage="1" showErrorMessage="1" sqref="B20" xr:uid="{A8FF7158-846F-4B7B-949D-F35036AD2C75}">
      <formula1>process_drains_effs</formula1>
    </dataValidation>
    <dataValidation allowBlank="1" showInputMessage="1" showErrorMessage="1" prompt="Proposed emission factor" sqref="D107:D126" xr:uid="{D92E340F-7B89-48A5-A07D-D4315D90B8D7}"/>
    <dataValidation type="list" allowBlank="1" showInputMessage="1" prompt="Please specify if the substance is an inert substance or is not considered a contaminant (e.g. steam)" sqref="G131:G180" xr:uid="{8B15F804-E10B-481C-9F12-E7E938A0240F}">
      <formula1>"Yes,No"</formula1>
    </dataValidation>
    <dataValidation type="list" allowBlank="1" showInputMessage="1" showErrorMessage="1" prompt="Please select from the dropdown" sqref="B104" xr:uid="{C5EDE778-44A7-4FEA-AF4C-9BD65EB9A6B0}">
      <formula1>yes_no_list</formula1>
    </dataValidation>
    <dataValidation allowBlank="1" showInputMessage="1" showErrorMessage="1" prompt="Provide justification" sqref="B105" xr:uid="{1C5A2767-994E-4127-AF7F-E609C9E6C2AF}"/>
    <dataValidation type="list" showInputMessage="1" prompt="Please specify whether the substance is a volatile organic compound (VOC); methane and ethane are not classifed as VOCs" sqref="D131" xr:uid="{039A2CB5-0940-4C74-9EE4-EC91AEDF05B1}">
      <formula1>"Yes,No"</formula1>
    </dataValidation>
    <dataValidation type="list" showInputMessage="1" prompt="Please specify whether the substance is an inorganic contaminant (e.g. ammonia or chlorine gas)" sqref="E131:E180" xr:uid="{EDCC3283-6373-4A96-B643-0DC57C77D758}">
      <formula1>"Yes,No"</formula1>
    </dataValidation>
    <dataValidation type="list" allowBlank="1" showInputMessage="1" prompt="Please specify whether the substance is an VOC-exempt solvent." sqref="F131:F180" xr:uid="{FF5DE930-3C96-433B-A5CE-30603DD86D0A}">
      <formula1>"Yes,No"</formula1>
    </dataValidation>
    <dataValidation type="list" allowBlank="1" showInputMessage="1" showErrorMessage="1" prompt="Enter or select Chemical Abstracts Service number; select &quot;N/A&quot; if a CAS # is not applicable" sqref="A185:A203 A176" xr:uid="{8F1BD269-9BF9-47CF-B0AA-54FF8206D270}">
      <formula1>gwp_table_cas</formula1>
    </dataValidation>
    <dataValidation type="decimal" allowBlank="1" showInputMessage="1" showErrorMessage="1" prompt="Enter the weight percent of the substance" sqref="H177" xr:uid="{4791E907-4ADE-4465-A29F-2CA5C11BE2E7}">
      <formula1>0</formula1>
      <formula2>1</formula2>
    </dataValidation>
    <dataValidation type="decimal" operator="greaterThan" allowBlank="1" showInputMessage="1" showErrorMessage="1" prompt="Enter the weight percent of the substance" sqref="H131 D185:D203" xr:uid="{BF8894E8-54E5-4AE0-96DB-62730584D576}">
      <formula1>0</formula1>
    </dataValidation>
    <dataValidation type="list" allowBlank="1" showInputMessage="1" showErrorMessage="1" sqref="B18" xr:uid="{8165EADA-B84C-4BFD-A1C2-CEB0E67D0E37}">
      <formula1>inspection_ldar_list</formula1>
    </dataValidation>
    <dataValidation type="list" allowBlank="1" showInputMessage="1" showErrorMessage="1" sqref="B17" xr:uid="{CA337FF6-169F-46D2-A188-D2C0BC3F08E3}">
      <formula1>connector_ldar_list</formula1>
    </dataValidation>
    <dataValidation type="list" allowBlank="1" showInputMessage="1" showErrorMessage="1" sqref="B16" xr:uid="{B07C9288-76C2-4D73-9AD6-2D2B34F00BBF}">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B5BC-A20F-46A7-8FAE-E981B388E38F}">
  <sheetPr codeName="Sheet6">
    <tabColor theme="4" tint="0.39997558519241921"/>
    <pageSetUpPr fitToPage="1"/>
  </sheetPr>
  <dimension ref="A1:XFD102"/>
  <sheetViews>
    <sheetView zoomScaleNormal="100" workbookViewId="0">
      <pane xSplit="1" topLeftCell="B1" activePane="topRight" state="frozen"/>
      <selection pane="topRight"/>
    </sheetView>
  </sheetViews>
  <sheetFormatPr defaultColWidth="9" defaultRowHeight="14.25" zeroHeight="1" x14ac:dyDescent="0.2"/>
  <cols>
    <col min="1" max="1" width="29.5" style="2" bestFit="1" customWidth="1"/>
    <col min="2" max="2" width="17.125" style="2" bestFit="1" customWidth="1"/>
    <col min="3" max="3" width="5.625" style="2" bestFit="1" customWidth="1"/>
    <col min="4" max="4" width="4.875" style="2" bestFit="1" customWidth="1"/>
    <col min="5" max="5" width="6.875" style="2" bestFit="1" customWidth="1"/>
    <col min="6" max="6" width="6.625" style="2" bestFit="1" customWidth="1"/>
    <col min="7" max="7" width="6.375" style="2" bestFit="1" customWidth="1"/>
    <col min="8" max="8" width="7.75" style="2" bestFit="1" customWidth="1"/>
    <col min="9" max="9" width="6.625" style="2" bestFit="1" customWidth="1"/>
    <col min="10" max="10" width="4.875" style="2" bestFit="1" customWidth="1"/>
    <col min="11" max="11" width="8.375" style="2" bestFit="1" customWidth="1"/>
    <col min="12" max="12" width="8" style="2" bestFit="1" customWidth="1"/>
    <col min="13" max="22" width="30.625" style="2" customWidth="1"/>
    <col min="23" max="16371" width="9" style="2" hidden="1" customWidth="1"/>
    <col min="16372" max="16372" width="15.375" style="2" hidden="1" customWidth="1"/>
    <col min="16373" max="16373" width="13.25" style="2" hidden="1" customWidth="1"/>
    <col min="16374" max="16374" width="28" style="2" hidden="1" customWidth="1"/>
    <col min="16375" max="16375" width="21.125" style="2" hidden="1" customWidth="1"/>
    <col min="16376" max="16376" width="13.75" style="2" hidden="1" customWidth="1"/>
    <col min="16377" max="16377" width="11.625" style="2" hidden="1" customWidth="1"/>
    <col min="16378" max="16378" width="11.125" style="2" hidden="1" customWidth="1"/>
    <col min="16379" max="16383" width="11.5" style="2" hidden="1" customWidth="1"/>
    <col min="16384" max="16384" width="13.5" style="2" hidden="1" customWidth="1"/>
  </cols>
  <sheetData>
    <row r="1" spans="1:22 16382:16384" x14ac:dyDescent="0.2">
      <c r="A1" s="13" t="s">
        <v>13325</v>
      </c>
    </row>
    <row r="2" spans="1:22 16382:16384" x14ac:dyDescent="0.2">
      <c r="A2" s="119" t="s">
        <v>0</v>
      </c>
      <c r="B2" s="121" t="s">
        <v>35</v>
      </c>
      <c r="C2" s="120" t="s">
        <v>15</v>
      </c>
      <c r="D2" s="121" t="s">
        <v>16</v>
      </c>
      <c r="E2" s="121" t="s">
        <v>17</v>
      </c>
      <c r="F2" s="121" t="s">
        <v>18</v>
      </c>
      <c r="G2" s="121" t="s">
        <v>19</v>
      </c>
      <c r="H2" s="121" t="s">
        <v>20</v>
      </c>
      <c r="I2" s="121" t="s">
        <v>21</v>
      </c>
      <c r="J2" s="121" t="s">
        <v>24</v>
      </c>
      <c r="K2" s="120" t="s">
        <v>22</v>
      </c>
      <c r="L2" s="122" t="s">
        <v>23</v>
      </c>
      <c r="M2" s="123" t="s">
        <v>1</v>
      </c>
      <c r="N2" s="123" t="s">
        <v>12692</v>
      </c>
      <c r="O2" s="123" t="s">
        <v>12693</v>
      </c>
      <c r="P2" s="123" t="s">
        <v>2</v>
      </c>
      <c r="Q2" s="123" t="s">
        <v>3</v>
      </c>
      <c r="R2" s="124" t="s">
        <v>12697</v>
      </c>
      <c r="S2" s="125" t="s">
        <v>12685</v>
      </c>
      <c r="T2" s="125" t="s">
        <v>12686</v>
      </c>
      <c r="U2" s="125" t="s">
        <v>12687</v>
      </c>
      <c r="V2" s="124" t="s">
        <v>12688</v>
      </c>
      <c r="XFB2" s="2" t="s">
        <v>12657</v>
      </c>
      <c r="XFC2" s="2" t="s">
        <v>12658</v>
      </c>
      <c r="XFD2" s="2" t="s">
        <v>12659</v>
      </c>
    </row>
    <row r="3" spans="1:22 16382:16384" x14ac:dyDescent="0.2">
      <c r="A3" s="112" t="s">
        <v>4</v>
      </c>
      <c r="B3" s="113" t="s">
        <v>5</v>
      </c>
      <c r="C3" s="11">
        <v>0</v>
      </c>
      <c r="D3" s="11">
        <v>0.75</v>
      </c>
      <c r="E3" s="11">
        <v>0.97</v>
      </c>
      <c r="F3" s="11">
        <v>0.97</v>
      </c>
      <c r="G3" s="11">
        <v>0.97</v>
      </c>
      <c r="H3" s="11">
        <v>0.97</v>
      </c>
      <c r="I3" s="11">
        <v>0.97</v>
      </c>
      <c r="J3" s="11">
        <v>0.3</v>
      </c>
      <c r="K3" s="11">
        <v>0</v>
      </c>
      <c r="L3" s="18">
        <v>0</v>
      </c>
      <c r="M3" s="107">
        <v>1.32E-2</v>
      </c>
      <c r="N3" s="107">
        <v>8.8999999999999999E-3</v>
      </c>
      <c r="O3" s="107">
        <v>2.58E-2</v>
      </c>
      <c r="P3" s="107">
        <v>2.9E-4</v>
      </c>
      <c r="Q3" s="108">
        <v>5.8999999999999997E-2</v>
      </c>
      <c r="R3" s="108">
        <v>2.87E-5</v>
      </c>
      <c r="S3" s="108">
        <v>4.44E-4</v>
      </c>
      <c r="T3" s="108">
        <v>2.1600000000000001E-6</v>
      </c>
      <c r="U3" s="108">
        <v>1.1050000000000001E-3</v>
      </c>
      <c r="V3" s="111"/>
      <c r="XFB3" s="2" t="s">
        <v>15</v>
      </c>
      <c r="XFC3" s="2" t="s">
        <v>15</v>
      </c>
      <c r="XFD3" s="2" t="s">
        <v>15</v>
      </c>
    </row>
    <row r="4" spans="1:22 16382:16384" x14ac:dyDescent="0.2">
      <c r="A4" s="112" t="s">
        <v>4</v>
      </c>
      <c r="B4" s="113" t="s">
        <v>6</v>
      </c>
      <c r="C4" s="11">
        <v>0</v>
      </c>
      <c r="D4" s="11">
        <v>0.75</v>
      </c>
      <c r="E4" s="11">
        <v>0.97</v>
      </c>
      <c r="F4" s="11">
        <v>0.97</v>
      </c>
      <c r="G4" s="11">
        <v>0.97</v>
      </c>
      <c r="H4" s="11">
        <v>0.97</v>
      </c>
      <c r="I4" s="11">
        <v>0.97</v>
      </c>
      <c r="J4" s="11">
        <v>0.3</v>
      </c>
      <c r="K4" s="11">
        <v>0</v>
      </c>
      <c r="L4" s="18">
        <v>0</v>
      </c>
      <c r="M4" s="107">
        <v>8.8999999999999999E-3</v>
      </c>
      <c r="N4" s="107">
        <v>3.5000000000000001E-3</v>
      </c>
      <c r="O4" s="107">
        <v>4.5900000000000003E-2</v>
      </c>
      <c r="P4" s="107">
        <v>3.6000000000000002E-4</v>
      </c>
      <c r="Q4" s="108">
        <v>2.4E-2</v>
      </c>
      <c r="R4" s="108">
        <v>9.48E-5</v>
      </c>
      <c r="S4" s="108">
        <v>5.5000000000000003E-4</v>
      </c>
      <c r="T4" s="108">
        <v>1.99E-6</v>
      </c>
      <c r="U4" s="108">
        <v>3.14E-3</v>
      </c>
      <c r="V4" s="111"/>
      <c r="XFB4" s="2" t="s">
        <v>21</v>
      </c>
      <c r="XFC4" s="2" t="s">
        <v>22</v>
      </c>
    </row>
    <row r="5" spans="1:22 16382:16384" x14ac:dyDescent="0.2">
      <c r="A5" s="112" t="s">
        <v>12717</v>
      </c>
      <c r="B5" s="113" t="s">
        <v>5</v>
      </c>
      <c r="C5" s="11">
        <v>0</v>
      </c>
      <c r="D5" s="11">
        <v>0</v>
      </c>
      <c r="E5" s="11">
        <v>0</v>
      </c>
      <c r="F5" s="11">
        <v>0</v>
      </c>
      <c r="G5" s="11">
        <v>0</v>
      </c>
      <c r="H5" s="11">
        <v>0</v>
      </c>
      <c r="I5" s="11">
        <v>0</v>
      </c>
      <c r="J5" s="11">
        <v>0</v>
      </c>
      <c r="K5" s="11">
        <v>0</v>
      </c>
      <c r="L5" s="18">
        <v>0</v>
      </c>
      <c r="M5" s="107">
        <v>1.32E-2</v>
      </c>
      <c r="N5" s="107">
        <v>8.8999999999999999E-3</v>
      </c>
      <c r="O5" s="107">
        <v>2.58E-2</v>
      </c>
      <c r="P5" s="107">
        <v>2.9E-4</v>
      </c>
      <c r="Q5" s="108">
        <v>5.8999999999999997E-2</v>
      </c>
      <c r="R5" s="108">
        <v>2.87E-5</v>
      </c>
      <c r="S5" s="108">
        <v>4.44E-4</v>
      </c>
      <c r="T5" s="108">
        <v>2.1600000000000001E-6</v>
      </c>
      <c r="U5" s="108">
        <v>1.1050000000000001E-3</v>
      </c>
      <c r="V5" s="111"/>
      <c r="XFB5" s="13" t="s">
        <v>24</v>
      </c>
      <c r="XFC5" s="13" t="s">
        <v>23</v>
      </c>
    </row>
    <row r="6" spans="1:22 16382:16384" x14ac:dyDescent="0.2">
      <c r="A6" s="112" t="s">
        <v>12717</v>
      </c>
      <c r="B6" s="113" t="s">
        <v>6</v>
      </c>
      <c r="C6" s="11">
        <v>0</v>
      </c>
      <c r="D6" s="11">
        <v>0</v>
      </c>
      <c r="E6" s="11">
        <v>0</v>
      </c>
      <c r="F6" s="11">
        <v>0</v>
      </c>
      <c r="G6" s="11">
        <v>0</v>
      </c>
      <c r="H6" s="11">
        <v>0</v>
      </c>
      <c r="I6" s="11">
        <v>0</v>
      </c>
      <c r="J6" s="11">
        <v>0</v>
      </c>
      <c r="K6" s="11">
        <v>0</v>
      </c>
      <c r="L6" s="18">
        <v>0</v>
      </c>
      <c r="M6" s="107">
        <v>8.8999999999999999E-3</v>
      </c>
      <c r="N6" s="107">
        <v>3.5000000000000001E-3</v>
      </c>
      <c r="O6" s="107">
        <v>4.5900000000000003E-2</v>
      </c>
      <c r="P6" s="107">
        <v>3.6000000000000002E-4</v>
      </c>
      <c r="Q6" s="108">
        <v>2.4E-2</v>
      </c>
      <c r="R6" s="108">
        <v>9.48E-5</v>
      </c>
      <c r="S6" s="108">
        <v>5.5000000000000003E-4</v>
      </c>
      <c r="T6" s="108">
        <v>1.99E-6</v>
      </c>
      <c r="U6" s="108">
        <v>3.14E-3</v>
      </c>
      <c r="V6" s="111"/>
      <c r="XFB6" s="13" t="s">
        <v>22</v>
      </c>
    </row>
    <row r="7" spans="1:22 16382:16384" x14ac:dyDescent="0.2">
      <c r="A7" s="112" t="s">
        <v>12718</v>
      </c>
      <c r="B7" s="113" t="s">
        <v>5</v>
      </c>
      <c r="C7" s="11">
        <v>0</v>
      </c>
      <c r="D7" s="11">
        <v>0.3</v>
      </c>
      <c r="E7" s="11">
        <v>0.75</v>
      </c>
      <c r="F7" s="11">
        <v>0.75</v>
      </c>
      <c r="G7" s="11">
        <v>0.75</v>
      </c>
      <c r="H7" s="11">
        <v>0.75</v>
      </c>
      <c r="I7" s="11">
        <v>0.75</v>
      </c>
      <c r="J7" s="11">
        <v>0.75</v>
      </c>
      <c r="K7" s="11">
        <v>0.75</v>
      </c>
      <c r="L7" s="18">
        <v>0.75</v>
      </c>
      <c r="M7" s="107">
        <v>1.32E-2</v>
      </c>
      <c r="N7" s="107">
        <v>8.8999999999999999E-3</v>
      </c>
      <c r="O7" s="107">
        <v>2.58E-2</v>
      </c>
      <c r="P7" s="107">
        <v>2.9E-4</v>
      </c>
      <c r="Q7" s="108">
        <v>5.8999999999999997E-2</v>
      </c>
      <c r="R7" s="108">
        <v>2.87E-5</v>
      </c>
      <c r="S7" s="108">
        <v>4.44E-4</v>
      </c>
      <c r="T7" s="108">
        <v>2.1600000000000001E-6</v>
      </c>
      <c r="U7" s="108">
        <v>1.1050000000000001E-3</v>
      </c>
      <c r="V7" s="111"/>
      <c r="XFB7" s="13" t="s">
        <v>23</v>
      </c>
    </row>
    <row r="8" spans="1:22 16382:16384" x14ac:dyDescent="0.2">
      <c r="A8" s="112" t="s">
        <v>12718</v>
      </c>
      <c r="B8" s="113" t="s">
        <v>6</v>
      </c>
      <c r="C8" s="11">
        <v>0</v>
      </c>
      <c r="D8" s="11">
        <v>0.3</v>
      </c>
      <c r="E8" s="11">
        <v>0.75</v>
      </c>
      <c r="F8" s="11">
        <v>0.75</v>
      </c>
      <c r="G8" s="11">
        <v>0.75</v>
      </c>
      <c r="H8" s="11">
        <v>0.75</v>
      </c>
      <c r="I8" s="11">
        <v>0.75</v>
      </c>
      <c r="J8" s="11">
        <v>0.75</v>
      </c>
      <c r="K8" s="11">
        <v>0.75</v>
      </c>
      <c r="L8" s="18">
        <v>0.75</v>
      </c>
      <c r="M8" s="107">
        <v>8.8999999999999999E-3</v>
      </c>
      <c r="N8" s="107">
        <v>3.5000000000000001E-3</v>
      </c>
      <c r="O8" s="107">
        <v>4.5900000000000003E-2</v>
      </c>
      <c r="P8" s="107">
        <v>3.6000000000000002E-4</v>
      </c>
      <c r="Q8" s="108">
        <v>2.4E-2</v>
      </c>
      <c r="R8" s="108">
        <v>9.48E-5</v>
      </c>
      <c r="S8" s="108">
        <v>5.5000000000000003E-4</v>
      </c>
      <c r="T8" s="108">
        <v>1.99E-6</v>
      </c>
      <c r="U8" s="108">
        <v>3.14E-3</v>
      </c>
      <c r="V8" s="111"/>
    </row>
    <row r="9" spans="1:22 16382:16384" x14ac:dyDescent="0.2">
      <c r="A9" s="112" t="s">
        <v>4</v>
      </c>
      <c r="B9" s="113" t="s">
        <v>7</v>
      </c>
      <c r="C9" s="11">
        <v>0</v>
      </c>
      <c r="D9" s="11">
        <v>0</v>
      </c>
      <c r="E9" s="11">
        <v>0</v>
      </c>
      <c r="F9" s="11">
        <v>0</v>
      </c>
      <c r="G9" s="11">
        <v>0</v>
      </c>
      <c r="H9" s="11">
        <v>0.3</v>
      </c>
      <c r="I9" s="11">
        <v>0.97</v>
      </c>
      <c r="J9" s="11">
        <v>0.3</v>
      </c>
      <c r="K9" s="11">
        <v>0</v>
      </c>
      <c r="L9" s="18">
        <v>0</v>
      </c>
      <c r="M9" s="107">
        <v>5.0000000000000001E-4</v>
      </c>
      <c r="N9" s="107">
        <v>6.9999999999999999E-4</v>
      </c>
      <c r="O9" s="107">
        <v>5.0000000000000001E-4</v>
      </c>
      <c r="P9" s="107">
        <v>5.0000000000000001E-4</v>
      </c>
      <c r="Q9" s="108">
        <v>5.1000000000000004E-4</v>
      </c>
      <c r="R9" s="108">
        <v>9.48E-5</v>
      </c>
      <c r="S9" s="108" t="s">
        <v>12479</v>
      </c>
      <c r="T9" s="108" t="s">
        <v>12479</v>
      </c>
      <c r="U9" s="108" t="s">
        <v>12479</v>
      </c>
      <c r="V9" s="111"/>
    </row>
    <row r="10" spans="1:22 16382:16384" s="6" customFormat="1" x14ac:dyDescent="0.2">
      <c r="A10" s="112" t="s">
        <v>4</v>
      </c>
      <c r="B10" s="113" t="s">
        <v>12483</v>
      </c>
      <c r="C10" s="11">
        <v>0</v>
      </c>
      <c r="D10" s="11">
        <v>0</v>
      </c>
      <c r="E10" s="11">
        <v>0</v>
      </c>
      <c r="F10" s="11">
        <v>0</v>
      </c>
      <c r="G10" s="11">
        <v>0</v>
      </c>
      <c r="H10" s="11">
        <v>0</v>
      </c>
      <c r="I10" s="11">
        <v>0.97</v>
      </c>
      <c r="J10" s="11">
        <v>0.97</v>
      </c>
      <c r="K10" s="11">
        <v>0</v>
      </c>
      <c r="L10" s="18">
        <v>0</v>
      </c>
      <c r="M10" s="107">
        <v>5.0000000000000001E-4</v>
      </c>
      <c r="N10" s="107">
        <v>6.9999999999999999E-4</v>
      </c>
      <c r="O10" s="107">
        <v>5.0000000000000001E-4</v>
      </c>
      <c r="P10" s="107">
        <v>5.0000000000000001E-4</v>
      </c>
      <c r="Q10" s="108">
        <v>5.1000000000000004E-4</v>
      </c>
      <c r="R10" s="108">
        <v>9.48E-5</v>
      </c>
      <c r="S10" s="108" t="s">
        <v>12479</v>
      </c>
      <c r="T10" s="108" t="s">
        <v>12479</v>
      </c>
      <c r="U10" s="108" t="s">
        <v>12479</v>
      </c>
      <c r="V10" s="111"/>
    </row>
    <row r="11" spans="1:22 16382:16384" s="1" customFormat="1" x14ac:dyDescent="0.2">
      <c r="A11" s="112" t="s">
        <v>38</v>
      </c>
      <c r="B11" s="113" t="s">
        <v>12</v>
      </c>
      <c r="C11" s="11">
        <v>1</v>
      </c>
      <c r="D11" s="11">
        <v>1</v>
      </c>
      <c r="E11" s="11">
        <v>1</v>
      </c>
      <c r="F11" s="11">
        <v>1</v>
      </c>
      <c r="G11" s="11">
        <v>1</v>
      </c>
      <c r="H11" s="11">
        <v>1</v>
      </c>
      <c r="I11" s="11">
        <v>1</v>
      </c>
      <c r="J11" s="11">
        <v>1</v>
      </c>
      <c r="K11" s="11">
        <v>1</v>
      </c>
      <c r="L11" s="18">
        <v>1</v>
      </c>
      <c r="M11" s="107">
        <v>0</v>
      </c>
      <c r="N11" s="107">
        <v>0</v>
      </c>
      <c r="O11" s="107">
        <v>0</v>
      </c>
      <c r="P11" s="107">
        <v>0</v>
      </c>
      <c r="Q11" s="107">
        <v>0</v>
      </c>
      <c r="R11" s="107">
        <v>0</v>
      </c>
      <c r="S11" s="107">
        <v>0</v>
      </c>
      <c r="T11" s="107">
        <v>0</v>
      </c>
      <c r="U11" s="107">
        <v>0</v>
      </c>
      <c r="V11" s="111"/>
    </row>
    <row r="12" spans="1:22 16382:16384" x14ac:dyDescent="0.2">
      <c r="A12" s="112" t="s">
        <v>8</v>
      </c>
      <c r="B12" s="113" t="s">
        <v>6</v>
      </c>
      <c r="C12" s="11">
        <v>0</v>
      </c>
      <c r="D12" s="11">
        <v>0.75</v>
      </c>
      <c r="E12" s="11">
        <v>0.75</v>
      </c>
      <c r="F12" s="11">
        <v>0.85</v>
      </c>
      <c r="G12" s="11">
        <v>0.93</v>
      </c>
      <c r="H12" s="11">
        <v>0.93</v>
      </c>
      <c r="I12" s="11">
        <v>0.93</v>
      </c>
      <c r="J12" s="11">
        <v>0.3</v>
      </c>
      <c r="K12" s="11">
        <v>0</v>
      </c>
      <c r="L12" s="18">
        <v>0</v>
      </c>
      <c r="M12" s="107">
        <v>4.3900000000000002E-2</v>
      </c>
      <c r="N12" s="107">
        <v>3.8600000000000002E-2</v>
      </c>
      <c r="O12" s="107">
        <v>0.14399999999999999</v>
      </c>
      <c r="P12" s="107">
        <v>4.1000000000000003E-3</v>
      </c>
      <c r="Q12" s="108">
        <v>0.251</v>
      </c>
      <c r="R12" s="108">
        <v>1.1900000000000001E-3</v>
      </c>
      <c r="S12" s="108">
        <v>4.2651000000000001E-2</v>
      </c>
      <c r="T12" s="108">
        <v>2.0100000000000001E-5</v>
      </c>
      <c r="U12" s="108">
        <v>5.6340000000000001E-2</v>
      </c>
      <c r="V12" s="111"/>
    </row>
    <row r="13" spans="1:22 16382:16384" x14ac:dyDescent="0.2">
      <c r="A13" s="112" t="s">
        <v>8</v>
      </c>
      <c r="B13" s="113" t="s">
        <v>7</v>
      </c>
      <c r="C13" s="11">
        <v>0</v>
      </c>
      <c r="D13" s="11">
        <v>0</v>
      </c>
      <c r="E13" s="11">
        <v>0</v>
      </c>
      <c r="F13" s="11">
        <v>0</v>
      </c>
      <c r="G13" s="11">
        <v>0</v>
      </c>
      <c r="H13" s="11">
        <v>0.3</v>
      </c>
      <c r="I13" s="11">
        <v>0.93</v>
      </c>
      <c r="J13" s="11">
        <v>0.3</v>
      </c>
      <c r="K13" s="11">
        <v>0</v>
      </c>
      <c r="L13" s="18">
        <v>0</v>
      </c>
      <c r="M13" s="107">
        <v>1.9E-2</v>
      </c>
      <c r="N13" s="107">
        <v>1.61E-2</v>
      </c>
      <c r="O13" s="107">
        <v>4.5999999999999999E-3</v>
      </c>
      <c r="P13" s="107">
        <v>4.5999999999999999E-3</v>
      </c>
      <c r="Q13" s="108">
        <v>4.5999999999999999E-2</v>
      </c>
      <c r="R13" s="108">
        <v>1.1900000000000001E-3</v>
      </c>
      <c r="S13" s="108">
        <v>4.2651000000000001E-2</v>
      </c>
      <c r="T13" s="108">
        <v>2.0100000000000001E-5</v>
      </c>
      <c r="U13" s="108">
        <v>5.6340000000000001E-2</v>
      </c>
      <c r="V13" s="111"/>
    </row>
    <row r="14" spans="1:22 16382:16384" s="6" customFormat="1" x14ac:dyDescent="0.2">
      <c r="A14" s="112" t="s">
        <v>8</v>
      </c>
      <c r="B14" s="113" t="s">
        <v>12483</v>
      </c>
      <c r="C14" s="11">
        <v>0</v>
      </c>
      <c r="D14" s="11">
        <v>0</v>
      </c>
      <c r="E14" s="11">
        <v>0</v>
      </c>
      <c r="F14" s="11">
        <v>0</v>
      </c>
      <c r="G14" s="11">
        <v>0</v>
      </c>
      <c r="H14" s="11">
        <v>0.3</v>
      </c>
      <c r="I14" s="11">
        <v>0.93</v>
      </c>
      <c r="J14" s="11">
        <v>0.93</v>
      </c>
      <c r="K14" s="11">
        <v>0</v>
      </c>
      <c r="L14" s="18">
        <v>0</v>
      </c>
      <c r="M14" s="107">
        <v>1.9E-2</v>
      </c>
      <c r="N14" s="107">
        <v>1.61E-2</v>
      </c>
      <c r="O14" s="107">
        <v>4.5999999999999999E-3</v>
      </c>
      <c r="P14" s="107">
        <v>4.5999999999999999E-3</v>
      </c>
      <c r="Q14" s="108">
        <v>4.5999999999999999E-2</v>
      </c>
      <c r="R14" s="108">
        <v>1.1900000000000001E-3</v>
      </c>
      <c r="S14" s="108">
        <v>4.2651000000000001E-2</v>
      </c>
      <c r="T14" s="108">
        <v>2.0100000000000001E-5</v>
      </c>
      <c r="U14" s="108">
        <v>5.6340000000000001E-2</v>
      </c>
      <c r="V14" s="111"/>
    </row>
    <row r="15" spans="1:22 16382:16384" s="1" customFormat="1" x14ac:dyDescent="0.2">
      <c r="A15" s="112" t="s">
        <v>37</v>
      </c>
      <c r="B15" s="113" t="s">
        <v>12</v>
      </c>
      <c r="C15" s="11">
        <v>1</v>
      </c>
      <c r="D15" s="11">
        <v>1</v>
      </c>
      <c r="E15" s="11">
        <v>1</v>
      </c>
      <c r="F15" s="11">
        <v>1</v>
      </c>
      <c r="G15" s="11">
        <v>1</v>
      </c>
      <c r="H15" s="11">
        <v>1</v>
      </c>
      <c r="I15" s="11">
        <v>1</v>
      </c>
      <c r="J15" s="11">
        <v>1</v>
      </c>
      <c r="K15" s="11">
        <v>1</v>
      </c>
      <c r="L15" s="18">
        <v>1</v>
      </c>
      <c r="M15" s="107">
        <v>0</v>
      </c>
      <c r="N15" s="107">
        <v>0</v>
      </c>
      <c r="O15" s="107">
        <v>0</v>
      </c>
      <c r="P15" s="107">
        <v>0</v>
      </c>
      <c r="Q15" s="107">
        <v>0</v>
      </c>
      <c r="R15" s="107">
        <v>0</v>
      </c>
      <c r="S15" s="107">
        <v>0</v>
      </c>
      <c r="T15" s="107">
        <v>0</v>
      </c>
      <c r="U15" s="107">
        <v>0</v>
      </c>
      <c r="V15" s="111"/>
    </row>
    <row r="16" spans="1:22 16382:16384" x14ac:dyDescent="0.2">
      <c r="A16" s="112" t="s">
        <v>14</v>
      </c>
      <c r="B16" s="113" t="s">
        <v>5</v>
      </c>
      <c r="C16" s="11">
        <v>0</v>
      </c>
      <c r="D16" s="11">
        <v>0.3</v>
      </c>
      <c r="E16" s="11">
        <v>0.3</v>
      </c>
      <c r="F16" s="11">
        <v>0.3</v>
      </c>
      <c r="G16" s="11">
        <v>0.3</v>
      </c>
      <c r="H16" s="11">
        <v>0.97</v>
      </c>
      <c r="I16" s="11">
        <v>0.97</v>
      </c>
      <c r="J16" s="11">
        <v>0.3</v>
      </c>
      <c r="K16" s="11">
        <v>0.97</v>
      </c>
      <c r="L16" s="18">
        <v>0.75</v>
      </c>
      <c r="M16" s="107">
        <v>3.8999999999999998E-3</v>
      </c>
      <c r="N16" s="107">
        <v>2.8999999999999998E-3</v>
      </c>
      <c r="O16" s="107">
        <v>5.3E-3</v>
      </c>
      <c r="P16" s="107">
        <v>1.8000000000000001E-4</v>
      </c>
      <c r="Q16" s="108">
        <v>5.5000000000000003E-4</v>
      </c>
      <c r="R16" s="108">
        <v>9.2603999999999996E-5</v>
      </c>
      <c r="S16" s="108">
        <v>5.5500000000000005E-4</v>
      </c>
      <c r="T16" s="108">
        <v>1.1000000000000001E-7</v>
      </c>
      <c r="U16" s="108">
        <v>3.0699999999999998E-4</v>
      </c>
      <c r="V16" s="111"/>
    </row>
    <row r="17" spans="1:22" x14ac:dyDescent="0.2">
      <c r="A17" s="112" t="s">
        <v>14</v>
      </c>
      <c r="B17" s="113" t="s">
        <v>6</v>
      </c>
      <c r="C17" s="11">
        <v>0</v>
      </c>
      <c r="D17" s="11">
        <v>0.3</v>
      </c>
      <c r="E17" s="11">
        <v>0.3</v>
      </c>
      <c r="F17" s="11">
        <v>0.3</v>
      </c>
      <c r="G17" s="11">
        <v>0.3</v>
      </c>
      <c r="H17" s="11">
        <v>0.97</v>
      </c>
      <c r="I17" s="11">
        <v>0.97</v>
      </c>
      <c r="J17" s="11">
        <v>0.3</v>
      </c>
      <c r="K17" s="11">
        <v>0.97</v>
      </c>
      <c r="L17" s="18">
        <v>0.75</v>
      </c>
      <c r="M17" s="107">
        <v>5.0000000000000001E-4</v>
      </c>
      <c r="N17" s="107">
        <v>5.0000000000000001E-4</v>
      </c>
      <c r="O17" s="107">
        <v>5.1999999999999998E-3</v>
      </c>
      <c r="P17" s="107">
        <v>1.8000000000000001E-4</v>
      </c>
      <c r="Q17" s="108">
        <v>5.5000000000000003E-4</v>
      </c>
      <c r="R17" s="108">
        <v>1.7620000000000001E-5</v>
      </c>
      <c r="S17" s="108">
        <v>5.5500000000000005E-4</v>
      </c>
      <c r="T17" s="108">
        <v>1.1000000000000001E-7</v>
      </c>
      <c r="U17" s="108">
        <v>3.0699999999999998E-4</v>
      </c>
      <c r="V17" s="111"/>
    </row>
    <row r="18" spans="1:22" x14ac:dyDescent="0.2">
      <c r="A18" s="112" t="s">
        <v>12715</v>
      </c>
      <c r="B18" s="113" t="s">
        <v>5</v>
      </c>
      <c r="C18" s="11">
        <v>0</v>
      </c>
      <c r="D18" s="11">
        <v>0</v>
      </c>
      <c r="E18" s="11">
        <v>0</v>
      </c>
      <c r="F18" s="11">
        <v>0</v>
      </c>
      <c r="G18" s="11">
        <v>0</v>
      </c>
      <c r="H18" s="11">
        <v>0</v>
      </c>
      <c r="I18" s="11">
        <v>0</v>
      </c>
      <c r="J18" s="11">
        <v>0</v>
      </c>
      <c r="K18" s="11">
        <v>0</v>
      </c>
      <c r="L18" s="18">
        <v>0</v>
      </c>
      <c r="M18" s="107">
        <v>3.8999999999999998E-3</v>
      </c>
      <c r="N18" s="107">
        <v>2.8999999999999998E-3</v>
      </c>
      <c r="O18" s="107">
        <v>5.3E-3</v>
      </c>
      <c r="P18" s="107">
        <v>1.8000000000000001E-4</v>
      </c>
      <c r="Q18" s="108">
        <v>5.5000000000000003E-4</v>
      </c>
      <c r="R18" s="108">
        <v>9.2603999999999996E-5</v>
      </c>
      <c r="S18" s="108">
        <v>5.5500000000000005E-4</v>
      </c>
      <c r="T18" s="108">
        <v>1.1000000000000001E-7</v>
      </c>
      <c r="U18" s="108">
        <v>3.0699999999999998E-4</v>
      </c>
      <c r="V18" s="111"/>
    </row>
    <row r="19" spans="1:22" x14ac:dyDescent="0.2">
      <c r="A19" s="112" t="s">
        <v>12715</v>
      </c>
      <c r="B19" s="113" t="s">
        <v>6</v>
      </c>
      <c r="C19" s="11">
        <v>0</v>
      </c>
      <c r="D19" s="11">
        <v>0</v>
      </c>
      <c r="E19" s="11">
        <v>0</v>
      </c>
      <c r="F19" s="11">
        <v>0</v>
      </c>
      <c r="G19" s="11">
        <v>0</v>
      </c>
      <c r="H19" s="11">
        <v>0</v>
      </c>
      <c r="I19" s="11">
        <v>0</v>
      </c>
      <c r="J19" s="11">
        <v>0</v>
      </c>
      <c r="K19" s="11">
        <v>0</v>
      </c>
      <c r="L19" s="18">
        <v>0</v>
      </c>
      <c r="M19" s="107">
        <v>5.0000000000000001E-4</v>
      </c>
      <c r="N19" s="107">
        <v>5.0000000000000001E-4</v>
      </c>
      <c r="O19" s="107">
        <v>5.1999999999999998E-3</v>
      </c>
      <c r="P19" s="107">
        <v>1.8000000000000001E-4</v>
      </c>
      <c r="Q19" s="108">
        <v>5.5000000000000003E-4</v>
      </c>
      <c r="R19" s="108">
        <v>1.7620000000000001E-5</v>
      </c>
      <c r="S19" s="108">
        <v>5.5500000000000005E-4</v>
      </c>
      <c r="T19" s="108">
        <v>1.1000000000000001E-7</v>
      </c>
      <c r="U19" s="108">
        <v>3.0699999999999998E-4</v>
      </c>
      <c r="V19" s="111"/>
    </row>
    <row r="20" spans="1:22" x14ac:dyDescent="0.2">
      <c r="A20" s="112" t="s">
        <v>12716</v>
      </c>
      <c r="B20" s="113" t="s">
        <v>5</v>
      </c>
      <c r="C20" s="11">
        <v>0</v>
      </c>
      <c r="D20" s="11">
        <v>0.3</v>
      </c>
      <c r="E20" s="11">
        <v>0.75</v>
      </c>
      <c r="F20" s="11">
        <v>0.75</v>
      </c>
      <c r="G20" s="11">
        <v>0.75</v>
      </c>
      <c r="H20" s="11">
        <v>0.75</v>
      </c>
      <c r="I20" s="11">
        <v>0.75</v>
      </c>
      <c r="J20" s="11">
        <v>0.75</v>
      </c>
      <c r="K20" s="11">
        <v>0.75</v>
      </c>
      <c r="L20" s="18">
        <v>0.75</v>
      </c>
      <c r="M20" s="107">
        <v>3.8999999999999998E-3</v>
      </c>
      <c r="N20" s="107">
        <v>2.8999999999999998E-3</v>
      </c>
      <c r="O20" s="107">
        <v>5.3E-3</v>
      </c>
      <c r="P20" s="107">
        <v>1.8000000000000001E-4</v>
      </c>
      <c r="Q20" s="108">
        <v>5.5000000000000003E-4</v>
      </c>
      <c r="R20" s="108">
        <v>9.2603999999999996E-5</v>
      </c>
      <c r="S20" s="108">
        <v>5.5500000000000005E-4</v>
      </c>
      <c r="T20" s="108">
        <v>1.1000000000000001E-7</v>
      </c>
      <c r="U20" s="108">
        <v>3.0699999999999998E-4</v>
      </c>
      <c r="V20" s="111"/>
    </row>
    <row r="21" spans="1:22" x14ac:dyDescent="0.2">
      <c r="A21" s="112" t="s">
        <v>12716</v>
      </c>
      <c r="B21" s="113" t="s">
        <v>6</v>
      </c>
      <c r="C21" s="11">
        <v>0</v>
      </c>
      <c r="D21" s="11">
        <v>0.3</v>
      </c>
      <c r="E21" s="11">
        <v>0.75</v>
      </c>
      <c r="F21" s="11">
        <v>0.75</v>
      </c>
      <c r="G21" s="11">
        <v>0.75</v>
      </c>
      <c r="H21" s="11">
        <v>0.75</v>
      </c>
      <c r="I21" s="11">
        <v>0.75</v>
      </c>
      <c r="J21" s="11">
        <v>0.75</v>
      </c>
      <c r="K21" s="11">
        <v>0.75</v>
      </c>
      <c r="L21" s="18">
        <v>0.75</v>
      </c>
      <c r="M21" s="107">
        <v>5.0000000000000001E-4</v>
      </c>
      <c r="N21" s="107">
        <v>5.0000000000000001E-4</v>
      </c>
      <c r="O21" s="107">
        <v>5.1999999999999998E-3</v>
      </c>
      <c r="P21" s="107">
        <v>1.8000000000000001E-4</v>
      </c>
      <c r="Q21" s="108">
        <v>5.5000000000000003E-4</v>
      </c>
      <c r="R21" s="108">
        <v>1.7620000000000001E-5</v>
      </c>
      <c r="S21" s="108">
        <v>5.5500000000000005E-4</v>
      </c>
      <c r="T21" s="108">
        <v>1.1000000000000001E-7</v>
      </c>
      <c r="U21" s="108">
        <v>3.0699999999999998E-4</v>
      </c>
      <c r="V21" s="111"/>
    </row>
    <row r="22" spans="1:22" x14ac:dyDescent="0.2">
      <c r="A22" s="112" t="s">
        <v>14</v>
      </c>
      <c r="B22" s="113" t="s">
        <v>7</v>
      </c>
      <c r="C22" s="11">
        <v>0</v>
      </c>
      <c r="D22" s="11">
        <v>0.3</v>
      </c>
      <c r="E22" s="11">
        <v>0.3</v>
      </c>
      <c r="F22" s="11">
        <v>0.3</v>
      </c>
      <c r="G22" s="11">
        <v>0.3</v>
      </c>
      <c r="H22" s="11">
        <v>0.3</v>
      </c>
      <c r="I22" s="11">
        <v>0.97</v>
      </c>
      <c r="J22" s="11">
        <v>0.3</v>
      </c>
      <c r="K22" s="11">
        <v>0.3</v>
      </c>
      <c r="L22" s="18">
        <v>0.3</v>
      </c>
      <c r="M22" s="107">
        <v>6.9999999999999994E-5</v>
      </c>
      <c r="N22" s="107">
        <v>6.9999999999999994E-5</v>
      </c>
      <c r="O22" s="107">
        <v>6.9999999999999994E-5</v>
      </c>
      <c r="P22" s="107">
        <v>1.8000000000000001E-4</v>
      </c>
      <c r="Q22" s="108">
        <v>5.5000000000000003E-4</v>
      </c>
      <c r="R22" s="108">
        <v>1.7600000000000001E-5</v>
      </c>
      <c r="S22" s="108">
        <v>5.5500000000000005E-4</v>
      </c>
      <c r="T22" s="108">
        <v>1.1000000000000001E-7</v>
      </c>
      <c r="U22" s="108">
        <v>3.0699999999999998E-4</v>
      </c>
      <c r="V22" s="111"/>
    </row>
    <row r="23" spans="1:22" s="6" customFormat="1" x14ac:dyDescent="0.2">
      <c r="A23" s="112" t="s">
        <v>14</v>
      </c>
      <c r="B23" s="113" t="s">
        <v>12483</v>
      </c>
      <c r="C23" s="11">
        <v>0</v>
      </c>
      <c r="D23" s="11">
        <v>0.3</v>
      </c>
      <c r="E23" s="11">
        <v>0.3</v>
      </c>
      <c r="F23" s="11">
        <v>0.3</v>
      </c>
      <c r="G23" s="11">
        <v>0.3</v>
      </c>
      <c r="H23" s="11">
        <v>0.3</v>
      </c>
      <c r="I23" s="11">
        <v>0.97</v>
      </c>
      <c r="J23" s="11">
        <v>0.97</v>
      </c>
      <c r="K23" s="11">
        <v>0.3</v>
      </c>
      <c r="L23" s="18">
        <v>0.3</v>
      </c>
      <c r="M23" s="107">
        <v>6.9999999999999994E-5</v>
      </c>
      <c r="N23" s="107">
        <v>6.9999999999999994E-5</v>
      </c>
      <c r="O23" s="107">
        <v>6.9999999999999994E-5</v>
      </c>
      <c r="P23" s="107">
        <v>1.8000000000000001E-4</v>
      </c>
      <c r="Q23" s="108">
        <v>5.5000000000000003E-4</v>
      </c>
      <c r="R23" s="108">
        <v>1.7600000000000001E-5</v>
      </c>
      <c r="S23" s="108">
        <v>5.5500000000000005E-4</v>
      </c>
      <c r="T23" s="108">
        <v>1.1000000000000001E-7</v>
      </c>
      <c r="U23" s="108">
        <v>3.0699999999999998E-4</v>
      </c>
      <c r="V23" s="111"/>
    </row>
    <row r="24" spans="1:22" s="1" customFormat="1" x14ac:dyDescent="0.2">
      <c r="A24" s="112" t="s">
        <v>41</v>
      </c>
      <c r="B24" s="113" t="s">
        <v>12</v>
      </c>
      <c r="C24" s="11">
        <v>1</v>
      </c>
      <c r="D24" s="11">
        <v>1</v>
      </c>
      <c r="E24" s="11">
        <v>1</v>
      </c>
      <c r="F24" s="11">
        <v>1</v>
      </c>
      <c r="G24" s="11">
        <v>1</v>
      </c>
      <c r="H24" s="11">
        <v>1</v>
      </c>
      <c r="I24" s="11">
        <v>1</v>
      </c>
      <c r="J24" s="11">
        <v>1</v>
      </c>
      <c r="K24" s="11">
        <v>1</v>
      </c>
      <c r="L24" s="18">
        <v>1</v>
      </c>
      <c r="M24" s="107">
        <v>0</v>
      </c>
      <c r="N24" s="107">
        <v>0</v>
      </c>
      <c r="O24" s="107">
        <v>0</v>
      </c>
      <c r="P24" s="107">
        <v>0</v>
      </c>
      <c r="Q24" s="107">
        <v>0</v>
      </c>
      <c r="R24" s="107">
        <v>0</v>
      </c>
      <c r="S24" s="107">
        <v>0</v>
      </c>
      <c r="T24" s="107">
        <v>0</v>
      </c>
      <c r="U24" s="107">
        <v>0</v>
      </c>
      <c r="V24" s="111"/>
    </row>
    <row r="25" spans="1:22" x14ac:dyDescent="0.2">
      <c r="A25" s="114" t="s">
        <v>9</v>
      </c>
      <c r="B25" s="114" t="s">
        <v>5</v>
      </c>
      <c r="C25" s="11">
        <v>0</v>
      </c>
      <c r="D25" s="11">
        <v>0.75</v>
      </c>
      <c r="E25" s="11">
        <v>0.75</v>
      </c>
      <c r="F25" s="11">
        <v>0.85</v>
      </c>
      <c r="G25" s="11">
        <v>0.95</v>
      </c>
      <c r="H25" s="11">
        <v>0.95</v>
      </c>
      <c r="I25" s="11">
        <v>0.95</v>
      </c>
      <c r="J25" s="11">
        <v>0.3</v>
      </c>
      <c r="K25" s="11">
        <v>0</v>
      </c>
      <c r="L25" s="18">
        <v>0</v>
      </c>
      <c r="M25" s="107">
        <v>0.50270000000000004</v>
      </c>
      <c r="N25" s="107">
        <v>0.50270000000000004</v>
      </c>
      <c r="O25" s="107">
        <v>0.50270000000000004</v>
      </c>
      <c r="P25" s="107">
        <v>0.1971</v>
      </c>
      <c r="Q25" s="108">
        <v>1.399</v>
      </c>
      <c r="R25" s="11" t="s">
        <v>12479</v>
      </c>
      <c r="S25" s="108">
        <v>7.67E-4</v>
      </c>
      <c r="T25" s="108" t="s">
        <v>12479</v>
      </c>
      <c r="U25" s="108">
        <v>3.9999999999999998E-6</v>
      </c>
      <c r="V25" s="111"/>
    </row>
    <row r="26" spans="1:22" s="1" customFormat="1" x14ac:dyDescent="0.2">
      <c r="A26" s="114" t="s">
        <v>40</v>
      </c>
      <c r="B26" s="114" t="s">
        <v>12</v>
      </c>
      <c r="C26" s="11">
        <v>1</v>
      </c>
      <c r="D26" s="11">
        <v>1</v>
      </c>
      <c r="E26" s="11">
        <v>1</v>
      </c>
      <c r="F26" s="11">
        <v>1</v>
      </c>
      <c r="G26" s="11">
        <v>1</v>
      </c>
      <c r="H26" s="11">
        <v>1</v>
      </c>
      <c r="I26" s="11">
        <v>1</v>
      </c>
      <c r="J26" s="11">
        <v>1</v>
      </c>
      <c r="K26" s="11">
        <v>1</v>
      </c>
      <c r="L26" s="18">
        <v>1</v>
      </c>
      <c r="M26" s="107">
        <v>0</v>
      </c>
      <c r="N26" s="107">
        <v>0</v>
      </c>
      <c r="O26" s="107">
        <v>0</v>
      </c>
      <c r="P26" s="107">
        <v>0</v>
      </c>
      <c r="Q26" s="108">
        <v>0</v>
      </c>
      <c r="R26" s="11" t="s">
        <v>12479</v>
      </c>
      <c r="S26" s="108">
        <v>0</v>
      </c>
      <c r="T26" s="108">
        <v>0</v>
      </c>
      <c r="U26" s="108">
        <v>0</v>
      </c>
      <c r="V26" s="111"/>
    </row>
    <row r="27" spans="1:22" x14ac:dyDescent="0.2">
      <c r="A27" s="114" t="s">
        <v>10</v>
      </c>
      <c r="B27" s="114" t="s">
        <v>5</v>
      </c>
      <c r="C27" s="11">
        <v>0</v>
      </c>
      <c r="D27" s="11">
        <v>0.75</v>
      </c>
      <c r="E27" s="11">
        <v>0.97</v>
      </c>
      <c r="F27" s="11">
        <v>0.97</v>
      </c>
      <c r="G27" s="11">
        <v>0.97</v>
      </c>
      <c r="H27" s="11">
        <v>0.97</v>
      </c>
      <c r="I27" s="11">
        <v>0.97</v>
      </c>
      <c r="J27" s="11">
        <v>0.3</v>
      </c>
      <c r="K27" s="11">
        <v>0</v>
      </c>
      <c r="L27" s="18">
        <v>0</v>
      </c>
      <c r="M27" s="107">
        <v>0.2293</v>
      </c>
      <c r="N27" s="107">
        <v>0.2293</v>
      </c>
      <c r="O27" s="107">
        <v>0.2293</v>
      </c>
      <c r="P27" s="107">
        <v>9.8599999999999993E-2</v>
      </c>
      <c r="Q27" s="108">
        <v>0.35</v>
      </c>
      <c r="R27" s="11" t="s">
        <v>12479</v>
      </c>
      <c r="S27" s="108">
        <v>1.65E-4</v>
      </c>
      <c r="T27" s="108">
        <v>1.6200000000000001E-5</v>
      </c>
      <c r="U27" s="108">
        <v>2.9960000000000001E-2</v>
      </c>
      <c r="V27" s="111"/>
    </row>
    <row r="28" spans="1:22" x14ac:dyDescent="0.2">
      <c r="A28" s="114" t="s">
        <v>10</v>
      </c>
      <c r="B28" s="114" t="s">
        <v>12704</v>
      </c>
      <c r="C28" s="11">
        <v>0</v>
      </c>
      <c r="D28" s="11">
        <v>0.97</v>
      </c>
      <c r="E28" s="11">
        <v>0.97</v>
      </c>
      <c r="F28" s="11">
        <v>0.97</v>
      </c>
      <c r="G28" s="11">
        <v>0.97</v>
      </c>
      <c r="H28" s="11">
        <v>0.97</v>
      </c>
      <c r="I28" s="11">
        <v>0.97</v>
      </c>
      <c r="J28" s="11">
        <v>0.3</v>
      </c>
      <c r="K28" s="11">
        <v>0</v>
      </c>
      <c r="L28" s="18">
        <v>0</v>
      </c>
      <c r="M28" s="107">
        <v>8.8999999999999999E-3</v>
      </c>
      <c r="N28" s="107">
        <v>3.5000000000000001E-3</v>
      </c>
      <c r="O28" s="107">
        <v>4.5900000000000003E-2</v>
      </c>
      <c r="P28" s="107">
        <v>3.6000000000000002E-4</v>
      </c>
      <c r="Q28" s="108">
        <v>0.35</v>
      </c>
      <c r="R28" s="11" t="s">
        <v>12479</v>
      </c>
      <c r="S28" s="107">
        <v>0</v>
      </c>
      <c r="T28" s="107">
        <v>0</v>
      </c>
      <c r="U28" s="107">
        <v>0</v>
      </c>
      <c r="V28" s="111"/>
    </row>
    <row r="29" spans="1:22" s="1" customFormat="1" x14ac:dyDescent="0.2">
      <c r="A29" s="114" t="s">
        <v>36</v>
      </c>
      <c r="B29" s="114" t="s">
        <v>12</v>
      </c>
      <c r="C29" s="11">
        <v>1</v>
      </c>
      <c r="D29" s="11">
        <v>1</v>
      </c>
      <c r="E29" s="11">
        <v>1</v>
      </c>
      <c r="F29" s="11">
        <v>1</v>
      </c>
      <c r="G29" s="11">
        <v>1</v>
      </c>
      <c r="H29" s="11">
        <v>1</v>
      </c>
      <c r="I29" s="11">
        <v>1</v>
      </c>
      <c r="J29" s="11">
        <v>1</v>
      </c>
      <c r="K29" s="11">
        <v>1</v>
      </c>
      <c r="L29" s="18">
        <v>1</v>
      </c>
      <c r="M29" s="107">
        <v>0</v>
      </c>
      <c r="N29" s="107">
        <v>0</v>
      </c>
      <c r="O29" s="107">
        <v>0</v>
      </c>
      <c r="P29" s="107">
        <v>0</v>
      </c>
      <c r="Q29" s="107">
        <v>0</v>
      </c>
      <c r="R29" s="11" t="s">
        <v>12479</v>
      </c>
      <c r="S29" s="107">
        <v>0</v>
      </c>
      <c r="T29" s="107">
        <v>0</v>
      </c>
      <c r="U29" s="107">
        <v>0</v>
      </c>
      <c r="V29" s="111"/>
    </row>
    <row r="30" spans="1:22" x14ac:dyDescent="0.2">
      <c r="A30" s="114" t="s">
        <v>11</v>
      </c>
      <c r="B30" s="114" t="s">
        <v>12</v>
      </c>
      <c r="C30" s="11">
        <v>0</v>
      </c>
      <c r="D30" s="11">
        <v>0.75</v>
      </c>
      <c r="E30" s="11">
        <v>0.97</v>
      </c>
      <c r="F30" s="11">
        <v>0.97</v>
      </c>
      <c r="G30" s="11">
        <v>0.97</v>
      </c>
      <c r="H30" s="11">
        <v>0.97</v>
      </c>
      <c r="I30" s="11">
        <v>0</v>
      </c>
      <c r="J30" s="11">
        <v>0</v>
      </c>
      <c r="K30" s="11">
        <v>0</v>
      </c>
      <c r="L30" s="18">
        <v>0</v>
      </c>
      <c r="M30" s="107">
        <v>3.8E-3</v>
      </c>
      <c r="N30" s="107">
        <v>4.0000000000000001E-3</v>
      </c>
      <c r="O30" s="107">
        <v>7.4999999999999997E-3</v>
      </c>
      <c r="P30" s="107">
        <v>3.3E-3</v>
      </c>
      <c r="Q30" s="108">
        <v>5.1000000000000004E-3</v>
      </c>
      <c r="R30" s="11" t="s">
        <v>12479</v>
      </c>
      <c r="S30" s="108">
        <v>1.078E-3</v>
      </c>
      <c r="T30" s="108">
        <v>7.0000000000000005E-8</v>
      </c>
      <c r="U30" s="108">
        <v>1.2E-4</v>
      </c>
      <c r="V30" s="111"/>
    </row>
    <row r="31" spans="1:22" s="1" customFormat="1" x14ac:dyDescent="0.2">
      <c r="A31" s="114" t="s">
        <v>39</v>
      </c>
      <c r="B31" s="114" t="s">
        <v>12</v>
      </c>
      <c r="C31" s="11">
        <v>1</v>
      </c>
      <c r="D31" s="11">
        <v>1</v>
      </c>
      <c r="E31" s="11">
        <v>1</v>
      </c>
      <c r="F31" s="11">
        <v>1</v>
      </c>
      <c r="G31" s="11">
        <v>1</v>
      </c>
      <c r="H31" s="11">
        <v>1</v>
      </c>
      <c r="I31" s="11">
        <v>1</v>
      </c>
      <c r="J31" s="11">
        <v>1</v>
      </c>
      <c r="K31" s="11">
        <v>1</v>
      </c>
      <c r="L31" s="18">
        <v>1</v>
      </c>
      <c r="M31" s="107">
        <v>0</v>
      </c>
      <c r="N31" s="107">
        <v>0</v>
      </c>
      <c r="O31" s="107">
        <v>0</v>
      </c>
      <c r="P31" s="107">
        <v>0</v>
      </c>
      <c r="Q31" s="107">
        <v>0</v>
      </c>
      <c r="R31" s="11" t="s">
        <v>12479</v>
      </c>
      <c r="S31" s="107">
        <v>0</v>
      </c>
      <c r="T31" s="107">
        <v>0</v>
      </c>
      <c r="U31" s="107">
        <v>0</v>
      </c>
      <c r="V31" s="111"/>
    </row>
    <row r="32" spans="1:22" x14ac:dyDescent="0.2">
      <c r="A32" s="114" t="s">
        <v>12713</v>
      </c>
      <c r="B32" s="114" t="s">
        <v>12</v>
      </c>
      <c r="C32" s="11">
        <v>0</v>
      </c>
      <c r="D32" s="11">
        <v>0</v>
      </c>
      <c r="E32" s="11">
        <v>0</v>
      </c>
      <c r="F32" s="11">
        <v>0</v>
      </c>
      <c r="G32" s="11">
        <v>0</v>
      </c>
      <c r="H32" s="11">
        <v>0</v>
      </c>
      <c r="I32" s="11">
        <v>0</v>
      </c>
      <c r="J32" s="11">
        <v>0</v>
      </c>
      <c r="K32" s="11">
        <v>0</v>
      </c>
      <c r="L32" s="18">
        <v>0</v>
      </c>
      <c r="M32" s="107">
        <v>3.3000000000000002E-2</v>
      </c>
      <c r="N32" s="107">
        <v>3.3000000000000002E-2</v>
      </c>
      <c r="O32" s="107">
        <v>3.3000000000000002E-2</v>
      </c>
      <c r="P32" s="107">
        <v>3.3000000000000002E-2</v>
      </c>
      <c r="Q32" s="108">
        <v>3.3000000000000002E-2</v>
      </c>
      <c r="R32" s="11" t="s">
        <v>12479</v>
      </c>
      <c r="S32" s="108">
        <v>8.7999999999999998E-5</v>
      </c>
      <c r="T32" s="11">
        <v>0</v>
      </c>
      <c r="U32" s="108">
        <v>1.2E-4</v>
      </c>
      <c r="V32" s="111"/>
    </row>
    <row r="33" spans="1:22" x14ac:dyDescent="0.2">
      <c r="A33" s="114" t="s">
        <v>12714</v>
      </c>
      <c r="B33" s="114" t="s">
        <v>12</v>
      </c>
      <c r="C33" s="11">
        <v>0</v>
      </c>
      <c r="D33" s="11">
        <v>0</v>
      </c>
      <c r="E33" s="11">
        <v>0</v>
      </c>
      <c r="F33" s="11">
        <v>0</v>
      </c>
      <c r="G33" s="11">
        <v>0</v>
      </c>
      <c r="H33" s="11">
        <v>0</v>
      </c>
      <c r="I33" s="11">
        <v>0</v>
      </c>
      <c r="J33" s="11">
        <v>0</v>
      </c>
      <c r="K33" s="11">
        <v>0</v>
      </c>
      <c r="L33" s="18">
        <v>0</v>
      </c>
      <c r="M33" s="107">
        <v>3.3000000000000002E-2</v>
      </c>
      <c r="N33" s="107">
        <v>3.3000000000000002E-2</v>
      </c>
      <c r="O33" s="107">
        <v>3.3000000000000002E-2</v>
      </c>
      <c r="P33" s="107">
        <v>3.3000000000000002E-2</v>
      </c>
      <c r="Q33" s="108">
        <v>3.3000000000000002E-2</v>
      </c>
      <c r="R33" s="11" t="s">
        <v>12479</v>
      </c>
      <c r="S33" s="108">
        <v>8.7999999999999998E-5</v>
      </c>
      <c r="T33" s="11">
        <v>0</v>
      </c>
      <c r="U33" s="108">
        <v>1.2E-4</v>
      </c>
      <c r="V33" s="111"/>
    </row>
    <row r="34" spans="1:22" x14ac:dyDescent="0.2">
      <c r="A34" s="114" t="s">
        <v>13</v>
      </c>
      <c r="B34" s="114" t="s">
        <v>12</v>
      </c>
      <c r="C34" s="11">
        <v>0</v>
      </c>
      <c r="D34" s="11">
        <v>0.75</v>
      </c>
      <c r="E34" s="11">
        <v>0.75</v>
      </c>
      <c r="F34" s="11">
        <v>0.85</v>
      </c>
      <c r="G34" s="11">
        <v>0.93</v>
      </c>
      <c r="H34" s="11">
        <v>0.93</v>
      </c>
      <c r="I34" s="11">
        <v>0.93</v>
      </c>
      <c r="J34" s="11">
        <v>0</v>
      </c>
      <c r="K34" s="11">
        <v>0</v>
      </c>
      <c r="L34" s="18">
        <v>0</v>
      </c>
      <c r="M34" s="107">
        <v>4.3900000000000002E-2</v>
      </c>
      <c r="N34" s="107">
        <f>N12</f>
        <v>3.8600000000000002E-2</v>
      </c>
      <c r="O34" s="107">
        <f>O12</f>
        <v>0.14399999999999999</v>
      </c>
      <c r="P34" s="107">
        <f>P12</f>
        <v>4.1000000000000003E-3</v>
      </c>
      <c r="Q34" s="108" t="s">
        <v>12479</v>
      </c>
      <c r="R34" s="11" t="s">
        <v>12479</v>
      </c>
      <c r="S34" s="11" t="s">
        <v>12479</v>
      </c>
      <c r="T34" s="11" t="s">
        <v>12479</v>
      </c>
      <c r="U34" s="11" t="s">
        <v>12479</v>
      </c>
      <c r="V34" s="111"/>
    </row>
    <row r="35" spans="1:22" x14ac:dyDescent="0.2">
      <c r="A35" s="114" t="s">
        <v>12725</v>
      </c>
      <c r="B35" s="114" t="s">
        <v>12</v>
      </c>
      <c r="C35" s="21">
        <v>0</v>
      </c>
      <c r="D35" s="21">
        <v>0</v>
      </c>
      <c r="E35" s="21">
        <v>0</v>
      </c>
      <c r="F35" s="21">
        <v>0</v>
      </c>
      <c r="G35" s="21">
        <v>0</v>
      </c>
      <c r="H35" s="21">
        <v>0</v>
      </c>
      <c r="I35" s="21">
        <v>0</v>
      </c>
      <c r="J35" s="21">
        <v>0</v>
      </c>
      <c r="K35" s="21">
        <v>0</v>
      </c>
      <c r="L35" s="22">
        <v>0</v>
      </c>
      <c r="M35" s="108">
        <v>7.0000000000000007E-2</v>
      </c>
      <c r="N35" s="108">
        <v>7.0000000000000007E-2</v>
      </c>
      <c r="O35" s="108">
        <v>7.0000000000000007E-2</v>
      </c>
      <c r="P35" s="108">
        <v>7.0000000000000007E-2</v>
      </c>
      <c r="Q35" s="108">
        <v>7.0000000000000007E-2</v>
      </c>
      <c r="R35" s="11" t="s">
        <v>12479</v>
      </c>
      <c r="S35" s="11" t="s">
        <v>12479</v>
      </c>
      <c r="T35" s="11" t="s">
        <v>12479</v>
      </c>
      <c r="U35" s="11" t="s">
        <v>12479</v>
      </c>
      <c r="V35" s="111"/>
    </row>
    <row r="36" spans="1:22" x14ac:dyDescent="0.2">
      <c r="A36" s="114" t="s">
        <v>12729</v>
      </c>
      <c r="B36" s="114" t="s">
        <v>5</v>
      </c>
      <c r="C36" s="11">
        <v>0</v>
      </c>
      <c r="D36" s="11" t="s">
        <v>12479</v>
      </c>
      <c r="E36" s="11" t="s">
        <v>12479</v>
      </c>
      <c r="F36" s="11" t="s">
        <v>12479</v>
      </c>
      <c r="G36" s="11" t="s">
        <v>12479</v>
      </c>
      <c r="H36" s="11" t="s">
        <v>12479</v>
      </c>
      <c r="I36" s="11" t="s">
        <v>12479</v>
      </c>
      <c r="J36" s="11" t="s">
        <v>12479</v>
      </c>
      <c r="K36" s="11" t="s">
        <v>12479</v>
      </c>
      <c r="L36" s="11" t="s">
        <v>12479</v>
      </c>
      <c r="M36" s="108" t="s">
        <v>12479</v>
      </c>
      <c r="N36" s="108" t="s">
        <v>12479</v>
      </c>
      <c r="O36" s="108" t="s">
        <v>12479</v>
      </c>
      <c r="P36" s="108" t="s">
        <v>12479</v>
      </c>
      <c r="Q36" s="108" t="s">
        <v>12479</v>
      </c>
      <c r="R36" s="108">
        <v>2.6499999999999999E-4</v>
      </c>
      <c r="S36" s="11" t="s">
        <v>12479</v>
      </c>
      <c r="T36" s="11" t="s">
        <v>12479</v>
      </c>
      <c r="U36" s="11" t="s">
        <v>12479</v>
      </c>
      <c r="V36" s="111"/>
    </row>
    <row r="37" spans="1:22" x14ac:dyDescent="0.2">
      <c r="A37" s="114" t="s">
        <v>12729</v>
      </c>
      <c r="B37" s="114" t="s">
        <v>6</v>
      </c>
      <c r="C37" s="11">
        <v>0</v>
      </c>
      <c r="D37" s="11" t="s">
        <v>12479</v>
      </c>
      <c r="E37" s="11" t="s">
        <v>12479</v>
      </c>
      <c r="F37" s="11" t="s">
        <v>12479</v>
      </c>
      <c r="G37" s="11" t="s">
        <v>12479</v>
      </c>
      <c r="H37" s="11" t="s">
        <v>12479</v>
      </c>
      <c r="I37" s="11" t="s">
        <v>12479</v>
      </c>
      <c r="J37" s="11" t="s">
        <v>12479</v>
      </c>
      <c r="K37" s="11" t="s">
        <v>12479</v>
      </c>
      <c r="L37" s="11" t="s">
        <v>12479</v>
      </c>
      <c r="M37" s="108" t="s">
        <v>12479</v>
      </c>
      <c r="N37" s="108" t="s">
        <v>12479</v>
      </c>
      <c r="O37" s="108" t="s">
        <v>12479</v>
      </c>
      <c r="P37" s="108" t="s">
        <v>12479</v>
      </c>
      <c r="Q37" s="108" t="s">
        <v>12479</v>
      </c>
      <c r="R37" s="108">
        <v>2.8699999999999998E-4</v>
      </c>
      <c r="S37" s="11" t="s">
        <v>12479</v>
      </c>
      <c r="T37" s="11" t="s">
        <v>12479</v>
      </c>
      <c r="U37" s="11" t="s">
        <v>12479</v>
      </c>
      <c r="V37" s="111"/>
    </row>
    <row r="38" spans="1:22" x14ac:dyDescent="0.2">
      <c r="A38" s="114" t="s">
        <v>12729</v>
      </c>
      <c r="B38" s="114" t="s">
        <v>7</v>
      </c>
      <c r="C38" s="11">
        <v>0</v>
      </c>
      <c r="D38" s="11" t="s">
        <v>12479</v>
      </c>
      <c r="E38" s="11" t="s">
        <v>12479</v>
      </c>
      <c r="F38" s="11" t="s">
        <v>12479</v>
      </c>
      <c r="G38" s="11" t="s">
        <v>12479</v>
      </c>
      <c r="H38" s="11" t="s">
        <v>12479</v>
      </c>
      <c r="I38" s="11" t="s">
        <v>12479</v>
      </c>
      <c r="J38" s="11" t="s">
        <v>12479</v>
      </c>
      <c r="K38" s="11" t="s">
        <v>12479</v>
      </c>
      <c r="L38" s="11" t="s">
        <v>12479</v>
      </c>
      <c r="M38" s="108" t="s">
        <v>12479</v>
      </c>
      <c r="N38" s="108" t="s">
        <v>12479</v>
      </c>
      <c r="O38" s="108" t="s">
        <v>12479</v>
      </c>
      <c r="P38" s="108" t="s">
        <v>12479</v>
      </c>
      <c r="Q38" s="108" t="s">
        <v>12479</v>
      </c>
      <c r="R38" s="108">
        <v>2.8699999999999998E-4</v>
      </c>
      <c r="S38" s="11" t="s">
        <v>12479</v>
      </c>
      <c r="T38" s="11" t="s">
        <v>12479</v>
      </c>
      <c r="U38" s="11" t="s">
        <v>12479</v>
      </c>
      <c r="V38" s="111"/>
    </row>
    <row r="39" spans="1:22" x14ac:dyDescent="0.2">
      <c r="A39" s="114" t="s">
        <v>12729</v>
      </c>
      <c r="B39" s="114" t="s">
        <v>12483</v>
      </c>
      <c r="C39" s="11">
        <v>0</v>
      </c>
      <c r="D39" s="11" t="s">
        <v>12479</v>
      </c>
      <c r="E39" s="11" t="s">
        <v>12479</v>
      </c>
      <c r="F39" s="11" t="s">
        <v>12479</v>
      </c>
      <c r="G39" s="11" t="s">
        <v>12479</v>
      </c>
      <c r="H39" s="11" t="s">
        <v>12479</v>
      </c>
      <c r="I39" s="11" t="s">
        <v>12479</v>
      </c>
      <c r="J39" s="11" t="s">
        <v>12479</v>
      </c>
      <c r="K39" s="11" t="s">
        <v>12479</v>
      </c>
      <c r="L39" s="11" t="s">
        <v>12479</v>
      </c>
      <c r="M39" s="11" t="s">
        <v>12479</v>
      </c>
      <c r="N39" s="11" t="s">
        <v>12479</v>
      </c>
      <c r="O39" s="11" t="s">
        <v>12479</v>
      </c>
      <c r="P39" s="11" t="s">
        <v>12479</v>
      </c>
      <c r="Q39" s="11" t="s">
        <v>12479</v>
      </c>
      <c r="R39" s="11">
        <v>2.8699999999999998E-4</v>
      </c>
      <c r="S39" s="11" t="s">
        <v>12479</v>
      </c>
      <c r="T39" s="11" t="s">
        <v>12479</v>
      </c>
      <c r="U39" s="11" t="s">
        <v>12479</v>
      </c>
      <c r="V39" s="111"/>
    </row>
    <row r="40" spans="1:22" x14ac:dyDescent="0.2">
      <c r="A40" s="67" t="s">
        <v>4</v>
      </c>
      <c r="B40" s="11" t="s">
        <v>12675</v>
      </c>
      <c r="C40" s="108">
        <v>0</v>
      </c>
      <c r="D40" s="108">
        <v>0.75</v>
      </c>
      <c r="E40" s="108">
        <v>0.97</v>
      </c>
      <c r="F40" s="108">
        <v>0.97</v>
      </c>
      <c r="G40" s="108">
        <v>0.97</v>
      </c>
      <c r="H40" s="108">
        <v>0.97</v>
      </c>
      <c r="I40" s="108">
        <v>0.97</v>
      </c>
      <c r="J40" s="108">
        <v>0.3</v>
      </c>
      <c r="K40" s="108">
        <v>0</v>
      </c>
      <c r="L40" s="108">
        <v>0</v>
      </c>
      <c r="M40" s="111"/>
      <c r="N40" s="111"/>
      <c r="O40" s="111"/>
      <c r="P40" s="111"/>
      <c r="Q40" s="111"/>
      <c r="R40" s="111"/>
      <c r="S40" s="111"/>
      <c r="T40" s="111"/>
      <c r="U40" s="111"/>
      <c r="V40" s="115">
        <v>9.92E-3</v>
      </c>
    </row>
    <row r="41" spans="1:22" x14ac:dyDescent="0.2">
      <c r="A41" s="67" t="s">
        <v>12717</v>
      </c>
      <c r="B41" s="11" t="s">
        <v>12676</v>
      </c>
      <c r="C41" s="108">
        <v>0</v>
      </c>
      <c r="D41" s="108">
        <v>0</v>
      </c>
      <c r="E41" s="108">
        <v>0</v>
      </c>
      <c r="F41" s="108">
        <v>0</v>
      </c>
      <c r="G41" s="108">
        <v>0</v>
      </c>
      <c r="H41" s="108">
        <v>0</v>
      </c>
      <c r="I41" s="108">
        <v>0</v>
      </c>
      <c r="J41" s="108">
        <v>0</v>
      </c>
      <c r="K41" s="108">
        <v>0</v>
      </c>
      <c r="L41" s="108">
        <v>0</v>
      </c>
      <c r="M41" s="111"/>
      <c r="N41" s="111"/>
      <c r="O41" s="111"/>
      <c r="P41" s="111"/>
      <c r="Q41" s="111"/>
      <c r="R41" s="111"/>
      <c r="S41" s="111"/>
      <c r="T41" s="111"/>
      <c r="U41" s="111"/>
      <c r="V41" s="115">
        <v>9.92E-3</v>
      </c>
    </row>
    <row r="42" spans="1:22" x14ac:dyDescent="0.2">
      <c r="A42" s="67" t="s">
        <v>12718</v>
      </c>
      <c r="B42" s="11" t="s">
        <v>12677</v>
      </c>
      <c r="C42" s="108">
        <v>0</v>
      </c>
      <c r="D42" s="108">
        <v>0.3</v>
      </c>
      <c r="E42" s="108">
        <v>0.75</v>
      </c>
      <c r="F42" s="108">
        <v>0.75</v>
      </c>
      <c r="G42" s="108">
        <v>0.75</v>
      </c>
      <c r="H42" s="108">
        <v>0.75</v>
      </c>
      <c r="I42" s="108">
        <v>0.75</v>
      </c>
      <c r="J42" s="108">
        <v>0.75</v>
      </c>
      <c r="K42" s="108">
        <v>0.75</v>
      </c>
      <c r="L42" s="108">
        <v>0.75</v>
      </c>
      <c r="M42" s="111"/>
      <c r="N42" s="111"/>
      <c r="O42" s="111"/>
      <c r="P42" s="111"/>
      <c r="Q42" s="111"/>
      <c r="R42" s="111"/>
      <c r="S42" s="111"/>
      <c r="T42" s="111"/>
      <c r="U42" s="111"/>
      <c r="V42" s="115">
        <v>9.92E-3</v>
      </c>
    </row>
    <row r="43" spans="1:22" x14ac:dyDescent="0.2">
      <c r="A43" s="67" t="s">
        <v>4</v>
      </c>
      <c r="B43" s="11" t="s">
        <v>12678</v>
      </c>
      <c r="C43" s="108">
        <v>0</v>
      </c>
      <c r="D43" s="108">
        <v>0</v>
      </c>
      <c r="E43" s="108">
        <v>0</v>
      </c>
      <c r="F43" s="108">
        <v>0</v>
      </c>
      <c r="G43" s="108">
        <v>0</v>
      </c>
      <c r="H43" s="108">
        <v>0</v>
      </c>
      <c r="I43" s="108">
        <v>0.97</v>
      </c>
      <c r="J43" s="108">
        <v>0.3</v>
      </c>
      <c r="K43" s="108">
        <v>0</v>
      </c>
      <c r="L43" s="108">
        <v>0</v>
      </c>
      <c r="M43" s="111"/>
      <c r="N43" s="111"/>
      <c r="O43" s="111"/>
      <c r="P43" s="111"/>
      <c r="Q43" s="111"/>
      <c r="R43" s="111"/>
      <c r="S43" s="111"/>
      <c r="T43" s="111"/>
      <c r="U43" s="111"/>
      <c r="V43" s="115">
        <v>1.8499999999999999E-5</v>
      </c>
    </row>
    <row r="44" spans="1:22" x14ac:dyDescent="0.2">
      <c r="A44" s="67" t="s">
        <v>4</v>
      </c>
      <c r="B44" s="11" t="s">
        <v>12679</v>
      </c>
      <c r="C44" s="108">
        <v>0</v>
      </c>
      <c r="D44" s="108">
        <v>0.75</v>
      </c>
      <c r="E44" s="108">
        <v>0.97</v>
      </c>
      <c r="F44" s="108">
        <v>0.97</v>
      </c>
      <c r="G44" s="108">
        <v>0.97</v>
      </c>
      <c r="H44" s="108">
        <v>0.97</v>
      </c>
      <c r="I44" s="108">
        <v>0.97</v>
      </c>
      <c r="J44" s="108">
        <v>0.3</v>
      </c>
      <c r="K44" s="108">
        <v>0</v>
      </c>
      <c r="L44" s="108">
        <v>0</v>
      </c>
      <c r="M44" s="111"/>
      <c r="N44" s="111"/>
      <c r="O44" s="111"/>
      <c r="P44" s="111"/>
      <c r="Q44" s="111"/>
      <c r="R44" s="111"/>
      <c r="S44" s="111"/>
      <c r="T44" s="111"/>
      <c r="U44" s="111"/>
      <c r="V44" s="115">
        <v>5.4999999999999997E-3</v>
      </c>
    </row>
    <row r="45" spans="1:22" x14ac:dyDescent="0.2">
      <c r="A45" s="67" t="s">
        <v>12717</v>
      </c>
      <c r="B45" s="11" t="s">
        <v>12680</v>
      </c>
      <c r="C45" s="108">
        <v>0</v>
      </c>
      <c r="D45" s="108">
        <v>0</v>
      </c>
      <c r="E45" s="108">
        <v>0</v>
      </c>
      <c r="F45" s="108">
        <v>0</v>
      </c>
      <c r="G45" s="108">
        <v>0</v>
      </c>
      <c r="H45" s="108">
        <v>0</v>
      </c>
      <c r="I45" s="108">
        <v>0</v>
      </c>
      <c r="J45" s="108">
        <v>0</v>
      </c>
      <c r="K45" s="108">
        <v>0</v>
      </c>
      <c r="L45" s="108">
        <v>0</v>
      </c>
      <c r="M45" s="111"/>
      <c r="N45" s="111"/>
      <c r="O45" s="111"/>
      <c r="P45" s="111"/>
      <c r="Q45" s="111"/>
      <c r="R45" s="111"/>
      <c r="S45" s="111"/>
      <c r="T45" s="111"/>
      <c r="U45" s="111"/>
      <c r="V45" s="115">
        <v>5.4999999999999997E-3</v>
      </c>
    </row>
    <row r="46" spans="1:22" x14ac:dyDescent="0.2">
      <c r="A46" s="67" t="s">
        <v>12718</v>
      </c>
      <c r="B46" s="11" t="s">
        <v>12680</v>
      </c>
      <c r="C46" s="108">
        <v>0</v>
      </c>
      <c r="D46" s="108">
        <v>0.3</v>
      </c>
      <c r="E46" s="108">
        <v>0.75</v>
      </c>
      <c r="F46" s="108">
        <v>0.75</v>
      </c>
      <c r="G46" s="108">
        <v>0.75</v>
      </c>
      <c r="H46" s="108">
        <v>0.75</v>
      </c>
      <c r="I46" s="108">
        <v>0.75</v>
      </c>
      <c r="J46" s="108">
        <v>0.75</v>
      </c>
      <c r="K46" s="108">
        <v>0.75</v>
      </c>
      <c r="L46" s="108">
        <v>0.75</v>
      </c>
      <c r="M46" s="111"/>
      <c r="N46" s="111"/>
      <c r="O46" s="111"/>
      <c r="P46" s="111"/>
      <c r="Q46" s="111"/>
      <c r="R46" s="111"/>
      <c r="S46" s="111"/>
      <c r="T46" s="111"/>
      <c r="U46" s="111"/>
      <c r="V46" s="115">
        <v>5.4999999999999997E-3</v>
      </c>
    </row>
    <row r="47" spans="1:22" x14ac:dyDescent="0.2">
      <c r="A47" s="67" t="s">
        <v>4</v>
      </c>
      <c r="B47" s="11" t="s">
        <v>12681</v>
      </c>
      <c r="C47" s="108">
        <v>0</v>
      </c>
      <c r="D47" s="108">
        <v>0</v>
      </c>
      <c r="E47" s="108">
        <v>0</v>
      </c>
      <c r="F47" s="108">
        <v>0</v>
      </c>
      <c r="G47" s="108">
        <v>0</v>
      </c>
      <c r="H47" s="108">
        <v>0</v>
      </c>
      <c r="I47" s="108">
        <v>0</v>
      </c>
      <c r="J47" s="108">
        <v>0</v>
      </c>
      <c r="K47" s="108">
        <v>0</v>
      </c>
      <c r="L47" s="108">
        <v>0</v>
      </c>
      <c r="M47" s="110"/>
      <c r="N47" s="110"/>
      <c r="O47" s="110"/>
      <c r="P47" s="110"/>
      <c r="Q47" s="110"/>
      <c r="R47" s="111"/>
      <c r="S47" s="93"/>
      <c r="T47" s="93"/>
      <c r="U47" s="93"/>
      <c r="V47" s="115">
        <v>2.1599999999999999E-4</v>
      </c>
    </row>
    <row r="48" spans="1:22" x14ac:dyDescent="0.2">
      <c r="A48" s="67" t="s">
        <v>38</v>
      </c>
      <c r="B48" s="11" t="s">
        <v>12</v>
      </c>
      <c r="C48" s="108">
        <v>1</v>
      </c>
      <c r="D48" s="108">
        <v>1</v>
      </c>
      <c r="E48" s="108">
        <v>1</v>
      </c>
      <c r="F48" s="108">
        <v>1</v>
      </c>
      <c r="G48" s="108">
        <v>1</v>
      </c>
      <c r="H48" s="108">
        <v>1</v>
      </c>
      <c r="I48" s="108">
        <v>1</v>
      </c>
      <c r="J48" s="108">
        <v>1</v>
      </c>
      <c r="K48" s="108">
        <v>1</v>
      </c>
      <c r="L48" s="108">
        <v>1</v>
      </c>
      <c r="M48" s="111"/>
      <c r="N48" s="111"/>
      <c r="O48" s="111"/>
      <c r="P48" s="111"/>
      <c r="Q48" s="111"/>
      <c r="R48" s="111"/>
      <c r="S48" s="111"/>
      <c r="T48" s="111"/>
      <c r="U48" s="111"/>
      <c r="V48" s="115">
        <v>0</v>
      </c>
    </row>
    <row r="49" spans="1:22" x14ac:dyDescent="0.2">
      <c r="A49" s="67" t="s">
        <v>8</v>
      </c>
      <c r="B49" s="11" t="s">
        <v>12675</v>
      </c>
      <c r="C49" s="108">
        <v>0</v>
      </c>
      <c r="D49" s="108">
        <v>0.75</v>
      </c>
      <c r="E49" s="108">
        <v>0.75</v>
      </c>
      <c r="F49" s="108">
        <v>0.85</v>
      </c>
      <c r="G49" s="108">
        <v>0.93</v>
      </c>
      <c r="H49" s="108">
        <v>0.93</v>
      </c>
      <c r="I49" s="108">
        <v>0.93</v>
      </c>
      <c r="J49" s="108">
        <v>0.3</v>
      </c>
      <c r="K49" s="108">
        <v>0</v>
      </c>
      <c r="L49" s="108">
        <v>0</v>
      </c>
      <c r="M49" s="111"/>
      <c r="N49" s="111"/>
      <c r="O49" s="111"/>
      <c r="P49" s="111"/>
      <c r="Q49" s="111"/>
      <c r="R49" s="111"/>
      <c r="S49" s="111"/>
      <c r="T49" s="111"/>
      <c r="U49" s="111"/>
      <c r="V49" s="115">
        <v>5.2900000000000004E-3</v>
      </c>
    </row>
    <row r="50" spans="1:22" x14ac:dyDescent="0.2">
      <c r="A50" s="67" t="s">
        <v>8</v>
      </c>
      <c r="B50" s="11" t="s">
        <v>12682</v>
      </c>
      <c r="C50" s="108">
        <v>0</v>
      </c>
      <c r="D50" s="108">
        <v>0</v>
      </c>
      <c r="E50" s="108">
        <v>0</v>
      </c>
      <c r="F50" s="108">
        <v>0</v>
      </c>
      <c r="G50" s="108">
        <v>0</v>
      </c>
      <c r="H50" s="108">
        <v>0</v>
      </c>
      <c r="I50" s="108">
        <v>0</v>
      </c>
      <c r="J50" s="108">
        <v>0</v>
      </c>
      <c r="K50" s="108">
        <v>0</v>
      </c>
      <c r="L50" s="108">
        <v>0</v>
      </c>
      <c r="M50" s="111"/>
      <c r="N50" s="111"/>
      <c r="O50" s="111"/>
      <c r="P50" s="111"/>
      <c r="Q50" s="111"/>
      <c r="R50" s="111"/>
      <c r="S50" s="111"/>
      <c r="T50" s="111"/>
      <c r="U50" s="111"/>
      <c r="V50" s="115">
        <v>1.1299999999999999E-3</v>
      </c>
    </row>
    <row r="51" spans="1:22" x14ac:dyDescent="0.2">
      <c r="A51" s="67" t="s">
        <v>8</v>
      </c>
      <c r="B51" s="11" t="s">
        <v>12683</v>
      </c>
      <c r="C51" s="108">
        <v>0</v>
      </c>
      <c r="D51" s="108">
        <v>0.75</v>
      </c>
      <c r="E51" s="108">
        <v>0.75</v>
      </c>
      <c r="F51" s="108">
        <v>0.85</v>
      </c>
      <c r="G51" s="108">
        <v>0.93</v>
      </c>
      <c r="H51" s="108">
        <v>0.93</v>
      </c>
      <c r="I51" s="108">
        <v>0.93</v>
      </c>
      <c r="J51" s="108">
        <v>0.3</v>
      </c>
      <c r="K51" s="108">
        <v>0</v>
      </c>
      <c r="L51" s="108">
        <v>0</v>
      </c>
      <c r="M51" s="111"/>
      <c r="N51" s="111"/>
      <c r="O51" s="111"/>
      <c r="P51" s="111"/>
      <c r="Q51" s="111"/>
      <c r="R51" s="111"/>
      <c r="S51" s="111"/>
      <c r="T51" s="111"/>
      <c r="U51" s="111"/>
      <c r="V51" s="115">
        <v>2.8660000000000001E-2</v>
      </c>
    </row>
    <row r="52" spans="1:22" x14ac:dyDescent="0.2">
      <c r="A52" s="67" t="s">
        <v>8</v>
      </c>
      <c r="B52" s="11" t="s">
        <v>12681</v>
      </c>
      <c r="C52" s="108">
        <v>0</v>
      </c>
      <c r="D52" s="108">
        <v>0</v>
      </c>
      <c r="E52" s="108">
        <v>0</v>
      </c>
      <c r="F52" s="108">
        <v>0</v>
      </c>
      <c r="G52" s="108">
        <v>0</v>
      </c>
      <c r="H52" s="108">
        <v>0</v>
      </c>
      <c r="I52" s="108">
        <v>0</v>
      </c>
      <c r="J52" s="108">
        <v>0</v>
      </c>
      <c r="K52" s="108">
        <v>0</v>
      </c>
      <c r="L52" s="108">
        <v>0</v>
      </c>
      <c r="M52" s="111"/>
      <c r="N52" s="111"/>
      <c r="O52" s="111"/>
      <c r="P52" s="111"/>
      <c r="Q52" s="111"/>
      <c r="R52" s="111"/>
      <c r="S52" s="111"/>
      <c r="T52" s="111"/>
      <c r="U52" s="111"/>
      <c r="V52" s="115">
        <v>5.1999999999999997E-5</v>
      </c>
    </row>
    <row r="53" spans="1:22" x14ac:dyDescent="0.2">
      <c r="A53" s="67" t="s">
        <v>37</v>
      </c>
      <c r="B53" s="11" t="s">
        <v>12</v>
      </c>
      <c r="C53" s="108">
        <v>1</v>
      </c>
      <c r="D53" s="108">
        <v>1</v>
      </c>
      <c r="E53" s="108">
        <v>1</v>
      </c>
      <c r="F53" s="108">
        <v>1</v>
      </c>
      <c r="G53" s="108">
        <v>1</v>
      </c>
      <c r="H53" s="108">
        <v>1</v>
      </c>
      <c r="I53" s="108">
        <v>1</v>
      </c>
      <c r="J53" s="108">
        <v>1</v>
      </c>
      <c r="K53" s="108">
        <v>1</v>
      </c>
      <c r="L53" s="108">
        <v>1</v>
      </c>
      <c r="M53" s="111"/>
      <c r="N53" s="111"/>
      <c r="O53" s="111"/>
      <c r="P53" s="111"/>
      <c r="Q53" s="111"/>
      <c r="R53" s="111"/>
      <c r="S53" s="111"/>
      <c r="T53" s="111"/>
      <c r="U53" s="111"/>
      <c r="V53" s="115">
        <v>0</v>
      </c>
    </row>
    <row r="54" spans="1:22" x14ac:dyDescent="0.2">
      <c r="A54" s="67" t="s">
        <v>12724</v>
      </c>
      <c r="B54" s="11" t="s">
        <v>12675</v>
      </c>
      <c r="C54" s="108">
        <v>0</v>
      </c>
      <c r="D54" s="108">
        <v>0.3</v>
      </c>
      <c r="E54" s="108">
        <v>0.3</v>
      </c>
      <c r="F54" s="108">
        <v>0.3</v>
      </c>
      <c r="G54" s="108">
        <v>0.3</v>
      </c>
      <c r="H54" s="108">
        <v>0.97</v>
      </c>
      <c r="I54" s="108">
        <v>0.97</v>
      </c>
      <c r="J54" s="108">
        <v>0.3</v>
      </c>
      <c r="K54" s="108">
        <v>0.97</v>
      </c>
      <c r="L54" s="108">
        <v>0.75</v>
      </c>
      <c r="M54" s="111"/>
      <c r="N54" s="111"/>
      <c r="O54" s="111"/>
      <c r="P54" s="111"/>
      <c r="Q54" s="111"/>
      <c r="R54" s="111"/>
      <c r="S54" s="111"/>
      <c r="T54" s="111"/>
      <c r="U54" s="111"/>
      <c r="V54" s="115">
        <v>8.5999999999999998E-4</v>
      </c>
    </row>
    <row r="55" spans="1:22" x14ac:dyDescent="0.2">
      <c r="A55" s="67" t="s">
        <v>12719</v>
      </c>
      <c r="B55" s="11" t="s">
        <v>12676</v>
      </c>
      <c r="C55" s="108">
        <v>0</v>
      </c>
      <c r="D55" s="108">
        <v>0</v>
      </c>
      <c r="E55" s="108">
        <v>0</v>
      </c>
      <c r="F55" s="108">
        <v>0</v>
      </c>
      <c r="G55" s="108">
        <v>0</v>
      </c>
      <c r="H55" s="108">
        <v>0</v>
      </c>
      <c r="I55" s="108">
        <v>0</v>
      </c>
      <c r="J55" s="108">
        <v>0</v>
      </c>
      <c r="K55" s="108">
        <v>0</v>
      </c>
      <c r="L55" s="108">
        <v>0</v>
      </c>
      <c r="M55" s="111"/>
      <c r="N55" s="111"/>
      <c r="O55" s="111"/>
      <c r="P55" s="111"/>
      <c r="Q55" s="111"/>
      <c r="R55" s="111"/>
      <c r="S55" s="111"/>
      <c r="T55" s="111"/>
      <c r="U55" s="111"/>
      <c r="V55" s="115">
        <v>8.5999999999999998E-4</v>
      </c>
    </row>
    <row r="56" spans="1:22" x14ac:dyDescent="0.2">
      <c r="A56" s="67" t="s">
        <v>12720</v>
      </c>
      <c r="B56" s="11" t="s">
        <v>12677</v>
      </c>
      <c r="C56" s="108">
        <v>0</v>
      </c>
      <c r="D56" s="108">
        <v>0.3</v>
      </c>
      <c r="E56" s="108">
        <v>0.75</v>
      </c>
      <c r="F56" s="108">
        <v>0.75</v>
      </c>
      <c r="G56" s="108">
        <v>0.75</v>
      </c>
      <c r="H56" s="108">
        <v>0.75</v>
      </c>
      <c r="I56" s="108">
        <v>0.75</v>
      </c>
      <c r="J56" s="108">
        <v>0.75</v>
      </c>
      <c r="K56" s="108">
        <v>0.75</v>
      </c>
      <c r="L56" s="108">
        <v>0.75</v>
      </c>
      <c r="M56" s="111"/>
      <c r="N56" s="111"/>
      <c r="O56" s="111"/>
      <c r="P56" s="111"/>
      <c r="Q56" s="111"/>
      <c r="R56" s="111"/>
      <c r="S56" s="111"/>
      <c r="T56" s="111"/>
      <c r="U56" s="111"/>
      <c r="V56" s="115">
        <v>8.5999999999999998E-4</v>
      </c>
    </row>
    <row r="57" spans="1:22" x14ac:dyDescent="0.2">
      <c r="A57" s="67" t="s">
        <v>12724</v>
      </c>
      <c r="B57" s="11" t="s">
        <v>12682</v>
      </c>
      <c r="C57" s="108">
        <v>0</v>
      </c>
      <c r="D57" s="108">
        <v>0.3</v>
      </c>
      <c r="E57" s="108">
        <v>0.3</v>
      </c>
      <c r="F57" s="108">
        <v>0.3</v>
      </c>
      <c r="G57" s="108">
        <v>0.3</v>
      </c>
      <c r="H57" s="108">
        <v>0.3</v>
      </c>
      <c r="I57" s="108">
        <v>0.97</v>
      </c>
      <c r="J57" s="108">
        <v>0.3</v>
      </c>
      <c r="K57" s="108">
        <v>0.3</v>
      </c>
      <c r="L57" s="108">
        <v>0.3</v>
      </c>
      <c r="M57" s="111"/>
      <c r="N57" s="111"/>
      <c r="O57" s="111"/>
      <c r="P57" s="111"/>
      <c r="Q57" s="111"/>
      <c r="R57" s="111"/>
      <c r="S57" s="111"/>
      <c r="T57" s="111"/>
      <c r="U57" s="111"/>
      <c r="V57" s="115">
        <v>8.6000000000000002E-7</v>
      </c>
    </row>
    <row r="58" spans="1:22" x14ac:dyDescent="0.2">
      <c r="A58" s="67" t="s">
        <v>12724</v>
      </c>
      <c r="B58" s="11" t="s">
        <v>12683</v>
      </c>
      <c r="C58" s="108">
        <v>0</v>
      </c>
      <c r="D58" s="108">
        <v>0.3</v>
      </c>
      <c r="E58" s="108">
        <v>0.3</v>
      </c>
      <c r="F58" s="108">
        <v>0.3</v>
      </c>
      <c r="G58" s="108">
        <v>0.3</v>
      </c>
      <c r="H58" s="108">
        <v>0.97</v>
      </c>
      <c r="I58" s="108">
        <v>0.97</v>
      </c>
      <c r="J58" s="108">
        <v>0.3</v>
      </c>
      <c r="K58" s="108">
        <v>0.97</v>
      </c>
      <c r="L58" s="108">
        <v>0.75</v>
      </c>
      <c r="M58" s="111"/>
      <c r="N58" s="111"/>
      <c r="O58" s="111"/>
      <c r="P58" s="111"/>
      <c r="Q58" s="111"/>
      <c r="R58" s="111"/>
      <c r="S58" s="111"/>
      <c r="T58" s="111"/>
      <c r="U58" s="111"/>
      <c r="V58" s="115">
        <v>2.43E-4</v>
      </c>
    </row>
    <row r="59" spans="1:22" x14ac:dyDescent="0.2">
      <c r="A59" s="67" t="s">
        <v>12719</v>
      </c>
      <c r="B59" s="11" t="s">
        <v>12680</v>
      </c>
      <c r="C59" s="108">
        <v>0</v>
      </c>
      <c r="D59" s="108">
        <v>0</v>
      </c>
      <c r="E59" s="108">
        <v>0</v>
      </c>
      <c r="F59" s="108">
        <v>0</v>
      </c>
      <c r="G59" s="108">
        <v>0</v>
      </c>
      <c r="H59" s="108">
        <v>0</v>
      </c>
      <c r="I59" s="108">
        <v>0</v>
      </c>
      <c r="J59" s="108">
        <v>0</v>
      </c>
      <c r="K59" s="108">
        <v>0</v>
      </c>
      <c r="L59" s="108">
        <v>0</v>
      </c>
      <c r="M59" s="111"/>
      <c r="N59" s="111"/>
      <c r="O59" s="111"/>
      <c r="P59" s="111"/>
      <c r="Q59" s="111"/>
      <c r="R59" s="111"/>
      <c r="S59" s="111"/>
      <c r="T59" s="111"/>
      <c r="U59" s="111"/>
      <c r="V59" s="115">
        <v>2.43E-4</v>
      </c>
    </row>
    <row r="60" spans="1:22" x14ac:dyDescent="0.2">
      <c r="A60" s="67" t="s">
        <v>12720</v>
      </c>
      <c r="B60" s="11" t="s">
        <v>12680</v>
      </c>
      <c r="C60" s="108">
        <v>0</v>
      </c>
      <c r="D60" s="108">
        <v>0.3</v>
      </c>
      <c r="E60" s="108">
        <v>0.75</v>
      </c>
      <c r="F60" s="108">
        <v>0.75</v>
      </c>
      <c r="G60" s="108">
        <v>0.75</v>
      </c>
      <c r="H60" s="108">
        <v>0.75</v>
      </c>
      <c r="I60" s="108">
        <v>0.75</v>
      </c>
      <c r="J60" s="108">
        <v>0.75</v>
      </c>
      <c r="K60" s="108">
        <v>0.75</v>
      </c>
      <c r="L60" s="108">
        <v>0.75</v>
      </c>
      <c r="M60" s="111"/>
      <c r="N60" s="111"/>
      <c r="O60" s="111"/>
      <c r="P60" s="111"/>
      <c r="Q60" s="111"/>
      <c r="R60" s="111"/>
      <c r="S60" s="111"/>
      <c r="T60" s="111"/>
      <c r="U60" s="111"/>
      <c r="V60" s="115">
        <v>2.43E-4</v>
      </c>
    </row>
    <row r="61" spans="1:22" x14ac:dyDescent="0.2">
      <c r="A61" s="67" t="s">
        <v>12724</v>
      </c>
      <c r="B61" s="11" t="s">
        <v>12681</v>
      </c>
      <c r="C61" s="108">
        <v>0</v>
      </c>
      <c r="D61" s="108">
        <v>0</v>
      </c>
      <c r="E61" s="108">
        <v>0</v>
      </c>
      <c r="F61" s="108">
        <v>0</v>
      </c>
      <c r="G61" s="108">
        <v>0</v>
      </c>
      <c r="H61" s="108">
        <v>0</v>
      </c>
      <c r="I61" s="109">
        <v>0</v>
      </c>
      <c r="J61" s="108">
        <v>0</v>
      </c>
      <c r="K61" s="108">
        <v>0</v>
      </c>
      <c r="L61" s="108">
        <v>0</v>
      </c>
      <c r="M61" s="111"/>
      <c r="N61" s="111"/>
      <c r="O61" s="111"/>
      <c r="P61" s="111"/>
      <c r="Q61" s="111"/>
      <c r="R61" s="111"/>
      <c r="S61" s="111"/>
      <c r="T61" s="111"/>
      <c r="U61" s="111"/>
      <c r="V61" s="115">
        <v>6.0000000000000002E-6</v>
      </c>
    </row>
    <row r="62" spans="1:22" x14ac:dyDescent="0.2">
      <c r="A62" s="67" t="s">
        <v>12684</v>
      </c>
      <c r="B62" s="11" t="s">
        <v>12</v>
      </c>
      <c r="C62" s="108">
        <v>1</v>
      </c>
      <c r="D62" s="108">
        <v>1</v>
      </c>
      <c r="E62" s="108">
        <v>1</v>
      </c>
      <c r="F62" s="108">
        <v>1</v>
      </c>
      <c r="G62" s="108">
        <v>1</v>
      </c>
      <c r="H62" s="108">
        <v>1</v>
      </c>
      <c r="I62" s="108">
        <v>1</v>
      </c>
      <c r="J62" s="108">
        <v>1</v>
      </c>
      <c r="K62" s="108">
        <v>1</v>
      </c>
      <c r="L62" s="108">
        <v>1</v>
      </c>
      <c r="M62" s="111"/>
      <c r="N62" s="111"/>
      <c r="O62" s="111"/>
      <c r="P62" s="111"/>
      <c r="Q62" s="111"/>
      <c r="R62" s="111"/>
      <c r="S62" s="111"/>
      <c r="T62" s="111"/>
      <c r="U62" s="111"/>
      <c r="V62" s="115">
        <v>0</v>
      </c>
    </row>
    <row r="63" spans="1:22" x14ac:dyDescent="0.2">
      <c r="A63" s="67" t="s">
        <v>9</v>
      </c>
      <c r="B63" s="11" t="s">
        <v>12675</v>
      </c>
      <c r="C63" s="108">
        <v>0</v>
      </c>
      <c r="D63" s="108">
        <v>0.75</v>
      </c>
      <c r="E63" s="108">
        <v>0.75</v>
      </c>
      <c r="F63" s="108">
        <v>0.85</v>
      </c>
      <c r="G63" s="108">
        <v>0.95</v>
      </c>
      <c r="H63" s="108">
        <v>0.95</v>
      </c>
      <c r="I63" s="108">
        <v>0.95</v>
      </c>
      <c r="J63" s="108">
        <v>0.3</v>
      </c>
      <c r="K63" s="108">
        <v>0</v>
      </c>
      <c r="L63" s="108">
        <v>0</v>
      </c>
      <c r="M63" s="111"/>
      <c r="N63" s="111"/>
      <c r="O63" s="111"/>
      <c r="P63" s="111"/>
      <c r="Q63" s="111"/>
      <c r="R63" s="111"/>
      <c r="S63" s="111"/>
      <c r="T63" s="111"/>
      <c r="U63" s="111"/>
      <c r="V63" s="115">
        <v>1.9400000000000001E-2</v>
      </c>
    </row>
    <row r="64" spans="1:22" x14ac:dyDescent="0.2">
      <c r="A64" s="67" t="s">
        <v>9</v>
      </c>
      <c r="B64" s="11" t="s">
        <v>12682</v>
      </c>
      <c r="C64" s="108">
        <v>0</v>
      </c>
      <c r="D64" s="108">
        <v>0</v>
      </c>
      <c r="E64" s="108">
        <v>0</v>
      </c>
      <c r="F64" s="108">
        <v>0</v>
      </c>
      <c r="G64" s="108">
        <v>0</v>
      </c>
      <c r="H64" s="108">
        <v>0</v>
      </c>
      <c r="I64" s="108">
        <v>0</v>
      </c>
      <c r="J64" s="108">
        <v>0</v>
      </c>
      <c r="K64" s="108">
        <v>0</v>
      </c>
      <c r="L64" s="108">
        <v>0</v>
      </c>
      <c r="M64" s="111"/>
      <c r="N64" s="111"/>
      <c r="O64" s="111"/>
      <c r="P64" s="111"/>
      <c r="Q64" s="111"/>
      <c r="R64" s="111"/>
      <c r="S64" s="111"/>
      <c r="T64" s="111"/>
      <c r="U64" s="111"/>
      <c r="V64" s="115">
        <v>6.8300000000000007E-5</v>
      </c>
    </row>
    <row r="65" spans="1:22" x14ac:dyDescent="0.2">
      <c r="A65" s="67" t="s">
        <v>9</v>
      </c>
      <c r="B65" s="11" t="s">
        <v>12683</v>
      </c>
      <c r="C65" s="108">
        <v>0</v>
      </c>
      <c r="D65" s="108">
        <v>0.75</v>
      </c>
      <c r="E65" s="108">
        <v>0.75</v>
      </c>
      <c r="F65" s="108">
        <v>0.85</v>
      </c>
      <c r="G65" s="108">
        <v>0.95</v>
      </c>
      <c r="H65" s="108">
        <v>0.95</v>
      </c>
      <c r="I65" s="108">
        <v>0.95</v>
      </c>
      <c r="J65" s="108">
        <v>0.3</v>
      </c>
      <c r="K65" s="108">
        <v>0</v>
      </c>
      <c r="L65" s="108">
        <v>0</v>
      </c>
      <c r="M65" s="111"/>
      <c r="N65" s="111"/>
      <c r="O65" s="111"/>
      <c r="P65" s="111"/>
      <c r="Q65" s="111"/>
      <c r="R65" s="111"/>
      <c r="S65" s="111"/>
      <c r="T65" s="111"/>
      <c r="U65" s="111"/>
      <c r="V65" s="115">
        <v>1.6500000000000001E-2</v>
      </c>
    </row>
    <row r="66" spans="1:22" x14ac:dyDescent="0.2">
      <c r="A66" s="67" t="s">
        <v>9</v>
      </c>
      <c r="B66" s="11" t="s">
        <v>12681</v>
      </c>
      <c r="C66" s="108">
        <v>0</v>
      </c>
      <c r="D66" s="108">
        <v>0</v>
      </c>
      <c r="E66" s="108">
        <v>0</v>
      </c>
      <c r="F66" s="108">
        <v>0</v>
      </c>
      <c r="G66" s="108">
        <v>0</v>
      </c>
      <c r="H66" s="108">
        <v>0</v>
      </c>
      <c r="I66" s="108">
        <v>0</v>
      </c>
      <c r="J66" s="108">
        <v>0</v>
      </c>
      <c r="K66" s="108">
        <v>0</v>
      </c>
      <c r="L66" s="108">
        <v>0</v>
      </c>
      <c r="M66" s="111"/>
      <c r="N66" s="111"/>
      <c r="O66" s="111"/>
      <c r="P66" s="111"/>
      <c r="Q66" s="111"/>
      <c r="R66" s="111"/>
      <c r="S66" s="111"/>
      <c r="T66" s="111"/>
      <c r="U66" s="111"/>
      <c r="V66" s="115">
        <v>3.09E-2</v>
      </c>
    </row>
    <row r="67" spans="1:22" x14ac:dyDescent="0.2">
      <c r="A67" s="67" t="s">
        <v>40</v>
      </c>
      <c r="B67" s="11" t="s">
        <v>12</v>
      </c>
      <c r="C67" s="108">
        <v>1</v>
      </c>
      <c r="D67" s="108">
        <v>1</v>
      </c>
      <c r="E67" s="108">
        <v>1</v>
      </c>
      <c r="F67" s="108">
        <v>1</v>
      </c>
      <c r="G67" s="108">
        <v>1</v>
      </c>
      <c r="H67" s="108">
        <v>1</v>
      </c>
      <c r="I67" s="108">
        <v>1</v>
      </c>
      <c r="J67" s="108">
        <v>1</v>
      </c>
      <c r="K67" s="108">
        <v>1</v>
      </c>
      <c r="L67" s="108">
        <v>1</v>
      </c>
      <c r="M67" s="111"/>
      <c r="N67" s="111"/>
      <c r="O67" s="111"/>
      <c r="P67" s="111"/>
      <c r="Q67" s="111"/>
      <c r="R67" s="111"/>
      <c r="S67" s="111"/>
      <c r="T67" s="111"/>
      <c r="U67" s="111"/>
      <c r="V67" s="115">
        <v>0</v>
      </c>
    </row>
    <row r="68" spans="1:22" x14ac:dyDescent="0.2">
      <c r="A68" s="67" t="s">
        <v>10</v>
      </c>
      <c r="B68" s="11" t="s">
        <v>12675</v>
      </c>
      <c r="C68" s="108">
        <v>0</v>
      </c>
      <c r="D68" s="108">
        <v>0.75</v>
      </c>
      <c r="E68" s="108">
        <v>0.97</v>
      </c>
      <c r="F68" s="108">
        <v>0.97</v>
      </c>
      <c r="G68" s="108">
        <v>0.97</v>
      </c>
      <c r="H68" s="108">
        <v>0.97</v>
      </c>
      <c r="I68" s="108">
        <v>0.97</v>
      </c>
      <c r="J68" s="108">
        <v>0.3</v>
      </c>
      <c r="K68" s="108">
        <v>0</v>
      </c>
      <c r="L68" s="108">
        <v>0</v>
      </c>
      <c r="M68" s="111"/>
      <c r="N68" s="111"/>
      <c r="O68" s="111"/>
      <c r="P68" s="111"/>
      <c r="Q68" s="111"/>
      <c r="R68" s="111"/>
      <c r="S68" s="111"/>
      <c r="T68" s="111"/>
      <c r="U68" s="111"/>
      <c r="V68" s="115">
        <v>1.9400000000000001E-2</v>
      </c>
    </row>
    <row r="69" spans="1:22" x14ac:dyDescent="0.2">
      <c r="A69" s="67" t="s">
        <v>10</v>
      </c>
      <c r="B69" s="11" t="s">
        <v>12682</v>
      </c>
      <c r="C69" s="108">
        <v>0</v>
      </c>
      <c r="D69" s="108">
        <v>0</v>
      </c>
      <c r="E69" s="108">
        <v>0</v>
      </c>
      <c r="F69" s="108">
        <v>0</v>
      </c>
      <c r="G69" s="108">
        <v>0</v>
      </c>
      <c r="H69" s="108">
        <v>0</v>
      </c>
      <c r="I69" s="108">
        <v>0</v>
      </c>
      <c r="J69" s="108">
        <v>0</v>
      </c>
      <c r="K69" s="108">
        <v>0</v>
      </c>
      <c r="L69" s="108">
        <v>0</v>
      </c>
      <c r="M69" s="111"/>
      <c r="N69" s="111"/>
      <c r="O69" s="111"/>
      <c r="P69" s="111"/>
      <c r="Q69" s="111"/>
      <c r="R69" s="111"/>
      <c r="S69" s="111"/>
      <c r="T69" s="111"/>
      <c r="U69" s="111"/>
      <c r="V69" s="115">
        <v>6.8300000000000007E-5</v>
      </c>
    </row>
    <row r="70" spans="1:22" x14ac:dyDescent="0.2">
      <c r="A70" s="67" t="s">
        <v>10</v>
      </c>
      <c r="B70" s="11" t="s">
        <v>12683</v>
      </c>
      <c r="C70" s="108">
        <v>0</v>
      </c>
      <c r="D70" s="108">
        <v>0</v>
      </c>
      <c r="E70" s="108">
        <v>0.97</v>
      </c>
      <c r="F70" s="108">
        <v>0.97</v>
      </c>
      <c r="G70" s="108">
        <v>0.97</v>
      </c>
      <c r="H70" s="108">
        <v>0.97</v>
      </c>
      <c r="I70" s="108">
        <v>0.97</v>
      </c>
      <c r="J70" s="108">
        <v>0.3</v>
      </c>
      <c r="K70" s="108">
        <v>0</v>
      </c>
      <c r="L70" s="108">
        <v>0</v>
      </c>
      <c r="M70" s="111"/>
      <c r="N70" s="111"/>
      <c r="O70" s="111"/>
      <c r="P70" s="111"/>
      <c r="Q70" s="111"/>
      <c r="R70" s="111"/>
      <c r="S70" s="111"/>
      <c r="T70" s="111"/>
      <c r="U70" s="111"/>
      <c r="V70" s="115">
        <v>1.6500000000000001E-2</v>
      </c>
    </row>
    <row r="71" spans="1:22" x14ac:dyDescent="0.2">
      <c r="A71" s="67" t="s">
        <v>10</v>
      </c>
      <c r="B71" s="11" t="s">
        <v>12681</v>
      </c>
      <c r="C71" s="108">
        <v>0</v>
      </c>
      <c r="D71" s="108">
        <v>0</v>
      </c>
      <c r="E71" s="108">
        <v>0</v>
      </c>
      <c r="F71" s="108">
        <v>0</v>
      </c>
      <c r="G71" s="108">
        <v>0</v>
      </c>
      <c r="H71" s="108">
        <v>0</v>
      </c>
      <c r="I71" s="108">
        <v>0</v>
      </c>
      <c r="J71" s="108">
        <v>0</v>
      </c>
      <c r="K71" s="108">
        <v>0</v>
      </c>
      <c r="L71" s="108">
        <v>0</v>
      </c>
      <c r="M71" s="111"/>
      <c r="N71" s="111"/>
      <c r="O71" s="111"/>
      <c r="P71" s="111"/>
      <c r="Q71" s="111"/>
      <c r="R71" s="111"/>
      <c r="S71" s="111"/>
      <c r="T71" s="111"/>
      <c r="U71" s="111"/>
      <c r="V71" s="115">
        <v>3.09E-2</v>
      </c>
    </row>
    <row r="72" spans="1:22" x14ac:dyDescent="0.2">
      <c r="A72" s="67" t="s">
        <v>36</v>
      </c>
      <c r="B72" s="11" t="s">
        <v>12</v>
      </c>
      <c r="C72" s="108">
        <v>1</v>
      </c>
      <c r="D72" s="108">
        <v>1</v>
      </c>
      <c r="E72" s="108">
        <v>1</v>
      </c>
      <c r="F72" s="108">
        <v>1</v>
      </c>
      <c r="G72" s="108">
        <v>1</v>
      </c>
      <c r="H72" s="108">
        <v>1</v>
      </c>
      <c r="I72" s="108">
        <v>1</v>
      </c>
      <c r="J72" s="108">
        <v>1</v>
      </c>
      <c r="K72" s="108">
        <v>1</v>
      </c>
      <c r="L72" s="108">
        <v>1</v>
      </c>
      <c r="M72" s="111"/>
      <c r="N72" s="111"/>
      <c r="O72" s="111"/>
      <c r="P72" s="111"/>
      <c r="Q72" s="111"/>
      <c r="R72" s="111"/>
      <c r="S72" s="111"/>
      <c r="T72" s="111"/>
      <c r="U72" s="111"/>
      <c r="V72" s="115">
        <v>0</v>
      </c>
    </row>
    <row r="73" spans="1:22" x14ac:dyDescent="0.2">
      <c r="A73" s="67" t="s">
        <v>11</v>
      </c>
      <c r="B73" s="11" t="s">
        <v>12675</v>
      </c>
      <c r="C73" s="108">
        <v>0</v>
      </c>
      <c r="D73" s="108">
        <v>0</v>
      </c>
      <c r="E73" s="108">
        <v>0.97</v>
      </c>
      <c r="F73" s="108">
        <v>0.97</v>
      </c>
      <c r="G73" s="108">
        <v>0.97</v>
      </c>
      <c r="H73" s="108">
        <v>0.97</v>
      </c>
      <c r="I73" s="108">
        <v>0</v>
      </c>
      <c r="J73" s="108">
        <v>0</v>
      </c>
      <c r="K73" s="108">
        <v>0</v>
      </c>
      <c r="L73" s="108">
        <v>0</v>
      </c>
      <c r="M73" s="111"/>
      <c r="N73" s="111"/>
      <c r="O73" s="111"/>
      <c r="P73" s="111"/>
      <c r="Q73" s="111"/>
      <c r="R73" s="111"/>
      <c r="S73" s="111"/>
      <c r="T73" s="111"/>
      <c r="U73" s="111"/>
      <c r="V73" s="115">
        <v>4.4099999999999999E-3</v>
      </c>
    </row>
    <row r="74" spans="1:22" x14ac:dyDescent="0.2">
      <c r="A74" s="67" t="s">
        <v>11</v>
      </c>
      <c r="B74" s="11" t="s">
        <v>12682</v>
      </c>
      <c r="C74" s="108">
        <v>0</v>
      </c>
      <c r="D74" s="108">
        <v>0</v>
      </c>
      <c r="E74" s="108">
        <v>0.97</v>
      </c>
      <c r="F74" s="108">
        <v>0.97</v>
      </c>
      <c r="G74" s="108">
        <v>0.97</v>
      </c>
      <c r="H74" s="108">
        <v>0.97</v>
      </c>
      <c r="I74" s="108">
        <v>0</v>
      </c>
      <c r="J74" s="108">
        <v>0</v>
      </c>
      <c r="K74" s="108">
        <v>0</v>
      </c>
      <c r="L74" s="108">
        <v>0</v>
      </c>
      <c r="M74" s="111"/>
      <c r="N74" s="111"/>
      <c r="O74" s="111"/>
      <c r="P74" s="111"/>
      <c r="Q74" s="111"/>
      <c r="R74" s="111"/>
      <c r="S74" s="111"/>
      <c r="T74" s="111"/>
      <c r="U74" s="111"/>
      <c r="V74" s="115">
        <v>3.0899999999999998E-4</v>
      </c>
    </row>
    <row r="75" spans="1:22" x14ac:dyDescent="0.2">
      <c r="A75" s="67" t="s">
        <v>11</v>
      </c>
      <c r="B75" s="11" t="s">
        <v>12683</v>
      </c>
      <c r="C75" s="108">
        <v>0</v>
      </c>
      <c r="D75" s="108">
        <v>0</v>
      </c>
      <c r="E75" s="108">
        <v>0.97</v>
      </c>
      <c r="F75" s="108">
        <v>0.97</v>
      </c>
      <c r="G75" s="108">
        <v>0.97</v>
      </c>
      <c r="H75" s="108">
        <v>0.97</v>
      </c>
      <c r="I75" s="108">
        <v>0</v>
      </c>
      <c r="J75" s="108">
        <v>0</v>
      </c>
      <c r="K75" s="108">
        <v>0</v>
      </c>
      <c r="L75" s="108">
        <v>0</v>
      </c>
      <c r="M75" s="111"/>
      <c r="N75" s="111"/>
      <c r="O75" s="111"/>
      <c r="P75" s="111"/>
      <c r="Q75" s="111"/>
      <c r="R75" s="111"/>
      <c r="S75" s="111"/>
      <c r="T75" s="111"/>
      <c r="U75" s="111"/>
      <c r="V75" s="115">
        <v>3.0899999999999999E-3</v>
      </c>
    </row>
    <row r="76" spans="1:22" x14ac:dyDescent="0.2">
      <c r="A76" s="67" t="s">
        <v>11</v>
      </c>
      <c r="B76" s="11" t="s">
        <v>12681</v>
      </c>
      <c r="C76" s="108">
        <v>0</v>
      </c>
      <c r="D76" s="108">
        <v>0</v>
      </c>
      <c r="E76" s="108">
        <v>0</v>
      </c>
      <c r="F76" s="108">
        <v>0</v>
      </c>
      <c r="G76" s="108">
        <v>0</v>
      </c>
      <c r="H76" s="108">
        <v>0</v>
      </c>
      <c r="I76" s="108">
        <v>0</v>
      </c>
      <c r="J76" s="108">
        <v>0</v>
      </c>
      <c r="K76" s="108">
        <v>0</v>
      </c>
      <c r="L76" s="108">
        <v>0</v>
      </c>
      <c r="M76" s="111"/>
      <c r="N76" s="111"/>
      <c r="O76" s="111"/>
      <c r="P76" s="111"/>
      <c r="Q76" s="111"/>
      <c r="R76" s="111"/>
      <c r="S76" s="111"/>
      <c r="T76" s="111"/>
      <c r="U76" s="111"/>
      <c r="V76" s="115">
        <v>5.5000000000000003E-4</v>
      </c>
    </row>
    <row r="77" spans="1:22" x14ac:dyDescent="0.2">
      <c r="A77" s="67" t="s">
        <v>39</v>
      </c>
      <c r="B77" s="11" t="s">
        <v>12</v>
      </c>
      <c r="C77" s="108">
        <v>1</v>
      </c>
      <c r="D77" s="108">
        <v>1</v>
      </c>
      <c r="E77" s="108">
        <v>1</v>
      </c>
      <c r="F77" s="108">
        <v>1</v>
      </c>
      <c r="G77" s="108">
        <v>1</v>
      </c>
      <c r="H77" s="108">
        <v>1</v>
      </c>
      <c r="I77" s="108">
        <v>1</v>
      </c>
      <c r="J77" s="108">
        <v>1</v>
      </c>
      <c r="K77" s="108">
        <v>1</v>
      </c>
      <c r="L77" s="108">
        <v>1</v>
      </c>
      <c r="M77" s="111"/>
      <c r="N77" s="111"/>
      <c r="O77" s="111"/>
      <c r="P77" s="111"/>
      <c r="Q77" s="111"/>
      <c r="R77" s="111"/>
      <c r="S77" s="111"/>
      <c r="T77" s="111"/>
      <c r="U77" s="111"/>
      <c r="V77" s="115">
        <v>0</v>
      </c>
    </row>
    <row r="78" spans="1:22" x14ac:dyDescent="0.2">
      <c r="A78" s="114" t="s">
        <v>12713</v>
      </c>
      <c r="B78" s="116" t="s">
        <v>12675</v>
      </c>
      <c r="C78" s="108">
        <v>0</v>
      </c>
      <c r="D78" s="108">
        <v>0</v>
      </c>
      <c r="E78" s="108">
        <v>0</v>
      </c>
      <c r="F78" s="108">
        <v>0</v>
      </c>
      <c r="G78" s="108">
        <v>0</v>
      </c>
      <c r="H78" s="108">
        <v>0</v>
      </c>
      <c r="I78" s="108">
        <v>0</v>
      </c>
      <c r="J78" s="108">
        <v>0</v>
      </c>
      <c r="K78" s="108">
        <v>0</v>
      </c>
      <c r="L78" s="108">
        <v>0</v>
      </c>
      <c r="M78" s="111"/>
      <c r="N78" s="111"/>
      <c r="O78" s="111"/>
      <c r="P78" s="111"/>
      <c r="Q78" s="111"/>
      <c r="R78" s="111"/>
      <c r="S78" s="111"/>
      <c r="T78" s="111"/>
      <c r="U78" s="111"/>
      <c r="V78" s="115">
        <v>3.3000000000000002E-2</v>
      </c>
    </row>
    <row r="79" spans="1:22" x14ac:dyDescent="0.2">
      <c r="A79" s="114" t="s">
        <v>12713</v>
      </c>
      <c r="B79" s="116" t="s">
        <v>12682</v>
      </c>
      <c r="C79" s="108">
        <v>0</v>
      </c>
      <c r="D79" s="108">
        <v>0</v>
      </c>
      <c r="E79" s="108">
        <v>0</v>
      </c>
      <c r="F79" s="108">
        <v>0</v>
      </c>
      <c r="G79" s="108">
        <v>0</v>
      </c>
      <c r="H79" s="108">
        <v>0</v>
      </c>
      <c r="I79" s="108">
        <v>0</v>
      </c>
      <c r="J79" s="108">
        <v>0</v>
      </c>
      <c r="K79" s="108">
        <v>0</v>
      </c>
      <c r="L79" s="108">
        <v>0</v>
      </c>
      <c r="M79" s="111"/>
      <c r="N79" s="111"/>
      <c r="O79" s="111"/>
      <c r="P79" s="111"/>
      <c r="Q79" s="111"/>
      <c r="R79" s="111"/>
      <c r="S79" s="111"/>
      <c r="T79" s="111"/>
      <c r="U79" s="111"/>
      <c r="V79" s="115">
        <v>3.3000000000000002E-2</v>
      </c>
    </row>
    <row r="80" spans="1:22" x14ac:dyDescent="0.2">
      <c r="A80" s="114" t="s">
        <v>12713</v>
      </c>
      <c r="B80" s="116" t="s">
        <v>12683</v>
      </c>
      <c r="C80" s="108">
        <v>0</v>
      </c>
      <c r="D80" s="108">
        <v>0</v>
      </c>
      <c r="E80" s="108">
        <v>0</v>
      </c>
      <c r="F80" s="108">
        <v>0</v>
      </c>
      <c r="G80" s="108">
        <v>0</v>
      </c>
      <c r="H80" s="108">
        <v>0</v>
      </c>
      <c r="I80" s="108">
        <v>0</v>
      </c>
      <c r="J80" s="108">
        <v>0</v>
      </c>
      <c r="K80" s="108">
        <v>0</v>
      </c>
      <c r="L80" s="108">
        <v>0</v>
      </c>
      <c r="M80" s="111"/>
      <c r="N80" s="111"/>
      <c r="O80" s="111"/>
      <c r="P80" s="111"/>
      <c r="Q80" s="111"/>
      <c r="R80" s="111"/>
      <c r="S80" s="111"/>
      <c r="T80" s="111"/>
      <c r="U80" s="111"/>
      <c r="V80" s="115">
        <v>3.3000000000000002E-2</v>
      </c>
    </row>
    <row r="81" spans="1:22" x14ac:dyDescent="0.2">
      <c r="A81" s="114" t="s">
        <v>12713</v>
      </c>
      <c r="B81" s="116" t="s">
        <v>12681</v>
      </c>
      <c r="C81" s="108">
        <v>0</v>
      </c>
      <c r="D81" s="108">
        <v>0</v>
      </c>
      <c r="E81" s="108">
        <v>0</v>
      </c>
      <c r="F81" s="108">
        <v>0</v>
      </c>
      <c r="G81" s="108">
        <v>0</v>
      </c>
      <c r="H81" s="108">
        <v>0</v>
      </c>
      <c r="I81" s="108">
        <v>0</v>
      </c>
      <c r="J81" s="108">
        <v>0</v>
      </c>
      <c r="K81" s="108">
        <v>0</v>
      </c>
      <c r="L81" s="108">
        <v>0</v>
      </c>
      <c r="M81" s="111"/>
      <c r="N81" s="111"/>
      <c r="O81" s="111"/>
      <c r="P81" s="111"/>
      <c r="Q81" s="111"/>
      <c r="R81" s="111"/>
      <c r="S81" s="111"/>
      <c r="T81" s="111"/>
      <c r="U81" s="111"/>
      <c r="V81" s="115">
        <v>3.3000000000000002E-2</v>
      </c>
    </row>
    <row r="82" spans="1:22" x14ac:dyDescent="0.2">
      <c r="A82" s="117" t="s">
        <v>12714</v>
      </c>
      <c r="B82" s="116" t="s">
        <v>12675</v>
      </c>
      <c r="C82" s="108">
        <v>0</v>
      </c>
      <c r="D82" s="108">
        <v>0</v>
      </c>
      <c r="E82" s="108">
        <v>0</v>
      </c>
      <c r="F82" s="108">
        <v>0</v>
      </c>
      <c r="G82" s="108">
        <v>0</v>
      </c>
      <c r="H82" s="108">
        <v>0</v>
      </c>
      <c r="I82" s="108">
        <v>0</v>
      </c>
      <c r="J82" s="108">
        <v>0</v>
      </c>
      <c r="K82" s="108">
        <v>0</v>
      </c>
      <c r="L82" s="108">
        <v>0</v>
      </c>
      <c r="M82" s="111"/>
      <c r="N82" s="111"/>
      <c r="O82" s="111"/>
      <c r="P82" s="111"/>
      <c r="Q82" s="111"/>
      <c r="R82" s="111"/>
      <c r="S82" s="111"/>
      <c r="T82" s="111"/>
      <c r="U82" s="111"/>
      <c r="V82" s="115">
        <v>3.3000000000000002E-2</v>
      </c>
    </row>
    <row r="83" spans="1:22" x14ac:dyDescent="0.2">
      <c r="A83" s="117" t="s">
        <v>12714</v>
      </c>
      <c r="B83" s="116" t="s">
        <v>12682</v>
      </c>
      <c r="C83" s="108">
        <v>0</v>
      </c>
      <c r="D83" s="108">
        <v>0</v>
      </c>
      <c r="E83" s="108">
        <v>0</v>
      </c>
      <c r="F83" s="108">
        <v>0</v>
      </c>
      <c r="G83" s="108">
        <v>0</v>
      </c>
      <c r="H83" s="108">
        <v>0</v>
      </c>
      <c r="I83" s="108">
        <v>0</v>
      </c>
      <c r="J83" s="108">
        <v>0</v>
      </c>
      <c r="K83" s="108">
        <v>0</v>
      </c>
      <c r="L83" s="108">
        <v>0</v>
      </c>
      <c r="M83" s="111"/>
      <c r="N83" s="111"/>
      <c r="O83" s="111"/>
      <c r="P83" s="111"/>
      <c r="Q83" s="111"/>
      <c r="R83" s="111"/>
      <c r="S83" s="111"/>
      <c r="T83" s="111"/>
      <c r="U83" s="111"/>
      <c r="V83" s="115">
        <v>3.3000000000000002E-2</v>
      </c>
    </row>
    <row r="84" spans="1:22" x14ac:dyDescent="0.2">
      <c r="A84" s="117" t="s">
        <v>12714</v>
      </c>
      <c r="B84" s="116" t="s">
        <v>12683</v>
      </c>
      <c r="C84" s="108">
        <v>0</v>
      </c>
      <c r="D84" s="108">
        <v>0</v>
      </c>
      <c r="E84" s="108">
        <v>0</v>
      </c>
      <c r="F84" s="108">
        <v>0</v>
      </c>
      <c r="G84" s="108">
        <v>0</v>
      </c>
      <c r="H84" s="108">
        <v>0</v>
      </c>
      <c r="I84" s="108">
        <v>0</v>
      </c>
      <c r="J84" s="108">
        <v>0</v>
      </c>
      <c r="K84" s="108">
        <v>0</v>
      </c>
      <c r="L84" s="108">
        <v>0</v>
      </c>
      <c r="M84" s="111"/>
      <c r="N84" s="111"/>
      <c r="O84" s="111"/>
      <c r="P84" s="111"/>
      <c r="Q84" s="111"/>
      <c r="R84" s="111"/>
      <c r="S84" s="111"/>
      <c r="T84" s="111"/>
      <c r="U84" s="111"/>
      <c r="V84" s="115">
        <v>3.3000000000000002E-2</v>
      </c>
    </row>
    <row r="85" spans="1:22" x14ac:dyDescent="0.2">
      <c r="A85" s="117" t="s">
        <v>12714</v>
      </c>
      <c r="B85" s="116" t="s">
        <v>12681</v>
      </c>
      <c r="C85" s="108">
        <v>0</v>
      </c>
      <c r="D85" s="108">
        <v>0</v>
      </c>
      <c r="E85" s="108">
        <v>0</v>
      </c>
      <c r="F85" s="108">
        <v>0</v>
      </c>
      <c r="G85" s="108">
        <v>0</v>
      </c>
      <c r="H85" s="108">
        <v>0</v>
      </c>
      <c r="I85" s="108">
        <v>0</v>
      </c>
      <c r="J85" s="108">
        <v>0</v>
      </c>
      <c r="K85" s="108">
        <v>0</v>
      </c>
      <c r="L85" s="108">
        <v>0</v>
      </c>
      <c r="M85" s="111"/>
      <c r="N85" s="111"/>
      <c r="O85" s="111"/>
      <c r="P85" s="111"/>
      <c r="Q85" s="111"/>
      <c r="R85" s="111"/>
      <c r="S85" s="111"/>
      <c r="T85" s="111"/>
      <c r="U85" s="111"/>
      <c r="V85" s="115">
        <v>3.3000000000000002E-2</v>
      </c>
    </row>
    <row r="86" spans="1:22" x14ac:dyDescent="0.2">
      <c r="A86" s="117" t="s">
        <v>12723</v>
      </c>
      <c r="B86" s="116" t="s">
        <v>12675</v>
      </c>
      <c r="C86" s="108">
        <v>0</v>
      </c>
      <c r="D86" s="108">
        <v>0.3</v>
      </c>
      <c r="E86" s="108">
        <v>0.3</v>
      </c>
      <c r="F86" s="108">
        <v>0.3</v>
      </c>
      <c r="G86" s="108">
        <v>0.3</v>
      </c>
      <c r="H86" s="108">
        <v>0.97</v>
      </c>
      <c r="I86" s="108">
        <v>0.97</v>
      </c>
      <c r="J86" s="108">
        <v>0.3</v>
      </c>
      <c r="K86" s="108">
        <v>0.97</v>
      </c>
      <c r="L86" s="108">
        <v>0.75</v>
      </c>
      <c r="M86" s="111"/>
      <c r="N86" s="111"/>
      <c r="O86" s="111"/>
      <c r="P86" s="111"/>
      <c r="Q86" s="111"/>
      <c r="R86" s="111"/>
      <c r="S86" s="111"/>
      <c r="T86" s="111"/>
      <c r="U86" s="111"/>
      <c r="V86" s="115">
        <v>4.4000000000000002E-4</v>
      </c>
    </row>
    <row r="87" spans="1:22" x14ac:dyDescent="0.2">
      <c r="A87" s="117" t="s">
        <v>12721</v>
      </c>
      <c r="B87" s="116" t="s">
        <v>12676</v>
      </c>
      <c r="C87" s="108">
        <v>0</v>
      </c>
      <c r="D87" s="108">
        <v>0</v>
      </c>
      <c r="E87" s="108">
        <v>0</v>
      </c>
      <c r="F87" s="108">
        <v>0</v>
      </c>
      <c r="G87" s="108">
        <v>0</v>
      </c>
      <c r="H87" s="108">
        <v>0</v>
      </c>
      <c r="I87" s="108">
        <v>0</v>
      </c>
      <c r="J87" s="108">
        <v>0</v>
      </c>
      <c r="K87" s="108">
        <v>0</v>
      </c>
      <c r="L87" s="108">
        <v>0</v>
      </c>
      <c r="M87" s="111"/>
      <c r="N87" s="111"/>
      <c r="O87" s="111"/>
      <c r="P87" s="111"/>
      <c r="Q87" s="111"/>
      <c r="R87" s="111"/>
      <c r="S87" s="111"/>
      <c r="T87" s="111"/>
      <c r="U87" s="111"/>
      <c r="V87" s="115">
        <v>4.4000000000000002E-4</v>
      </c>
    </row>
    <row r="88" spans="1:22" x14ac:dyDescent="0.2">
      <c r="A88" s="117" t="s">
        <v>12722</v>
      </c>
      <c r="B88" s="116" t="s">
        <v>12677</v>
      </c>
      <c r="C88" s="108">
        <v>0.75</v>
      </c>
      <c r="D88" s="108">
        <v>0.3</v>
      </c>
      <c r="E88" s="108">
        <v>0.75</v>
      </c>
      <c r="F88" s="108">
        <v>0.75</v>
      </c>
      <c r="G88" s="108">
        <v>0.75</v>
      </c>
      <c r="H88" s="108">
        <v>0.75</v>
      </c>
      <c r="I88" s="108">
        <v>0.75</v>
      </c>
      <c r="J88" s="108">
        <v>0.75</v>
      </c>
      <c r="K88" s="108">
        <v>0.75</v>
      </c>
      <c r="L88" s="108">
        <v>0.75</v>
      </c>
      <c r="M88" s="111"/>
      <c r="N88" s="111"/>
      <c r="O88" s="111"/>
      <c r="P88" s="111"/>
      <c r="Q88" s="111"/>
      <c r="R88" s="111"/>
      <c r="S88" s="111"/>
      <c r="T88" s="111"/>
      <c r="U88" s="111"/>
      <c r="V88" s="115">
        <v>4.4000000000000002E-4</v>
      </c>
    </row>
    <row r="89" spans="1:22" x14ac:dyDescent="0.2">
      <c r="A89" s="117" t="s">
        <v>12723</v>
      </c>
      <c r="B89" s="116" t="s">
        <v>12682</v>
      </c>
      <c r="C89" s="108">
        <v>0</v>
      </c>
      <c r="D89" s="108">
        <v>0.3</v>
      </c>
      <c r="E89" s="108">
        <v>0.3</v>
      </c>
      <c r="F89" s="108">
        <v>0.3</v>
      </c>
      <c r="G89" s="108">
        <v>0.3</v>
      </c>
      <c r="H89" s="108">
        <v>0.3</v>
      </c>
      <c r="I89" s="108">
        <v>0.97</v>
      </c>
      <c r="J89" s="108">
        <v>0.3</v>
      </c>
      <c r="K89" s="108">
        <v>0.3</v>
      </c>
      <c r="L89" s="108">
        <v>0.3</v>
      </c>
      <c r="M89" s="111"/>
      <c r="N89" s="111"/>
      <c r="O89" s="111"/>
      <c r="P89" s="111"/>
      <c r="Q89" s="111"/>
      <c r="R89" s="111"/>
      <c r="S89" s="111"/>
      <c r="T89" s="111"/>
      <c r="U89" s="111"/>
      <c r="V89" s="115">
        <v>1.6500000000000001E-5</v>
      </c>
    </row>
    <row r="90" spans="1:22" x14ac:dyDescent="0.2">
      <c r="A90" s="117" t="s">
        <v>12723</v>
      </c>
      <c r="B90" s="116" t="s">
        <v>12683</v>
      </c>
      <c r="C90" s="108">
        <v>0</v>
      </c>
      <c r="D90" s="108">
        <v>0.3</v>
      </c>
      <c r="E90" s="108">
        <v>0.3</v>
      </c>
      <c r="F90" s="108">
        <v>0.3</v>
      </c>
      <c r="G90" s="108">
        <v>0.3</v>
      </c>
      <c r="H90" s="108">
        <v>0.97</v>
      </c>
      <c r="I90" s="108">
        <v>0.97</v>
      </c>
      <c r="J90" s="108">
        <v>0.3</v>
      </c>
      <c r="K90" s="108">
        <v>0.97</v>
      </c>
      <c r="L90" s="108">
        <v>0.75</v>
      </c>
      <c r="M90" s="111"/>
      <c r="N90" s="111"/>
      <c r="O90" s="111"/>
      <c r="P90" s="111"/>
      <c r="Q90" s="111"/>
      <c r="R90" s="111"/>
      <c r="S90" s="111"/>
      <c r="T90" s="111"/>
      <c r="U90" s="111"/>
      <c r="V90" s="115">
        <v>4.6299999999999998E-4</v>
      </c>
    </row>
    <row r="91" spans="1:22" x14ac:dyDescent="0.2">
      <c r="A91" s="117" t="s">
        <v>12721</v>
      </c>
      <c r="B91" s="116" t="s">
        <v>12680</v>
      </c>
      <c r="C91" s="108">
        <v>0</v>
      </c>
      <c r="D91" s="108">
        <v>0</v>
      </c>
      <c r="E91" s="108">
        <v>0</v>
      </c>
      <c r="F91" s="108">
        <v>0</v>
      </c>
      <c r="G91" s="108">
        <v>0</v>
      </c>
      <c r="H91" s="108">
        <v>0</v>
      </c>
      <c r="I91" s="108">
        <v>0</v>
      </c>
      <c r="J91" s="108">
        <v>0</v>
      </c>
      <c r="K91" s="108">
        <v>0</v>
      </c>
      <c r="L91" s="108">
        <v>0</v>
      </c>
      <c r="M91" s="111"/>
      <c r="N91" s="111"/>
      <c r="O91" s="111"/>
      <c r="P91" s="111"/>
      <c r="Q91" s="111"/>
      <c r="R91" s="111"/>
      <c r="S91" s="111"/>
      <c r="T91" s="111"/>
      <c r="U91" s="111"/>
      <c r="V91" s="115">
        <v>4.6299999999999998E-4</v>
      </c>
    </row>
    <row r="92" spans="1:22" x14ac:dyDescent="0.2">
      <c r="A92" s="117" t="s">
        <v>12722</v>
      </c>
      <c r="B92" s="116" t="s">
        <v>12680</v>
      </c>
      <c r="C92" s="108">
        <v>0.75</v>
      </c>
      <c r="D92" s="108">
        <v>0.3</v>
      </c>
      <c r="E92" s="108">
        <v>0.75</v>
      </c>
      <c r="F92" s="108">
        <v>0.75</v>
      </c>
      <c r="G92" s="108">
        <v>0.75</v>
      </c>
      <c r="H92" s="108">
        <v>0.75</v>
      </c>
      <c r="I92" s="108">
        <v>0.75</v>
      </c>
      <c r="J92" s="108">
        <v>0.75</v>
      </c>
      <c r="K92" s="108">
        <v>0.75</v>
      </c>
      <c r="L92" s="108">
        <v>0.75</v>
      </c>
      <c r="M92" s="111"/>
      <c r="N92" s="111"/>
      <c r="O92" s="111"/>
      <c r="P92" s="111"/>
      <c r="Q92" s="111"/>
      <c r="R92" s="111"/>
      <c r="S92" s="111"/>
      <c r="T92" s="111"/>
      <c r="U92" s="111"/>
      <c r="V92" s="115">
        <v>4.6299999999999998E-4</v>
      </c>
    </row>
    <row r="93" spans="1:22" x14ac:dyDescent="0.2">
      <c r="A93" s="117" t="s">
        <v>12723</v>
      </c>
      <c r="B93" s="116" t="s">
        <v>12681</v>
      </c>
      <c r="C93" s="108">
        <v>0</v>
      </c>
      <c r="D93" s="108">
        <v>0</v>
      </c>
      <c r="E93" s="108">
        <v>0</v>
      </c>
      <c r="F93" s="108">
        <v>0</v>
      </c>
      <c r="G93" s="108">
        <v>0</v>
      </c>
      <c r="H93" s="108">
        <v>0</v>
      </c>
      <c r="I93" s="108">
        <v>0</v>
      </c>
      <c r="J93" s="108">
        <v>0</v>
      </c>
      <c r="K93" s="108">
        <v>0</v>
      </c>
      <c r="L93" s="108">
        <v>0</v>
      </c>
      <c r="M93" s="111"/>
      <c r="N93" s="111"/>
      <c r="O93" s="111"/>
      <c r="P93" s="111"/>
      <c r="Q93" s="111"/>
      <c r="R93" s="111"/>
      <c r="S93" s="111"/>
      <c r="T93" s="111"/>
      <c r="U93" s="111"/>
      <c r="V93" s="115">
        <v>2.43E-4</v>
      </c>
    </row>
    <row r="94" spans="1:22" x14ac:dyDescent="0.2">
      <c r="A94" s="117" t="s">
        <v>12728</v>
      </c>
      <c r="B94" s="116" t="s">
        <v>12675</v>
      </c>
      <c r="C94" s="108">
        <v>0</v>
      </c>
      <c r="D94" s="108">
        <v>0</v>
      </c>
      <c r="E94" s="108">
        <v>0</v>
      </c>
      <c r="F94" s="108">
        <v>0</v>
      </c>
      <c r="G94" s="108">
        <v>0</v>
      </c>
      <c r="H94" s="108">
        <v>0</v>
      </c>
      <c r="I94" s="108">
        <v>0</v>
      </c>
      <c r="J94" s="108">
        <v>0</v>
      </c>
      <c r="K94" s="108">
        <v>0</v>
      </c>
      <c r="L94" s="108">
        <v>0</v>
      </c>
      <c r="M94" s="111"/>
      <c r="N94" s="111"/>
      <c r="O94" s="111"/>
      <c r="P94" s="111"/>
      <c r="Q94" s="111"/>
      <c r="R94" s="111"/>
      <c r="S94" s="111"/>
      <c r="T94" s="111"/>
      <c r="U94" s="111"/>
      <c r="V94" s="115">
        <v>1.9400000000000001E-2</v>
      </c>
    </row>
    <row r="95" spans="1:22" x14ac:dyDescent="0.2">
      <c r="A95" s="117" t="s">
        <v>12728</v>
      </c>
      <c r="B95" s="116" t="s">
        <v>12682</v>
      </c>
      <c r="C95" s="108">
        <v>0</v>
      </c>
      <c r="D95" s="108">
        <v>0</v>
      </c>
      <c r="E95" s="108">
        <v>0</v>
      </c>
      <c r="F95" s="108">
        <v>0</v>
      </c>
      <c r="G95" s="108">
        <v>0</v>
      </c>
      <c r="H95" s="108">
        <v>0</v>
      </c>
      <c r="I95" s="108">
        <v>0</v>
      </c>
      <c r="J95" s="108">
        <v>0</v>
      </c>
      <c r="K95" s="108">
        <v>0</v>
      </c>
      <c r="L95" s="108">
        <v>0</v>
      </c>
      <c r="M95" s="111"/>
      <c r="N95" s="111"/>
      <c r="O95" s="111"/>
      <c r="P95" s="111"/>
      <c r="Q95" s="111"/>
      <c r="R95" s="111"/>
      <c r="S95" s="111"/>
      <c r="T95" s="111"/>
      <c r="U95" s="111"/>
      <c r="V95" s="115">
        <v>6.8300000000000007E-5</v>
      </c>
    </row>
    <row r="96" spans="1:22" x14ac:dyDescent="0.2">
      <c r="A96" s="67" t="s">
        <v>12728</v>
      </c>
      <c r="B96" s="11" t="s">
        <v>12683</v>
      </c>
      <c r="C96" s="108">
        <v>0</v>
      </c>
      <c r="D96" s="108">
        <v>0</v>
      </c>
      <c r="E96" s="108">
        <v>0</v>
      </c>
      <c r="F96" s="108">
        <v>0</v>
      </c>
      <c r="G96" s="108">
        <v>0</v>
      </c>
      <c r="H96" s="108">
        <v>0</v>
      </c>
      <c r="I96" s="108">
        <v>0</v>
      </c>
      <c r="J96" s="108">
        <v>0</v>
      </c>
      <c r="K96" s="108">
        <v>0</v>
      </c>
      <c r="L96" s="108">
        <v>0</v>
      </c>
      <c r="M96" s="111"/>
      <c r="N96" s="111"/>
      <c r="O96" s="111"/>
      <c r="P96" s="111"/>
      <c r="Q96" s="111"/>
      <c r="R96" s="111"/>
      <c r="S96" s="111"/>
      <c r="T96" s="111"/>
      <c r="U96" s="111"/>
      <c r="V96" s="115">
        <v>1.6500000000000001E-2</v>
      </c>
    </row>
    <row r="97" spans="1:22" x14ac:dyDescent="0.2">
      <c r="A97" s="67" t="s">
        <v>12728</v>
      </c>
      <c r="B97" s="11" t="s">
        <v>12681</v>
      </c>
      <c r="C97" s="108">
        <v>0</v>
      </c>
      <c r="D97" s="108">
        <v>0</v>
      </c>
      <c r="E97" s="108">
        <v>0</v>
      </c>
      <c r="F97" s="108">
        <v>0</v>
      </c>
      <c r="G97" s="108">
        <v>0</v>
      </c>
      <c r="H97" s="108">
        <v>0</v>
      </c>
      <c r="I97" s="108">
        <v>0</v>
      </c>
      <c r="J97" s="108">
        <v>0</v>
      </c>
      <c r="K97" s="108">
        <v>0</v>
      </c>
      <c r="L97" s="108">
        <v>0</v>
      </c>
      <c r="M97" s="111"/>
      <c r="N97" s="111"/>
      <c r="O97" s="111"/>
      <c r="P97" s="111"/>
      <c r="Q97" s="111"/>
      <c r="R97" s="111"/>
      <c r="S97" s="111"/>
      <c r="T97" s="111"/>
      <c r="U97" s="111"/>
      <c r="V97" s="115">
        <v>3.09E-2</v>
      </c>
    </row>
    <row r="98" spans="1:22" x14ac:dyDescent="0.2">
      <c r="A98" s="67" t="s">
        <v>12725</v>
      </c>
      <c r="B98" s="11" t="s">
        <v>12675</v>
      </c>
      <c r="C98" s="108">
        <v>0</v>
      </c>
      <c r="D98" s="108">
        <v>0</v>
      </c>
      <c r="E98" s="108">
        <v>0</v>
      </c>
      <c r="F98" s="108">
        <v>0</v>
      </c>
      <c r="G98" s="108">
        <v>0</v>
      </c>
      <c r="H98" s="108">
        <v>0</v>
      </c>
      <c r="I98" s="108">
        <v>0</v>
      </c>
      <c r="J98" s="108">
        <v>0</v>
      </c>
      <c r="K98" s="108">
        <v>0</v>
      </c>
      <c r="L98" s="108">
        <v>0</v>
      </c>
      <c r="M98" s="111"/>
      <c r="N98" s="111"/>
      <c r="O98" s="111"/>
      <c r="P98" s="111"/>
      <c r="Q98" s="111"/>
      <c r="R98" s="111"/>
      <c r="S98" s="111"/>
      <c r="T98" s="111"/>
      <c r="U98" s="111"/>
      <c r="V98" s="115">
        <v>1.9400000000000001E-2</v>
      </c>
    </row>
    <row r="99" spans="1:22" x14ac:dyDescent="0.2">
      <c r="A99" s="67" t="s">
        <v>12725</v>
      </c>
      <c r="B99" s="11" t="s">
        <v>12682</v>
      </c>
      <c r="C99" s="108">
        <v>0</v>
      </c>
      <c r="D99" s="108">
        <v>0</v>
      </c>
      <c r="E99" s="108">
        <v>0</v>
      </c>
      <c r="F99" s="108">
        <v>0</v>
      </c>
      <c r="G99" s="108">
        <v>0</v>
      </c>
      <c r="H99" s="108">
        <v>0</v>
      </c>
      <c r="I99" s="108">
        <v>0</v>
      </c>
      <c r="J99" s="108">
        <v>0</v>
      </c>
      <c r="K99" s="108">
        <v>0</v>
      </c>
      <c r="L99" s="108">
        <v>0</v>
      </c>
      <c r="M99" s="111"/>
      <c r="N99" s="111"/>
      <c r="O99" s="111"/>
      <c r="P99" s="111"/>
      <c r="Q99" s="111"/>
      <c r="R99" s="111"/>
      <c r="S99" s="111"/>
      <c r="T99" s="111"/>
      <c r="U99" s="111"/>
      <c r="V99" s="115">
        <v>6.8300000000000007E-5</v>
      </c>
    </row>
    <row r="100" spans="1:22" x14ac:dyDescent="0.2">
      <c r="A100" s="67" t="s">
        <v>12725</v>
      </c>
      <c r="B100" s="11" t="s">
        <v>12683</v>
      </c>
      <c r="C100" s="108">
        <v>0</v>
      </c>
      <c r="D100" s="108">
        <v>0</v>
      </c>
      <c r="E100" s="108">
        <v>0</v>
      </c>
      <c r="F100" s="108">
        <v>0</v>
      </c>
      <c r="G100" s="108">
        <v>0</v>
      </c>
      <c r="H100" s="108">
        <v>0</v>
      </c>
      <c r="I100" s="108">
        <v>0</v>
      </c>
      <c r="J100" s="108">
        <v>0</v>
      </c>
      <c r="K100" s="108">
        <v>0</v>
      </c>
      <c r="L100" s="108">
        <v>0</v>
      </c>
      <c r="M100" s="111"/>
      <c r="N100" s="111"/>
      <c r="O100" s="111"/>
      <c r="P100" s="111"/>
      <c r="Q100" s="111"/>
      <c r="R100" s="111"/>
      <c r="S100" s="111"/>
      <c r="T100" s="111"/>
      <c r="U100" s="111"/>
      <c r="V100" s="115">
        <v>1.6500000000000001E-2</v>
      </c>
    </row>
    <row r="101" spans="1:22" x14ac:dyDescent="0.2">
      <c r="A101" s="68" t="s">
        <v>12725</v>
      </c>
      <c r="B101" s="21" t="s">
        <v>12681</v>
      </c>
      <c r="C101" s="108">
        <v>0</v>
      </c>
      <c r="D101" s="108">
        <v>0</v>
      </c>
      <c r="E101" s="108">
        <v>0</v>
      </c>
      <c r="F101" s="108">
        <v>0</v>
      </c>
      <c r="G101" s="108">
        <v>0</v>
      </c>
      <c r="H101" s="108">
        <v>0</v>
      </c>
      <c r="I101" s="108">
        <v>0</v>
      </c>
      <c r="J101" s="108">
        <v>0</v>
      </c>
      <c r="K101" s="108">
        <v>0</v>
      </c>
      <c r="L101" s="108">
        <v>0</v>
      </c>
      <c r="M101" s="111"/>
      <c r="N101" s="111"/>
      <c r="O101" s="111"/>
      <c r="P101" s="111"/>
      <c r="Q101" s="111"/>
      <c r="R101" s="111"/>
      <c r="S101" s="111"/>
      <c r="T101" s="111"/>
      <c r="U101" s="111"/>
      <c r="V101" s="118">
        <v>3.09E-2</v>
      </c>
    </row>
    <row r="102" spans="1:22" ht="44.25" customHeight="1" x14ac:dyDescent="0.2">
      <c r="A102" s="19"/>
      <c r="B102" s="20"/>
      <c r="C102" s="21"/>
      <c r="D102" s="21"/>
      <c r="E102" s="21"/>
      <c r="F102" s="21"/>
      <c r="G102" s="21"/>
      <c r="H102" s="21"/>
      <c r="I102" s="21"/>
      <c r="J102" s="21"/>
      <c r="K102" s="21"/>
      <c r="L102" s="22"/>
    </row>
  </sheetData>
  <sheetProtection algorithmName="SHA-512" hashValue="AVlXLnpiAvV1xEgYIdRwELmjdU1naU6Gv2fEfq4AyLN7HLyCrQ1DEdCzhq3JndtOfLNPrn8vcW814HDvo9nQ0w==" saltValue="/j9rEtW33NsfG6Be+2IdNg==" spinCount="100000" sheet="1" objects="1" scenarios="1" formatColumns="0" formatRows="0" autoFilter="0"/>
  <phoneticPr fontId="17" type="noConversion"/>
  <conditionalFormatting sqref="B40:B101">
    <cfRule type="expression" dxfId="118" priority="15">
      <formula>$J$13="I disagree"</formula>
    </cfRule>
  </conditionalFormatting>
  <conditionalFormatting sqref="A3:A24 A26:A35 A39">
    <cfRule type="expression" dxfId="117" priority="14">
      <formula>#REF!="I disagree"</formula>
    </cfRule>
  </conditionalFormatting>
  <conditionalFormatting sqref="A36:A39">
    <cfRule type="expression" dxfId="116" priority="13">
      <formula>$J$13="I disagree"</formula>
    </cfRule>
  </conditionalFormatting>
  <conditionalFormatting sqref="B3:B24 B26:B35 B39">
    <cfRule type="expression" dxfId="115" priority="12">
      <formula>#REF!="I disagree"</formula>
    </cfRule>
  </conditionalFormatting>
  <conditionalFormatting sqref="B36:B39">
    <cfRule type="expression" dxfId="114" priority="11">
      <formula>$J$13="I disagree"</formula>
    </cfRule>
  </conditionalFormatting>
  <conditionalFormatting sqref="V40:V101">
    <cfRule type="expression" dxfId="113" priority="4">
      <formula>#REF!="No"</formula>
    </cfRule>
  </conditionalFormatting>
  <conditionalFormatting sqref="V40:V101">
    <cfRule type="expression" dxfId="112" priority="5">
      <formula>#REF!="No"</formula>
    </cfRule>
  </conditionalFormatting>
  <conditionalFormatting sqref="V40:V101">
    <cfRule type="expression" dxfId="111" priority="3">
      <formula>$J$12="I disagree"</formula>
    </cfRule>
  </conditionalFormatting>
  <conditionalFormatting sqref="A40:A77 A82:A101">
    <cfRule type="expression" dxfId="110" priority="2">
      <formula>$J$17="I disagree"</formula>
    </cfRule>
  </conditionalFormatting>
  <conditionalFormatting sqref="A78:A81">
    <cfRule type="expression" dxfId="109" priority="1">
      <formula>#REF!="I disagree"</formula>
    </cfRule>
  </conditionalFormatting>
  <pageMargins left="0.25" right="0.25" top="0.25" bottom="0.25" header="0.3" footer="0.3"/>
  <pageSetup scale="29"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4064-8BF5-4AEB-80C1-555C2A85B9F7}">
  <sheetPr codeName="Sheet9">
    <tabColor theme="4" tint="0.39997558519241921"/>
  </sheetPr>
  <dimension ref="A1:D6714"/>
  <sheetViews>
    <sheetView zoomScaleNormal="100" workbookViewId="0"/>
  </sheetViews>
  <sheetFormatPr defaultColWidth="0" defaultRowHeight="14.25" zeroHeight="1" x14ac:dyDescent="0.2"/>
  <cols>
    <col min="1" max="1" width="74.25" customWidth="1"/>
    <col min="2" max="2" width="119.875" customWidth="1"/>
    <col min="3" max="4" width="34.625" customWidth="1"/>
    <col min="5" max="16384" width="9" hidden="1"/>
  </cols>
  <sheetData>
    <row r="1" spans="1:4" s="14" customFormat="1" x14ac:dyDescent="0.2">
      <c r="A1" s="14" t="s">
        <v>13301</v>
      </c>
    </row>
    <row r="2" spans="1:4" ht="15" x14ac:dyDescent="0.25">
      <c r="A2" t="s">
        <v>12662</v>
      </c>
    </row>
    <row r="3" spans="1:4" ht="15" x14ac:dyDescent="0.25">
      <c r="A3" s="100" t="s">
        <v>54</v>
      </c>
      <c r="B3" s="101" t="s">
        <v>53</v>
      </c>
      <c r="C3" s="100" t="s">
        <v>55</v>
      </c>
      <c r="D3" s="100" t="s">
        <v>56</v>
      </c>
    </row>
    <row r="4" spans="1:4" x14ac:dyDescent="0.2">
      <c r="A4" s="95" t="s">
        <v>12479</v>
      </c>
      <c r="B4" s="12" t="s">
        <v>12480</v>
      </c>
      <c r="C4" s="95"/>
      <c r="D4" s="95"/>
    </row>
    <row r="5" spans="1:4" x14ac:dyDescent="0.2">
      <c r="A5" s="12" t="s">
        <v>222</v>
      </c>
      <c r="B5" s="12" t="s">
        <v>221</v>
      </c>
      <c r="C5" s="12">
        <v>1000</v>
      </c>
      <c r="D5" s="12">
        <v>100</v>
      </c>
    </row>
    <row r="6" spans="1:4" x14ac:dyDescent="0.2">
      <c r="A6" s="12" t="s">
        <v>967</v>
      </c>
      <c r="B6" s="12" t="s">
        <v>966</v>
      </c>
      <c r="C6" s="12">
        <v>6.4</v>
      </c>
      <c r="D6" s="12">
        <v>0.64</v>
      </c>
    </row>
    <row r="7" spans="1:4" x14ac:dyDescent="0.2">
      <c r="A7" s="12" t="s">
        <v>10102</v>
      </c>
      <c r="B7" s="12" t="s">
        <v>10101</v>
      </c>
      <c r="C7" s="12">
        <v>30</v>
      </c>
      <c r="D7" s="12">
        <v>3</v>
      </c>
    </row>
    <row r="8" spans="1:4" x14ac:dyDescent="0.2">
      <c r="A8" s="12" t="s">
        <v>10104</v>
      </c>
      <c r="B8" s="12" t="s">
        <v>10103</v>
      </c>
      <c r="C8" s="12">
        <v>10</v>
      </c>
      <c r="D8" s="12">
        <v>1</v>
      </c>
    </row>
    <row r="9" spans="1:4" x14ac:dyDescent="0.2">
      <c r="A9" s="12" t="s">
        <v>806</v>
      </c>
      <c r="B9" s="12" t="s">
        <v>805</v>
      </c>
      <c r="C9" s="12">
        <v>2450</v>
      </c>
      <c r="D9" s="12">
        <v>245</v>
      </c>
    </row>
    <row r="10" spans="1:4" x14ac:dyDescent="0.2">
      <c r="A10" s="12" t="s">
        <v>11514</v>
      </c>
      <c r="B10" s="12" t="s">
        <v>11513</v>
      </c>
      <c r="C10" s="12" t="s">
        <v>59</v>
      </c>
      <c r="D10" s="12" t="s">
        <v>59</v>
      </c>
    </row>
    <row r="11" spans="1:4" x14ac:dyDescent="0.2">
      <c r="A11" s="12" t="s">
        <v>9115</v>
      </c>
      <c r="B11" s="12" t="s">
        <v>9114</v>
      </c>
      <c r="C11" s="12" t="s">
        <v>59</v>
      </c>
      <c r="D11" s="12" t="s">
        <v>59</v>
      </c>
    </row>
    <row r="12" spans="1:4" x14ac:dyDescent="0.2">
      <c r="A12" s="12" t="s">
        <v>9228</v>
      </c>
      <c r="B12" s="12" t="s">
        <v>9227</v>
      </c>
      <c r="C12" s="12">
        <v>4500</v>
      </c>
      <c r="D12" s="12">
        <v>450</v>
      </c>
    </row>
    <row r="13" spans="1:4" x14ac:dyDescent="0.2">
      <c r="A13" s="12" t="s">
        <v>816</v>
      </c>
      <c r="B13" s="12" t="s">
        <v>815</v>
      </c>
      <c r="C13" s="12">
        <v>10</v>
      </c>
      <c r="D13" s="12">
        <v>1</v>
      </c>
    </row>
    <row r="14" spans="1:4" x14ac:dyDescent="0.2">
      <c r="A14" s="12" t="s">
        <v>11394</v>
      </c>
      <c r="B14" s="12" t="s">
        <v>11393</v>
      </c>
      <c r="C14" s="12">
        <v>4.2</v>
      </c>
      <c r="D14" s="12">
        <v>6</v>
      </c>
    </row>
    <row r="15" spans="1:4" x14ac:dyDescent="0.2">
      <c r="A15" s="12" t="s">
        <v>5152</v>
      </c>
      <c r="B15" s="12" t="s">
        <v>5151</v>
      </c>
      <c r="C15" s="12">
        <v>3.6</v>
      </c>
      <c r="D15" s="12">
        <v>4.1000000000000002E-2</v>
      </c>
    </row>
    <row r="16" spans="1:4" x14ac:dyDescent="0.2">
      <c r="A16" s="12" t="s">
        <v>11970</v>
      </c>
      <c r="B16" s="12" t="s">
        <v>11969</v>
      </c>
      <c r="C16" s="12">
        <v>30</v>
      </c>
      <c r="D16" s="12">
        <v>3</v>
      </c>
    </row>
    <row r="17" spans="1:4" x14ac:dyDescent="0.2">
      <c r="A17" s="12" t="s">
        <v>9952</v>
      </c>
      <c r="B17" s="12" t="s">
        <v>9951</v>
      </c>
      <c r="C17" s="12">
        <v>6</v>
      </c>
      <c r="D17" s="12">
        <v>0.6</v>
      </c>
    </row>
    <row r="18" spans="1:4" x14ac:dyDescent="0.2">
      <c r="A18" s="12" t="s">
        <v>4104</v>
      </c>
      <c r="B18" s="12" t="s">
        <v>4103</v>
      </c>
      <c r="C18" s="12">
        <v>5</v>
      </c>
      <c r="D18" s="12">
        <v>0.5</v>
      </c>
    </row>
    <row r="19" spans="1:4" x14ac:dyDescent="0.2">
      <c r="A19" s="12" t="s">
        <v>10900</v>
      </c>
      <c r="B19" s="12" t="s">
        <v>10899</v>
      </c>
      <c r="C19" s="12">
        <v>70</v>
      </c>
      <c r="D19" s="12">
        <v>7</v>
      </c>
    </row>
    <row r="20" spans="1:4" x14ac:dyDescent="0.2">
      <c r="A20" s="12" t="s">
        <v>5334</v>
      </c>
      <c r="B20" s="12" t="s">
        <v>5333</v>
      </c>
      <c r="C20" s="12">
        <v>0.21</v>
      </c>
      <c r="D20" s="12">
        <v>1.6999999999999999E-3</v>
      </c>
    </row>
    <row r="21" spans="1:4" x14ac:dyDescent="0.2">
      <c r="A21" s="12" t="s">
        <v>11046</v>
      </c>
      <c r="B21" s="12" t="s">
        <v>11045</v>
      </c>
      <c r="C21" s="12" t="s">
        <v>59</v>
      </c>
      <c r="D21" s="12" t="s">
        <v>59</v>
      </c>
    </row>
    <row r="22" spans="1:4" x14ac:dyDescent="0.2">
      <c r="A22" s="12" t="s">
        <v>5936</v>
      </c>
      <c r="B22" s="12" t="s">
        <v>5935</v>
      </c>
      <c r="C22" s="12">
        <v>500</v>
      </c>
      <c r="D22" s="12">
        <v>50</v>
      </c>
    </row>
    <row r="23" spans="1:4" x14ac:dyDescent="0.2">
      <c r="A23" s="12" t="s">
        <v>7751</v>
      </c>
      <c r="B23" s="12" t="s">
        <v>7750</v>
      </c>
      <c r="C23" s="12">
        <v>10</v>
      </c>
      <c r="D23" s="12">
        <v>1</v>
      </c>
    </row>
    <row r="24" spans="1:4" x14ac:dyDescent="0.2">
      <c r="A24" s="12" t="s">
        <v>9685</v>
      </c>
      <c r="B24" s="12" t="s">
        <v>9684</v>
      </c>
      <c r="C24" s="12" t="s">
        <v>59</v>
      </c>
      <c r="D24" s="12" t="s">
        <v>59</v>
      </c>
    </row>
    <row r="25" spans="1:4" x14ac:dyDescent="0.2">
      <c r="A25" s="12" t="s">
        <v>9338</v>
      </c>
      <c r="B25" s="12" t="s">
        <v>9337</v>
      </c>
      <c r="C25" s="12">
        <v>60</v>
      </c>
      <c r="D25" s="12">
        <v>6</v>
      </c>
    </row>
    <row r="26" spans="1:4" x14ac:dyDescent="0.2">
      <c r="A26" s="12" t="s">
        <v>9339</v>
      </c>
      <c r="B26" s="12" t="s">
        <v>9337</v>
      </c>
      <c r="C26" s="12" t="s">
        <v>59</v>
      </c>
      <c r="D26" s="12" t="s">
        <v>59</v>
      </c>
    </row>
    <row r="27" spans="1:4" x14ac:dyDescent="0.2">
      <c r="A27" s="12" t="s">
        <v>5423</v>
      </c>
      <c r="B27" s="12" t="s">
        <v>5422</v>
      </c>
      <c r="C27" s="12">
        <v>10</v>
      </c>
      <c r="D27" s="12">
        <v>1</v>
      </c>
    </row>
    <row r="28" spans="1:4" x14ac:dyDescent="0.2">
      <c r="A28" s="12" t="s">
        <v>7593</v>
      </c>
      <c r="B28" s="12" t="s">
        <v>7592</v>
      </c>
      <c r="C28" s="12">
        <v>10</v>
      </c>
      <c r="D28" s="12">
        <v>1</v>
      </c>
    </row>
    <row r="29" spans="1:4" x14ac:dyDescent="0.2">
      <c r="A29" s="12" t="s">
        <v>8210</v>
      </c>
      <c r="B29" s="12" t="s">
        <v>8209</v>
      </c>
      <c r="C29" s="12">
        <v>40</v>
      </c>
      <c r="D29" s="12">
        <v>4</v>
      </c>
    </row>
    <row r="30" spans="1:4" x14ac:dyDescent="0.2">
      <c r="A30" s="12" t="s">
        <v>7583</v>
      </c>
      <c r="B30" s="12" t="s">
        <v>7582</v>
      </c>
      <c r="C30" s="12">
        <v>100</v>
      </c>
      <c r="D30" s="12">
        <v>10</v>
      </c>
    </row>
    <row r="31" spans="1:4" x14ac:dyDescent="0.2">
      <c r="A31" s="12" t="s">
        <v>2035</v>
      </c>
      <c r="B31" s="12" t="s">
        <v>2034</v>
      </c>
      <c r="C31" s="12">
        <v>53</v>
      </c>
      <c r="D31" s="12">
        <v>9.6</v>
      </c>
    </row>
    <row r="32" spans="1:4" x14ac:dyDescent="0.2">
      <c r="A32" s="12" t="s">
        <v>7654</v>
      </c>
      <c r="B32" s="12" t="s">
        <v>7653</v>
      </c>
      <c r="C32" s="12" t="s">
        <v>59</v>
      </c>
      <c r="D32" s="12" t="s">
        <v>59</v>
      </c>
    </row>
    <row r="33" spans="1:4" x14ac:dyDescent="0.2">
      <c r="A33" s="12" t="s">
        <v>11101</v>
      </c>
      <c r="B33" s="12" t="s">
        <v>11100</v>
      </c>
      <c r="C33" s="12" t="s">
        <v>59</v>
      </c>
      <c r="D33" s="12" t="s">
        <v>59</v>
      </c>
    </row>
    <row r="34" spans="1:4" x14ac:dyDescent="0.2">
      <c r="A34" s="12" t="s">
        <v>3221</v>
      </c>
      <c r="B34" s="12" t="s">
        <v>3220</v>
      </c>
      <c r="C34" s="12">
        <v>510</v>
      </c>
      <c r="D34" s="12">
        <v>97</v>
      </c>
    </row>
    <row r="35" spans="1:4" x14ac:dyDescent="0.2">
      <c r="A35" s="12" t="s">
        <v>2474</v>
      </c>
      <c r="B35" s="12" t="s">
        <v>2473</v>
      </c>
      <c r="C35" s="12" t="s">
        <v>59</v>
      </c>
      <c r="D35" s="12" t="s">
        <v>59</v>
      </c>
    </row>
    <row r="36" spans="1:4" x14ac:dyDescent="0.2">
      <c r="A36" s="12" t="s">
        <v>6685</v>
      </c>
      <c r="B36" s="12" t="s">
        <v>6684</v>
      </c>
      <c r="C36" s="12">
        <v>26000</v>
      </c>
      <c r="D36" s="12">
        <v>570</v>
      </c>
    </row>
    <row r="37" spans="1:4" x14ac:dyDescent="0.2">
      <c r="A37" s="12" t="s">
        <v>7966</v>
      </c>
      <c r="B37" s="12" t="s">
        <v>7965</v>
      </c>
      <c r="C37" s="12">
        <v>240</v>
      </c>
      <c r="D37" s="12">
        <v>24</v>
      </c>
    </row>
    <row r="38" spans="1:4" x14ac:dyDescent="0.2">
      <c r="A38" s="12" t="s">
        <v>11332</v>
      </c>
      <c r="B38" s="12" t="s">
        <v>11331</v>
      </c>
      <c r="C38" s="12">
        <v>110</v>
      </c>
      <c r="D38" s="12">
        <v>140</v>
      </c>
    </row>
    <row r="39" spans="1:4" x14ac:dyDescent="0.2">
      <c r="A39" s="12" t="s">
        <v>2464</v>
      </c>
      <c r="B39" s="12" t="s">
        <v>2463</v>
      </c>
      <c r="C39" s="12">
        <v>1000</v>
      </c>
      <c r="D39" s="12">
        <v>100</v>
      </c>
    </row>
    <row r="40" spans="1:4" x14ac:dyDescent="0.2">
      <c r="A40" s="12" t="s">
        <v>3871</v>
      </c>
      <c r="B40" s="12" t="s">
        <v>3870</v>
      </c>
      <c r="C40" s="12">
        <v>50</v>
      </c>
      <c r="D40" s="12">
        <v>5</v>
      </c>
    </row>
    <row r="41" spans="1:4" x14ac:dyDescent="0.2">
      <c r="A41" s="12" t="s">
        <v>4520</v>
      </c>
      <c r="B41" s="12" t="s">
        <v>4519</v>
      </c>
      <c r="C41" s="12">
        <v>50</v>
      </c>
      <c r="D41" s="12">
        <v>5</v>
      </c>
    </row>
    <row r="42" spans="1:4" x14ac:dyDescent="0.2">
      <c r="A42" s="12" t="s">
        <v>4510</v>
      </c>
      <c r="B42" s="12" t="s">
        <v>4509</v>
      </c>
      <c r="C42" s="12">
        <v>20</v>
      </c>
      <c r="D42" s="12">
        <v>2</v>
      </c>
    </row>
    <row r="43" spans="1:4" x14ac:dyDescent="0.2">
      <c r="A43" s="12" t="s">
        <v>4836</v>
      </c>
      <c r="B43" s="12" t="s">
        <v>4835</v>
      </c>
      <c r="C43" s="12" t="s">
        <v>59</v>
      </c>
      <c r="D43" s="12" t="s">
        <v>59</v>
      </c>
    </row>
    <row r="44" spans="1:4" x14ac:dyDescent="0.2">
      <c r="A44" s="12" t="s">
        <v>3223</v>
      </c>
      <c r="B44" s="12" t="s">
        <v>3222</v>
      </c>
      <c r="C44" s="12">
        <v>30</v>
      </c>
      <c r="D44" s="12">
        <v>3</v>
      </c>
    </row>
    <row r="45" spans="1:4" x14ac:dyDescent="0.2">
      <c r="A45" s="12" t="s">
        <v>4349</v>
      </c>
      <c r="B45" s="12" t="s">
        <v>4348</v>
      </c>
      <c r="C45" s="12">
        <v>50</v>
      </c>
      <c r="D45" s="12">
        <v>5</v>
      </c>
    </row>
    <row r="46" spans="1:4" x14ac:dyDescent="0.2">
      <c r="A46" s="12" t="s">
        <v>3065</v>
      </c>
      <c r="B46" s="12" t="s">
        <v>3064</v>
      </c>
      <c r="C46" s="12">
        <v>55</v>
      </c>
      <c r="D46" s="12">
        <v>5.5</v>
      </c>
    </row>
    <row r="47" spans="1:4" x14ac:dyDescent="0.2">
      <c r="A47" s="12" t="s">
        <v>3999</v>
      </c>
      <c r="B47" s="12" t="s">
        <v>3998</v>
      </c>
      <c r="C47" s="12" t="s">
        <v>59</v>
      </c>
      <c r="D47" s="12" t="s">
        <v>59</v>
      </c>
    </row>
    <row r="48" spans="1:4" x14ac:dyDescent="0.2">
      <c r="A48" s="12" t="s">
        <v>8304</v>
      </c>
      <c r="B48" s="12" t="s">
        <v>8303</v>
      </c>
      <c r="C48" s="12">
        <v>0.25</v>
      </c>
      <c r="D48" s="12">
        <v>2.5000000000000001E-2</v>
      </c>
    </row>
    <row r="49" spans="1:4" x14ac:dyDescent="0.2">
      <c r="A49" s="12" t="s">
        <v>4363</v>
      </c>
      <c r="B49" s="12" t="s">
        <v>4362</v>
      </c>
      <c r="C49" s="12">
        <v>125</v>
      </c>
      <c r="D49" s="12">
        <v>12.5</v>
      </c>
    </row>
    <row r="50" spans="1:4" x14ac:dyDescent="0.2">
      <c r="A50" s="12" t="s">
        <v>4319</v>
      </c>
      <c r="B50" s="12" t="s">
        <v>4318</v>
      </c>
      <c r="C50" s="12">
        <v>500</v>
      </c>
      <c r="D50" s="12">
        <v>50</v>
      </c>
    </row>
    <row r="51" spans="1:4" x14ac:dyDescent="0.2">
      <c r="A51" s="12" t="s">
        <v>4194</v>
      </c>
      <c r="B51" s="12" t="s">
        <v>4193</v>
      </c>
      <c r="C51" s="12">
        <v>50</v>
      </c>
      <c r="D51" s="12">
        <v>5</v>
      </c>
    </row>
    <row r="52" spans="1:4" x14ac:dyDescent="0.2">
      <c r="A52" s="12" t="s">
        <v>5041</v>
      </c>
      <c r="B52" s="12" t="s">
        <v>5040</v>
      </c>
      <c r="C52" s="12">
        <v>3</v>
      </c>
      <c r="D52" s="12">
        <v>0.3</v>
      </c>
    </row>
    <row r="53" spans="1:4" x14ac:dyDescent="0.2">
      <c r="A53" s="12" t="s">
        <v>5192</v>
      </c>
      <c r="B53" s="12" t="s">
        <v>5191</v>
      </c>
      <c r="C53" s="12">
        <v>3.6</v>
      </c>
      <c r="D53" s="12">
        <v>4.1000000000000002E-2</v>
      </c>
    </row>
    <row r="54" spans="1:4" x14ac:dyDescent="0.2">
      <c r="A54" s="12" t="s">
        <v>5194</v>
      </c>
      <c r="B54" s="12" t="s">
        <v>5193</v>
      </c>
      <c r="C54" s="12">
        <v>3.6</v>
      </c>
      <c r="D54" s="12">
        <v>4.1000000000000002E-2</v>
      </c>
    </row>
    <row r="55" spans="1:4" x14ac:dyDescent="0.2">
      <c r="A55" s="12" t="s">
        <v>11056</v>
      </c>
      <c r="B55" s="12" t="s">
        <v>11055</v>
      </c>
      <c r="C55" s="12" t="s">
        <v>59</v>
      </c>
      <c r="D55" s="12" t="s">
        <v>59</v>
      </c>
    </row>
    <row r="56" spans="1:4" x14ac:dyDescent="0.2">
      <c r="A56" s="12" t="s">
        <v>5144</v>
      </c>
      <c r="B56" s="12" t="s">
        <v>5143</v>
      </c>
      <c r="C56" s="12">
        <v>3.6</v>
      </c>
      <c r="D56" s="12">
        <v>4.1000000000000002E-2</v>
      </c>
    </row>
    <row r="57" spans="1:4" x14ac:dyDescent="0.2">
      <c r="A57" s="12" t="s">
        <v>461</v>
      </c>
      <c r="B57" s="12" t="s">
        <v>460</v>
      </c>
      <c r="C57" s="12">
        <v>90</v>
      </c>
      <c r="D57" s="12">
        <v>9</v>
      </c>
    </row>
    <row r="58" spans="1:4" x14ac:dyDescent="0.2">
      <c r="A58" s="12" t="s">
        <v>4341</v>
      </c>
      <c r="B58" s="12" t="s">
        <v>4340</v>
      </c>
      <c r="C58" s="12">
        <v>440</v>
      </c>
      <c r="D58" s="12">
        <v>44</v>
      </c>
    </row>
    <row r="59" spans="1:4" x14ac:dyDescent="0.2">
      <c r="A59" s="12" t="s">
        <v>4228</v>
      </c>
      <c r="B59" s="12" t="s">
        <v>4227</v>
      </c>
      <c r="C59" s="12">
        <v>90</v>
      </c>
      <c r="D59" s="12">
        <v>9</v>
      </c>
    </row>
    <row r="60" spans="1:4" x14ac:dyDescent="0.2">
      <c r="A60" s="12" t="s">
        <v>5863</v>
      </c>
      <c r="B60" s="12" t="s">
        <v>5862</v>
      </c>
      <c r="C60" s="12">
        <v>100</v>
      </c>
      <c r="D60" s="12">
        <v>10</v>
      </c>
    </row>
    <row r="61" spans="1:4" x14ac:dyDescent="0.2">
      <c r="A61" s="12" t="s">
        <v>3046</v>
      </c>
      <c r="B61" s="12" t="s">
        <v>3045</v>
      </c>
      <c r="C61" s="12">
        <v>240</v>
      </c>
      <c r="D61" s="12">
        <v>24</v>
      </c>
    </row>
    <row r="62" spans="1:4" x14ac:dyDescent="0.2">
      <c r="A62" s="12" t="s">
        <v>7128</v>
      </c>
      <c r="B62" s="12" t="s">
        <v>7127</v>
      </c>
      <c r="C62" s="12" t="s">
        <v>59</v>
      </c>
      <c r="D62" s="12" t="s">
        <v>59</v>
      </c>
    </row>
    <row r="63" spans="1:4" x14ac:dyDescent="0.2">
      <c r="A63" s="12" t="s">
        <v>2263</v>
      </c>
      <c r="B63" s="12" t="s">
        <v>2262</v>
      </c>
      <c r="C63" s="12">
        <v>39</v>
      </c>
      <c r="D63" s="12">
        <v>3.9</v>
      </c>
    </row>
    <row r="64" spans="1:4" x14ac:dyDescent="0.2">
      <c r="A64" s="12" t="s">
        <v>5154</v>
      </c>
      <c r="B64" s="12" t="s">
        <v>5153</v>
      </c>
      <c r="C64" s="12">
        <v>3.6</v>
      </c>
      <c r="D64" s="12">
        <v>4.1000000000000002E-2</v>
      </c>
    </row>
    <row r="65" spans="1:4" x14ac:dyDescent="0.2">
      <c r="A65" s="12" t="s">
        <v>9238</v>
      </c>
      <c r="B65" s="12" t="s">
        <v>9237</v>
      </c>
      <c r="C65" s="12">
        <v>80</v>
      </c>
      <c r="D65" s="12">
        <v>8</v>
      </c>
    </row>
    <row r="66" spans="1:4" x14ac:dyDescent="0.2">
      <c r="A66" s="12" t="s">
        <v>5216</v>
      </c>
      <c r="B66" s="12" t="s">
        <v>5215</v>
      </c>
      <c r="C66" s="12">
        <v>45</v>
      </c>
      <c r="D66" s="12">
        <v>4.5</v>
      </c>
    </row>
    <row r="67" spans="1:4" x14ac:dyDescent="0.2">
      <c r="A67" s="12" t="s">
        <v>11867</v>
      </c>
      <c r="B67" s="12" t="s">
        <v>11866</v>
      </c>
      <c r="C67" s="12">
        <v>45</v>
      </c>
      <c r="D67" s="12">
        <v>4.5</v>
      </c>
    </row>
    <row r="68" spans="1:4" x14ac:dyDescent="0.2">
      <c r="A68" s="12" t="s">
        <v>8395</v>
      </c>
      <c r="B68" s="12" t="s">
        <v>8394</v>
      </c>
      <c r="C68" s="12">
        <v>20</v>
      </c>
      <c r="D68" s="12">
        <v>2</v>
      </c>
    </row>
    <row r="69" spans="1:4" x14ac:dyDescent="0.2">
      <c r="A69" s="12" t="s">
        <v>9864</v>
      </c>
      <c r="B69" s="12" t="s">
        <v>9863</v>
      </c>
      <c r="C69" s="12">
        <v>4.4000000000000004</v>
      </c>
      <c r="D69" s="12">
        <v>0.44</v>
      </c>
    </row>
    <row r="70" spans="1:4" x14ac:dyDescent="0.2">
      <c r="A70" s="12" t="s">
        <v>5534</v>
      </c>
      <c r="B70" s="12" t="s">
        <v>5533</v>
      </c>
      <c r="C70" s="12">
        <v>260</v>
      </c>
      <c r="D70" s="12">
        <v>26</v>
      </c>
    </row>
    <row r="71" spans="1:4" x14ac:dyDescent="0.2">
      <c r="A71" s="12" t="s">
        <v>8359</v>
      </c>
      <c r="B71" s="12" t="s">
        <v>8358</v>
      </c>
      <c r="C71" s="12">
        <v>410</v>
      </c>
      <c r="D71" s="12">
        <v>41</v>
      </c>
    </row>
    <row r="72" spans="1:4" x14ac:dyDescent="0.2">
      <c r="A72" s="12" t="s">
        <v>2023</v>
      </c>
      <c r="B72" s="12" t="s">
        <v>2022</v>
      </c>
      <c r="C72" s="12">
        <v>50</v>
      </c>
      <c r="D72" s="12">
        <v>5</v>
      </c>
    </row>
    <row r="73" spans="1:4" x14ac:dyDescent="0.2">
      <c r="A73" s="12" t="s">
        <v>2588</v>
      </c>
      <c r="B73" s="12" t="s">
        <v>2587</v>
      </c>
      <c r="C73" s="12">
        <v>1200</v>
      </c>
      <c r="D73" s="12">
        <v>120</v>
      </c>
    </row>
    <row r="74" spans="1:4" x14ac:dyDescent="0.2">
      <c r="A74" s="12" t="s">
        <v>3099</v>
      </c>
      <c r="B74" s="12" t="s">
        <v>3098</v>
      </c>
      <c r="C74" s="12">
        <v>240</v>
      </c>
      <c r="D74" s="12">
        <v>24</v>
      </c>
    </row>
    <row r="75" spans="1:4" x14ac:dyDescent="0.2">
      <c r="A75" s="12" t="s">
        <v>9266</v>
      </c>
      <c r="B75" s="12" t="s">
        <v>9265</v>
      </c>
      <c r="C75" s="12">
        <v>1</v>
      </c>
      <c r="D75" s="12">
        <v>0.1</v>
      </c>
    </row>
    <row r="76" spans="1:4" x14ac:dyDescent="0.2">
      <c r="A76" s="12" t="s">
        <v>8988</v>
      </c>
      <c r="B76" s="12" t="s">
        <v>8987</v>
      </c>
      <c r="C76" s="12">
        <v>30</v>
      </c>
      <c r="D76" s="12">
        <v>3</v>
      </c>
    </row>
    <row r="77" spans="1:4" x14ac:dyDescent="0.2">
      <c r="A77" s="12" t="s">
        <v>108</v>
      </c>
      <c r="B77" s="12" t="s">
        <v>107</v>
      </c>
      <c r="C77" s="12">
        <v>520</v>
      </c>
      <c r="D77" s="12">
        <v>52</v>
      </c>
    </row>
    <row r="78" spans="1:4" x14ac:dyDescent="0.2">
      <c r="A78" s="12" t="s">
        <v>8666</v>
      </c>
      <c r="B78" s="12" t="s">
        <v>8665</v>
      </c>
      <c r="C78" s="12">
        <v>250</v>
      </c>
      <c r="D78" s="12">
        <v>48</v>
      </c>
    </row>
    <row r="79" spans="1:4" x14ac:dyDescent="0.2">
      <c r="A79" s="12" t="s">
        <v>6890</v>
      </c>
      <c r="B79" s="12" t="s">
        <v>6889</v>
      </c>
      <c r="C79" s="12" t="s">
        <v>59</v>
      </c>
      <c r="D79" s="12" t="s">
        <v>59</v>
      </c>
    </row>
    <row r="80" spans="1:4" x14ac:dyDescent="0.2">
      <c r="A80" s="12" t="s">
        <v>6891</v>
      </c>
      <c r="B80" s="12" t="s">
        <v>6889</v>
      </c>
      <c r="C80" s="12">
        <v>1000</v>
      </c>
      <c r="D80" s="12">
        <v>100</v>
      </c>
    </row>
    <row r="81" spans="1:4" x14ac:dyDescent="0.2">
      <c r="A81" s="12" t="s">
        <v>4361</v>
      </c>
      <c r="B81" s="12" t="s">
        <v>4360</v>
      </c>
      <c r="C81" s="12">
        <v>180</v>
      </c>
      <c r="D81" s="12">
        <v>92</v>
      </c>
    </row>
    <row r="82" spans="1:4" x14ac:dyDescent="0.2">
      <c r="A82" s="12" t="s">
        <v>5566</v>
      </c>
      <c r="B82" s="12" t="s">
        <v>5565</v>
      </c>
      <c r="C82" s="12">
        <v>100</v>
      </c>
      <c r="D82" s="12">
        <v>10</v>
      </c>
    </row>
    <row r="83" spans="1:4" x14ac:dyDescent="0.2">
      <c r="A83" s="12" t="s">
        <v>7485</v>
      </c>
      <c r="B83" s="12" t="s">
        <v>7484</v>
      </c>
      <c r="C83" s="12">
        <v>170</v>
      </c>
      <c r="D83" s="12">
        <v>17</v>
      </c>
    </row>
    <row r="84" spans="1:4" x14ac:dyDescent="0.2">
      <c r="A84" s="12" t="s">
        <v>8825</v>
      </c>
      <c r="B84" s="12" t="s">
        <v>8824</v>
      </c>
      <c r="C84" s="12" t="s">
        <v>59</v>
      </c>
      <c r="D84" s="12" t="s">
        <v>59</v>
      </c>
    </row>
    <row r="85" spans="1:4" x14ac:dyDescent="0.2">
      <c r="A85" s="12" t="s">
        <v>10894</v>
      </c>
      <c r="B85" s="12" t="s">
        <v>10893</v>
      </c>
      <c r="C85" s="12">
        <v>50</v>
      </c>
      <c r="D85" s="12">
        <v>5</v>
      </c>
    </row>
    <row r="86" spans="1:4" x14ac:dyDescent="0.2">
      <c r="A86" s="12" t="s">
        <v>12072</v>
      </c>
      <c r="B86" s="12" t="s">
        <v>12071</v>
      </c>
      <c r="C86" s="12">
        <v>50</v>
      </c>
      <c r="D86" s="12">
        <v>5</v>
      </c>
    </row>
    <row r="87" spans="1:4" x14ac:dyDescent="0.2">
      <c r="A87" s="12" t="s">
        <v>8020</v>
      </c>
      <c r="B87" s="12" t="s">
        <v>8019</v>
      </c>
      <c r="C87" s="12">
        <v>50</v>
      </c>
      <c r="D87" s="12">
        <v>5</v>
      </c>
    </row>
    <row r="88" spans="1:4" x14ac:dyDescent="0.2">
      <c r="A88" s="12" t="s">
        <v>8064</v>
      </c>
      <c r="B88" s="12" t="s">
        <v>8063</v>
      </c>
      <c r="C88" s="12"/>
      <c r="D88" s="12" t="s">
        <v>59</v>
      </c>
    </row>
    <row r="89" spans="1:4" x14ac:dyDescent="0.2">
      <c r="A89" s="12" t="s">
        <v>4866</v>
      </c>
      <c r="B89" s="12" t="s">
        <v>4865</v>
      </c>
      <c r="C89" s="12" t="s">
        <v>59</v>
      </c>
      <c r="D89" s="12" t="s">
        <v>59</v>
      </c>
    </row>
    <row r="90" spans="1:4" x14ac:dyDescent="0.2">
      <c r="A90" s="12" t="s">
        <v>4888</v>
      </c>
      <c r="B90" s="12" t="s">
        <v>4887</v>
      </c>
      <c r="C90" s="12" t="s">
        <v>59</v>
      </c>
      <c r="D90" s="12" t="s">
        <v>59</v>
      </c>
    </row>
    <row r="91" spans="1:4" x14ac:dyDescent="0.2">
      <c r="A91" s="12" t="s">
        <v>5174</v>
      </c>
      <c r="B91" s="12" t="s">
        <v>5173</v>
      </c>
      <c r="C91" s="12">
        <v>3.6</v>
      </c>
      <c r="D91" s="12">
        <v>4.1000000000000002E-2</v>
      </c>
    </row>
    <row r="92" spans="1:4" x14ac:dyDescent="0.2">
      <c r="A92" s="12" t="s">
        <v>11154</v>
      </c>
      <c r="B92" s="12" t="s">
        <v>11153</v>
      </c>
      <c r="C92" s="12" t="s">
        <v>59</v>
      </c>
      <c r="D92" s="12" t="s">
        <v>59</v>
      </c>
    </row>
    <row r="93" spans="1:4" x14ac:dyDescent="0.2">
      <c r="A93" s="12" t="s">
        <v>12162</v>
      </c>
      <c r="B93" s="12" t="s">
        <v>12161</v>
      </c>
      <c r="C93" s="12">
        <v>100</v>
      </c>
      <c r="D93" s="12">
        <v>10</v>
      </c>
    </row>
    <row r="94" spans="1:4" x14ac:dyDescent="0.2">
      <c r="A94" s="12" t="s">
        <v>9600</v>
      </c>
      <c r="B94" s="12" t="s">
        <v>9599</v>
      </c>
      <c r="C94" s="12">
        <v>50</v>
      </c>
      <c r="D94" s="12">
        <v>5</v>
      </c>
    </row>
    <row r="95" spans="1:4" x14ac:dyDescent="0.2">
      <c r="A95" s="12" t="s">
        <v>9732</v>
      </c>
      <c r="B95" s="12" t="s">
        <v>9731</v>
      </c>
      <c r="C95" s="12">
        <v>20</v>
      </c>
      <c r="D95" s="12">
        <v>2</v>
      </c>
    </row>
    <row r="96" spans="1:4" x14ac:dyDescent="0.2">
      <c r="A96" s="12" t="s">
        <v>9200</v>
      </c>
      <c r="B96" s="12" t="s">
        <v>9199</v>
      </c>
      <c r="C96" s="12">
        <v>300</v>
      </c>
      <c r="D96" s="12">
        <v>30</v>
      </c>
    </row>
    <row r="97" spans="1:4" x14ac:dyDescent="0.2">
      <c r="A97" s="12" t="s">
        <v>9214</v>
      </c>
      <c r="B97" s="12" t="s">
        <v>9213</v>
      </c>
      <c r="C97" s="12" t="s">
        <v>59</v>
      </c>
      <c r="D97" s="12" t="s">
        <v>59</v>
      </c>
    </row>
    <row r="98" spans="1:4" x14ac:dyDescent="0.2">
      <c r="A98" s="12" t="s">
        <v>4075</v>
      </c>
      <c r="B98" s="12" t="s">
        <v>4074</v>
      </c>
      <c r="C98" s="12">
        <v>70</v>
      </c>
      <c r="D98" s="12">
        <v>7</v>
      </c>
    </row>
    <row r="99" spans="1:4" x14ac:dyDescent="0.2">
      <c r="A99" s="12" t="s">
        <v>4801</v>
      </c>
      <c r="B99" s="12" t="s">
        <v>4800</v>
      </c>
      <c r="C99" s="12">
        <v>5.4</v>
      </c>
      <c r="D99" s="12">
        <v>3.3E-3</v>
      </c>
    </row>
    <row r="100" spans="1:4" x14ac:dyDescent="0.2">
      <c r="A100" s="12" t="s">
        <v>2031</v>
      </c>
      <c r="B100" s="12" t="s">
        <v>2030</v>
      </c>
      <c r="C100" s="12">
        <v>1000</v>
      </c>
      <c r="D100" s="12">
        <v>100</v>
      </c>
    </row>
    <row r="101" spans="1:4" x14ac:dyDescent="0.2">
      <c r="A101" s="12" t="s">
        <v>8563</v>
      </c>
      <c r="B101" s="12" t="s">
        <v>8562</v>
      </c>
      <c r="C101" s="12">
        <v>1</v>
      </c>
      <c r="D101" s="12">
        <v>0.1</v>
      </c>
    </row>
    <row r="102" spans="1:4" x14ac:dyDescent="0.2">
      <c r="A102" s="12" t="s">
        <v>10460</v>
      </c>
      <c r="B102" s="12" t="s">
        <v>10459</v>
      </c>
      <c r="C102" s="12" t="s">
        <v>59</v>
      </c>
      <c r="D102" s="12" t="s">
        <v>59</v>
      </c>
    </row>
    <row r="103" spans="1:4" x14ac:dyDescent="0.2">
      <c r="A103" s="12" t="s">
        <v>2506</v>
      </c>
      <c r="B103" s="12" t="s">
        <v>2505</v>
      </c>
      <c r="C103" s="12" t="s">
        <v>59</v>
      </c>
      <c r="D103" s="12" t="s">
        <v>59</v>
      </c>
    </row>
    <row r="104" spans="1:4" x14ac:dyDescent="0.2">
      <c r="A104" s="12" t="s">
        <v>5124</v>
      </c>
      <c r="B104" s="12" t="s">
        <v>5123</v>
      </c>
      <c r="C104" s="12">
        <v>100</v>
      </c>
      <c r="D104" s="12">
        <v>10</v>
      </c>
    </row>
    <row r="105" spans="1:4" x14ac:dyDescent="0.2">
      <c r="A105" s="12" t="s">
        <v>9918</v>
      </c>
      <c r="B105" s="12" t="s">
        <v>9917</v>
      </c>
      <c r="C105" s="12" t="s">
        <v>59</v>
      </c>
      <c r="D105" s="12" t="s">
        <v>59</v>
      </c>
    </row>
    <row r="106" spans="1:4" x14ac:dyDescent="0.2">
      <c r="A106" s="12" t="s">
        <v>4807</v>
      </c>
      <c r="B106" s="12" t="s">
        <v>4806</v>
      </c>
      <c r="C106" s="12">
        <v>5.4</v>
      </c>
      <c r="D106" s="12">
        <v>3.3E-3</v>
      </c>
    </row>
    <row r="107" spans="1:4" x14ac:dyDescent="0.2">
      <c r="A107" s="12" t="s">
        <v>4874</v>
      </c>
      <c r="B107" s="12" t="s">
        <v>4873</v>
      </c>
      <c r="C107" s="12" t="s">
        <v>59</v>
      </c>
      <c r="D107" s="12" t="s">
        <v>59</v>
      </c>
    </row>
    <row r="108" spans="1:4" x14ac:dyDescent="0.2">
      <c r="A108" s="12" t="s">
        <v>5340</v>
      </c>
      <c r="B108" s="12" t="s">
        <v>5339</v>
      </c>
      <c r="C108" s="12">
        <v>0.21</v>
      </c>
      <c r="D108" s="12">
        <v>1.6999999999999999E-3</v>
      </c>
    </row>
    <row r="109" spans="1:4" x14ac:dyDescent="0.2">
      <c r="A109" s="12" t="s">
        <v>11089</v>
      </c>
      <c r="B109" s="12" t="s">
        <v>11088</v>
      </c>
      <c r="C109" s="12" t="s">
        <v>59</v>
      </c>
      <c r="D109" s="12" t="s">
        <v>59</v>
      </c>
    </row>
    <row r="110" spans="1:4" x14ac:dyDescent="0.2">
      <c r="A110" s="12" t="s">
        <v>10436</v>
      </c>
      <c r="B110" s="12" t="s">
        <v>10435</v>
      </c>
      <c r="C110" s="12" t="s">
        <v>59</v>
      </c>
      <c r="D110" s="12" t="s">
        <v>59</v>
      </c>
    </row>
    <row r="111" spans="1:4" x14ac:dyDescent="0.2">
      <c r="A111" s="12" t="s">
        <v>5433</v>
      </c>
      <c r="B111" s="12" t="s">
        <v>5432</v>
      </c>
      <c r="C111" s="12">
        <v>10</v>
      </c>
      <c r="D111" s="12">
        <v>1</v>
      </c>
    </row>
    <row r="112" spans="1:4" x14ac:dyDescent="0.2">
      <c r="A112" s="12" t="s">
        <v>1662</v>
      </c>
      <c r="B112" s="12" t="s">
        <v>1661</v>
      </c>
      <c r="C112" s="12">
        <v>350</v>
      </c>
      <c r="D112" s="12">
        <v>35</v>
      </c>
    </row>
    <row r="113" spans="1:4" x14ac:dyDescent="0.2">
      <c r="A113" s="12" t="s">
        <v>6738</v>
      </c>
      <c r="B113" s="12" t="s">
        <v>6737</v>
      </c>
      <c r="C113" s="12">
        <v>110</v>
      </c>
      <c r="D113" s="12">
        <v>11</v>
      </c>
    </row>
    <row r="114" spans="1:4" x14ac:dyDescent="0.2">
      <c r="A114" s="12" t="s">
        <v>4020</v>
      </c>
      <c r="B114" s="12" t="s">
        <v>4019</v>
      </c>
      <c r="C114" s="12" t="s">
        <v>59</v>
      </c>
      <c r="D114" s="12" t="s">
        <v>59</v>
      </c>
    </row>
    <row r="115" spans="1:4" x14ac:dyDescent="0.2">
      <c r="A115" s="12" t="s">
        <v>5172</v>
      </c>
      <c r="B115" s="12" t="s">
        <v>5171</v>
      </c>
      <c r="C115" s="12">
        <v>3.6</v>
      </c>
      <c r="D115" s="12">
        <v>4.1000000000000002E-2</v>
      </c>
    </row>
    <row r="116" spans="1:4" x14ac:dyDescent="0.2">
      <c r="A116" s="12" t="s">
        <v>5332</v>
      </c>
      <c r="B116" s="12" t="s">
        <v>5331</v>
      </c>
      <c r="C116" s="12">
        <v>0.21</v>
      </c>
      <c r="D116" s="12">
        <v>1.6999999999999999E-3</v>
      </c>
    </row>
    <row r="117" spans="1:4" x14ac:dyDescent="0.2">
      <c r="A117" s="12" t="s">
        <v>1799</v>
      </c>
      <c r="B117" s="12" t="s">
        <v>1798</v>
      </c>
      <c r="C117" s="12">
        <v>600</v>
      </c>
      <c r="D117" s="12">
        <v>60</v>
      </c>
    </row>
    <row r="118" spans="1:4" x14ac:dyDescent="0.2">
      <c r="A118" s="12" t="s">
        <v>406</v>
      </c>
      <c r="B118" s="12" t="s">
        <v>405</v>
      </c>
      <c r="C118" s="12">
        <v>30</v>
      </c>
      <c r="D118" s="12">
        <v>3</v>
      </c>
    </row>
    <row r="119" spans="1:4" x14ac:dyDescent="0.2">
      <c r="A119" s="12" t="s">
        <v>5938</v>
      </c>
      <c r="B119" s="12" t="s">
        <v>5937</v>
      </c>
      <c r="C119" s="12">
        <v>720</v>
      </c>
      <c r="D119" s="12">
        <v>72</v>
      </c>
    </row>
    <row r="120" spans="1:4" x14ac:dyDescent="0.2">
      <c r="A120" s="12" t="s">
        <v>5942</v>
      </c>
      <c r="B120" s="12" t="s">
        <v>5941</v>
      </c>
      <c r="C120" s="12">
        <v>260</v>
      </c>
      <c r="D120" s="12">
        <v>26</v>
      </c>
    </row>
    <row r="121" spans="1:4" x14ac:dyDescent="0.2">
      <c r="A121" s="12" t="s">
        <v>4435</v>
      </c>
      <c r="B121" s="12" t="s">
        <v>4434</v>
      </c>
      <c r="C121" s="12">
        <v>370</v>
      </c>
      <c r="D121" s="12">
        <v>37</v>
      </c>
    </row>
    <row r="122" spans="1:4" x14ac:dyDescent="0.2">
      <c r="A122" s="12" t="s">
        <v>9609</v>
      </c>
      <c r="B122" s="12" t="s">
        <v>9608</v>
      </c>
      <c r="C122" s="12">
        <v>100</v>
      </c>
      <c r="D122" s="12">
        <v>10</v>
      </c>
    </row>
    <row r="123" spans="1:4" x14ac:dyDescent="0.2">
      <c r="A123" s="12" t="s">
        <v>3036</v>
      </c>
      <c r="B123" s="12" t="s">
        <v>3035</v>
      </c>
      <c r="C123" s="12">
        <v>5</v>
      </c>
      <c r="D123" s="12">
        <v>0.5</v>
      </c>
    </row>
    <row r="124" spans="1:4" x14ac:dyDescent="0.2">
      <c r="A124" s="12" t="s">
        <v>6559</v>
      </c>
      <c r="B124" s="12" t="s">
        <v>6558</v>
      </c>
      <c r="C124" s="12">
        <v>10</v>
      </c>
      <c r="D124" s="12">
        <v>1</v>
      </c>
    </row>
    <row r="125" spans="1:4" x14ac:dyDescent="0.2">
      <c r="A125" s="12" t="s">
        <v>6211</v>
      </c>
      <c r="B125" s="12" t="s">
        <v>6210</v>
      </c>
      <c r="C125" s="12">
        <v>100</v>
      </c>
      <c r="D125" s="12">
        <v>10</v>
      </c>
    </row>
    <row r="126" spans="1:4" x14ac:dyDescent="0.2">
      <c r="A126" s="12" t="s">
        <v>12504</v>
      </c>
      <c r="B126" s="12" t="s">
        <v>2983</v>
      </c>
      <c r="C126" s="12">
        <v>8.1</v>
      </c>
      <c r="D126" s="12">
        <v>0.55000000000000004</v>
      </c>
    </row>
    <row r="127" spans="1:4" x14ac:dyDescent="0.2">
      <c r="A127" s="12" t="s">
        <v>12505</v>
      </c>
      <c r="B127" s="12" t="s">
        <v>2983</v>
      </c>
      <c r="C127" s="12">
        <v>3.3</v>
      </c>
      <c r="D127" s="12">
        <v>6.3E-2</v>
      </c>
    </row>
    <row r="128" spans="1:4" x14ac:dyDescent="0.2">
      <c r="A128" s="12" t="s">
        <v>2991</v>
      </c>
      <c r="B128" s="12" t="s">
        <v>2990</v>
      </c>
      <c r="C128" s="12">
        <v>8</v>
      </c>
      <c r="D128" s="12">
        <v>0.8</v>
      </c>
    </row>
    <row r="129" spans="1:4" x14ac:dyDescent="0.2">
      <c r="A129" s="12" t="s">
        <v>6243</v>
      </c>
      <c r="B129" s="12" t="s">
        <v>6242</v>
      </c>
      <c r="C129" s="12">
        <v>125</v>
      </c>
      <c r="D129" s="12">
        <v>12.5</v>
      </c>
    </row>
    <row r="130" spans="1:4" x14ac:dyDescent="0.2">
      <c r="A130" s="12" t="s">
        <v>5855</v>
      </c>
      <c r="B130" s="12" t="s">
        <v>5854</v>
      </c>
      <c r="C130" s="12">
        <v>83</v>
      </c>
      <c r="D130" s="12">
        <v>8.3000000000000007</v>
      </c>
    </row>
    <row r="131" spans="1:4" x14ac:dyDescent="0.2">
      <c r="A131" s="12" t="s">
        <v>6227</v>
      </c>
      <c r="B131" s="12" t="s">
        <v>6226</v>
      </c>
      <c r="C131" s="12">
        <v>70</v>
      </c>
      <c r="D131" s="12">
        <v>7</v>
      </c>
    </row>
    <row r="132" spans="1:4" x14ac:dyDescent="0.2">
      <c r="A132" s="12" t="s">
        <v>7530</v>
      </c>
      <c r="B132" s="12" t="s">
        <v>7529</v>
      </c>
      <c r="C132" s="12">
        <v>100</v>
      </c>
      <c r="D132" s="12">
        <v>10</v>
      </c>
    </row>
    <row r="133" spans="1:4" x14ac:dyDescent="0.2">
      <c r="A133" s="12" t="s">
        <v>5987</v>
      </c>
      <c r="B133" s="12" t="s">
        <v>5986</v>
      </c>
      <c r="C133" s="12" t="s">
        <v>59</v>
      </c>
      <c r="D133" s="12" t="s">
        <v>59</v>
      </c>
    </row>
    <row r="134" spans="1:4" x14ac:dyDescent="0.2">
      <c r="A134" s="12" t="s">
        <v>5988</v>
      </c>
      <c r="B134" s="12" t="s">
        <v>5986</v>
      </c>
      <c r="C134" s="12">
        <v>1000</v>
      </c>
      <c r="D134" s="12">
        <v>100</v>
      </c>
    </row>
    <row r="135" spans="1:4" x14ac:dyDescent="0.2">
      <c r="A135" s="12" t="s">
        <v>3988</v>
      </c>
      <c r="B135" s="12" t="s">
        <v>3987</v>
      </c>
      <c r="C135" s="12" t="s">
        <v>59</v>
      </c>
      <c r="D135" s="12" t="s">
        <v>59</v>
      </c>
    </row>
    <row r="136" spans="1:4" x14ac:dyDescent="0.2">
      <c r="A136" s="12" t="s">
        <v>1218</v>
      </c>
      <c r="B136" s="12" t="s">
        <v>1217</v>
      </c>
      <c r="C136" s="12">
        <v>5700</v>
      </c>
      <c r="D136" s="12">
        <v>570</v>
      </c>
    </row>
    <row r="137" spans="1:4" x14ac:dyDescent="0.2">
      <c r="A137" s="12" t="s">
        <v>1219</v>
      </c>
      <c r="B137" s="12" t="s">
        <v>1217</v>
      </c>
      <c r="C137" s="12" t="s">
        <v>59</v>
      </c>
      <c r="D137" s="12" t="s">
        <v>59</v>
      </c>
    </row>
    <row r="138" spans="1:4" x14ac:dyDescent="0.2">
      <c r="A138" s="12" t="s">
        <v>10378</v>
      </c>
      <c r="B138" s="12" t="s">
        <v>10377</v>
      </c>
      <c r="C138" s="12" t="s">
        <v>59</v>
      </c>
      <c r="D138" s="12" t="s">
        <v>59</v>
      </c>
    </row>
    <row r="139" spans="1:4" x14ac:dyDescent="0.2">
      <c r="A139" s="12" t="s">
        <v>4059</v>
      </c>
      <c r="B139" s="12" t="s">
        <v>4058</v>
      </c>
      <c r="C139" s="12" t="s">
        <v>59</v>
      </c>
      <c r="D139" s="12" t="s">
        <v>59</v>
      </c>
    </row>
    <row r="140" spans="1:4" x14ac:dyDescent="0.2">
      <c r="A140" s="12" t="s">
        <v>8956</v>
      </c>
      <c r="B140" s="12" t="s">
        <v>8955</v>
      </c>
      <c r="C140" s="12">
        <v>60</v>
      </c>
      <c r="D140" s="12">
        <v>6</v>
      </c>
    </row>
    <row r="141" spans="1:4" x14ac:dyDescent="0.2">
      <c r="A141" s="12" t="s">
        <v>3433</v>
      </c>
      <c r="B141" s="12" t="s">
        <v>3432</v>
      </c>
      <c r="C141" s="12" t="s">
        <v>59</v>
      </c>
      <c r="D141" s="12" t="s">
        <v>59</v>
      </c>
    </row>
    <row r="142" spans="1:4" x14ac:dyDescent="0.2">
      <c r="A142" s="12" t="s">
        <v>3434</v>
      </c>
      <c r="B142" s="12" t="s">
        <v>3432</v>
      </c>
      <c r="C142" s="12">
        <v>450</v>
      </c>
      <c r="D142" s="12">
        <v>45</v>
      </c>
    </row>
    <row r="143" spans="1:4" x14ac:dyDescent="0.2">
      <c r="A143" s="12" t="s">
        <v>2629</v>
      </c>
      <c r="B143" s="12" t="s">
        <v>2628</v>
      </c>
      <c r="C143" s="12">
        <v>20</v>
      </c>
      <c r="D143" s="12">
        <v>2</v>
      </c>
    </row>
    <row r="144" spans="1:4" x14ac:dyDescent="0.2">
      <c r="A144" s="12" t="s">
        <v>606</v>
      </c>
      <c r="B144" s="12" t="s">
        <v>605</v>
      </c>
      <c r="C144" s="12">
        <v>50</v>
      </c>
      <c r="D144" s="12">
        <v>5</v>
      </c>
    </row>
    <row r="145" spans="1:4" x14ac:dyDescent="0.2">
      <c r="A145" s="12" t="s">
        <v>3155</v>
      </c>
      <c r="B145" s="12" t="s">
        <v>3154</v>
      </c>
      <c r="C145" s="12">
        <v>4</v>
      </c>
      <c r="D145" s="12">
        <v>0.4</v>
      </c>
    </row>
    <row r="146" spans="1:4" x14ac:dyDescent="0.2">
      <c r="A146" s="12" t="s">
        <v>5305</v>
      </c>
      <c r="B146" s="12" t="s">
        <v>5304</v>
      </c>
      <c r="C146" s="12">
        <v>0.21</v>
      </c>
      <c r="D146" s="12">
        <v>1.6999999999999999E-3</v>
      </c>
    </row>
    <row r="147" spans="1:4" x14ac:dyDescent="0.2">
      <c r="A147" s="12" t="s">
        <v>11121</v>
      </c>
      <c r="B147" s="12" t="s">
        <v>11120</v>
      </c>
      <c r="C147" s="12" t="s">
        <v>59</v>
      </c>
      <c r="D147" s="12" t="s">
        <v>59</v>
      </c>
    </row>
    <row r="148" spans="1:4" x14ac:dyDescent="0.2">
      <c r="A148" s="12" t="s">
        <v>2460</v>
      </c>
      <c r="B148" s="12" t="s">
        <v>2459</v>
      </c>
      <c r="C148" s="12">
        <v>220</v>
      </c>
      <c r="D148" s="12">
        <v>22</v>
      </c>
    </row>
    <row r="149" spans="1:4" x14ac:dyDescent="0.2">
      <c r="A149" s="12" t="s">
        <v>10573</v>
      </c>
      <c r="B149" s="12" t="s">
        <v>10572</v>
      </c>
      <c r="C149" s="12">
        <v>730</v>
      </c>
      <c r="D149" s="12">
        <v>73</v>
      </c>
    </row>
    <row r="150" spans="1:4" x14ac:dyDescent="0.2">
      <c r="A150" s="12" t="s">
        <v>2940</v>
      </c>
      <c r="B150" s="12" t="s">
        <v>2939</v>
      </c>
      <c r="C150" s="12">
        <v>240</v>
      </c>
      <c r="D150" s="12">
        <v>24</v>
      </c>
    </row>
    <row r="151" spans="1:4" x14ac:dyDescent="0.2">
      <c r="A151" s="12" t="s">
        <v>1442</v>
      </c>
      <c r="B151" s="12" t="s">
        <v>1441</v>
      </c>
      <c r="C151" s="12">
        <v>20</v>
      </c>
      <c r="D151" s="12">
        <v>2</v>
      </c>
    </row>
    <row r="152" spans="1:4" x14ac:dyDescent="0.2">
      <c r="A152" s="12" t="s">
        <v>376</v>
      </c>
      <c r="B152" s="12" t="s">
        <v>375</v>
      </c>
      <c r="C152" s="12">
        <v>20</v>
      </c>
      <c r="D152" s="12">
        <v>2</v>
      </c>
    </row>
    <row r="153" spans="1:4" x14ac:dyDescent="0.2">
      <c r="A153" s="12" t="s">
        <v>642</v>
      </c>
      <c r="B153" s="12" t="s">
        <v>641</v>
      </c>
      <c r="C153" s="12">
        <v>2450</v>
      </c>
      <c r="D153" s="12">
        <v>245</v>
      </c>
    </row>
    <row r="154" spans="1:4" x14ac:dyDescent="0.2">
      <c r="A154" s="12" t="s">
        <v>5833</v>
      </c>
      <c r="B154" s="12" t="s">
        <v>5832</v>
      </c>
      <c r="C154" s="12">
        <v>0.7</v>
      </c>
      <c r="D154" s="12">
        <v>0.1</v>
      </c>
    </row>
    <row r="155" spans="1:4" x14ac:dyDescent="0.2">
      <c r="A155" s="12" t="s">
        <v>4389</v>
      </c>
      <c r="B155" s="12" t="s">
        <v>4388</v>
      </c>
      <c r="C155" s="12">
        <v>480</v>
      </c>
      <c r="D155" s="12">
        <v>48</v>
      </c>
    </row>
    <row r="156" spans="1:4" x14ac:dyDescent="0.2">
      <c r="A156" s="12" t="s">
        <v>1512</v>
      </c>
      <c r="B156" s="12" t="s">
        <v>1511</v>
      </c>
      <c r="C156" s="12">
        <v>100</v>
      </c>
      <c r="D156" s="12">
        <v>10</v>
      </c>
    </row>
    <row r="157" spans="1:4" x14ac:dyDescent="0.2">
      <c r="A157" s="12" t="s">
        <v>5580</v>
      </c>
      <c r="B157" s="12" t="s">
        <v>5579</v>
      </c>
      <c r="C157" s="12">
        <v>100</v>
      </c>
      <c r="D157" s="12">
        <v>10</v>
      </c>
    </row>
    <row r="158" spans="1:4" x14ac:dyDescent="0.2">
      <c r="A158" s="12" t="s">
        <v>7400</v>
      </c>
      <c r="B158" s="12" t="s">
        <v>7399</v>
      </c>
      <c r="C158" s="12">
        <v>0.5</v>
      </c>
      <c r="D158" s="12">
        <v>0.05</v>
      </c>
    </row>
    <row r="159" spans="1:4" x14ac:dyDescent="0.2">
      <c r="A159" s="12" t="s">
        <v>11928</v>
      </c>
      <c r="B159" s="12" t="s">
        <v>11927</v>
      </c>
      <c r="C159" s="12">
        <v>50</v>
      </c>
      <c r="D159" s="12">
        <v>5</v>
      </c>
    </row>
    <row r="160" spans="1:4" x14ac:dyDescent="0.2">
      <c r="A160" s="12" t="s">
        <v>5859</v>
      </c>
      <c r="B160" s="12" t="s">
        <v>5858</v>
      </c>
      <c r="C160" s="12" t="s">
        <v>59</v>
      </c>
      <c r="D160" s="12" t="s">
        <v>59</v>
      </c>
    </row>
    <row r="161" spans="1:4" x14ac:dyDescent="0.2">
      <c r="A161" s="12" t="s">
        <v>2982</v>
      </c>
      <c r="B161" s="12" t="s">
        <v>2981</v>
      </c>
      <c r="C161" s="12">
        <v>50</v>
      </c>
      <c r="D161" s="12">
        <v>5</v>
      </c>
    </row>
    <row r="162" spans="1:4" x14ac:dyDescent="0.2">
      <c r="A162" s="12" t="s">
        <v>8835</v>
      </c>
      <c r="B162" s="12" t="s">
        <v>8834</v>
      </c>
      <c r="C162" s="12">
        <v>640</v>
      </c>
      <c r="D162" s="12">
        <v>64</v>
      </c>
    </row>
    <row r="163" spans="1:4" x14ac:dyDescent="0.2">
      <c r="A163" s="12" t="s">
        <v>8702</v>
      </c>
      <c r="B163" s="12" t="s">
        <v>8701</v>
      </c>
      <c r="C163" s="12">
        <v>2</v>
      </c>
      <c r="D163" s="12">
        <v>0.2</v>
      </c>
    </row>
    <row r="164" spans="1:4" x14ac:dyDescent="0.2">
      <c r="A164" s="12" t="s">
        <v>11873</v>
      </c>
      <c r="B164" s="12" t="s">
        <v>11872</v>
      </c>
      <c r="C164" s="12">
        <v>10000</v>
      </c>
      <c r="D164" s="12">
        <v>1000</v>
      </c>
    </row>
    <row r="165" spans="1:4" x14ac:dyDescent="0.2">
      <c r="A165" s="12" t="s">
        <v>12170</v>
      </c>
      <c r="B165" s="12" t="s">
        <v>12169</v>
      </c>
      <c r="C165" s="12">
        <v>270</v>
      </c>
      <c r="D165" s="12">
        <v>5.4</v>
      </c>
    </row>
    <row r="166" spans="1:4" x14ac:dyDescent="0.2">
      <c r="A166" s="12" t="s">
        <v>11930</v>
      </c>
      <c r="B166" s="12" t="s">
        <v>11929</v>
      </c>
      <c r="C166" s="12">
        <v>60</v>
      </c>
      <c r="D166" s="12">
        <v>6</v>
      </c>
    </row>
    <row r="167" spans="1:4" x14ac:dyDescent="0.2">
      <c r="A167" s="12" t="s">
        <v>11996</v>
      </c>
      <c r="B167" s="12" t="s">
        <v>11995</v>
      </c>
      <c r="C167" s="12">
        <v>51</v>
      </c>
      <c r="D167" s="12">
        <v>7.5</v>
      </c>
    </row>
    <row r="168" spans="1:4" x14ac:dyDescent="0.2">
      <c r="A168" s="12" t="s">
        <v>7325</v>
      </c>
      <c r="B168" s="12" t="s">
        <v>7324</v>
      </c>
      <c r="C168" s="12">
        <v>220</v>
      </c>
      <c r="D168" s="12">
        <v>22</v>
      </c>
    </row>
    <row r="169" spans="1:4" x14ac:dyDescent="0.2">
      <c r="A169" s="12" t="s">
        <v>8022</v>
      </c>
      <c r="B169" s="12" t="s">
        <v>8021</v>
      </c>
      <c r="C169" s="12">
        <v>50</v>
      </c>
      <c r="D169" s="12">
        <v>5</v>
      </c>
    </row>
    <row r="170" spans="1:4" x14ac:dyDescent="0.2">
      <c r="A170" s="12" t="s">
        <v>10920</v>
      </c>
      <c r="B170" s="12" t="s">
        <v>10919</v>
      </c>
      <c r="C170" s="12" t="s">
        <v>59</v>
      </c>
      <c r="D170" s="12" t="s">
        <v>59</v>
      </c>
    </row>
    <row r="171" spans="1:4" x14ac:dyDescent="0.2">
      <c r="A171" s="12" t="s">
        <v>10921</v>
      </c>
      <c r="B171" s="12" t="s">
        <v>10919</v>
      </c>
      <c r="C171" s="12">
        <v>1000</v>
      </c>
      <c r="D171" s="12">
        <v>100</v>
      </c>
    </row>
    <row r="172" spans="1:4" x14ac:dyDescent="0.2">
      <c r="A172" s="12" t="s">
        <v>9081</v>
      </c>
      <c r="B172" s="12" t="s">
        <v>9080</v>
      </c>
      <c r="C172" s="12">
        <v>500</v>
      </c>
      <c r="D172" s="12">
        <v>50</v>
      </c>
    </row>
    <row r="173" spans="1:4" x14ac:dyDescent="0.2">
      <c r="A173" s="12" t="s">
        <v>2365</v>
      </c>
      <c r="B173" s="12" t="s">
        <v>2364</v>
      </c>
      <c r="C173" s="12">
        <v>140</v>
      </c>
      <c r="D173" s="12">
        <v>14</v>
      </c>
    </row>
    <row r="174" spans="1:4" x14ac:dyDescent="0.2">
      <c r="A174" s="12" t="s">
        <v>11946</v>
      </c>
      <c r="B174" s="12" t="s">
        <v>11945</v>
      </c>
      <c r="C174" s="12">
        <v>50</v>
      </c>
      <c r="D174" s="12">
        <v>5</v>
      </c>
    </row>
    <row r="175" spans="1:4" x14ac:dyDescent="0.2">
      <c r="A175" s="12" t="s">
        <v>2504</v>
      </c>
      <c r="B175" s="12" t="s">
        <v>2503</v>
      </c>
      <c r="C175" s="12">
        <v>270</v>
      </c>
      <c r="D175" s="12">
        <v>5.4</v>
      </c>
    </row>
    <row r="176" spans="1:4" x14ac:dyDescent="0.2">
      <c r="A176" s="12" t="s">
        <v>11942</v>
      </c>
      <c r="B176" s="12" t="s">
        <v>11941</v>
      </c>
      <c r="C176" s="12">
        <v>100</v>
      </c>
      <c r="D176" s="12">
        <v>10</v>
      </c>
    </row>
    <row r="177" spans="1:4" x14ac:dyDescent="0.2">
      <c r="A177" s="12" t="s">
        <v>4526</v>
      </c>
      <c r="B177" s="12" t="s">
        <v>4525</v>
      </c>
      <c r="C177" s="12">
        <v>100</v>
      </c>
      <c r="D177" s="12">
        <v>10</v>
      </c>
    </row>
    <row r="178" spans="1:4" x14ac:dyDescent="0.2">
      <c r="A178" s="12" t="s">
        <v>4528</v>
      </c>
      <c r="B178" s="12" t="s">
        <v>4527</v>
      </c>
      <c r="C178" s="12">
        <v>5</v>
      </c>
      <c r="D178" s="12">
        <v>0.5</v>
      </c>
    </row>
    <row r="179" spans="1:4" x14ac:dyDescent="0.2">
      <c r="A179" s="12" t="s">
        <v>1645</v>
      </c>
      <c r="B179" s="12" t="s">
        <v>1644</v>
      </c>
      <c r="C179" s="12">
        <v>5700</v>
      </c>
      <c r="D179" s="12">
        <v>570</v>
      </c>
    </row>
    <row r="180" spans="1:4" x14ac:dyDescent="0.2">
      <c r="A180" s="12" t="s">
        <v>4190</v>
      </c>
      <c r="B180" s="12" t="s">
        <v>4189</v>
      </c>
      <c r="C180" s="12">
        <v>0.39</v>
      </c>
      <c r="D180" s="12">
        <v>4.3E-3</v>
      </c>
    </row>
    <row r="181" spans="1:4" x14ac:dyDescent="0.2">
      <c r="A181" s="12" t="s">
        <v>9910</v>
      </c>
      <c r="B181" s="12" t="s">
        <v>9909</v>
      </c>
      <c r="C181" s="12">
        <v>10</v>
      </c>
      <c r="D181" s="12">
        <v>1</v>
      </c>
    </row>
    <row r="182" spans="1:4" x14ac:dyDescent="0.2">
      <c r="A182" s="12" t="s">
        <v>8070</v>
      </c>
      <c r="B182" s="12" t="s">
        <v>8069</v>
      </c>
      <c r="C182" s="12"/>
      <c r="D182" s="12" t="s">
        <v>59</v>
      </c>
    </row>
    <row r="183" spans="1:4" x14ac:dyDescent="0.2">
      <c r="A183" s="12" t="s">
        <v>10462</v>
      </c>
      <c r="B183" s="12" t="s">
        <v>10461</v>
      </c>
      <c r="C183" s="12">
        <v>20</v>
      </c>
      <c r="D183" s="12">
        <v>2</v>
      </c>
    </row>
    <row r="184" spans="1:4" x14ac:dyDescent="0.2">
      <c r="A184" s="12" t="s">
        <v>3259</v>
      </c>
      <c r="B184" s="12" t="s">
        <v>3258</v>
      </c>
      <c r="C184" s="12">
        <v>1500</v>
      </c>
      <c r="D184" s="12">
        <v>150</v>
      </c>
    </row>
    <row r="185" spans="1:4" x14ac:dyDescent="0.2">
      <c r="A185" s="12" t="s">
        <v>2102</v>
      </c>
      <c r="B185" s="12" t="s">
        <v>2101</v>
      </c>
      <c r="C185" s="12">
        <v>1400</v>
      </c>
      <c r="D185" s="12">
        <v>140</v>
      </c>
    </row>
    <row r="186" spans="1:4" x14ac:dyDescent="0.2">
      <c r="A186" s="12" t="s">
        <v>2104</v>
      </c>
      <c r="B186" s="12" t="s">
        <v>2103</v>
      </c>
      <c r="C186" s="12">
        <v>380</v>
      </c>
      <c r="D186" s="12">
        <v>38</v>
      </c>
    </row>
    <row r="187" spans="1:4" x14ac:dyDescent="0.2">
      <c r="A187" s="12" t="s">
        <v>3335</v>
      </c>
      <c r="B187" s="12" t="s">
        <v>3334</v>
      </c>
      <c r="C187" s="12">
        <v>1500</v>
      </c>
      <c r="D187" s="12">
        <v>150</v>
      </c>
    </row>
    <row r="188" spans="1:4" x14ac:dyDescent="0.2">
      <c r="A188" s="12" t="s">
        <v>5679</v>
      </c>
      <c r="B188" s="12" t="s">
        <v>5678</v>
      </c>
      <c r="C188" s="12">
        <v>4300</v>
      </c>
      <c r="D188" s="12">
        <v>430</v>
      </c>
    </row>
    <row r="189" spans="1:4" x14ac:dyDescent="0.2">
      <c r="A189" s="12" t="s">
        <v>6201</v>
      </c>
      <c r="B189" s="12" t="s">
        <v>6200</v>
      </c>
      <c r="C189" s="12">
        <v>100</v>
      </c>
      <c r="D189" s="12">
        <v>10</v>
      </c>
    </row>
    <row r="190" spans="1:4" x14ac:dyDescent="0.2">
      <c r="A190" s="12" t="s">
        <v>5748</v>
      </c>
      <c r="B190" s="12" t="s">
        <v>5747</v>
      </c>
      <c r="C190" s="12" t="s">
        <v>59</v>
      </c>
      <c r="D190" s="12" t="s">
        <v>59</v>
      </c>
    </row>
    <row r="191" spans="1:4" x14ac:dyDescent="0.2">
      <c r="A191" s="12" t="s">
        <v>5749</v>
      </c>
      <c r="B191" s="12" t="s">
        <v>5747</v>
      </c>
      <c r="C191" s="12">
        <v>1000</v>
      </c>
      <c r="D191" s="12">
        <v>100</v>
      </c>
    </row>
    <row r="192" spans="1:4" x14ac:dyDescent="0.2">
      <c r="A192" s="12" t="s">
        <v>9692</v>
      </c>
      <c r="B192" s="12" t="s">
        <v>9691</v>
      </c>
      <c r="C192" s="12">
        <v>1000</v>
      </c>
      <c r="D192" s="12">
        <v>100</v>
      </c>
    </row>
    <row r="193" spans="1:4" x14ac:dyDescent="0.2">
      <c r="A193" s="12" t="s">
        <v>11145</v>
      </c>
      <c r="B193" s="12" t="s">
        <v>11144</v>
      </c>
      <c r="C193" s="12">
        <v>20</v>
      </c>
      <c r="D193" s="12">
        <v>2</v>
      </c>
    </row>
    <row r="194" spans="1:4" x14ac:dyDescent="0.2">
      <c r="A194" s="12" t="s">
        <v>11808</v>
      </c>
      <c r="B194" s="12" t="s">
        <v>11807</v>
      </c>
      <c r="C194" s="12">
        <v>50</v>
      </c>
      <c r="D194" s="12">
        <v>5</v>
      </c>
    </row>
    <row r="195" spans="1:4" x14ac:dyDescent="0.2">
      <c r="A195" s="12" t="s">
        <v>12298</v>
      </c>
      <c r="B195" s="12" t="s">
        <v>12297</v>
      </c>
      <c r="C195" s="12">
        <v>290</v>
      </c>
      <c r="D195" s="12">
        <v>29</v>
      </c>
    </row>
    <row r="196" spans="1:4" x14ac:dyDescent="0.2">
      <c r="A196" s="12" t="s">
        <v>9832</v>
      </c>
      <c r="B196" s="12" t="s">
        <v>9831</v>
      </c>
      <c r="C196" s="12">
        <v>1000</v>
      </c>
      <c r="D196" s="12">
        <v>100</v>
      </c>
    </row>
    <row r="197" spans="1:4" x14ac:dyDescent="0.2">
      <c r="A197" s="12" t="s">
        <v>9836</v>
      </c>
      <c r="B197" s="12" t="s">
        <v>9835</v>
      </c>
      <c r="C197" s="12">
        <v>1000</v>
      </c>
      <c r="D197" s="12">
        <v>100</v>
      </c>
    </row>
    <row r="198" spans="1:4" x14ac:dyDescent="0.2">
      <c r="A198" s="12" t="s">
        <v>5751</v>
      </c>
      <c r="B198" s="12" t="s">
        <v>5750</v>
      </c>
      <c r="C198" s="12">
        <v>125</v>
      </c>
      <c r="D198" s="12">
        <v>12.5</v>
      </c>
    </row>
    <row r="199" spans="1:4" x14ac:dyDescent="0.2">
      <c r="A199" s="12" t="s">
        <v>9834</v>
      </c>
      <c r="B199" s="12" t="s">
        <v>9833</v>
      </c>
      <c r="C199" s="12">
        <v>1000</v>
      </c>
      <c r="D199" s="12">
        <v>100</v>
      </c>
    </row>
    <row r="200" spans="1:4" x14ac:dyDescent="0.2">
      <c r="A200" s="12" t="s">
        <v>2627</v>
      </c>
      <c r="B200" s="12" t="s">
        <v>2626</v>
      </c>
      <c r="C200" s="12">
        <v>90</v>
      </c>
      <c r="D200" s="12">
        <v>9</v>
      </c>
    </row>
    <row r="201" spans="1:4" x14ac:dyDescent="0.2">
      <c r="A201" s="12" t="s">
        <v>10116</v>
      </c>
      <c r="B201" s="12" t="s">
        <v>10115</v>
      </c>
      <c r="C201" s="12" t="s">
        <v>59</v>
      </c>
      <c r="D201" s="12" t="s">
        <v>59</v>
      </c>
    </row>
    <row r="202" spans="1:4" x14ac:dyDescent="0.2">
      <c r="A202" s="12" t="s">
        <v>10117</v>
      </c>
      <c r="B202" s="12" t="s">
        <v>10115</v>
      </c>
      <c r="C202" s="12">
        <v>500</v>
      </c>
      <c r="D202" s="12">
        <v>50</v>
      </c>
    </row>
    <row r="203" spans="1:4" x14ac:dyDescent="0.2">
      <c r="A203" s="12" t="s">
        <v>4188</v>
      </c>
      <c r="B203" s="12" t="s">
        <v>4187</v>
      </c>
      <c r="C203" s="12">
        <v>5</v>
      </c>
      <c r="D203" s="12">
        <v>0.5</v>
      </c>
    </row>
    <row r="204" spans="1:4" x14ac:dyDescent="0.2">
      <c r="A204" s="12" t="s">
        <v>10480</v>
      </c>
      <c r="B204" s="12" t="s">
        <v>10479</v>
      </c>
      <c r="C204" s="12" t="s">
        <v>59</v>
      </c>
      <c r="D204" s="12" t="s">
        <v>59</v>
      </c>
    </row>
    <row r="205" spans="1:4" x14ac:dyDescent="0.2">
      <c r="A205" s="12" t="s">
        <v>10484</v>
      </c>
      <c r="B205" s="12" t="s">
        <v>10483</v>
      </c>
      <c r="C205" s="12" t="s">
        <v>59</v>
      </c>
      <c r="D205" s="12" t="s">
        <v>59</v>
      </c>
    </row>
    <row r="206" spans="1:4" x14ac:dyDescent="0.2">
      <c r="A206" s="12" t="s">
        <v>10793</v>
      </c>
      <c r="B206" s="12" t="s">
        <v>10792</v>
      </c>
      <c r="C206" s="12">
        <v>50</v>
      </c>
      <c r="D206" s="12">
        <v>5</v>
      </c>
    </row>
    <row r="207" spans="1:4" x14ac:dyDescent="0.2">
      <c r="A207" s="12" t="s">
        <v>9334</v>
      </c>
      <c r="B207" s="12" t="s">
        <v>9333</v>
      </c>
      <c r="C207" s="12">
        <v>2500</v>
      </c>
      <c r="D207" s="12">
        <v>250</v>
      </c>
    </row>
    <row r="208" spans="1:4" x14ac:dyDescent="0.2">
      <c r="A208" s="12" t="s">
        <v>10620</v>
      </c>
      <c r="B208" s="12" t="s">
        <v>10619</v>
      </c>
      <c r="C208" s="12" t="s">
        <v>59</v>
      </c>
      <c r="D208" s="12" t="s">
        <v>59</v>
      </c>
    </row>
    <row r="209" spans="1:4" x14ac:dyDescent="0.2">
      <c r="A209" s="12" t="s">
        <v>6605</v>
      </c>
      <c r="B209" s="12" t="s">
        <v>6604</v>
      </c>
      <c r="C209" s="12">
        <v>20</v>
      </c>
      <c r="D209" s="12">
        <v>2</v>
      </c>
    </row>
    <row r="210" spans="1:4" x14ac:dyDescent="0.2">
      <c r="A210" s="12" t="s">
        <v>9866</v>
      </c>
      <c r="B210" s="12" t="s">
        <v>9865</v>
      </c>
      <c r="C210" s="12">
        <v>0.7</v>
      </c>
      <c r="D210" s="12">
        <v>0.1</v>
      </c>
    </row>
    <row r="211" spans="1:4" x14ac:dyDescent="0.2">
      <c r="A211" s="12" t="s">
        <v>9868</v>
      </c>
      <c r="B211" s="12" t="s">
        <v>9867</v>
      </c>
      <c r="C211" s="12">
        <v>0.7</v>
      </c>
      <c r="D211" s="12">
        <v>0.1</v>
      </c>
    </row>
    <row r="212" spans="1:4" x14ac:dyDescent="0.2">
      <c r="A212" s="12" t="s">
        <v>6555</v>
      </c>
      <c r="B212" s="12" t="s">
        <v>6554</v>
      </c>
      <c r="C212" s="12">
        <v>130</v>
      </c>
      <c r="D212" s="12">
        <v>13</v>
      </c>
    </row>
    <row r="213" spans="1:4" x14ac:dyDescent="0.2">
      <c r="A213" s="12" t="s">
        <v>2047</v>
      </c>
      <c r="B213" s="12" t="s">
        <v>2046</v>
      </c>
      <c r="C213" s="12">
        <v>3500</v>
      </c>
      <c r="D213" s="12">
        <v>350</v>
      </c>
    </row>
    <row r="214" spans="1:4" x14ac:dyDescent="0.2">
      <c r="A214" s="12" t="s">
        <v>2152</v>
      </c>
      <c r="B214" s="12" t="s">
        <v>2151</v>
      </c>
      <c r="C214" s="12">
        <v>610</v>
      </c>
      <c r="D214" s="12">
        <v>61</v>
      </c>
    </row>
    <row r="215" spans="1:4" x14ac:dyDescent="0.2">
      <c r="A215" s="12" t="s">
        <v>8194</v>
      </c>
      <c r="B215" s="12" t="s">
        <v>8193</v>
      </c>
      <c r="C215" s="12">
        <v>40</v>
      </c>
      <c r="D215" s="12">
        <v>4</v>
      </c>
    </row>
    <row r="216" spans="1:4" x14ac:dyDescent="0.2">
      <c r="A216" s="12" t="s">
        <v>8256</v>
      </c>
      <c r="B216" s="12" t="s">
        <v>8255</v>
      </c>
      <c r="C216" s="12">
        <v>2.7</v>
      </c>
      <c r="D216" s="12">
        <v>0.25</v>
      </c>
    </row>
    <row r="217" spans="1:4" x14ac:dyDescent="0.2">
      <c r="A217" s="12" t="s">
        <v>8725</v>
      </c>
      <c r="B217" s="12" t="s">
        <v>8724</v>
      </c>
      <c r="C217" s="12">
        <v>20</v>
      </c>
      <c r="D217" s="12">
        <v>2</v>
      </c>
    </row>
    <row r="218" spans="1:4" x14ac:dyDescent="0.2">
      <c r="A218" s="12" t="s">
        <v>9173</v>
      </c>
      <c r="B218" s="12" t="s">
        <v>9172</v>
      </c>
      <c r="C218" s="12">
        <v>0.33</v>
      </c>
      <c r="D218" s="12">
        <v>5.8999999999999997E-2</v>
      </c>
    </row>
    <row r="219" spans="1:4" x14ac:dyDescent="0.2">
      <c r="A219" s="12" t="s">
        <v>9876</v>
      </c>
      <c r="B219" s="12" t="s">
        <v>9875</v>
      </c>
      <c r="C219" s="12" t="s">
        <v>59</v>
      </c>
      <c r="D219" s="12" t="s">
        <v>59</v>
      </c>
    </row>
    <row r="220" spans="1:4" x14ac:dyDescent="0.2">
      <c r="A220" s="12" t="s">
        <v>9877</v>
      </c>
      <c r="B220" s="12" t="s">
        <v>9875</v>
      </c>
      <c r="C220" s="12">
        <v>500</v>
      </c>
      <c r="D220" s="12">
        <v>50</v>
      </c>
    </row>
    <row r="221" spans="1:4" x14ac:dyDescent="0.2">
      <c r="A221" s="12" t="s">
        <v>8928</v>
      </c>
      <c r="B221" s="12" t="s">
        <v>8927</v>
      </c>
      <c r="C221" s="12">
        <v>110</v>
      </c>
      <c r="D221" s="12">
        <v>11</v>
      </c>
    </row>
    <row r="222" spans="1:4" x14ac:dyDescent="0.2">
      <c r="A222" s="12" t="s">
        <v>3407</v>
      </c>
      <c r="B222" s="12" t="s">
        <v>3406</v>
      </c>
      <c r="C222" s="12" t="s">
        <v>59</v>
      </c>
      <c r="D222" s="12" t="s">
        <v>59</v>
      </c>
    </row>
    <row r="223" spans="1:4" x14ac:dyDescent="0.2">
      <c r="A223" s="12" t="s">
        <v>1199</v>
      </c>
      <c r="B223" s="12" t="s">
        <v>1198</v>
      </c>
      <c r="C223" s="12">
        <v>4</v>
      </c>
      <c r="D223" s="12">
        <v>0.4</v>
      </c>
    </row>
    <row r="224" spans="1:4" x14ac:dyDescent="0.2">
      <c r="A224" s="12" t="s">
        <v>8793</v>
      </c>
      <c r="B224" s="12" t="s">
        <v>8792</v>
      </c>
      <c r="C224" s="12" t="s">
        <v>59</v>
      </c>
      <c r="D224" s="12" t="s">
        <v>59</v>
      </c>
    </row>
    <row r="225" spans="1:4" x14ac:dyDescent="0.2">
      <c r="A225" s="12" t="s">
        <v>8794</v>
      </c>
      <c r="B225" s="12" t="s">
        <v>8792</v>
      </c>
      <c r="C225" s="12">
        <v>450</v>
      </c>
      <c r="D225" s="12">
        <v>45</v>
      </c>
    </row>
    <row r="226" spans="1:4" x14ac:dyDescent="0.2">
      <c r="A226" s="12" t="s">
        <v>3403</v>
      </c>
      <c r="B226" s="12" t="s">
        <v>3402</v>
      </c>
      <c r="C226" s="12">
        <v>50</v>
      </c>
      <c r="D226" s="12">
        <v>5</v>
      </c>
    </row>
    <row r="227" spans="1:4" x14ac:dyDescent="0.2">
      <c r="A227" s="12" t="s">
        <v>2269</v>
      </c>
      <c r="B227" s="12" t="s">
        <v>2268</v>
      </c>
      <c r="C227" s="12">
        <v>500</v>
      </c>
      <c r="D227" s="12">
        <v>50</v>
      </c>
    </row>
    <row r="228" spans="1:4" x14ac:dyDescent="0.2">
      <c r="A228" s="12" t="s">
        <v>8983</v>
      </c>
      <c r="B228" s="12" t="s">
        <v>8982</v>
      </c>
      <c r="C228" s="12" t="s">
        <v>59</v>
      </c>
      <c r="D228" s="12" t="s">
        <v>59</v>
      </c>
    </row>
    <row r="229" spans="1:4" x14ac:dyDescent="0.2">
      <c r="A229" s="12" t="s">
        <v>4597</v>
      </c>
      <c r="B229" s="12" t="s">
        <v>4596</v>
      </c>
      <c r="C229" s="12">
        <v>690</v>
      </c>
      <c r="D229" s="12">
        <v>300</v>
      </c>
    </row>
    <row r="230" spans="1:4" x14ac:dyDescent="0.2">
      <c r="A230" s="12" t="s">
        <v>5799</v>
      </c>
      <c r="B230" s="12" t="s">
        <v>5798</v>
      </c>
      <c r="C230" s="12" t="s">
        <v>59</v>
      </c>
      <c r="D230" s="12" t="s">
        <v>59</v>
      </c>
    </row>
    <row r="231" spans="1:4" x14ac:dyDescent="0.2">
      <c r="A231" s="12" t="s">
        <v>3044</v>
      </c>
      <c r="B231" s="12" t="s">
        <v>3043</v>
      </c>
      <c r="C231" s="12">
        <v>110</v>
      </c>
      <c r="D231" s="12">
        <v>11</v>
      </c>
    </row>
    <row r="232" spans="1:4" x14ac:dyDescent="0.2">
      <c r="A232" s="12" t="s">
        <v>10612</v>
      </c>
      <c r="B232" s="12" t="s">
        <v>10611</v>
      </c>
      <c r="C232" s="12">
        <v>24</v>
      </c>
      <c r="D232" s="12">
        <v>2.4</v>
      </c>
    </row>
    <row r="233" spans="1:4" x14ac:dyDescent="0.2">
      <c r="A233" s="12" t="s">
        <v>2084</v>
      </c>
      <c r="B233" s="12" t="s">
        <v>2083</v>
      </c>
      <c r="C233" s="12">
        <v>200</v>
      </c>
      <c r="D233" s="12">
        <v>20</v>
      </c>
    </row>
    <row r="234" spans="1:4" x14ac:dyDescent="0.2">
      <c r="A234" s="12" t="s">
        <v>3784</v>
      </c>
      <c r="B234" s="12" t="s">
        <v>3783</v>
      </c>
      <c r="C234" s="12" t="s">
        <v>59</v>
      </c>
      <c r="D234" s="12" t="s">
        <v>59</v>
      </c>
    </row>
    <row r="235" spans="1:4" x14ac:dyDescent="0.2">
      <c r="A235" s="12" t="s">
        <v>10247</v>
      </c>
      <c r="B235" s="12" t="s">
        <v>10246</v>
      </c>
      <c r="C235" s="12">
        <v>600</v>
      </c>
      <c r="D235" s="12">
        <v>60</v>
      </c>
    </row>
    <row r="236" spans="1:4" x14ac:dyDescent="0.2">
      <c r="A236" s="12" t="s">
        <v>9770</v>
      </c>
      <c r="B236" s="12" t="s">
        <v>9769</v>
      </c>
      <c r="C236" s="12">
        <v>10</v>
      </c>
      <c r="D236" s="12">
        <v>1</v>
      </c>
    </row>
    <row r="237" spans="1:4" x14ac:dyDescent="0.2">
      <c r="A237" s="12" t="s">
        <v>7272</v>
      </c>
      <c r="B237" s="12" t="s">
        <v>7271</v>
      </c>
      <c r="C237" s="12">
        <v>720</v>
      </c>
      <c r="D237" s="12">
        <v>72</v>
      </c>
    </row>
    <row r="238" spans="1:4" x14ac:dyDescent="0.2">
      <c r="A238" s="12" t="s">
        <v>4593</v>
      </c>
      <c r="B238" s="12" t="s">
        <v>4592</v>
      </c>
      <c r="C238" s="12">
        <v>2740</v>
      </c>
      <c r="D238" s="12">
        <v>274</v>
      </c>
    </row>
    <row r="239" spans="1:4" x14ac:dyDescent="0.2">
      <c r="A239" s="12" t="s">
        <v>10743</v>
      </c>
      <c r="B239" s="12" t="s">
        <v>10742</v>
      </c>
      <c r="C239" s="12">
        <v>50</v>
      </c>
      <c r="D239" s="12">
        <v>5</v>
      </c>
    </row>
    <row r="240" spans="1:4" x14ac:dyDescent="0.2">
      <c r="A240" s="12" t="s">
        <v>1954</v>
      </c>
      <c r="B240" s="12" t="s">
        <v>1953</v>
      </c>
      <c r="C240" s="12">
        <v>100</v>
      </c>
      <c r="D240" s="12">
        <v>10</v>
      </c>
    </row>
    <row r="241" spans="1:4" x14ac:dyDescent="0.2">
      <c r="A241" s="12" t="s">
        <v>5204</v>
      </c>
      <c r="B241" s="12" t="s">
        <v>5203</v>
      </c>
      <c r="C241" s="12">
        <v>100</v>
      </c>
      <c r="D241" s="12">
        <v>10</v>
      </c>
    </row>
    <row r="242" spans="1:4" x14ac:dyDescent="0.2">
      <c r="A242" s="12" t="s">
        <v>4355</v>
      </c>
      <c r="B242" s="12" t="s">
        <v>4354</v>
      </c>
      <c r="C242" s="12">
        <v>500</v>
      </c>
      <c r="D242" s="12">
        <v>50</v>
      </c>
    </row>
    <row r="243" spans="1:4" x14ac:dyDescent="0.2">
      <c r="A243" s="12" t="s">
        <v>5996</v>
      </c>
      <c r="B243" s="12" t="s">
        <v>5995</v>
      </c>
      <c r="C243" s="12">
        <v>720</v>
      </c>
      <c r="D243" s="12">
        <v>72</v>
      </c>
    </row>
    <row r="244" spans="1:4" x14ac:dyDescent="0.2">
      <c r="A244" s="12" t="s">
        <v>2399</v>
      </c>
      <c r="B244" s="12" t="s">
        <v>2398</v>
      </c>
      <c r="C244" s="12">
        <v>1000</v>
      </c>
      <c r="D244" s="12">
        <v>100</v>
      </c>
    </row>
    <row r="245" spans="1:4" x14ac:dyDescent="0.2">
      <c r="A245" s="12" t="s">
        <v>3265</v>
      </c>
      <c r="B245" s="12" t="s">
        <v>3264</v>
      </c>
      <c r="C245" s="12">
        <v>2200</v>
      </c>
      <c r="D245" s="12">
        <v>220</v>
      </c>
    </row>
    <row r="246" spans="1:4" x14ac:dyDescent="0.2">
      <c r="A246" s="12" t="s">
        <v>5956</v>
      </c>
      <c r="B246" s="12" t="s">
        <v>5955</v>
      </c>
      <c r="C246" s="12">
        <v>300</v>
      </c>
      <c r="D246" s="12">
        <v>30</v>
      </c>
    </row>
    <row r="247" spans="1:4" x14ac:dyDescent="0.2">
      <c r="A247" s="12" t="s">
        <v>10708</v>
      </c>
      <c r="B247" s="12" t="s">
        <v>10707</v>
      </c>
      <c r="C247" s="12" t="s">
        <v>59</v>
      </c>
      <c r="D247" s="12" t="s">
        <v>59</v>
      </c>
    </row>
    <row r="248" spans="1:4" x14ac:dyDescent="0.2">
      <c r="A248" s="12" t="s">
        <v>5645</v>
      </c>
      <c r="B248" s="12" t="s">
        <v>5644</v>
      </c>
      <c r="C248" s="12">
        <v>1250</v>
      </c>
      <c r="D248" s="12">
        <v>125</v>
      </c>
    </row>
    <row r="249" spans="1:4" x14ac:dyDescent="0.2">
      <c r="A249" s="12" t="s">
        <v>2120</v>
      </c>
      <c r="B249" s="12" t="s">
        <v>2119</v>
      </c>
      <c r="C249" s="12">
        <v>60</v>
      </c>
      <c r="D249" s="12">
        <v>6</v>
      </c>
    </row>
    <row r="250" spans="1:4" x14ac:dyDescent="0.2">
      <c r="A250" s="12" t="s">
        <v>2106</v>
      </c>
      <c r="B250" s="12" t="s">
        <v>2105</v>
      </c>
      <c r="C250" s="12">
        <v>540</v>
      </c>
      <c r="D250" s="12">
        <v>54</v>
      </c>
    </row>
    <row r="251" spans="1:4" x14ac:dyDescent="0.2">
      <c r="A251" s="12" t="s">
        <v>11318</v>
      </c>
      <c r="B251" s="12" t="s">
        <v>11317</v>
      </c>
      <c r="C251" s="12">
        <v>20</v>
      </c>
      <c r="D251" s="12">
        <v>2</v>
      </c>
    </row>
    <row r="252" spans="1:4" x14ac:dyDescent="0.2">
      <c r="A252" s="12" t="s">
        <v>2726</v>
      </c>
      <c r="B252" s="12" t="s">
        <v>2725</v>
      </c>
      <c r="C252" s="12">
        <v>130</v>
      </c>
      <c r="D252" s="12">
        <v>13</v>
      </c>
    </row>
    <row r="253" spans="1:4" ht="28.5" x14ac:dyDescent="0.2">
      <c r="A253" s="12" t="s">
        <v>3789</v>
      </c>
      <c r="B253" s="12" t="s">
        <v>3788</v>
      </c>
      <c r="C253" s="12">
        <v>120</v>
      </c>
      <c r="D253" s="12">
        <v>12</v>
      </c>
    </row>
    <row r="254" spans="1:4" x14ac:dyDescent="0.2">
      <c r="A254" s="12" t="s">
        <v>220</v>
      </c>
      <c r="B254" s="12" t="s">
        <v>219</v>
      </c>
      <c r="C254" s="12">
        <v>120</v>
      </c>
      <c r="D254" s="12">
        <v>12</v>
      </c>
    </row>
    <row r="255" spans="1:4" x14ac:dyDescent="0.2">
      <c r="A255" s="12" t="s">
        <v>184</v>
      </c>
      <c r="B255" s="12" t="s">
        <v>183</v>
      </c>
      <c r="C255" s="12">
        <v>1000</v>
      </c>
      <c r="D255" s="12">
        <v>100</v>
      </c>
    </row>
    <row r="256" spans="1:4" x14ac:dyDescent="0.2">
      <c r="A256" s="12" t="s">
        <v>3059</v>
      </c>
      <c r="B256" s="12" t="s">
        <v>3058</v>
      </c>
      <c r="C256" s="12">
        <v>180</v>
      </c>
      <c r="D256" s="12">
        <v>18</v>
      </c>
    </row>
    <row r="257" spans="1:4" x14ac:dyDescent="0.2">
      <c r="A257" s="12" t="s">
        <v>3802</v>
      </c>
      <c r="B257" s="12" t="s">
        <v>3801</v>
      </c>
      <c r="C257" s="12">
        <v>100</v>
      </c>
      <c r="D257" s="12">
        <v>10</v>
      </c>
    </row>
    <row r="258" spans="1:4" x14ac:dyDescent="0.2">
      <c r="A258" s="12" t="s">
        <v>10622</v>
      </c>
      <c r="B258" s="12" t="s">
        <v>10621</v>
      </c>
      <c r="C258" s="12">
        <v>500</v>
      </c>
      <c r="D258" s="12">
        <v>50</v>
      </c>
    </row>
    <row r="259" spans="1:4" x14ac:dyDescent="0.2">
      <c r="A259" s="12" t="s">
        <v>10623</v>
      </c>
      <c r="B259" s="12" t="s">
        <v>10621</v>
      </c>
      <c r="C259" s="12" t="s">
        <v>59</v>
      </c>
      <c r="D259" s="12" t="s">
        <v>59</v>
      </c>
    </row>
    <row r="260" spans="1:4" x14ac:dyDescent="0.2">
      <c r="A260" s="12" t="s">
        <v>11147</v>
      </c>
      <c r="B260" s="12" t="s">
        <v>11146</v>
      </c>
      <c r="C260" s="12">
        <v>20</v>
      </c>
      <c r="D260" s="12">
        <v>2</v>
      </c>
    </row>
    <row r="261" spans="1:4" x14ac:dyDescent="0.2">
      <c r="A261" s="12" t="s">
        <v>11986</v>
      </c>
      <c r="B261" s="12" t="s">
        <v>11985</v>
      </c>
      <c r="C261" s="12">
        <v>1800</v>
      </c>
      <c r="D261" s="12">
        <v>180</v>
      </c>
    </row>
    <row r="262" spans="1:4" x14ac:dyDescent="0.2">
      <c r="A262" s="12" t="s">
        <v>10608</v>
      </c>
      <c r="B262" s="12" t="s">
        <v>10607</v>
      </c>
      <c r="C262" s="12">
        <v>90</v>
      </c>
      <c r="D262" s="12">
        <v>9</v>
      </c>
    </row>
    <row r="263" spans="1:4" x14ac:dyDescent="0.2">
      <c r="A263" s="12" t="s">
        <v>9653</v>
      </c>
      <c r="B263" s="12" t="s">
        <v>9652</v>
      </c>
      <c r="C263" s="12">
        <v>90</v>
      </c>
      <c r="D263" s="12">
        <v>9</v>
      </c>
    </row>
    <row r="264" spans="1:4" x14ac:dyDescent="0.2">
      <c r="A264" s="12" t="s">
        <v>2288</v>
      </c>
      <c r="B264" s="12" t="s">
        <v>2287</v>
      </c>
      <c r="C264" s="12">
        <v>30</v>
      </c>
      <c r="D264" s="12">
        <v>3</v>
      </c>
    </row>
    <row r="265" spans="1:4" x14ac:dyDescent="0.2">
      <c r="A265" s="12" t="s">
        <v>3193</v>
      </c>
      <c r="B265" s="12" t="s">
        <v>3192</v>
      </c>
      <c r="C265" s="12">
        <v>4</v>
      </c>
      <c r="D265" s="12">
        <v>0.4</v>
      </c>
    </row>
    <row r="266" spans="1:4" x14ac:dyDescent="0.2">
      <c r="A266" s="12" t="s">
        <v>3034</v>
      </c>
      <c r="B266" s="12" t="s">
        <v>3033</v>
      </c>
      <c r="C266" s="12">
        <v>550</v>
      </c>
      <c r="D266" s="12">
        <v>55</v>
      </c>
    </row>
    <row r="267" spans="1:4" x14ac:dyDescent="0.2">
      <c r="A267" s="12" t="s">
        <v>9611</v>
      </c>
      <c r="B267" s="12" t="s">
        <v>9610</v>
      </c>
      <c r="C267" s="12">
        <v>5</v>
      </c>
      <c r="D267" s="12">
        <v>0.5</v>
      </c>
    </row>
    <row r="268" spans="1:4" x14ac:dyDescent="0.2">
      <c r="A268" s="12" t="s">
        <v>2277</v>
      </c>
      <c r="B268" s="12" t="s">
        <v>2276</v>
      </c>
      <c r="C268" s="12">
        <v>100</v>
      </c>
      <c r="D268" s="12">
        <v>10</v>
      </c>
    </row>
    <row r="269" spans="1:4" x14ac:dyDescent="0.2">
      <c r="A269" s="12" t="s">
        <v>9663</v>
      </c>
      <c r="B269" s="12" t="s">
        <v>9662</v>
      </c>
      <c r="C269" s="12">
        <v>2500</v>
      </c>
      <c r="D269" s="12">
        <v>250</v>
      </c>
    </row>
    <row r="270" spans="1:4" x14ac:dyDescent="0.2">
      <c r="A270" s="12" t="s">
        <v>6380</v>
      </c>
      <c r="B270" s="12" t="s">
        <v>6379</v>
      </c>
      <c r="C270" s="12">
        <v>100</v>
      </c>
      <c r="D270" s="12">
        <v>10</v>
      </c>
    </row>
    <row r="271" spans="1:4" x14ac:dyDescent="0.2">
      <c r="A271" s="12" t="s">
        <v>785</v>
      </c>
      <c r="B271" s="12" t="s">
        <v>784</v>
      </c>
      <c r="C271" s="12">
        <v>250</v>
      </c>
      <c r="D271" s="12">
        <v>25</v>
      </c>
    </row>
    <row r="272" spans="1:4" x14ac:dyDescent="0.2">
      <c r="A272" s="12" t="s">
        <v>9649</v>
      </c>
      <c r="B272" s="12" t="s">
        <v>9648</v>
      </c>
      <c r="C272" s="12">
        <v>4</v>
      </c>
      <c r="D272" s="12">
        <v>0.4</v>
      </c>
    </row>
    <row r="273" spans="1:4" x14ac:dyDescent="0.2">
      <c r="A273" s="12" t="s">
        <v>818</v>
      </c>
      <c r="B273" s="12" t="s">
        <v>817</v>
      </c>
      <c r="C273" s="12">
        <v>200</v>
      </c>
      <c r="D273" s="12">
        <v>20</v>
      </c>
    </row>
    <row r="274" spans="1:4" x14ac:dyDescent="0.2">
      <c r="A274" s="12" t="s">
        <v>3139</v>
      </c>
      <c r="B274" s="12" t="s">
        <v>3138</v>
      </c>
      <c r="C274" s="12">
        <v>350</v>
      </c>
      <c r="D274" s="12">
        <v>35</v>
      </c>
    </row>
    <row r="275" spans="1:4" x14ac:dyDescent="0.2">
      <c r="A275" s="12" t="s">
        <v>7268</v>
      </c>
      <c r="B275" s="12" t="s">
        <v>7267</v>
      </c>
      <c r="C275" s="12">
        <v>720</v>
      </c>
      <c r="D275" s="12">
        <v>72</v>
      </c>
    </row>
    <row r="276" spans="1:4" x14ac:dyDescent="0.2">
      <c r="A276" s="12" t="s">
        <v>2241</v>
      </c>
      <c r="B276" s="12" t="s">
        <v>2240</v>
      </c>
      <c r="C276" s="12">
        <v>1500</v>
      </c>
      <c r="D276" s="12">
        <v>150</v>
      </c>
    </row>
    <row r="277" spans="1:4" x14ac:dyDescent="0.2">
      <c r="A277" s="12" t="s">
        <v>2233</v>
      </c>
      <c r="B277" s="12" t="s">
        <v>2232</v>
      </c>
      <c r="C277" s="12">
        <v>100</v>
      </c>
      <c r="D277" s="12">
        <v>100</v>
      </c>
    </row>
    <row r="278" spans="1:4" x14ac:dyDescent="0.2">
      <c r="A278" s="12" t="s">
        <v>1045</v>
      </c>
      <c r="B278" s="12" t="s">
        <v>1044</v>
      </c>
      <c r="C278" s="12">
        <v>125</v>
      </c>
      <c r="D278" s="12">
        <v>12.5</v>
      </c>
    </row>
    <row r="279" spans="1:4" x14ac:dyDescent="0.2">
      <c r="A279" s="12" t="s">
        <v>8415</v>
      </c>
      <c r="B279" s="12" t="s">
        <v>8414</v>
      </c>
      <c r="C279" s="12">
        <v>70</v>
      </c>
      <c r="D279" s="12">
        <v>7</v>
      </c>
    </row>
    <row r="280" spans="1:4" x14ac:dyDescent="0.2">
      <c r="A280" s="12" t="s">
        <v>6662</v>
      </c>
      <c r="B280" s="12" t="s">
        <v>6661</v>
      </c>
      <c r="C280" s="12">
        <v>130</v>
      </c>
      <c r="D280" s="12">
        <v>13</v>
      </c>
    </row>
    <row r="281" spans="1:4" x14ac:dyDescent="0.2">
      <c r="A281" s="12" t="s">
        <v>12323</v>
      </c>
      <c r="B281" s="12" t="s">
        <v>12322</v>
      </c>
      <c r="C281" s="12">
        <v>500</v>
      </c>
      <c r="D281" s="12">
        <v>50</v>
      </c>
    </row>
    <row r="282" spans="1:4" x14ac:dyDescent="0.2">
      <c r="A282" s="12" t="s">
        <v>6613</v>
      </c>
      <c r="B282" s="12" t="s">
        <v>6612</v>
      </c>
      <c r="C282" s="12">
        <v>75</v>
      </c>
      <c r="D282" s="12">
        <v>7.5</v>
      </c>
    </row>
    <row r="283" spans="1:4" x14ac:dyDescent="0.2">
      <c r="A283" s="12" t="s">
        <v>6184</v>
      </c>
      <c r="B283" s="12" t="s">
        <v>6183</v>
      </c>
      <c r="C283" s="12">
        <v>60</v>
      </c>
      <c r="D283" s="12">
        <v>6</v>
      </c>
    </row>
    <row r="284" spans="1:4" x14ac:dyDescent="0.2">
      <c r="A284" s="12" t="s">
        <v>8389</v>
      </c>
      <c r="B284" s="12" t="s">
        <v>8388</v>
      </c>
      <c r="C284" s="12">
        <v>3000</v>
      </c>
      <c r="D284" s="12">
        <v>300</v>
      </c>
    </row>
    <row r="285" spans="1:4" x14ac:dyDescent="0.2">
      <c r="A285" s="12" t="s">
        <v>11388</v>
      </c>
      <c r="B285" s="12" t="s">
        <v>11387</v>
      </c>
      <c r="C285" s="12">
        <v>4.2</v>
      </c>
      <c r="D285" s="12">
        <v>6</v>
      </c>
    </row>
    <row r="286" spans="1:4" x14ac:dyDescent="0.2">
      <c r="A286" s="12" t="s">
        <v>10801</v>
      </c>
      <c r="B286" s="12" t="s">
        <v>10800</v>
      </c>
      <c r="C286" s="12">
        <v>9500</v>
      </c>
      <c r="D286" s="12">
        <v>950</v>
      </c>
    </row>
    <row r="287" spans="1:4" x14ac:dyDescent="0.2">
      <c r="A287" s="12" t="s">
        <v>5895</v>
      </c>
      <c r="B287" s="12" t="s">
        <v>5894</v>
      </c>
      <c r="C287" s="12">
        <v>100</v>
      </c>
      <c r="D287" s="12">
        <v>10</v>
      </c>
    </row>
    <row r="288" spans="1:4" x14ac:dyDescent="0.2">
      <c r="A288" s="12" t="s">
        <v>6611</v>
      </c>
      <c r="B288" s="12" t="s">
        <v>6610</v>
      </c>
      <c r="C288" s="12">
        <v>3800</v>
      </c>
      <c r="D288" s="12">
        <v>380</v>
      </c>
    </row>
    <row r="289" spans="1:4" x14ac:dyDescent="0.2">
      <c r="A289" s="12" t="s">
        <v>5974</v>
      </c>
      <c r="B289" s="12" t="s">
        <v>5973</v>
      </c>
      <c r="C289" s="12" t="s">
        <v>59</v>
      </c>
      <c r="D289" s="12" t="s">
        <v>59</v>
      </c>
    </row>
    <row r="290" spans="1:4" x14ac:dyDescent="0.2">
      <c r="A290" s="12" t="s">
        <v>6617</v>
      </c>
      <c r="B290" s="12" t="s">
        <v>6616</v>
      </c>
      <c r="C290" s="12">
        <v>70</v>
      </c>
      <c r="D290" s="12">
        <v>7</v>
      </c>
    </row>
    <row r="291" spans="1:4" x14ac:dyDescent="0.2">
      <c r="A291" s="12" t="s">
        <v>3393</v>
      </c>
      <c r="B291" s="12" t="s">
        <v>3392</v>
      </c>
      <c r="C291" s="12">
        <v>1670</v>
      </c>
      <c r="D291" s="12">
        <v>167</v>
      </c>
    </row>
    <row r="292" spans="1:4" x14ac:dyDescent="0.2">
      <c r="A292" s="12" t="s">
        <v>5884</v>
      </c>
      <c r="B292" s="12" t="s">
        <v>5883</v>
      </c>
      <c r="C292" s="12" t="s">
        <v>59</v>
      </c>
      <c r="D292" s="12" t="s">
        <v>59</v>
      </c>
    </row>
    <row r="293" spans="1:4" x14ac:dyDescent="0.2">
      <c r="A293" s="12" t="s">
        <v>5885</v>
      </c>
      <c r="B293" s="12" t="s">
        <v>5883</v>
      </c>
      <c r="C293" s="12">
        <v>500</v>
      </c>
      <c r="D293" s="12">
        <v>50</v>
      </c>
    </row>
    <row r="294" spans="1:4" x14ac:dyDescent="0.2">
      <c r="A294" s="12" t="s">
        <v>9240</v>
      </c>
      <c r="B294" s="12" t="s">
        <v>9239</v>
      </c>
      <c r="C294" s="12">
        <v>96</v>
      </c>
      <c r="D294" s="12">
        <v>9.6</v>
      </c>
    </row>
    <row r="295" spans="1:4" x14ac:dyDescent="0.2">
      <c r="A295" s="12" t="s">
        <v>4908</v>
      </c>
      <c r="B295" s="12" t="s">
        <v>4907</v>
      </c>
      <c r="C295" s="12">
        <v>10</v>
      </c>
      <c r="D295" s="12">
        <v>1</v>
      </c>
    </row>
    <row r="296" spans="1:4" x14ac:dyDescent="0.2">
      <c r="A296" s="12" t="s">
        <v>8892</v>
      </c>
      <c r="B296" s="12" t="s">
        <v>8891</v>
      </c>
      <c r="C296" s="12">
        <v>350</v>
      </c>
      <c r="D296" s="12">
        <v>35</v>
      </c>
    </row>
    <row r="297" spans="1:4" x14ac:dyDescent="0.2">
      <c r="A297" s="12" t="s">
        <v>1427</v>
      </c>
      <c r="B297" s="12" t="s">
        <v>1426</v>
      </c>
      <c r="C297" s="12">
        <v>100</v>
      </c>
      <c r="D297" s="12">
        <v>10</v>
      </c>
    </row>
    <row r="298" spans="1:4" x14ac:dyDescent="0.2">
      <c r="A298" s="12" t="s">
        <v>1928</v>
      </c>
      <c r="B298" s="12" t="s">
        <v>1927</v>
      </c>
      <c r="C298" s="12">
        <v>97</v>
      </c>
      <c r="D298" s="12">
        <v>7</v>
      </c>
    </row>
    <row r="299" spans="1:4" x14ac:dyDescent="0.2">
      <c r="A299" s="12" t="s">
        <v>9321</v>
      </c>
      <c r="B299" s="12" t="s">
        <v>9320</v>
      </c>
      <c r="C299" s="12">
        <v>3000</v>
      </c>
      <c r="D299" s="12">
        <v>300</v>
      </c>
    </row>
    <row r="300" spans="1:4" x14ac:dyDescent="0.2">
      <c r="A300" s="12" t="s">
        <v>1722</v>
      </c>
      <c r="B300" s="12" t="s">
        <v>1721</v>
      </c>
      <c r="C300" s="12">
        <v>290</v>
      </c>
      <c r="D300" s="12">
        <v>3.3</v>
      </c>
    </row>
    <row r="301" spans="1:4" x14ac:dyDescent="0.2">
      <c r="A301" s="12" t="s">
        <v>6062</v>
      </c>
      <c r="B301" s="12" t="s">
        <v>6061</v>
      </c>
      <c r="C301" s="12">
        <v>100</v>
      </c>
      <c r="D301" s="12">
        <v>10</v>
      </c>
    </row>
    <row r="302" spans="1:4" x14ac:dyDescent="0.2">
      <c r="A302" s="12" t="s">
        <v>5767</v>
      </c>
      <c r="B302" s="12" t="s">
        <v>5766</v>
      </c>
      <c r="C302" s="12">
        <v>1000</v>
      </c>
      <c r="D302" s="12">
        <v>100</v>
      </c>
    </row>
    <row r="303" spans="1:4" x14ac:dyDescent="0.2">
      <c r="A303" s="12" t="s">
        <v>3529</v>
      </c>
      <c r="B303" s="12" t="s">
        <v>3528</v>
      </c>
      <c r="C303" s="12">
        <v>33</v>
      </c>
      <c r="D303" s="12">
        <v>3.3</v>
      </c>
    </row>
    <row r="304" spans="1:4" x14ac:dyDescent="0.2">
      <c r="A304" s="12" t="s">
        <v>8887</v>
      </c>
      <c r="B304" s="12" t="s">
        <v>8886</v>
      </c>
      <c r="C304" s="12">
        <v>270</v>
      </c>
      <c r="D304" s="12">
        <v>5.4</v>
      </c>
    </row>
    <row r="305" spans="1:4" x14ac:dyDescent="0.2">
      <c r="A305" s="12" t="s">
        <v>5787</v>
      </c>
      <c r="B305" s="12" t="s">
        <v>5786</v>
      </c>
      <c r="C305" s="12">
        <v>1</v>
      </c>
      <c r="D305" s="12">
        <v>0.1</v>
      </c>
    </row>
    <row r="306" spans="1:4" x14ac:dyDescent="0.2">
      <c r="A306" s="12" t="s">
        <v>116</v>
      </c>
      <c r="B306" s="12" t="s">
        <v>115</v>
      </c>
      <c r="C306" s="12">
        <v>460</v>
      </c>
      <c r="D306" s="12">
        <v>46</v>
      </c>
    </row>
    <row r="307" spans="1:4" x14ac:dyDescent="0.2">
      <c r="A307" s="12" t="s">
        <v>11050</v>
      </c>
      <c r="B307" s="12" t="s">
        <v>11049</v>
      </c>
      <c r="C307" s="12">
        <v>0.39</v>
      </c>
      <c r="D307" s="12">
        <v>4.3E-3</v>
      </c>
    </row>
    <row r="308" spans="1:4" x14ac:dyDescent="0.2">
      <c r="A308" s="12" t="s">
        <v>820</v>
      </c>
      <c r="B308" s="12" t="s">
        <v>819</v>
      </c>
      <c r="C308" s="12">
        <v>70</v>
      </c>
      <c r="D308" s="12">
        <v>7</v>
      </c>
    </row>
    <row r="309" spans="1:4" x14ac:dyDescent="0.2">
      <c r="A309" s="12" t="s">
        <v>8766</v>
      </c>
      <c r="B309" s="12" t="s">
        <v>8765</v>
      </c>
      <c r="C309" s="12">
        <v>42</v>
      </c>
      <c r="D309" s="12">
        <v>4.2</v>
      </c>
    </row>
    <row r="310" spans="1:4" x14ac:dyDescent="0.2">
      <c r="A310" s="12" t="s">
        <v>9262</v>
      </c>
      <c r="B310" s="12" t="s">
        <v>9261</v>
      </c>
      <c r="C310" s="12">
        <v>1</v>
      </c>
      <c r="D310" s="12">
        <v>0.1</v>
      </c>
    </row>
    <row r="311" spans="1:4" x14ac:dyDescent="0.2">
      <c r="A311" s="12" t="s">
        <v>5763</v>
      </c>
      <c r="B311" s="12" t="s">
        <v>5762</v>
      </c>
      <c r="C311" s="12">
        <v>4300</v>
      </c>
      <c r="D311" s="12">
        <v>430</v>
      </c>
    </row>
    <row r="312" spans="1:4" x14ac:dyDescent="0.2">
      <c r="A312" s="12" t="s">
        <v>400</v>
      </c>
      <c r="B312" s="12" t="s">
        <v>399</v>
      </c>
      <c r="C312" s="12">
        <v>450</v>
      </c>
      <c r="D312" s="12">
        <v>45</v>
      </c>
    </row>
    <row r="313" spans="1:4" x14ac:dyDescent="0.2">
      <c r="A313" s="12" t="s">
        <v>904</v>
      </c>
      <c r="B313" s="12" t="s">
        <v>903</v>
      </c>
      <c r="C313" s="12" t="s">
        <v>59</v>
      </c>
      <c r="D313" s="12" t="s">
        <v>59</v>
      </c>
    </row>
    <row r="314" spans="1:4" x14ac:dyDescent="0.2">
      <c r="A314" s="12" t="s">
        <v>8372</v>
      </c>
      <c r="B314" s="12" t="s">
        <v>8371</v>
      </c>
      <c r="C314" s="12" t="s">
        <v>59</v>
      </c>
      <c r="D314" s="12" t="s">
        <v>59</v>
      </c>
    </row>
    <row r="315" spans="1:4" x14ac:dyDescent="0.2">
      <c r="A315" s="12" t="s">
        <v>6580</v>
      </c>
      <c r="B315" s="12" t="s">
        <v>6579</v>
      </c>
      <c r="C315" s="12" t="s">
        <v>59</v>
      </c>
      <c r="D315" s="12" t="s">
        <v>59</v>
      </c>
    </row>
    <row r="316" spans="1:4" x14ac:dyDescent="0.2">
      <c r="A316" s="12" t="s">
        <v>6581</v>
      </c>
      <c r="B316" s="12" t="s">
        <v>6579</v>
      </c>
      <c r="C316" s="12">
        <v>500</v>
      </c>
      <c r="D316" s="12">
        <v>50</v>
      </c>
    </row>
    <row r="317" spans="1:4" x14ac:dyDescent="0.2">
      <c r="A317" s="12" t="s">
        <v>896</v>
      </c>
      <c r="B317" s="12" t="s">
        <v>895</v>
      </c>
      <c r="C317" s="12" t="s">
        <v>59</v>
      </c>
      <c r="D317" s="12" t="s">
        <v>59</v>
      </c>
    </row>
    <row r="318" spans="1:4" x14ac:dyDescent="0.2">
      <c r="A318" s="12" t="s">
        <v>5690</v>
      </c>
      <c r="B318" s="12" t="s">
        <v>5689</v>
      </c>
      <c r="C318" s="12">
        <v>60</v>
      </c>
      <c r="D318" s="12">
        <v>6</v>
      </c>
    </row>
    <row r="319" spans="1:4" x14ac:dyDescent="0.2">
      <c r="A319" s="12" t="s">
        <v>2649</v>
      </c>
      <c r="B319" s="12" t="s">
        <v>2648</v>
      </c>
      <c r="C319" s="12">
        <v>2700</v>
      </c>
      <c r="D319" s="12">
        <v>270</v>
      </c>
    </row>
    <row r="320" spans="1:4" x14ac:dyDescent="0.2">
      <c r="A320" s="12" t="s">
        <v>1831</v>
      </c>
      <c r="B320" s="12" t="s">
        <v>1830</v>
      </c>
      <c r="C320" s="12">
        <v>3500</v>
      </c>
      <c r="D320" s="12">
        <v>350</v>
      </c>
    </row>
    <row r="321" spans="1:4" x14ac:dyDescent="0.2">
      <c r="A321" s="12" t="s">
        <v>7290</v>
      </c>
      <c r="B321" s="12" t="s">
        <v>7289</v>
      </c>
      <c r="C321" s="12">
        <v>2000</v>
      </c>
      <c r="D321" s="12">
        <v>200</v>
      </c>
    </row>
    <row r="322" spans="1:4" x14ac:dyDescent="0.2">
      <c r="A322" s="12" t="s">
        <v>9137</v>
      </c>
      <c r="B322" s="12" t="s">
        <v>9136</v>
      </c>
      <c r="C322" s="12">
        <v>340</v>
      </c>
      <c r="D322" s="12">
        <v>34</v>
      </c>
    </row>
    <row r="323" spans="1:4" x14ac:dyDescent="0.2">
      <c r="A323" s="12" t="s">
        <v>2279</v>
      </c>
      <c r="B323" s="12" t="s">
        <v>2278</v>
      </c>
      <c r="C323" s="12">
        <v>100</v>
      </c>
      <c r="D323" s="12">
        <v>10</v>
      </c>
    </row>
    <row r="324" spans="1:4" x14ac:dyDescent="0.2">
      <c r="A324" s="12" t="s">
        <v>7873</v>
      </c>
      <c r="B324" s="12" t="s">
        <v>7872</v>
      </c>
      <c r="C324" s="12" t="s">
        <v>59</v>
      </c>
      <c r="D324" s="12" t="s">
        <v>59</v>
      </c>
    </row>
    <row r="325" spans="1:4" x14ac:dyDescent="0.2">
      <c r="A325" s="12" t="s">
        <v>6621</v>
      </c>
      <c r="B325" s="12" t="s">
        <v>6620</v>
      </c>
      <c r="C325" s="12">
        <v>500</v>
      </c>
      <c r="D325" s="12">
        <v>50</v>
      </c>
    </row>
    <row r="326" spans="1:4" x14ac:dyDescent="0.2">
      <c r="A326" s="12" t="s">
        <v>4650</v>
      </c>
      <c r="B326" s="12" t="s">
        <v>4649</v>
      </c>
      <c r="C326" s="12">
        <v>250</v>
      </c>
      <c r="D326" s="12">
        <v>25</v>
      </c>
    </row>
    <row r="327" spans="1:4" x14ac:dyDescent="0.2">
      <c r="A327" s="12" t="s">
        <v>150</v>
      </c>
      <c r="B327" s="12" t="s">
        <v>149</v>
      </c>
      <c r="C327" s="12">
        <v>960</v>
      </c>
      <c r="D327" s="12">
        <v>96</v>
      </c>
    </row>
    <row r="328" spans="1:4" x14ac:dyDescent="0.2">
      <c r="A328" s="12" t="s">
        <v>2805</v>
      </c>
      <c r="B328" s="12" t="s">
        <v>2804</v>
      </c>
      <c r="C328" s="12">
        <v>470</v>
      </c>
      <c r="D328" s="12">
        <v>47</v>
      </c>
    </row>
    <row r="329" spans="1:4" x14ac:dyDescent="0.2">
      <c r="A329" s="12" t="s">
        <v>10541</v>
      </c>
      <c r="B329" s="12" t="s">
        <v>10540</v>
      </c>
      <c r="C329" s="12">
        <v>4750</v>
      </c>
      <c r="D329" s="12">
        <v>475</v>
      </c>
    </row>
    <row r="330" spans="1:4" x14ac:dyDescent="0.2">
      <c r="A330" s="12" t="s">
        <v>10627</v>
      </c>
      <c r="B330" s="12" t="s">
        <v>10626</v>
      </c>
      <c r="C330" s="12">
        <v>2200</v>
      </c>
      <c r="D330" s="12">
        <v>180</v>
      </c>
    </row>
    <row r="331" spans="1:4" x14ac:dyDescent="0.2">
      <c r="A331" s="12" t="s">
        <v>9659</v>
      </c>
      <c r="B331" s="12" t="s">
        <v>9658</v>
      </c>
      <c r="C331" s="12">
        <v>4.4000000000000004</v>
      </c>
      <c r="D331" s="12">
        <v>10</v>
      </c>
    </row>
    <row r="332" spans="1:4" x14ac:dyDescent="0.2">
      <c r="A332" s="12" t="s">
        <v>798</v>
      </c>
      <c r="B332" s="12" t="s">
        <v>797</v>
      </c>
      <c r="C332" s="12">
        <v>900</v>
      </c>
      <c r="D332" s="12">
        <v>160</v>
      </c>
    </row>
    <row r="333" spans="1:4" x14ac:dyDescent="0.2">
      <c r="A333" s="12" t="s">
        <v>9651</v>
      </c>
      <c r="B333" s="12" t="s">
        <v>9650</v>
      </c>
      <c r="C333" s="12">
        <v>46</v>
      </c>
      <c r="D333" s="12">
        <v>4.5999999999999996</v>
      </c>
    </row>
    <row r="334" spans="1:4" x14ac:dyDescent="0.2">
      <c r="A334" s="12" t="s">
        <v>9655</v>
      </c>
      <c r="B334" s="12" t="s">
        <v>9654</v>
      </c>
      <c r="C334" s="12">
        <v>300</v>
      </c>
      <c r="D334" s="12">
        <v>30</v>
      </c>
    </row>
    <row r="335" spans="1:4" x14ac:dyDescent="0.2">
      <c r="A335" s="12" t="s">
        <v>10618</v>
      </c>
      <c r="B335" s="12" t="s">
        <v>10617</v>
      </c>
      <c r="C335" s="12">
        <v>90</v>
      </c>
      <c r="D335" s="12">
        <v>9</v>
      </c>
    </row>
    <row r="336" spans="1:4" x14ac:dyDescent="0.2">
      <c r="A336" s="12" t="s">
        <v>10474</v>
      </c>
      <c r="B336" s="12" t="s">
        <v>10473</v>
      </c>
      <c r="C336" s="12">
        <v>1</v>
      </c>
      <c r="D336" s="12">
        <v>0.1</v>
      </c>
    </row>
    <row r="337" spans="1:4" x14ac:dyDescent="0.2">
      <c r="A337" s="12" t="s">
        <v>10478</v>
      </c>
      <c r="B337" s="12" t="s">
        <v>10477</v>
      </c>
      <c r="C337" s="12">
        <v>4</v>
      </c>
      <c r="D337" s="12">
        <v>0.4</v>
      </c>
    </row>
    <row r="338" spans="1:4" x14ac:dyDescent="0.2">
      <c r="A338" s="12" t="s">
        <v>814</v>
      </c>
      <c r="B338" s="12" t="s">
        <v>813</v>
      </c>
      <c r="C338" s="12">
        <v>610</v>
      </c>
      <c r="D338" s="12">
        <v>61</v>
      </c>
    </row>
    <row r="339" spans="1:4" x14ac:dyDescent="0.2">
      <c r="A339" s="12" t="s">
        <v>5138</v>
      </c>
      <c r="B339" s="12" t="s">
        <v>5137</v>
      </c>
      <c r="C339" s="12">
        <v>3.6</v>
      </c>
      <c r="D339" s="12">
        <v>4.1000000000000002E-2</v>
      </c>
    </row>
    <row r="340" spans="1:4" x14ac:dyDescent="0.2">
      <c r="A340" s="12" t="s">
        <v>3982</v>
      </c>
      <c r="B340" s="12" t="s">
        <v>3981</v>
      </c>
      <c r="C340" s="12" t="s">
        <v>59</v>
      </c>
      <c r="D340" s="12" t="s">
        <v>59</v>
      </c>
    </row>
    <row r="341" spans="1:4" x14ac:dyDescent="0.2">
      <c r="A341" s="12" t="s">
        <v>7795</v>
      </c>
      <c r="B341" s="12" t="s">
        <v>7794</v>
      </c>
      <c r="C341" s="12">
        <v>10</v>
      </c>
      <c r="D341" s="12">
        <v>55</v>
      </c>
    </row>
    <row r="342" spans="1:4" x14ac:dyDescent="0.2">
      <c r="A342" s="12" t="s">
        <v>6105</v>
      </c>
      <c r="B342" s="12" t="s">
        <v>6104</v>
      </c>
      <c r="C342" s="12">
        <v>100</v>
      </c>
      <c r="D342" s="12">
        <v>10</v>
      </c>
    </row>
    <row r="343" spans="1:4" x14ac:dyDescent="0.2">
      <c r="A343" s="12" t="s">
        <v>507</v>
      </c>
      <c r="B343" s="12" t="s">
        <v>506</v>
      </c>
      <c r="C343" s="12">
        <v>4400</v>
      </c>
      <c r="D343" s="12">
        <v>440</v>
      </c>
    </row>
    <row r="344" spans="1:4" x14ac:dyDescent="0.2">
      <c r="A344" s="12" t="s">
        <v>2777</v>
      </c>
      <c r="B344" s="12" t="s">
        <v>2776</v>
      </c>
      <c r="C344" s="12">
        <v>5600</v>
      </c>
      <c r="D344" s="12">
        <v>540</v>
      </c>
    </row>
    <row r="345" spans="1:4" x14ac:dyDescent="0.2">
      <c r="A345" s="12" t="s">
        <v>2544</v>
      </c>
      <c r="B345" s="12" t="s">
        <v>2543</v>
      </c>
      <c r="C345" s="12">
        <v>4800</v>
      </c>
      <c r="D345" s="12">
        <v>450</v>
      </c>
    </row>
    <row r="346" spans="1:4" x14ac:dyDescent="0.2">
      <c r="A346" s="12" t="s">
        <v>10588</v>
      </c>
      <c r="B346" s="12" t="s">
        <v>10587</v>
      </c>
      <c r="C346" s="12">
        <v>1000</v>
      </c>
      <c r="D346" s="12">
        <v>100</v>
      </c>
    </row>
    <row r="347" spans="1:4" x14ac:dyDescent="0.2">
      <c r="A347" s="12" t="s">
        <v>9117</v>
      </c>
      <c r="B347" s="12" t="s">
        <v>9116</v>
      </c>
      <c r="C347" s="12" t="s">
        <v>59</v>
      </c>
      <c r="D347" s="12" t="s">
        <v>59</v>
      </c>
    </row>
    <row r="348" spans="1:4" x14ac:dyDescent="0.2">
      <c r="A348" s="12" t="s">
        <v>5791</v>
      </c>
      <c r="B348" s="12" t="s">
        <v>5790</v>
      </c>
      <c r="C348" s="12">
        <v>1</v>
      </c>
      <c r="D348" s="12">
        <v>0.1</v>
      </c>
    </row>
    <row r="349" spans="1:4" x14ac:dyDescent="0.2">
      <c r="A349" s="12" t="s">
        <v>5926</v>
      </c>
      <c r="B349" s="12" t="s">
        <v>5925</v>
      </c>
      <c r="C349" s="12">
        <v>10</v>
      </c>
      <c r="D349" s="12">
        <v>1</v>
      </c>
    </row>
    <row r="350" spans="1:4" x14ac:dyDescent="0.2">
      <c r="A350" s="12" t="s">
        <v>6103</v>
      </c>
      <c r="B350" s="12" t="s">
        <v>6102</v>
      </c>
      <c r="C350" s="12">
        <v>100</v>
      </c>
      <c r="D350" s="12">
        <v>10</v>
      </c>
    </row>
    <row r="351" spans="1:4" x14ac:dyDescent="0.2">
      <c r="A351" s="12" t="s">
        <v>2972</v>
      </c>
      <c r="B351" s="12" t="s">
        <v>2971</v>
      </c>
      <c r="C351" s="12">
        <v>4800</v>
      </c>
      <c r="D351" s="12">
        <v>450</v>
      </c>
    </row>
    <row r="352" spans="1:4" x14ac:dyDescent="0.2">
      <c r="A352" s="12" t="s">
        <v>1746</v>
      </c>
      <c r="B352" s="12" t="s">
        <v>1745</v>
      </c>
      <c r="C352" s="12" t="s">
        <v>59</v>
      </c>
      <c r="D352" s="12" t="s">
        <v>59</v>
      </c>
    </row>
    <row r="353" spans="1:4" x14ac:dyDescent="0.2">
      <c r="A353" s="12" t="s">
        <v>3219</v>
      </c>
      <c r="B353" s="12" t="s">
        <v>3218</v>
      </c>
      <c r="C353" s="12">
        <v>6</v>
      </c>
      <c r="D353" s="12">
        <v>0.6</v>
      </c>
    </row>
    <row r="354" spans="1:4" x14ac:dyDescent="0.2">
      <c r="A354" s="12" t="s">
        <v>610</v>
      </c>
      <c r="B354" s="12" t="s">
        <v>609</v>
      </c>
      <c r="C354" s="12">
        <v>60</v>
      </c>
      <c r="D354" s="12">
        <v>6</v>
      </c>
    </row>
    <row r="355" spans="1:4" x14ac:dyDescent="0.2">
      <c r="A355" s="12" t="s">
        <v>2759</v>
      </c>
      <c r="B355" s="12" t="s">
        <v>2758</v>
      </c>
      <c r="C355" s="12">
        <v>4800</v>
      </c>
      <c r="D355" s="12">
        <v>450</v>
      </c>
    </row>
    <row r="356" spans="1:4" x14ac:dyDescent="0.2">
      <c r="A356" s="12" t="s">
        <v>6509</v>
      </c>
      <c r="B356" s="12" t="s">
        <v>6508</v>
      </c>
      <c r="C356" s="12">
        <v>20</v>
      </c>
      <c r="D356" s="12">
        <v>2</v>
      </c>
    </row>
    <row r="357" spans="1:4" x14ac:dyDescent="0.2">
      <c r="A357" s="12" t="s">
        <v>10211</v>
      </c>
      <c r="B357" s="12" t="s">
        <v>10210</v>
      </c>
      <c r="C357" s="12" t="s">
        <v>59</v>
      </c>
      <c r="D357" s="12" t="s">
        <v>59</v>
      </c>
    </row>
    <row r="358" spans="1:4" x14ac:dyDescent="0.2">
      <c r="A358" s="12" t="s">
        <v>7367</v>
      </c>
      <c r="B358" s="12" t="s">
        <v>7366</v>
      </c>
      <c r="C358" s="12">
        <v>29</v>
      </c>
      <c r="D358" s="12">
        <v>3</v>
      </c>
    </row>
    <row r="359" spans="1:4" x14ac:dyDescent="0.2">
      <c r="A359" s="12" t="s">
        <v>2377</v>
      </c>
      <c r="B359" s="12" t="s">
        <v>2376</v>
      </c>
      <c r="C359" s="12">
        <v>90</v>
      </c>
      <c r="D359" s="12">
        <v>9</v>
      </c>
    </row>
    <row r="360" spans="1:4" x14ac:dyDescent="0.2">
      <c r="A360" s="12" t="s">
        <v>3197</v>
      </c>
      <c r="B360" s="12" t="s">
        <v>3196</v>
      </c>
      <c r="C360" s="12">
        <v>90</v>
      </c>
      <c r="D360" s="12">
        <v>9</v>
      </c>
    </row>
    <row r="361" spans="1:4" x14ac:dyDescent="0.2">
      <c r="A361" s="12" t="s">
        <v>3185</v>
      </c>
      <c r="B361" s="12" t="s">
        <v>3184</v>
      </c>
      <c r="C361" s="12">
        <v>90</v>
      </c>
      <c r="D361" s="12">
        <v>9</v>
      </c>
    </row>
    <row r="362" spans="1:4" x14ac:dyDescent="0.2">
      <c r="A362" s="12" t="s">
        <v>2379</v>
      </c>
      <c r="B362" s="12" t="s">
        <v>2378</v>
      </c>
      <c r="C362" s="12">
        <v>90</v>
      </c>
      <c r="D362" s="12">
        <v>9</v>
      </c>
    </row>
    <row r="363" spans="1:4" x14ac:dyDescent="0.2">
      <c r="A363" s="12" t="s">
        <v>3722</v>
      </c>
      <c r="B363" s="12" t="s">
        <v>3721</v>
      </c>
      <c r="C363" s="12">
        <v>50</v>
      </c>
      <c r="D363" s="12">
        <v>5</v>
      </c>
    </row>
    <row r="364" spans="1:4" x14ac:dyDescent="0.2">
      <c r="A364" s="12" t="s">
        <v>6707</v>
      </c>
      <c r="B364" s="12" t="s">
        <v>6706</v>
      </c>
      <c r="C364" s="12">
        <v>150</v>
      </c>
      <c r="D364" s="12">
        <v>0.22</v>
      </c>
    </row>
    <row r="365" spans="1:4" x14ac:dyDescent="0.2">
      <c r="A365" s="12" t="s">
        <v>937</v>
      </c>
      <c r="B365" s="12" t="s">
        <v>936</v>
      </c>
      <c r="C365" s="12">
        <v>2800</v>
      </c>
      <c r="D365" s="12">
        <v>110</v>
      </c>
    </row>
    <row r="366" spans="1:4" x14ac:dyDescent="0.2">
      <c r="A366" s="12" t="s">
        <v>1554</v>
      </c>
      <c r="B366" s="12" t="s">
        <v>1553</v>
      </c>
      <c r="C366" s="12">
        <v>4800</v>
      </c>
      <c r="D366" s="12">
        <v>450</v>
      </c>
    </row>
    <row r="367" spans="1:4" x14ac:dyDescent="0.2">
      <c r="A367" s="12" t="s">
        <v>3712</v>
      </c>
      <c r="B367" s="12" t="s">
        <v>3711</v>
      </c>
      <c r="C367" s="12">
        <v>5</v>
      </c>
      <c r="D367" s="12">
        <v>0.5</v>
      </c>
    </row>
    <row r="368" spans="1:4" x14ac:dyDescent="0.2">
      <c r="A368" s="12" t="s">
        <v>9053</v>
      </c>
      <c r="B368" s="12" t="s">
        <v>9052</v>
      </c>
      <c r="C368" s="12">
        <v>66000</v>
      </c>
      <c r="D368" s="12">
        <v>7100</v>
      </c>
    </row>
    <row r="369" spans="1:4" x14ac:dyDescent="0.2">
      <c r="A369" s="12" t="s">
        <v>945</v>
      </c>
      <c r="B369" s="12" t="s">
        <v>944</v>
      </c>
      <c r="C369" s="12">
        <v>19000</v>
      </c>
      <c r="D369" s="12">
        <v>1600</v>
      </c>
    </row>
    <row r="370" spans="1:4" x14ac:dyDescent="0.2">
      <c r="A370" s="12" t="s">
        <v>680</v>
      </c>
      <c r="B370" s="12" t="s">
        <v>679</v>
      </c>
      <c r="C370" s="12">
        <v>510</v>
      </c>
      <c r="D370" s="12">
        <v>9.9</v>
      </c>
    </row>
    <row r="371" spans="1:4" x14ac:dyDescent="0.2">
      <c r="A371" s="12" t="s">
        <v>12148</v>
      </c>
      <c r="B371" s="12" t="s">
        <v>12147</v>
      </c>
      <c r="C371" s="12">
        <v>20</v>
      </c>
      <c r="D371" s="12">
        <v>2</v>
      </c>
    </row>
    <row r="372" spans="1:4" x14ac:dyDescent="0.2">
      <c r="A372" s="12" t="s">
        <v>9928</v>
      </c>
      <c r="B372" s="12" t="s">
        <v>9927</v>
      </c>
      <c r="C372" s="12">
        <v>100</v>
      </c>
      <c r="D372" s="12">
        <v>10</v>
      </c>
    </row>
    <row r="373" spans="1:4" x14ac:dyDescent="0.2">
      <c r="A373" s="12" t="s">
        <v>6599</v>
      </c>
      <c r="B373" s="12" t="s">
        <v>6598</v>
      </c>
      <c r="C373" s="12">
        <v>16400</v>
      </c>
      <c r="D373" s="12">
        <v>1640</v>
      </c>
    </row>
    <row r="374" spans="1:4" x14ac:dyDescent="0.2">
      <c r="A374" s="12" t="s">
        <v>11728</v>
      </c>
      <c r="B374" s="12" t="s">
        <v>11727</v>
      </c>
      <c r="C374" s="12">
        <v>50</v>
      </c>
      <c r="D374" s="12">
        <v>5</v>
      </c>
    </row>
    <row r="375" spans="1:4" x14ac:dyDescent="0.2">
      <c r="A375" s="12" t="s">
        <v>1960</v>
      </c>
      <c r="B375" s="12" t="s">
        <v>1959</v>
      </c>
      <c r="C375" s="12">
        <v>10000</v>
      </c>
      <c r="D375" s="12">
        <v>480</v>
      </c>
    </row>
    <row r="376" spans="1:4" x14ac:dyDescent="0.2">
      <c r="A376" s="12" t="s">
        <v>3499</v>
      </c>
      <c r="B376" s="12" t="s">
        <v>3498</v>
      </c>
      <c r="C376" s="12">
        <v>3.2</v>
      </c>
      <c r="D376" s="12">
        <v>0.82</v>
      </c>
    </row>
    <row r="377" spans="1:4" x14ac:dyDescent="0.2">
      <c r="A377" s="12" t="s">
        <v>9330</v>
      </c>
      <c r="B377" s="12" t="s">
        <v>9329</v>
      </c>
      <c r="C377" s="12">
        <v>3.7</v>
      </c>
      <c r="D377" s="12">
        <v>1.6</v>
      </c>
    </row>
    <row r="378" spans="1:4" x14ac:dyDescent="0.2">
      <c r="A378" s="12" t="s">
        <v>929</v>
      </c>
      <c r="B378" s="12" t="s">
        <v>928</v>
      </c>
      <c r="C378" s="12">
        <v>10</v>
      </c>
      <c r="D378" s="12">
        <v>1</v>
      </c>
    </row>
    <row r="379" spans="1:4" x14ac:dyDescent="0.2">
      <c r="A379" s="12" t="s">
        <v>3714</v>
      </c>
      <c r="B379" s="12" t="s">
        <v>3713</v>
      </c>
      <c r="C379" s="12">
        <v>30</v>
      </c>
      <c r="D379" s="12">
        <v>3</v>
      </c>
    </row>
    <row r="380" spans="1:4" x14ac:dyDescent="0.2">
      <c r="A380" s="12" t="s">
        <v>6709</v>
      </c>
      <c r="B380" s="12" t="s">
        <v>6708</v>
      </c>
      <c r="C380" s="12">
        <v>650</v>
      </c>
      <c r="D380" s="12">
        <v>2.9</v>
      </c>
    </row>
    <row r="381" spans="1:4" x14ac:dyDescent="0.2">
      <c r="A381" s="12" t="s">
        <v>2007</v>
      </c>
      <c r="B381" s="12" t="s">
        <v>2006</v>
      </c>
      <c r="C381" s="12">
        <v>33</v>
      </c>
      <c r="D381" s="12">
        <v>3.3</v>
      </c>
    </row>
    <row r="382" spans="1:4" x14ac:dyDescent="0.2">
      <c r="A382" s="12" t="s">
        <v>303</v>
      </c>
      <c r="B382" s="12" t="s">
        <v>302</v>
      </c>
      <c r="C382" s="12">
        <v>600</v>
      </c>
      <c r="D382" s="12">
        <v>60</v>
      </c>
    </row>
    <row r="383" spans="1:4" x14ac:dyDescent="0.2">
      <c r="A383" s="12" t="s">
        <v>1382</v>
      </c>
      <c r="B383" s="12" t="s">
        <v>1381</v>
      </c>
      <c r="C383" s="12">
        <v>4800</v>
      </c>
      <c r="D383" s="12">
        <v>450</v>
      </c>
    </row>
    <row r="384" spans="1:4" x14ac:dyDescent="0.2">
      <c r="A384" s="12" t="s">
        <v>10544</v>
      </c>
      <c r="B384" s="12" t="s">
        <v>10543</v>
      </c>
      <c r="C384" s="12">
        <v>120</v>
      </c>
      <c r="D384" s="12">
        <v>12</v>
      </c>
    </row>
    <row r="385" spans="1:4" x14ac:dyDescent="0.2">
      <c r="A385" s="12" t="s">
        <v>3732</v>
      </c>
      <c r="B385" s="12" t="s">
        <v>3731</v>
      </c>
      <c r="C385" s="12">
        <v>12</v>
      </c>
      <c r="D385" s="12">
        <v>1.2</v>
      </c>
    </row>
    <row r="386" spans="1:4" x14ac:dyDescent="0.2">
      <c r="A386" s="12" t="s">
        <v>10521</v>
      </c>
      <c r="B386" s="12" t="s">
        <v>10520</v>
      </c>
      <c r="C386" s="12">
        <v>140</v>
      </c>
      <c r="D386" s="12">
        <v>14</v>
      </c>
    </row>
    <row r="387" spans="1:4" x14ac:dyDescent="0.2">
      <c r="A387" s="12" t="s">
        <v>9503</v>
      </c>
      <c r="B387" s="12" t="s">
        <v>9502</v>
      </c>
      <c r="C387" s="12" t="s">
        <v>59</v>
      </c>
      <c r="D387" s="12" t="s">
        <v>59</v>
      </c>
    </row>
    <row r="388" spans="1:4" x14ac:dyDescent="0.2">
      <c r="A388" s="12" t="s">
        <v>9504</v>
      </c>
      <c r="B388" s="12" t="s">
        <v>9502</v>
      </c>
      <c r="C388" s="12">
        <v>500</v>
      </c>
      <c r="D388" s="12">
        <v>50</v>
      </c>
    </row>
    <row r="389" spans="1:4" x14ac:dyDescent="0.2">
      <c r="A389" s="12" t="s">
        <v>1475</v>
      </c>
      <c r="B389" s="12" t="s">
        <v>1474</v>
      </c>
      <c r="C389" s="12">
        <v>4800</v>
      </c>
      <c r="D389" s="12">
        <v>450</v>
      </c>
    </row>
    <row r="390" spans="1:4" x14ac:dyDescent="0.2">
      <c r="A390" s="12" t="s">
        <v>3514</v>
      </c>
      <c r="B390" s="12" t="s">
        <v>3513</v>
      </c>
      <c r="C390" s="12">
        <v>330</v>
      </c>
      <c r="D390" s="12">
        <v>2.1</v>
      </c>
    </row>
    <row r="391" spans="1:4" x14ac:dyDescent="0.2">
      <c r="A391" s="12" t="s">
        <v>6758</v>
      </c>
      <c r="B391" s="12" t="s">
        <v>6757</v>
      </c>
      <c r="C391" s="12">
        <v>250</v>
      </c>
      <c r="D391" s="12">
        <v>25</v>
      </c>
    </row>
    <row r="392" spans="1:4" x14ac:dyDescent="0.2">
      <c r="A392" s="12" t="s">
        <v>7343</v>
      </c>
      <c r="B392" s="12" t="s">
        <v>7342</v>
      </c>
      <c r="C392" s="12">
        <v>50</v>
      </c>
      <c r="D392" s="12">
        <v>5</v>
      </c>
    </row>
    <row r="393" spans="1:4" x14ac:dyDescent="0.2">
      <c r="A393" s="12" t="s">
        <v>1405</v>
      </c>
      <c r="B393" s="12" t="s">
        <v>1404</v>
      </c>
      <c r="C393" s="12">
        <v>1700</v>
      </c>
      <c r="D393" s="12">
        <v>330</v>
      </c>
    </row>
    <row r="394" spans="1:4" x14ac:dyDescent="0.2">
      <c r="A394" s="12" t="s">
        <v>7349</v>
      </c>
      <c r="B394" s="12" t="s">
        <v>7348</v>
      </c>
      <c r="C394" s="12" t="s">
        <v>59</v>
      </c>
      <c r="D394" s="12" t="s">
        <v>59</v>
      </c>
    </row>
    <row r="395" spans="1:4" x14ac:dyDescent="0.2">
      <c r="A395" s="12" t="s">
        <v>7350</v>
      </c>
      <c r="B395" s="12" t="s">
        <v>7348</v>
      </c>
      <c r="C395" s="12">
        <v>175</v>
      </c>
      <c r="D395" s="12">
        <v>17.5</v>
      </c>
    </row>
    <row r="396" spans="1:4" x14ac:dyDescent="0.2">
      <c r="A396" s="12" t="s">
        <v>3710</v>
      </c>
      <c r="B396" s="12" t="s">
        <v>3709</v>
      </c>
      <c r="C396" s="12">
        <v>50</v>
      </c>
      <c r="D396" s="12">
        <v>5</v>
      </c>
    </row>
    <row r="397" spans="1:4" x14ac:dyDescent="0.2">
      <c r="A397" s="12" t="s">
        <v>10499</v>
      </c>
      <c r="B397" s="12" t="s">
        <v>10498</v>
      </c>
      <c r="C397" s="12">
        <v>20</v>
      </c>
      <c r="D397" s="12">
        <v>2</v>
      </c>
    </row>
    <row r="398" spans="1:4" x14ac:dyDescent="0.2">
      <c r="A398" s="12" t="s">
        <v>5049</v>
      </c>
      <c r="B398" s="12" t="s">
        <v>5048</v>
      </c>
      <c r="C398" s="12">
        <v>30</v>
      </c>
      <c r="D398" s="12">
        <v>3</v>
      </c>
    </row>
    <row r="399" spans="1:4" x14ac:dyDescent="0.2">
      <c r="A399" s="12" t="s">
        <v>1839</v>
      </c>
      <c r="B399" s="12" t="s">
        <v>1838</v>
      </c>
      <c r="C399" s="12">
        <v>4800</v>
      </c>
      <c r="D399" s="12">
        <v>450</v>
      </c>
    </row>
    <row r="400" spans="1:4" x14ac:dyDescent="0.2">
      <c r="A400" s="12" t="s">
        <v>6713</v>
      </c>
      <c r="B400" s="12" t="s">
        <v>6712</v>
      </c>
      <c r="C400" s="12">
        <v>450</v>
      </c>
      <c r="D400" s="12">
        <v>4.5</v>
      </c>
    </row>
    <row r="401" spans="1:4" x14ac:dyDescent="0.2">
      <c r="A401" s="12" t="s">
        <v>1858</v>
      </c>
      <c r="B401" s="12" t="s">
        <v>1857</v>
      </c>
      <c r="C401" s="12">
        <v>1700</v>
      </c>
      <c r="D401" s="12">
        <v>330</v>
      </c>
    </row>
    <row r="402" spans="1:4" x14ac:dyDescent="0.2">
      <c r="A402" s="12" t="s">
        <v>7345</v>
      </c>
      <c r="B402" s="12" t="s">
        <v>7344</v>
      </c>
      <c r="C402" s="12">
        <v>1</v>
      </c>
      <c r="D402" s="12">
        <v>0.1</v>
      </c>
    </row>
    <row r="403" spans="1:4" x14ac:dyDescent="0.2">
      <c r="A403" s="12" t="s">
        <v>8523</v>
      </c>
      <c r="B403" s="12" t="s">
        <v>8522</v>
      </c>
      <c r="C403" s="12">
        <v>4800</v>
      </c>
      <c r="D403" s="12">
        <v>480</v>
      </c>
    </row>
    <row r="404" spans="1:4" x14ac:dyDescent="0.2">
      <c r="A404" s="12" t="s">
        <v>1236</v>
      </c>
      <c r="B404" s="12" t="s">
        <v>1235</v>
      </c>
      <c r="C404" s="12">
        <v>100</v>
      </c>
      <c r="D404" s="12">
        <v>10</v>
      </c>
    </row>
    <row r="405" spans="1:4" x14ac:dyDescent="0.2">
      <c r="A405" s="12" t="s">
        <v>3397</v>
      </c>
      <c r="B405" s="12" t="s">
        <v>3396</v>
      </c>
      <c r="C405" s="12">
        <v>740</v>
      </c>
      <c r="D405" s="12">
        <v>74</v>
      </c>
    </row>
    <row r="406" spans="1:4" x14ac:dyDescent="0.2">
      <c r="A406" s="12" t="s">
        <v>5092</v>
      </c>
      <c r="B406" s="12" t="s">
        <v>5091</v>
      </c>
      <c r="C406" s="12">
        <v>0.5</v>
      </c>
      <c r="D406" s="12">
        <v>0.05</v>
      </c>
    </row>
    <row r="407" spans="1:4" x14ac:dyDescent="0.2">
      <c r="A407" s="12" t="s">
        <v>2696</v>
      </c>
      <c r="B407" s="12" t="s">
        <v>2695</v>
      </c>
      <c r="C407" s="12">
        <v>1500</v>
      </c>
      <c r="D407" s="12">
        <v>150</v>
      </c>
    </row>
    <row r="408" spans="1:4" x14ac:dyDescent="0.2">
      <c r="A408" s="12" t="s">
        <v>8438</v>
      </c>
      <c r="B408" s="12" t="s">
        <v>8437</v>
      </c>
      <c r="C408" s="12">
        <v>1200</v>
      </c>
      <c r="D408" s="12">
        <v>120</v>
      </c>
    </row>
    <row r="409" spans="1:4" x14ac:dyDescent="0.2">
      <c r="A409" s="12" t="s">
        <v>1308</v>
      </c>
      <c r="B409" s="12" t="s">
        <v>1307</v>
      </c>
      <c r="C409" s="12">
        <v>150</v>
      </c>
      <c r="D409" s="12"/>
    </row>
    <row r="410" spans="1:4" x14ac:dyDescent="0.2">
      <c r="A410" s="12" t="s">
        <v>2146</v>
      </c>
      <c r="B410" s="12" t="s">
        <v>2145</v>
      </c>
      <c r="C410" s="12">
        <v>600</v>
      </c>
      <c r="D410" s="12">
        <v>60</v>
      </c>
    </row>
    <row r="411" spans="1:4" x14ac:dyDescent="0.2">
      <c r="A411" s="12" t="s">
        <v>1627</v>
      </c>
      <c r="B411" s="12" t="s">
        <v>1626</v>
      </c>
      <c r="C411" s="12">
        <v>5700</v>
      </c>
      <c r="D411" s="12">
        <v>570</v>
      </c>
    </row>
    <row r="412" spans="1:4" x14ac:dyDescent="0.2">
      <c r="A412" s="12" t="s">
        <v>1631</v>
      </c>
      <c r="B412" s="12" t="s">
        <v>1630</v>
      </c>
      <c r="C412" s="12">
        <v>5700</v>
      </c>
      <c r="D412" s="12">
        <v>570</v>
      </c>
    </row>
    <row r="413" spans="1:4" x14ac:dyDescent="0.2">
      <c r="A413" s="12" t="s">
        <v>7544</v>
      </c>
      <c r="B413" s="12" t="s">
        <v>7543</v>
      </c>
      <c r="C413" s="12">
        <v>1200</v>
      </c>
      <c r="D413" s="12">
        <v>120</v>
      </c>
    </row>
    <row r="414" spans="1:4" x14ac:dyDescent="0.2">
      <c r="A414" s="12" t="s">
        <v>1098</v>
      </c>
      <c r="B414" s="12" t="s">
        <v>1097</v>
      </c>
      <c r="C414" s="12">
        <v>2450</v>
      </c>
      <c r="D414" s="12">
        <v>245</v>
      </c>
    </row>
    <row r="415" spans="1:4" x14ac:dyDescent="0.2">
      <c r="A415" s="12" t="s">
        <v>1106</v>
      </c>
      <c r="B415" s="12" t="s">
        <v>1105</v>
      </c>
      <c r="C415" s="12">
        <v>2450</v>
      </c>
      <c r="D415" s="12">
        <v>245</v>
      </c>
    </row>
    <row r="416" spans="1:4" x14ac:dyDescent="0.2">
      <c r="A416" s="12" t="s">
        <v>1112</v>
      </c>
      <c r="B416" s="12" t="s">
        <v>1111</v>
      </c>
      <c r="C416" s="12">
        <v>2450</v>
      </c>
      <c r="D416" s="12">
        <v>245</v>
      </c>
    </row>
    <row r="417" spans="1:4" x14ac:dyDescent="0.2">
      <c r="A417" s="12" t="s">
        <v>7473</v>
      </c>
      <c r="B417" s="12" t="s">
        <v>7472</v>
      </c>
      <c r="C417" s="12">
        <v>1000</v>
      </c>
      <c r="D417" s="12">
        <v>100</v>
      </c>
    </row>
    <row r="418" spans="1:4" x14ac:dyDescent="0.2">
      <c r="A418" s="12" t="s">
        <v>11657</v>
      </c>
      <c r="B418" s="12" t="s">
        <v>11656</v>
      </c>
      <c r="C418" s="12">
        <v>0.5</v>
      </c>
      <c r="D418" s="12">
        <v>0.05</v>
      </c>
    </row>
    <row r="419" spans="1:4" x14ac:dyDescent="0.2">
      <c r="A419" s="12" t="s">
        <v>9429</v>
      </c>
      <c r="B419" s="12" t="s">
        <v>9428</v>
      </c>
      <c r="C419" s="12">
        <v>1000</v>
      </c>
      <c r="D419" s="12">
        <v>100</v>
      </c>
    </row>
    <row r="420" spans="1:4" x14ac:dyDescent="0.2">
      <c r="A420" s="12" t="s">
        <v>11934</v>
      </c>
      <c r="B420" s="12" t="s">
        <v>11933</v>
      </c>
      <c r="C420" s="12">
        <v>70</v>
      </c>
      <c r="D420" s="12">
        <v>7</v>
      </c>
    </row>
    <row r="421" spans="1:4" x14ac:dyDescent="0.2">
      <c r="A421" s="12" t="s">
        <v>2608</v>
      </c>
      <c r="B421" s="12" t="s">
        <v>2607</v>
      </c>
      <c r="C421" s="12">
        <v>100</v>
      </c>
      <c r="D421" s="12">
        <v>10</v>
      </c>
    </row>
    <row r="422" spans="1:4" x14ac:dyDescent="0.2">
      <c r="A422" s="12" t="s">
        <v>9382</v>
      </c>
      <c r="B422" s="12" t="s">
        <v>9381</v>
      </c>
      <c r="C422" s="12">
        <v>140</v>
      </c>
      <c r="D422" s="12">
        <v>14</v>
      </c>
    </row>
    <row r="423" spans="1:4" x14ac:dyDescent="0.2">
      <c r="A423" s="12" t="s">
        <v>11590</v>
      </c>
      <c r="B423" s="12" t="s">
        <v>11589</v>
      </c>
      <c r="C423" s="12">
        <v>3</v>
      </c>
      <c r="D423" s="12">
        <v>0.3</v>
      </c>
    </row>
    <row r="424" spans="1:4" x14ac:dyDescent="0.2">
      <c r="A424" s="12" t="s">
        <v>5771</v>
      </c>
      <c r="B424" s="12" t="s">
        <v>5770</v>
      </c>
      <c r="C424" s="12">
        <v>50</v>
      </c>
      <c r="D424" s="12">
        <v>5</v>
      </c>
    </row>
    <row r="425" spans="1:4" x14ac:dyDescent="0.2">
      <c r="A425" s="12" t="s">
        <v>11567</v>
      </c>
      <c r="B425" s="12" t="s">
        <v>11566</v>
      </c>
      <c r="C425" s="12">
        <v>100</v>
      </c>
      <c r="D425" s="12">
        <v>10</v>
      </c>
    </row>
    <row r="426" spans="1:4" x14ac:dyDescent="0.2">
      <c r="A426" s="12" t="s">
        <v>7540</v>
      </c>
      <c r="B426" s="12" t="s">
        <v>7539</v>
      </c>
      <c r="C426" s="12">
        <v>1250</v>
      </c>
      <c r="D426" s="12">
        <v>125</v>
      </c>
    </row>
    <row r="427" spans="1:4" x14ac:dyDescent="0.2">
      <c r="A427" s="12" t="s">
        <v>3337</v>
      </c>
      <c r="B427" s="12" t="s">
        <v>3336</v>
      </c>
      <c r="C427" s="12">
        <v>100</v>
      </c>
      <c r="D427" s="12">
        <v>10</v>
      </c>
    </row>
    <row r="428" spans="1:4" x14ac:dyDescent="0.2">
      <c r="A428" s="12" t="s">
        <v>9143</v>
      </c>
      <c r="B428" s="12" t="s">
        <v>9142</v>
      </c>
      <c r="C428" s="12">
        <v>210</v>
      </c>
      <c r="D428" s="12">
        <v>21</v>
      </c>
    </row>
    <row r="429" spans="1:4" x14ac:dyDescent="0.2">
      <c r="A429" s="12" t="s">
        <v>1956</v>
      </c>
      <c r="B429" s="12" t="s">
        <v>1955</v>
      </c>
      <c r="C429" s="12">
        <v>220</v>
      </c>
      <c r="D429" s="12">
        <v>22</v>
      </c>
    </row>
    <row r="430" spans="1:4" x14ac:dyDescent="0.2">
      <c r="A430" s="12" t="s">
        <v>2343</v>
      </c>
      <c r="B430" s="12" t="s">
        <v>2342</v>
      </c>
      <c r="C430" s="12">
        <v>5600</v>
      </c>
      <c r="D430" s="12">
        <v>200</v>
      </c>
    </row>
    <row r="431" spans="1:4" x14ac:dyDescent="0.2">
      <c r="A431" s="12" t="s">
        <v>9157</v>
      </c>
      <c r="B431" s="12" t="s">
        <v>9156</v>
      </c>
      <c r="C431" s="12">
        <v>2450</v>
      </c>
      <c r="D431" s="12">
        <v>245</v>
      </c>
    </row>
    <row r="432" spans="1:4" x14ac:dyDescent="0.2">
      <c r="A432" s="12" t="s">
        <v>1871</v>
      </c>
      <c r="B432" s="12" t="s">
        <v>1870</v>
      </c>
      <c r="C432" s="12" t="s">
        <v>59</v>
      </c>
      <c r="D432" s="12" t="s">
        <v>59</v>
      </c>
    </row>
    <row r="433" spans="1:4" x14ac:dyDescent="0.2">
      <c r="A433" s="12" t="s">
        <v>1872</v>
      </c>
      <c r="B433" s="12" t="s">
        <v>1870</v>
      </c>
      <c r="C433" s="12">
        <v>1000</v>
      </c>
      <c r="D433" s="12">
        <v>100</v>
      </c>
    </row>
    <row r="434" spans="1:4" x14ac:dyDescent="0.2">
      <c r="A434" s="12" t="s">
        <v>2391</v>
      </c>
      <c r="B434" s="12" t="s">
        <v>2390</v>
      </c>
      <c r="C434" s="12">
        <v>5300</v>
      </c>
      <c r="D434" s="12">
        <v>530</v>
      </c>
    </row>
    <row r="435" spans="1:4" x14ac:dyDescent="0.2">
      <c r="A435" s="12" t="s">
        <v>684</v>
      </c>
      <c r="B435" s="12" t="s">
        <v>683</v>
      </c>
      <c r="C435" s="12">
        <v>4400</v>
      </c>
      <c r="D435" s="12">
        <v>440</v>
      </c>
    </row>
    <row r="436" spans="1:4" x14ac:dyDescent="0.2">
      <c r="A436" s="12" t="s">
        <v>3616</v>
      </c>
      <c r="B436" s="12" t="s">
        <v>3615</v>
      </c>
      <c r="C436" s="12">
        <v>1800</v>
      </c>
      <c r="D436" s="12">
        <v>180</v>
      </c>
    </row>
    <row r="437" spans="1:4" x14ac:dyDescent="0.2">
      <c r="A437" s="12" t="s">
        <v>4648</v>
      </c>
      <c r="B437" s="12" t="s">
        <v>4647</v>
      </c>
      <c r="C437" s="12">
        <v>26</v>
      </c>
      <c r="D437" s="12">
        <v>90</v>
      </c>
    </row>
    <row r="438" spans="1:4" x14ac:dyDescent="0.2">
      <c r="A438" s="12" t="s">
        <v>5463</v>
      </c>
      <c r="B438" s="12" t="s">
        <v>5462</v>
      </c>
      <c r="C438" s="12">
        <v>180</v>
      </c>
      <c r="D438" s="12">
        <v>18</v>
      </c>
    </row>
    <row r="439" spans="1:4" x14ac:dyDescent="0.2">
      <c r="A439" s="12" t="s">
        <v>2838</v>
      </c>
      <c r="B439" s="12" t="s">
        <v>2837</v>
      </c>
      <c r="C439" s="12">
        <v>0.75</v>
      </c>
      <c r="D439" s="12">
        <v>4</v>
      </c>
    </row>
    <row r="440" spans="1:4" x14ac:dyDescent="0.2">
      <c r="A440" s="12" t="s">
        <v>10797</v>
      </c>
      <c r="B440" s="12" t="s">
        <v>10796</v>
      </c>
      <c r="C440" s="12" t="s">
        <v>59</v>
      </c>
      <c r="D440" s="12" t="s">
        <v>59</v>
      </c>
    </row>
    <row r="441" spans="1:4" x14ac:dyDescent="0.2">
      <c r="A441" s="12" t="s">
        <v>1075</v>
      </c>
      <c r="B441" s="12" t="s">
        <v>1074</v>
      </c>
      <c r="C441" s="12">
        <v>3700</v>
      </c>
      <c r="D441" s="12">
        <v>370</v>
      </c>
    </row>
    <row r="442" spans="1:4" x14ac:dyDescent="0.2">
      <c r="A442" s="12" t="s">
        <v>2037</v>
      </c>
      <c r="B442" s="12" t="s">
        <v>2036</v>
      </c>
      <c r="C442" s="12">
        <v>55</v>
      </c>
      <c r="D442" s="12">
        <v>50</v>
      </c>
    </row>
    <row r="443" spans="1:4" x14ac:dyDescent="0.2">
      <c r="A443" s="12" t="s">
        <v>1138</v>
      </c>
      <c r="B443" s="12" t="s">
        <v>1137</v>
      </c>
      <c r="C443" s="12">
        <v>900</v>
      </c>
      <c r="D443" s="12">
        <v>90</v>
      </c>
    </row>
    <row r="444" spans="1:4" x14ac:dyDescent="0.2">
      <c r="A444" s="12" t="s">
        <v>12302</v>
      </c>
      <c r="B444" s="12" t="s">
        <v>12301</v>
      </c>
      <c r="C444" s="12">
        <v>420</v>
      </c>
      <c r="D444" s="12">
        <v>300</v>
      </c>
    </row>
    <row r="445" spans="1:4" x14ac:dyDescent="0.2">
      <c r="A445" s="12" t="s">
        <v>1708</v>
      </c>
      <c r="B445" s="12" t="s">
        <v>1707</v>
      </c>
      <c r="C445" s="12">
        <v>10000</v>
      </c>
      <c r="D445" s="12">
        <v>2700</v>
      </c>
    </row>
    <row r="446" spans="1:4" x14ac:dyDescent="0.2">
      <c r="A446" s="12" t="s">
        <v>731</v>
      </c>
      <c r="B446" s="12" t="s">
        <v>730</v>
      </c>
      <c r="C446" s="12">
        <v>60</v>
      </c>
      <c r="D446" s="12">
        <v>6</v>
      </c>
    </row>
    <row r="447" spans="1:4" x14ac:dyDescent="0.2">
      <c r="A447" s="12" t="s">
        <v>8452</v>
      </c>
      <c r="B447" s="12" t="s">
        <v>8451</v>
      </c>
      <c r="C447" s="12">
        <v>820</v>
      </c>
      <c r="D447" s="12">
        <v>82</v>
      </c>
    </row>
    <row r="448" spans="1:4" x14ac:dyDescent="0.2">
      <c r="A448" s="12" t="s">
        <v>3157</v>
      </c>
      <c r="B448" s="12" t="s">
        <v>3156</v>
      </c>
      <c r="C448" s="12">
        <v>1000</v>
      </c>
      <c r="D448" s="12">
        <v>100</v>
      </c>
    </row>
    <row r="449" spans="1:4" x14ac:dyDescent="0.2">
      <c r="A449" s="12" t="s">
        <v>265</v>
      </c>
      <c r="B449" s="12" t="s">
        <v>264</v>
      </c>
      <c r="C449" s="12">
        <v>750</v>
      </c>
      <c r="D449" s="12">
        <v>75</v>
      </c>
    </row>
    <row r="450" spans="1:4" x14ac:dyDescent="0.2">
      <c r="A450" s="12" t="s">
        <v>6052</v>
      </c>
      <c r="B450" s="12" t="s">
        <v>6051</v>
      </c>
      <c r="C450" s="12">
        <v>260</v>
      </c>
      <c r="D450" s="12">
        <v>5.4</v>
      </c>
    </row>
    <row r="451" spans="1:4" x14ac:dyDescent="0.2">
      <c r="A451" s="12" t="s">
        <v>4503</v>
      </c>
      <c r="B451" s="12" t="s">
        <v>4502</v>
      </c>
      <c r="C451" s="12" t="s">
        <v>59</v>
      </c>
      <c r="D451" s="12" t="s">
        <v>59</v>
      </c>
    </row>
    <row r="452" spans="1:4" x14ac:dyDescent="0.2">
      <c r="A452" s="12" t="s">
        <v>6042</v>
      </c>
      <c r="B452" s="12" t="s">
        <v>6041</v>
      </c>
      <c r="C452" s="12">
        <v>8500</v>
      </c>
      <c r="D452" s="12">
        <v>850</v>
      </c>
    </row>
    <row r="453" spans="1:4" x14ac:dyDescent="0.2">
      <c r="A453" s="12" t="s">
        <v>7922</v>
      </c>
      <c r="B453" s="12" t="s">
        <v>7921</v>
      </c>
      <c r="C453" s="12">
        <v>4200</v>
      </c>
      <c r="D453" s="12">
        <v>420</v>
      </c>
    </row>
    <row r="454" spans="1:4" x14ac:dyDescent="0.2">
      <c r="A454" s="12" t="s">
        <v>7918</v>
      </c>
      <c r="B454" s="12" t="s">
        <v>7917</v>
      </c>
      <c r="C454" s="12">
        <v>460</v>
      </c>
      <c r="D454" s="12">
        <v>46</v>
      </c>
    </row>
    <row r="455" spans="1:4" x14ac:dyDescent="0.2">
      <c r="A455" s="12" t="s">
        <v>7926</v>
      </c>
      <c r="B455" s="12" t="s">
        <v>7925</v>
      </c>
      <c r="C455" s="12">
        <v>50</v>
      </c>
      <c r="D455" s="12">
        <v>5</v>
      </c>
    </row>
    <row r="456" spans="1:4" x14ac:dyDescent="0.2">
      <c r="A456" s="12" t="s">
        <v>3429</v>
      </c>
      <c r="B456" s="12" t="s">
        <v>3428</v>
      </c>
      <c r="C456" s="12">
        <v>120</v>
      </c>
      <c r="D456" s="12">
        <v>12</v>
      </c>
    </row>
    <row r="457" spans="1:4" x14ac:dyDescent="0.2">
      <c r="A457" s="12" t="s">
        <v>7276</v>
      </c>
      <c r="B457" s="12" t="s">
        <v>7275</v>
      </c>
      <c r="C457" s="12">
        <v>720</v>
      </c>
      <c r="D457" s="12">
        <v>72</v>
      </c>
    </row>
    <row r="458" spans="1:4" x14ac:dyDescent="0.2">
      <c r="A458" s="12" t="s">
        <v>11349</v>
      </c>
      <c r="B458" s="12" t="s">
        <v>11348</v>
      </c>
      <c r="C458" s="12">
        <v>25</v>
      </c>
      <c r="D458" s="12">
        <v>2.5</v>
      </c>
    </row>
    <row r="459" spans="1:4" x14ac:dyDescent="0.2">
      <c r="A459" s="12" t="s">
        <v>8220</v>
      </c>
      <c r="B459" s="12" t="s">
        <v>8219</v>
      </c>
      <c r="C459" s="12">
        <v>10</v>
      </c>
      <c r="D459" s="12">
        <v>1</v>
      </c>
    </row>
    <row r="460" spans="1:4" x14ac:dyDescent="0.2">
      <c r="A460" s="12" t="s">
        <v>10552</v>
      </c>
      <c r="B460" s="12" t="s">
        <v>10551</v>
      </c>
      <c r="C460" s="12">
        <v>500</v>
      </c>
      <c r="D460" s="12">
        <v>50</v>
      </c>
    </row>
    <row r="461" spans="1:4" x14ac:dyDescent="0.2">
      <c r="A461" s="12" t="s">
        <v>8753</v>
      </c>
      <c r="B461" s="12" t="s">
        <v>8752</v>
      </c>
      <c r="C461" s="12">
        <v>2200</v>
      </c>
      <c r="D461" s="12">
        <v>180</v>
      </c>
    </row>
    <row r="462" spans="1:4" x14ac:dyDescent="0.2">
      <c r="A462" s="12" t="s">
        <v>8281</v>
      </c>
      <c r="B462" s="12" t="s">
        <v>8280</v>
      </c>
      <c r="C462" s="12">
        <v>4.4000000000000004</v>
      </c>
      <c r="D462" s="12">
        <v>10</v>
      </c>
    </row>
    <row r="463" spans="1:4" x14ac:dyDescent="0.2">
      <c r="A463" s="12" t="s">
        <v>3423</v>
      </c>
      <c r="B463" s="12" t="s">
        <v>3422</v>
      </c>
      <c r="C463" s="12">
        <v>2750</v>
      </c>
      <c r="D463" s="12">
        <v>275</v>
      </c>
    </row>
    <row r="464" spans="1:4" x14ac:dyDescent="0.2">
      <c r="A464" s="12" t="s">
        <v>3425</v>
      </c>
      <c r="B464" s="12" t="s">
        <v>3424</v>
      </c>
      <c r="C464" s="12">
        <v>2750</v>
      </c>
      <c r="D464" s="12">
        <v>275</v>
      </c>
    </row>
    <row r="465" spans="1:4" x14ac:dyDescent="0.2">
      <c r="A465" s="12" t="s">
        <v>9567</v>
      </c>
      <c r="B465" s="12" t="s">
        <v>9566</v>
      </c>
      <c r="C465" s="12">
        <v>2750</v>
      </c>
      <c r="D465" s="12">
        <v>275</v>
      </c>
    </row>
    <row r="466" spans="1:4" x14ac:dyDescent="0.2">
      <c r="A466" s="12" t="s">
        <v>9574</v>
      </c>
      <c r="B466" s="12" t="s">
        <v>9573</v>
      </c>
      <c r="C466" s="12">
        <v>2750</v>
      </c>
      <c r="D466" s="12">
        <v>275</v>
      </c>
    </row>
    <row r="467" spans="1:4" x14ac:dyDescent="0.2">
      <c r="A467" s="12" t="s">
        <v>8277</v>
      </c>
      <c r="B467" s="12" t="s">
        <v>8276</v>
      </c>
      <c r="C467" s="12">
        <v>46</v>
      </c>
      <c r="D467" s="12">
        <v>4.5999999999999996</v>
      </c>
    </row>
    <row r="468" spans="1:4" x14ac:dyDescent="0.2">
      <c r="A468" s="12" t="s">
        <v>8279</v>
      </c>
      <c r="B468" s="12" t="s">
        <v>8278</v>
      </c>
      <c r="C468" s="12">
        <v>19</v>
      </c>
      <c r="D468" s="12">
        <v>30</v>
      </c>
    </row>
    <row r="469" spans="1:4" x14ac:dyDescent="0.2">
      <c r="A469" s="12" t="s">
        <v>8747</v>
      </c>
      <c r="B469" s="12" t="s">
        <v>8746</v>
      </c>
      <c r="C469" s="12">
        <v>90</v>
      </c>
      <c r="D469" s="12">
        <v>9</v>
      </c>
    </row>
    <row r="470" spans="1:4" x14ac:dyDescent="0.2">
      <c r="A470" s="12" t="s">
        <v>757</v>
      </c>
      <c r="B470" s="12" t="s">
        <v>756</v>
      </c>
      <c r="C470" s="12">
        <v>1</v>
      </c>
      <c r="D470" s="12">
        <v>0.1</v>
      </c>
    </row>
    <row r="471" spans="1:4" x14ac:dyDescent="0.2">
      <c r="A471" s="12" t="s">
        <v>10745</v>
      </c>
      <c r="B471" s="12" t="s">
        <v>10744</v>
      </c>
      <c r="C471" s="12">
        <v>450</v>
      </c>
      <c r="D471" s="12">
        <v>45</v>
      </c>
    </row>
    <row r="472" spans="1:4" x14ac:dyDescent="0.2">
      <c r="A472" s="12" t="s">
        <v>1619</v>
      </c>
      <c r="B472" s="12" t="s">
        <v>1618</v>
      </c>
      <c r="C472" s="12">
        <v>30</v>
      </c>
      <c r="D472" s="12">
        <v>3</v>
      </c>
    </row>
    <row r="473" spans="1:4" x14ac:dyDescent="0.2">
      <c r="A473" s="12" t="s">
        <v>1914</v>
      </c>
      <c r="B473" s="12" t="s">
        <v>1913</v>
      </c>
      <c r="C473" s="12">
        <v>20</v>
      </c>
      <c r="D473" s="12">
        <v>2</v>
      </c>
    </row>
    <row r="474" spans="1:4" x14ac:dyDescent="0.2">
      <c r="A474" s="12" t="s">
        <v>7310</v>
      </c>
      <c r="B474" s="12" t="s">
        <v>7309</v>
      </c>
      <c r="C474" s="12">
        <v>100</v>
      </c>
      <c r="D474" s="12">
        <v>10</v>
      </c>
    </row>
    <row r="475" spans="1:4" x14ac:dyDescent="0.2">
      <c r="A475" s="12" t="s">
        <v>4433</v>
      </c>
      <c r="B475" s="12" t="s">
        <v>4432</v>
      </c>
      <c r="C475" s="12">
        <v>210</v>
      </c>
      <c r="D475" s="12">
        <v>21</v>
      </c>
    </row>
    <row r="476" spans="1:4" x14ac:dyDescent="0.2">
      <c r="A476" s="12" t="s">
        <v>6635</v>
      </c>
      <c r="B476" s="12" t="s">
        <v>6634</v>
      </c>
      <c r="C476" s="12">
        <v>840</v>
      </c>
      <c r="D476" s="12">
        <v>84</v>
      </c>
    </row>
    <row r="477" spans="1:4" x14ac:dyDescent="0.2">
      <c r="A477" s="12" t="s">
        <v>1077</v>
      </c>
      <c r="B477" s="12" t="s">
        <v>1076</v>
      </c>
      <c r="C477" s="12">
        <v>2700</v>
      </c>
      <c r="D477" s="12">
        <v>270</v>
      </c>
    </row>
    <row r="478" spans="1:4" x14ac:dyDescent="0.2">
      <c r="A478" s="12" t="s">
        <v>648</v>
      </c>
      <c r="B478" s="12" t="s">
        <v>647</v>
      </c>
      <c r="C478" s="12">
        <v>4400</v>
      </c>
      <c r="D478" s="12">
        <v>54</v>
      </c>
    </row>
    <row r="479" spans="1:4" x14ac:dyDescent="0.2">
      <c r="A479" s="12" t="s">
        <v>2631</v>
      </c>
      <c r="B479" s="12" t="s">
        <v>2630</v>
      </c>
      <c r="C479" s="12">
        <v>290</v>
      </c>
      <c r="D479" s="12">
        <v>3.3</v>
      </c>
    </row>
    <row r="480" spans="1:4" x14ac:dyDescent="0.2">
      <c r="A480" s="12" t="s">
        <v>639</v>
      </c>
      <c r="B480" s="12" t="s">
        <v>638</v>
      </c>
      <c r="C480" s="12" t="s">
        <v>59</v>
      </c>
      <c r="D480" s="12" t="s">
        <v>59</v>
      </c>
    </row>
    <row r="481" spans="1:4" x14ac:dyDescent="0.2">
      <c r="A481" s="12" t="s">
        <v>640</v>
      </c>
      <c r="B481" s="12" t="s">
        <v>638</v>
      </c>
      <c r="C481" s="12">
        <v>400</v>
      </c>
      <c r="D481" s="12">
        <v>40</v>
      </c>
    </row>
    <row r="482" spans="1:4" x14ac:dyDescent="0.2">
      <c r="A482" s="12" t="s">
        <v>652</v>
      </c>
      <c r="B482" s="12" t="s">
        <v>651</v>
      </c>
      <c r="C482" s="12">
        <v>350</v>
      </c>
      <c r="D482" s="12">
        <v>35</v>
      </c>
    </row>
    <row r="483" spans="1:4" x14ac:dyDescent="0.2">
      <c r="A483" s="12" t="s">
        <v>1654</v>
      </c>
      <c r="B483" s="12" t="s">
        <v>1653</v>
      </c>
      <c r="C483" s="12">
        <v>30</v>
      </c>
      <c r="D483" s="12">
        <v>3</v>
      </c>
    </row>
    <row r="484" spans="1:4" x14ac:dyDescent="0.2">
      <c r="A484" s="12" t="s">
        <v>8293</v>
      </c>
      <c r="B484" s="12" t="s">
        <v>8292</v>
      </c>
      <c r="C484" s="12" t="s">
        <v>59</v>
      </c>
      <c r="D484" s="12" t="s">
        <v>59</v>
      </c>
    </row>
    <row r="485" spans="1:4" x14ac:dyDescent="0.2">
      <c r="A485" s="12" t="s">
        <v>7842</v>
      </c>
      <c r="B485" s="12" t="s">
        <v>7841</v>
      </c>
      <c r="C485" s="12" t="s">
        <v>59</v>
      </c>
      <c r="D485" s="12" t="s">
        <v>59</v>
      </c>
    </row>
    <row r="486" spans="1:4" x14ac:dyDescent="0.2">
      <c r="A486" s="12" t="s">
        <v>1250</v>
      </c>
      <c r="B486" s="12" t="s">
        <v>1249</v>
      </c>
      <c r="C486" s="12">
        <v>50</v>
      </c>
      <c r="D486" s="12">
        <v>5</v>
      </c>
    </row>
    <row r="487" spans="1:4" x14ac:dyDescent="0.2">
      <c r="A487" s="12" t="s">
        <v>1835</v>
      </c>
      <c r="B487" s="12" t="s">
        <v>1834</v>
      </c>
      <c r="C487" s="12">
        <v>1000</v>
      </c>
      <c r="D487" s="12">
        <v>100</v>
      </c>
    </row>
    <row r="488" spans="1:4" x14ac:dyDescent="0.2">
      <c r="A488" s="12" t="s">
        <v>1837</v>
      </c>
      <c r="B488" s="12" t="s">
        <v>1836</v>
      </c>
      <c r="C488" s="12">
        <v>1450</v>
      </c>
      <c r="D488" s="12">
        <v>145</v>
      </c>
    </row>
    <row r="489" spans="1:4" x14ac:dyDescent="0.2">
      <c r="A489" s="12" t="s">
        <v>3159</v>
      </c>
      <c r="B489" s="12" t="s">
        <v>3158</v>
      </c>
      <c r="C489" s="12">
        <v>3000</v>
      </c>
      <c r="D489" s="12">
        <v>300</v>
      </c>
    </row>
    <row r="490" spans="1:4" x14ac:dyDescent="0.2">
      <c r="A490" s="12" t="s">
        <v>4551</v>
      </c>
      <c r="B490" s="12" t="s">
        <v>4550</v>
      </c>
      <c r="C490" s="12">
        <v>220</v>
      </c>
      <c r="D490" s="12">
        <v>22</v>
      </c>
    </row>
    <row r="491" spans="1:4" x14ac:dyDescent="0.2">
      <c r="A491" s="12" t="s">
        <v>4545</v>
      </c>
      <c r="B491" s="12" t="s">
        <v>4544</v>
      </c>
      <c r="C491" s="12">
        <v>30</v>
      </c>
      <c r="D491" s="12">
        <v>3</v>
      </c>
    </row>
    <row r="492" spans="1:4" x14ac:dyDescent="0.2">
      <c r="A492" s="12" t="s">
        <v>8547</v>
      </c>
      <c r="B492" s="12" t="s">
        <v>8546</v>
      </c>
      <c r="C492" s="12">
        <v>16100</v>
      </c>
      <c r="D492" s="12">
        <v>1610</v>
      </c>
    </row>
    <row r="493" spans="1:4" x14ac:dyDescent="0.2">
      <c r="A493" s="12" t="s">
        <v>11831</v>
      </c>
      <c r="B493" s="12" t="s">
        <v>11830</v>
      </c>
      <c r="C493" s="12">
        <v>4500</v>
      </c>
      <c r="D493" s="12">
        <v>1200</v>
      </c>
    </row>
    <row r="494" spans="1:4" x14ac:dyDescent="0.2">
      <c r="A494" s="12" t="s">
        <v>3179</v>
      </c>
      <c r="B494" s="12" t="s">
        <v>3178</v>
      </c>
      <c r="C494" s="12">
        <v>76</v>
      </c>
      <c r="D494" s="12">
        <v>7.6</v>
      </c>
    </row>
    <row r="495" spans="1:4" x14ac:dyDescent="0.2">
      <c r="A495" s="12" t="s">
        <v>5067</v>
      </c>
      <c r="B495" s="12" t="s">
        <v>5066</v>
      </c>
      <c r="C495" s="12">
        <v>460</v>
      </c>
      <c r="D495" s="12">
        <v>46</v>
      </c>
    </row>
    <row r="496" spans="1:4" x14ac:dyDescent="0.2">
      <c r="A496" s="12" t="s">
        <v>5558</v>
      </c>
      <c r="B496" s="12" t="s">
        <v>5557</v>
      </c>
      <c r="C496" s="12">
        <v>80</v>
      </c>
      <c r="D496" s="12">
        <v>8</v>
      </c>
    </row>
    <row r="497" spans="1:4" x14ac:dyDescent="0.2">
      <c r="A497" s="12" t="s">
        <v>5530</v>
      </c>
      <c r="B497" s="12" t="s">
        <v>5529</v>
      </c>
      <c r="C497" s="12">
        <v>630</v>
      </c>
      <c r="D497" s="12"/>
    </row>
    <row r="498" spans="1:4" x14ac:dyDescent="0.2">
      <c r="A498" s="12" t="s">
        <v>5532</v>
      </c>
      <c r="B498" s="12" t="s">
        <v>5531</v>
      </c>
      <c r="C498" s="12">
        <v>800</v>
      </c>
      <c r="D498" s="12">
        <v>80</v>
      </c>
    </row>
    <row r="499" spans="1:4" x14ac:dyDescent="0.2">
      <c r="A499" s="12" t="s">
        <v>9845</v>
      </c>
      <c r="B499" s="12" t="s">
        <v>9844</v>
      </c>
      <c r="C499" s="12">
        <v>150</v>
      </c>
      <c r="D499" s="12">
        <v>3.3</v>
      </c>
    </row>
    <row r="500" spans="1:4" x14ac:dyDescent="0.2">
      <c r="A500" s="12" t="s">
        <v>9870</v>
      </c>
      <c r="B500" s="12" t="s">
        <v>9869</v>
      </c>
      <c r="C500" s="12">
        <v>4.2</v>
      </c>
      <c r="D500" s="12">
        <v>0.5</v>
      </c>
    </row>
    <row r="501" spans="1:4" x14ac:dyDescent="0.2">
      <c r="A501" s="12" t="s">
        <v>2900</v>
      </c>
      <c r="B501" s="12" t="s">
        <v>2899</v>
      </c>
      <c r="C501" s="12">
        <v>76</v>
      </c>
      <c r="D501" s="12">
        <v>7.6</v>
      </c>
    </row>
    <row r="502" spans="1:4" x14ac:dyDescent="0.2">
      <c r="A502" s="12" t="s">
        <v>3173</v>
      </c>
      <c r="B502" s="12" t="s">
        <v>3172</v>
      </c>
      <c r="C502" s="12">
        <v>350</v>
      </c>
      <c r="D502" s="12">
        <v>35</v>
      </c>
    </row>
    <row r="503" spans="1:4" x14ac:dyDescent="0.2">
      <c r="A503" s="12" t="s">
        <v>11826</v>
      </c>
      <c r="B503" s="12" t="s">
        <v>11825</v>
      </c>
      <c r="C503" s="12">
        <v>50</v>
      </c>
      <c r="D503" s="12">
        <v>5</v>
      </c>
    </row>
    <row r="504" spans="1:4" x14ac:dyDescent="0.2">
      <c r="A504" s="12" t="s">
        <v>2345</v>
      </c>
      <c r="B504" s="12" t="s">
        <v>2344</v>
      </c>
      <c r="C504" s="12">
        <v>53</v>
      </c>
      <c r="D504" s="12">
        <v>7.6</v>
      </c>
    </row>
    <row r="505" spans="1:4" x14ac:dyDescent="0.2">
      <c r="A505" s="12" t="s">
        <v>2021</v>
      </c>
      <c r="B505" s="12" t="s">
        <v>2020</v>
      </c>
      <c r="C505" s="12">
        <v>50</v>
      </c>
      <c r="D505" s="12">
        <v>5</v>
      </c>
    </row>
    <row r="506" spans="1:4" x14ac:dyDescent="0.2">
      <c r="A506" s="12" t="s">
        <v>11580</v>
      </c>
      <c r="B506" s="12" t="s">
        <v>11579</v>
      </c>
      <c r="C506" s="12">
        <v>100</v>
      </c>
      <c r="D506" s="12">
        <v>10</v>
      </c>
    </row>
    <row r="507" spans="1:4" x14ac:dyDescent="0.2">
      <c r="A507" s="12" t="s">
        <v>12034</v>
      </c>
      <c r="B507" s="12" t="s">
        <v>12033</v>
      </c>
      <c r="C507" s="12">
        <v>1000</v>
      </c>
      <c r="D507" s="12">
        <v>100</v>
      </c>
    </row>
    <row r="508" spans="1:4" x14ac:dyDescent="0.2">
      <c r="A508" s="12" t="s">
        <v>949</v>
      </c>
      <c r="B508" s="12" t="s">
        <v>948</v>
      </c>
      <c r="C508" s="12">
        <v>840</v>
      </c>
      <c r="D508" s="12">
        <v>84</v>
      </c>
    </row>
    <row r="509" spans="1:4" x14ac:dyDescent="0.2">
      <c r="A509" s="12" t="s">
        <v>4599</v>
      </c>
      <c r="B509" s="12" t="s">
        <v>4598</v>
      </c>
      <c r="C509" s="12">
        <v>3000</v>
      </c>
      <c r="D509" s="12">
        <v>300</v>
      </c>
    </row>
    <row r="510" spans="1:4" x14ac:dyDescent="0.2">
      <c r="A510" s="12" t="s">
        <v>5777</v>
      </c>
      <c r="B510" s="12" t="s">
        <v>5776</v>
      </c>
      <c r="C510" s="12">
        <v>4300</v>
      </c>
      <c r="D510" s="12">
        <v>430</v>
      </c>
    </row>
    <row r="511" spans="1:4" x14ac:dyDescent="0.2">
      <c r="A511" s="12" t="s">
        <v>8952</v>
      </c>
      <c r="B511" s="12" t="s">
        <v>8951</v>
      </c>
      <c r="C511" s="12" t="s">
        <v>59</v>
      </c>
      <c r="D511" s="12" t="s">
        <v>59</v>
      </c>
    </row>
    <row r="512" spans="1:4" x14ac:dyDescent="0.2">
      <c r="A512" s="12" t="s">
        <v>12271</v>
      </c>
      <c r="B512" s="12" t="s">
        <v>12270</v>
      </c>
      <c r="C512" s="12">
        <v>63</v>
      </c>
      <c r="D512" s="12">
        <v>90</v>
      </c>
    </row>
    <row r="513" spans="1:4" x14ac:dyDescent="0.2">
      <c r="A513" s="12" t="s">
        <v>7822</v>
      </c>
      <c r="B513" s="12" t="s">
        <v>7821</v>
      </c>
      <c r="C513" s="12">
        <v>4800</v>
      </c>
      <c r="D513" s="12">
        <v>480</v>
      </c>
    </row>
    <row r="514" spans="1:4" x14ac:dyDescent="0.2">
      <c r="A514" s="12" t="s">
        <v>2730</v>
      </c>
      <c r="B514" s="12" t="s">
        <v>2729</v>
      </c>
      <c r="C514" s="12">
        <v>270</v>
      </c>
      <c r="D514" s="12">
        <v>5.4</v>
      </c>
    </row>
    <row r="515" spans="1:4" x14ac:dyDescent="0.2">
      <c r="A515" s="12" t="s">
        <v>2177</v>
      </c>
      <c r="B515" s="12" t="s">
        <v>2176</v>
      </c>
      <c r="C515" s="12">
        <v>220</v>
      </c>
      <c r="D515" s="12">
        <v>22</v>
      </c>
    </row>
    <row r="516" spans="1:4" x14ac:dyDescent="0.2">
      <c r="A516" s="12" t="s">
        <v>9319</v>
      </c>
      <c r="B516" s="12" t="s">
        <v>9318</v>
      </c>
      <c r="C516" s="12">
        <v>8350</v>
      </c>
      <c r="D516" s="12">
        <v>835</v>
      </c>
    </row>
    <row r="517" spans="1:4" x14ac:dyDescent="0.2">
      <c r="A517" s="12" t="s">
        <v>9328</v>
      </c>
      <c r="B517" s="12" t="s">
        <v>9327</v>
      </c>
      <c r="C517" s="12">
        <v>18</v>
      </c>
      <c r="D517" s="12">
        <v>1.8</v>
      </c>
    </row>
    <row r="518" spans="1:4" x14ac:dyDescent="0.2">
      <c r="A518" s="12" t="s">
        <v>935</v>
      </c>
      <c r="B518" s="12" t="s">
        <v>934</v>
      </c>
      <c r="C518" s="12">
        <v>2000</v>
      </c>
      <c r="D518" s="12">
        <v>200</v>
      </c>
    </row>
    <row r="519" spans="1:4" x14ac:dyDescent="0.2">
      <c r="A519" s="12" t="s">
        <v>9311</v>
      </c>
      <c r="B519" s="12" t="s">
        <v>9310</v>
      </c>
      <c r="C519" s="12">
        <v>59000</v>
      </c>
      <c r="D519" s="12">
        <v>7100</v>
      </c>
    </row>
    <row r="520" spans="1:4" x14ac:dyDescent="0.2">
      <c r="A520" s="12" t="s">
        <v>1187</v>
      </c>
      <c r="B520" s="12" t="s">
        <v>1186</v>
      </c>
      <c r="C520" s="12">
        <v>290</v>
      </c>
      <c r="D520" s="12">
        <v>480</v>
      </c>
    </row>
    <row r="521" spans="1:4" x14ac:dyDescent="0.2">
      <c r="A521" s="12" t="s">
        <v>2393</v>
      </c>
      <c r="B521" s="12" t="s">
        <v>2392</v>
      </c>
      <c r="C521" s="12">
        <v>10000</v>
      </c>
      <c r="D521" s="12">
        <v>480</v>
      </c>
    </row>
    <row r="522" spans="1:4" x14ac:dyDescent="0.2">
      <c r="A522" s="12" t="s">
        <v>9059</v>
      </c>
      <c r="B522" s="12" t="s">
        <v>9058</v>
      </c>
      <c r="C522" s="12">
        <v>2700</v>
      </c>
      <c r="D522" s="12">
        <v>270</v>
      </c>
    </row>
    <row r="523" spans="1:4" x14ac:dyDescent="0.2">
      <c r="A523" s="12" t="s">
        <v>933</v>
      </c>
      <c r="B523" s="12" t="s">
        <v>932</v>
      </c>
      <c r="C523" s="12">
        <v>540</v>
      </c>
      <c r="D523" s="12">
        <v>54</v>
      </c>
    </row>
    <row r="524" spans="1:4" x14ac:dyDescent="0.2">
      <c r="A524" s="12" t="s">
        <v>9083</v>
      </c>
      <c r="B524" s="12" t="s">
        <v>9082</v>
      </c>
      <c r="C524" s="12">
        <v>2</v>
      </c>
      <c r="D524" s="12">
        <v>0.2</v>
      </c>
    </row>
    <row r="525" spans="1:4" x14ac:dyDescent="0.2">
      <c r="A525" s="12" t="s">
        <v>9075</v>
      </c>
      <c r="B525" s="12" t="s">
        <v>9074</v>
      </c>
      <c r="C525" s="12">
        <v>60</v>
      </c>
      <c r="D525" s="12">
        <v>6</v>
      </c>
    </row>
    <row r="526" spans="1:4" x14ac:dyDescent="0.2">
      <c r="A526" s="12" t="s">
        <v>9085</v>
      </c>
      <c r="B526" s="12" t="s">
        <v>9084</v>
      </c>
      <c r="C526" s="12">
        <v>220</v>
      </c>
      <c r="D526" s="12">
        <v>22</v>
      </c>
    </row>
    <row r="527" spans="1:4" x14ac:dyDescent="0.2">
      <c r="A527" s="12" t="s">
        <v>2698</v>
      </c>
      <c r="B527" s="12" t="s">
        <v>2697</v>
      </c>
      <c r="C527" s="12">
        <v>340</v>
      </c>
      <c r="D527" s="12">
        <v>34</v>
      </c>
    </row>
    <row r="528" spans="1:4" x14ac:dyDescent="0.2">
      <c r="A528" s="12" t="s">
        <v>761</v>
      </c>
      <c r="B528" s="12" t="s">
        <v>760</v>
      </c>
      <c r="C528" s="12">
        <v>270</v>
      </c>
      <c r="D528" s="12">
        <v>5.4</v>
      </c>
    </row>
    <row r="529" spans="1:4" x14ac:dyDescent="0.2">
      <c r="A529" s="12" t="s">
        <v>8228</v>
      </c>
      <c r="B529" s="12" t="s">
        <v>8227</v>
      </c>
      <c r="C529" s="12">
        <v>80</v>
      </c>
      <c r="D529" s="12">
        <v>8</v>
      </c>
    </row>
    <row r="530" spans="1:4" x14ac:dyDescent="0.2">
      <c r="A530" s="12" t="s">
        <v>6705</v>
      </c>
      <c r="B530" s="12" t="s">
        <v>6704</v>
      </c>
      <c r="C530" s="12">
        <v>50</v>
      </c>
      <c r="D530" s="12">
        <v>5</v>
      </c>
    </row>
    <row r="531" spans="1:4" x14ac:dyDescent="0.2">
      <c r="A531" s="12" t="s">
        <v>939</v>
      </c>
      <c r="B531" s="12" t="s">
        <v>938</v>
      </c>
      <c r="C531" s="12">
        <v>2.7</v>
      </c>
      <c r="D531" s="12">
        <v>1.8</v>
      </c>
    </row>
    <row r="532" spans="1:4" x14ac:dyDescent="0.2">
      <c r="A532" s="12" t="s">
        <v>8573</v>
      </c>
      <c r="B532" s="12" t="s">
        <v>8572</v>
      </c>
      <c r="C532" s="12">
        <v>140</v>
      </c>
      <c r="D532" s="12">
        <v>14</v>
      </c>
    </row>
    <row r="533" spans="1:4" x14ac:dyDescent="0.2">
      <c r="A533" s="12" t="s">
        <v>2207</v>
      </c>
      <c r="B533" s="12" t="s">
        <v>2206</v>
      </c>
      <c r="C533" s="12">
        <v>160</v>
      </c>
      <c r="D533" s="12">
        <v>16</v>
      </c>
    </row>
    <row r="534" spans="1:4" x14ac:dyDescent="0.2">
      <c r="A534" s="12" t="s">
        <v>6071</v>
      </c>
      <c r="B534" s="12" t="s">
        <v>6070</v>
      </c>
      <c r="C534" s="12">
        <v>31000</v>
      </c>
      <c r="D534" s="12">
        <v>3100</v>
      </c>
    </row>
    <row r="535" spans="1:4" x14ac:dyDescent="0.2">
      <c r="A535" s="12" t="s">
        <v>5913</v>
      </c>
      <c r="B535" s="12" t="s">
        <v>5912</v>
      </c>
      <c r="C535" s="12">
        <v>99</v>
      </c>
      <c r="D535" s="12">
        <v>9.9</v>
      </c>
    </row>
    <row r="536" spans="1:4" x14ac:dyDescent="0.2">
      <c r="A536" s="12" t="s">
        <v>1003</v>
      </c>
      <c r="B536" s="12" t="s">
        <v>1002</v>
      </c>
      <c r="C536" s="12">
        <v>1900</v>
      </c>
      <c r="D536" s="12">
        <v>190</v>
      </c>
    </row>
    <row r="537" spans="1:4" x14ac:dyDescent="0.2">
      <c r="A537" s="12" t="s">
        <v>6384</v>
      </c>
      <c r="B537" s="12" t="s">
        <v>6383</v>
      </c>
      <c r="C537" s="12">
        <v>21000</v>
      </c>
      <c r="D537" s="12">
        <v>2100</v>
      </c>
    </row>
    <row r="538" spans="1:4" x14ac:dyDescent="0.2">
      <c r="A538" s="12" t="s">
        <v>6619</v>
      </c>
      <c r="B538" s="12" t="s">
        <v>6618</v>
      </c>
      <c r="C538" s="12">
        <v>3000</v>
      </c>
      <c r="D538" s="12">
        <v>300</v>
      </c>
    </row>
    <row r="539" spans="1:4" x14ac:dyDescent="0.2">
      <c r="A539" s="12" t="s">
        <v>6648</v>
      </c>
      <c r="B539" s="12" t="s">
        <v>6647</v>
      </c>
      <c r="C539" s="12">
        <v>40</v>
      </c>
      <c r="D539" s="12">
        <v>4</v>
      </c>
    </row>
    <row r="540" spans="1:4" x14ac:dyDescent="0.2">
      <c r="A540" s="12" t="s">
        <v>10657</v>
      </c>
      <c r="B540" s="12" t="s">
        <v>10656</v>
      </c>
      <c r="C540" s="12">
        <v>20</v>
      </c>
      <c r="D540" s="12">
        <v>2</v>
      </c>
    </row>
    <row r="541" spans="1:4" x14ac:dyDescent="0.2">
      <c r="A541" s="12" t="s">
        <v>11687</v>
      </c>
      <c r="B541" s="12" t="s">
        <v>11686</v>
      </c>
      <c r="C541" s="12">
        <v>1500</v>
      </c>
      <c r="D541" s="12">
        <v>150</v>
      </c>
    </row>
    <row r="542" spans="1:4" x14ac:dyDescent="0.2">
      <c r="A542" s="12" t="s">
        <v>7245</v>
      </c>
      <c r="B542" s="12" t="s">
        <v>7244</v>
      </c>
      <c r="C542" s="12">
        <v>280</v>
      </c>
      <c r="D542" s="12">
        <v>28</v>
      </c>
    </row>
    <row r="543" spans="1:4" x14ac:dyDescent="0.2">
      <c r="A543" s="12" t="s">
        <v>11693</v>
      </c>
      <c r="B543" s="12" t="s">
        <v>11692</v>
      </c>
      <c r="C543" s="12">
        <v>1800</v>
      </c>
      <c r="D543" s="12">
        <v>180</v>
      </c>
    </row>
    <row r="544" spans="1:4" x14ac:dyDescent="0.2">
      <c r="A544" s="12" t="s">
        <v>11782</v>
      </c>
      <c r="B544" s="12" t="s">
        <v>11781</v>
      </c>
      <c r="C544" s="12">
        <v>570</v>
      </c>
      <c r="D544" s="12">
        <v>57</v>
      </c>
    </row>
    <row r="545" spans="1:4" x14ac:dyDescent="0.2">
      <c r="A545" s="12" t="s">
        <v>1750</v>
      </c>
      <c r="B545" s="12" t="s">
        <v>1749</v>
      </c>
      <c r="C545" s="12">
        <v>500</v>
      </c>
      <c r="D545" s="12">
        <v>50</v>
      </c>
    </row>
    <row r="546" spans="1:4" x14ac:dyDescent="0.2">
      <c r="A546" s="12" t="s">
        <v>11569</v>
      </c>
      <c r="B546" s="12" t="s">
        <v>11568</v>
      </c>
      <c r="C546" s="12">
        <v>100</v>
      </c>
      <c r="D546" s="12">
        <v>10</v>
      </c>
    </row>
    <row r="547" spans="1:4" x14ac:dyDescent="0.2">
      <c r="A547" s="12" t="s">
        <v>6386</v>
      </c>
      <c r="B547" s="12" t="s">
        <v>6385</v>
      </c>
      <c r="C547" s="12">
        <v>10</v>
      </c>
      <c r="D547" s="12">
        <v>1</v>
      </c>
    </row>
    <row r="548" spans="1:4" x14ac:dyDescent="0.2">
      <c r="A548" s="12" t="s">
        <v>8450</v>
      </c>
      <c r="B548" s="12" t="s">
        <v>8449</v>
      </c>
      <c r="C548" s="12">
        <v>470</v>
      </c>
      <c r="D548" s="12">
        <v>47</v>
      </c>
    </row>
    <row r="549" spans="1:4" x14ac:dyDescent="0.2">
      <c r="A549" s="12" t="s">
        <v>1785</v>
      </c>
      <c r="B549" s="12" t="s">
        <v>1784</v>
      </c>
      <c r="C549" s="12">
        <v>830</v>
      </c>
      <c r="D549" s="12">
        <v>83</v>
      </c>
    </row>
    <row r="550" spans="1:4" x14ac:dyDescent="0.2">
      <c r="A550" s="12" t="s">
        <v>8104</v>
      </c>
      <c r="B550" s="12" t="s">
        <v>8103</v>
      </c>
      <c r="C550" s="12" t="s">
        <v>59</v>
      </c>
      <c r="D550" s="12" t="s">
        <v>59</v>
      </c>
    </row>
    <row r="551" spans="1:4" x14ac:dyDescent="0.2">
      <c r="A551" s="12" t="s">
        <v>11347</v>
      </c>
      <c r="B551" s="12" t="s">
        <v>11346</v>
      </c>
      <c r="C551" s="12">
        <v>25</v>
      </c>
      <c r="D551" s="12">
        <v>2.5</v>
      </c>
    </row>
    <row r="552" spans="1:4" x14ac:dyDescent="0.2">
      <c r="A552" s="12" t="s">
        <v>8218</v>
      </c>
      <c r="B552" s="12" t="s">
        <v>8217</v>
      </c>
      <c r="C552" s="12">
        <v>60</v>
      </c>
      <c r="D552" s="12">
        <v>6</v>
      </c>
    </row>
    <row r="553" spans="1:4" x14ac:dyDescent="0.2">
      <c r="A553" s="12" t="s">
        <v>7235</v>
      </c>
      <c r="B553" s="12" t="s">
        <v>7234</v>
      </c>
      <c r="C553" s="12">
        <v>60</v>
      </c>
      <c r="D553" s="12">
        <v>6</v>
      </c>
    </row>
    <row r="554" spans="1:4" x14ac:dyDescent="0.2">
      <c r="A554" s="12" t="s">
        <v>8845</v>
      </c>
      <c r="B554" s="12" t="s">
        <v>8844</v>
      </c>
      <c r="C554" s="12">
        <v>250</v>
      </c>
      <c r="D554" s="12">
        <v>25</v>
      </c>
    </row>
    <row r="555" spans="1:4" x14ac:dyDescent="0.2">
      <c r="A555" s="12" t="s">
        <v>7791</v>
      </c>
      <c r="B555" s="12" t="s">
        <v>7790</v>
      </c>
      <c r="C555" s="12">
        <v>2700</v>
      </c>
      <c r="D555" s="12">
        <v>270</v>
      </c>
    </row>
    <row r="556" spans="1:4" x14ac:dyDescent="0.2">
      <c r="A556" s="12" t="s">
        <v>2454</v>
      </c>
      <c r="B556" s="12" t="s">
        <v>2453</v>
      </c>
      <c r="C556" s="12" t="s">
        <v>59</v>
      </c>
      <c r="D556" s="12" t="s">
        <v>59</v>
      </c>
    </row>
    <row r="557" spans="1:4" x14ac:dyDescent="0.2">
      <c r="A557" s="12" t="s">
        <v>9480</v>
      </c>
      <c r="B557" s="12" t="s">
        <v>9479</v>
      </c>
      <c r="C557" s="12" t="s">
        <v>59</v>
      </c>
      <c r="D557" s="12" t="s">
        <v>59</v>
      </c>
    </row>
    <row r="558" spans="1:4" x14ac:dyDescent="0.2">
      <c r="A558" s="12" t="s">
        <v>9481</v>
      </c>
      <c r="B558" s="12" t="s">
        <v>9479</v>
      </c>
      <c r="C558" s="12">
        <v>1000</v>
      </c>
      <c r="D558" s="12">
        <v>100</v>
      </c>
    </row>
    <row r="559" spans="1:4" x14ac:dyDescent="0.2">
      <c r="A559" s="12" t="s">
        <v>8966</v>
      </c>
      <c r="B559" s="12" t="s">
        <v>8965</v>
      </c>
      <c r="C559" s="12">
        <v>50</v>
      </c>
      <c r="D559" s="12">
        <v>5</v>
      </c>
    </row>
    <row r="560" spans="1:4" x14ac:dyDescent="0.2">
      <c r="A560" s="12" t="s">
        <v>7942</v>
      </c>
      <c r="B560" s="12" t="s">
        <v>7941</v>
      </c>
      <c r="C560" s="12" t="s">
        <v>59</v>
      </c>
      <c r="D560" s="12" t="s">
        <v>59</v>
      </c>
    </row>
    <row r="561" spans="1:4" x14ac:dyDescent="0.2">
      <c r="A561" s="12" t="s">
        <v>7943</v>
      </c>
      <c r="B561" s="12" t="s">
        <v>7941</v>
      </c>
      <c r="C561" s="12">
        <v>1000</v>
      </c>
      <c r="D561" s="12">
        <v>100</v>
      </c>
    </row>
    <row r="562" spans="1:4" x14ac:dyDescent="0.2">
      <c r="A562" s="12" t="s">
        <v>8963</v>
      </c>
      <c r="B562" s="12" t="s">
        <v>8962</v>
      </c>
      <c r="C562" s="12" t="s">
        <v>59</v>
      </c>
      <c r="D562" s="12" t="s">
        <v>59</v>
      </c>
    </row>
    <row r="563" spans="1:4" x14ac:dyDescent="0.2">
      <c r="A563" s="12" t="s">
        <v>8964</v>
      </c>
      <c r="B563" s="12" t="s">
        <v>8962</v>
      </c>
      <c r="C563" s="12">
        <v>1000</v>
      </c>
      <c r="D563" s="12">
        <v>100</v>
      </c>
    </row>
    <row r="564" spans="1:4" x14ac:dyDescent="0.2">
      <c r="A564" s="12" t="s">
        <v>10020</v>
      </c>
      <c r="B564" s="12" t="s">
        <v>10019</v>
      </c>
      <c r="C564" s="12" t="s">
        <v>59</v>
      </c>
      <c r="D564" s="12" t="s">
        <v>59</v>
      </c>
    </row>
    <row r="565" spans="1:4" x14ac:dyDescent="0.2">
      <c r="A565" s="12" t="s">
        <v>10022</v>
      </c>
      <c r="B565" s="12" t="s">
        <v>10021</v>
      </c>
      <c r="C565" s="12" t="s">
        <v>59</v>
      </c>
      <c r="D565" s="12" t="s">
        <v>59</v>
      </c>
    </row>
    <row r="566" spans="1:4" x14ac:dyDescent="0.2">
      <c r="A566" s="12" t="s">
        <v>2359</v>
      </c>
      <c r="B566" s="12" t="s">
        <v>2358</v>
      </c>
      <c r="C566" s="12">
        <v>1800</v>
      </c>
      <c r="D566" s="12">
        <v>180</v>
      </c>
    </row>
    <row r="567" spans="1:4" x14ac:dyDescent="0.2">
      <c r="A567" s="12" t="s">
        <v>8421</v>
      </c>
      <c r="B567" s="12" t="s">
        <v>8420</v>
      </c>
      <c r="C567" s="12">
        <v>580</v>
      </c>
      <c r="D567" s="12">
        <v>58</v>
      </c>
    </row>
    <row r="568" spans="1:4" x14ac:dyDescent="0.2">
      <c r="A568" s="12" t="s">
        <v>8478</v>
      </c>
      <c r="B568" s="12" t="s">
        <v>8477</v>
      </c>
      <c r="C568" s="12">
        <v>4500</v>
      </c>
      <c r="D568" s="12">
        <v>840</v>
      </c>
    </row>
    <row r="569" spans="1:4" x14ac:dyDescent="0.2">
      <c r="A569" s="12" t="s">
        <v>12633</v>
      </c>
      <c r="B569" s="12" t="s">
        <v>11226</v>
      </c>
      <c r="C569" s="12" t="s">
        <v>59</v>
      </c>
      <c r="D569" s="12" t="s">
        <v>59</v>
      </c>
    </row>
    <row r="570" spans="1:4" x14ac:dyDescent="0.2">
      <c r="A570" s="12" t="s">
        <v>12632</v>
      </c>
      <c r="B570" s="12" t="s">
        <v>11226</v>
      </c>
      <c r="C570" s="12">
        <v>1000</v>
      </c>
      <c r="D570" s="12">
        <v>100</v>
      </c>
    </row>
    <row r="571" spans="1:4" x14ac:dyDescent="0.2">
      <c r="A571" s="12" t="s">
        <v>7903</v>
      </c>
      <c r="B571" s="12" t="s">
        <v>7902</v>
      </c>
      <c r="C571" s="12">
        <v>100</v>
      </c>
      <c r="D571" s="12">
        <v>10</v>
      </c>
    </row>
    <row r="572" spans="1:4" x14ac:dyDescent="0.2">
      <c r="A572" s="12" t="s">
        <v>10569</v>
      </c>
      <c r="B572" s="12" t="s">
        <v>10568</v>
      </c>
      <c r="C572" s="12">
        <v>2600</v>
      </c>
      <c r="D572" s="12">
        <v>260</v>
      </c>
    </row>
    <row r="573" spans="1:4" x14ac:dyDescent="0.2">
      <c r="A573" s="12" t="s">
        <v>2209</v>
      </c>
      <c r="B573" s="12" t="s">
        <v>2208</v>
      </c>
      <c r="C573" s="12">
        <v>250</v>
      </c>
      <c r="D573" s="12">
        <v>25</v>
      </c>
    </row>
    <row r="574" spans="1:4" x14ac:dyDescent="0.2">
      <c r="A574" s="12" t="s">
        <v>4067</v>
      </c>
      <c r="B574" s="12" t="s">
        <v>4066</v>
      </c>
      <c r="C574" s="12">
        <v>250</v>
      </c>
      <c r="D574" s="12">
        <v>25</v>
      </c>
    </row>
    <row r="575" spans="1:4" x14ac:dyDescent="0.2">
      <c r="A575" s="12" t="s">
        <v>9159</v>
      </c>
      <c r="B575" s="12" t="s">
        <v>9158</v>
      </c>
      <c r="C575" s="12">
        <v>5600</v>
      </c>
      <c r="D575" s="12">
        <v>200</v>
      </c>
    </row>
    <row r="576" spans="1:4" x14ac:dyDescent="0.2">
      <c r="A576" s="12" t="s">
        <v>802</v>
      </c>
      <c r="B576" s="12" t="s">
        <v>801</v>
      </c>
      <c r="C576" s="12">
        <v>460</v>
      </c>
      <c r="D576" s="12">
        <v>46</v>
      </c>
    </row>
    <row r="577" spans="1:4" x14ac:dyDescent="0.2">
      <c r="A577" s="12" t="s">
        <v>8994</v>
      </c>
      <c r="B577" s="12" t="s">
        <v>8993</v>
      </c>
      <c r="C577" s="12">
        <v>150</v>
      </c>
      <c r="D577" s="12">
        <v>15</v>
      </c>
    </row>
    <row r="578" spans="1:4" x14ac:dyDescent="0.2">
      <c r="A578" s="12" t="s">
        <v>12398</v>
      </c>
      <c r="B578" s="12" t="s">
        <v>12397</v>
      </c>
      <c r="C578" s="12" t="s">
        <v>59</v>
      </c>
      <c r="D578" s="12" t="s">
        <v>59</v>
      </c>
    </row>
    <row r="579" spans="1:4" x14ac:dyDescent="0.2">
      <c r="A579" s="12" t="s">
        <v>12399</v>
      </c>
      <c r="B579" s="12" t="s">
        <v>12397</v>
      </c>
      <c r="C579" s="12">
        <v>1500</v>
      </c>
      <c r="D579" s="12">
        <v>150</v>
      </c>
    </row>
    <row r="580" spans="1:4" x14ac:dyDescent="0.2">
      <c r="A580" s="12" t="s">
        <v>12273</v>
      </c>
      <c r="B580" s="12" t="s">
        <v>12272</v>
      </c>
      <c r="C580" s="12">
        <v>220</v>
      </c>
      <c r="D580" s="12">
        <v>22</v>
      </c>
    </row>
    <row r="581" spans="1:4" x14ac:dyDescent="0.2">
      <c r="A581" s="12" t="s">
        <v>11718</v>
      </c>
      <c r="B581" s="12" t="s">
        <v>11717</v>
      </c>
      <c r="C581" s="12">
        <v>180</v>
      </c>
      <c r="D581" s="12">
        <v>18</v>
      </c>
    </row>
    <row r="582" spans="1:4" x14ac:dyDescent="0.2">
      <c r="A582" s="12" t="s">
        <v>11351</v>
      </c>
      <c r="B582" s="12" t="s">
        <v>11350</v>
      </c>
      <c r="C582" s="12">
        <v>200</v>
      </c>
      <c r="D582" s="12">
        <v>20</v>
      </c>
    </row>
    <row r="583" spans="1:4" x14ac:dyDescent="0.2">
      <c r="A583" s="12" t="s">
        <v>12269</v>
      </c>
      <c r="B583" s="12" t="s">
        <v>12268</v>
      </c>
      <c r="C583" s="12">
        <v>98</v>
      </c>
      <c r="D583" s="12">
        <v>180</v>
      </c>
    </row>
    <row r="584" spans="1:4" x14ac:dyDescent="0.2">
      <c r="A584" s="12" t="s">
        <v>775</v>
      </c>
      <c r="B584" s="12" t="s">
        <v>774</v>
      </c>
      <c r="C584" s="12">
        <v>500</v>
      </c>
      <c r="D584" s="12">
        <v>50</v>
      </c>
    </row>
    <row r="585" spans="1:4" x14ac:dyDescent="0.2">
      <c r="A585" s="12" t="s">
        <v>1962</v>
      </c>
      <c r="B585" s="12" t="s">
        <v>1961</v>
      </c>
      <c r="C585" s="12">
        <v>400</v>
      </c>
      <c r="D585" s="12">
        <v>40</v>
      </c>
    </row>
    <row r="586" spans="1:4" x14ac:dyDescent="0.2">
      <c r="A586" s="12" t="s">
        <v>779</v>
      </c>
      <c r="B586" s="12" t="s">
        <v>778</v>
      </c>
      <c r="C586" s="12">
        <v>2</v>
      </c>
      <c r="D586" s="12">
        <v>0.2</v>
      </c>
    </row>
    <row r="587" spans="1:4" x14ac:dyDescent="0.2">
      <c r="A587" s="12" t="s">
        <v>1181</v>
      </c>
      <c r="B587" s="12" t="s">
        <v>1180</v>
      </c>
      <c r="C587" s="12">
        <v>0.1</v>
      </c>
      <c r="D587" s="12">
        <v>2</v>
      </c>
    </row>
    <row r="588" spans="1:4" x14ac:dyDescent="0.2">
      <c r="A588" s="12" t="s">
        <v>2850</v>
      </c>
      <c r="B588" s="12" t="s">
        <v>2849</v>
      </c>
      <c r="C588" s="12">
        <v>2000</v>
      </c>
      <c r="D588" s="12">
        <v>200</v>
      </c>
    </row>
    <row r="589" spans="1:4" x14ac:dyDescent="0.2">
      <c r="A589" s="12" t="s">
        <v>4646</v>
      </c>
      <c r="B589" s="12" t="s">
        <v>4645</v>
      </c>
      <c r="C589" s="12">
        <v>740</v>
      </c>
      <c r="D589" s="12">
        <v>74</v>
      </c>
    </row>
    <row r="590" spans="1:4" x14ac:dyDescent="0.2">
      <c r="A590" s="12" t="s">
        <v>388</v>
      </c>
      <c r="B590" s="12" t="s">
        <v>387</v>
      </c>
      <c r="C590" s="12">
        <v>210</v>
      </c>
      <c r="D590" s="12">
        <v>100</v>
      </c>
    </row>
    <row r="591" spans="1:4" x14ac:dyDescent="0.2">
      <c r="A591" s="12" t="s">
        <v>2671</v>
      </c>
      <c r="B591" s="12" t="s">
        <v>2670</v>
      </c>
      <c r="C591" s="12">
        <v>0.05</v>
      </c>
      <c r="D591" s="12">
        <v>5.0000000000000001E-3</v>
      </c>
    </row>
    <row r="592" spans="1:4" x14ac:dyDescent="0.2">
      <c r="A592" s="12" t="s">
        <v>588</v>
      </c>
      <c r="B592" s="12" t="s">
        <v>587</v>
      </c>
      <c r="C592" s="12">
        <v>220</v>
      </c>
      <c r="D592" s="12">
        <v>22</v>
      </c>
    </row>
    <row r="593" spans="1:4" x14ac:dyDescent="0.2">
      <c r="A593" s="12" t="s">
        <v>1302</v>
      </c>
      <c r="B593" s="12" t="s">
        <v>1301</v>
      </c>
      <c r="C593" s="12">
        <v>97</v>
      </c>
      <c r="D593" s="12">
        <v>7</v>
      </c>
    </row>
    <row r="594" spans="1:4" x14ac:dyDescent="0.2">
      <c r="A594" s="12" t="s">
        <v>10537</v>
      </c>
      <c r="B594" s="12" t="s">
        <v>10536</v>
      </c>
      <c r="C594" s="12">
        <v>3000</v>
      </c>
      <c r="D594" s="12">
        <v>300</v>
      </c>
    </row>
    <row r="595" spans="1:4" x14ac:dyDescent="0.2">
      <c r="A595" s="12" t="s">
        <v>2053</v>
      </c>
      <c r="B595" s="12" t="s">
        <v>2052</v>
      </c>
      <c r="C595" s="12">
        <v>180</v>
      </c>
      <c r="D595" s="12">
        <v>18</v>
      </c>
    </row>
    <row r="596" spans="1:4" x14ac:dyDescent="0.2">
      <c r="A596" s="12" t="s">
        <v>5887</v>
      </c>
      <c r="B596" s="12" t="s">
        <v>5886</v>
      </c>
      <c r="C596" s="12">
        <v>23</v>
      </c>
      <c r="D596" s="12">
        <v>14</v>
      </c>
    </row>
    <row r="597" spans="1:4" x14ac:dyDescent="0.2">
      <c r="A597" s="12" t="s">
        <v>5523</v>
      </c>
      <c r="B597" s="12" t="s">
        <v>5522</v>
      </c>
      <c r="C597" s="12">
        <v>3400</v>
      </c>
      <c r="D597" s="12">
        <v>340</v>
      </c>
    </row>
    <row r="598" spans="1:4" x14ac:dyDescent="0.2">
      <c r="A598" s="12" t="s">
        <v>5536</v>
      </c>
      <c r="B598" s="12" t="s">
        <v>5535</v>
      </c>
      <c r="C598" s="12">
        <v>10000</v>
      </c>
      <c r="D598" s="12">
        <v>1000</v>
      </c>
    </row>
    <row r="599" spans="1:4" x14ac:dyDescent="0.2">
      <c r="A599" s="12" t="s">
        <v>5037</v>
      </c>
      <c r="B599" s="12" t="s">
        <v>5036</v>
      </c>
      <c r="C599" s="12" t="s">
        <v>59</v>
      </c>
      <c r="D599" s="12" t="s">
        <v>59</v>
      </c>
    </row>
    <row r="600" spans="1:4" x14ac:dyDescent="0.2">
      <c r="A600" s="12" t="s">
        <v>10060</v>
      </c>
      <c r="B600" s="12" t="s">
        <v>10059</v>
      </c>
      <c r="C600" s="12">
        <v>1</v>
      </c>
      <c r="D600" s="12">
        <v>0.1</v>
      </c>
    </row>
    <row r="601" spans="1:4" x14ac:dyDescent="0.2">
      <c r="A601" s="12" t="s">
        <v>10633</v>
      </c>
      <c r="B601" s="12" t="s">
        <v>10632</v>
      </c>
      <c r="C601" s="12">
        <v>30</v>
      </c>
      <c r="D601" s="12">
        <v>3</v>
      </c>
    </row>
    <row r="602" spans="1:4" x14ac:dyDescent="0.2">
      <c r="A602" s="12" t="s">
        <v>1589</v>
      </c>
      <c r="B602" s="12" t="s">
        <v>1588</v>
      </c>
      <c r="C602" s="12">
        <v>900</v>
      </c>
      <c r="D602" s="12">
        <v>90</v>
      </c>
    </row>
    <row r="603" spans="1:4" x14ac:dyDescent="0.2">
      <c r="A603" s="12" t="s">
        <v>658</v>
      </c>
      <c r="B603" s="12" t="s">
        <v>657</v>
      </c>
      <c r="C603" s="12" t="s">
        <v>59</v>
      </c>
      <c r="D603" s="12" t="s">
        <v>59</v>
      </c>
    </row>
    <row r="604" spans="1:4" x14ac:dyDescent="0.2">
      <c r="A604" s="12" t="s">
        <v>659</v>
      </c>
      <c r="B604" s="12" t="s">
        <v>657</v>
      </c>
      <c r="C604" s="12">
        <v>700</v>
      </c>
      <c r="D604" s="12">
        <v>70</v>
      </c>
    </row>
    <row r="605" spans="1:4" x14ac:dyDescent="0.2">
      <c r="A605" s="12" t="s">
        <v>10064</v>
      </c>
      <c r="B605" s="12" t="s">
        <v>10063</v>
      </c>
      <c r="C605" s="12">
        <v>40</v>
      </c>
      <c r="D605" s="12">
        <v>4</v>
      </c>
    </row>
    <row r="606" spans="1:4" x14ac:dyDescent="0.2">
      <c r="A606" s="12" t="s">
        <v>2245</v>
      </c>
      <c r="B606" s="12" t="s">
        <v>2244</v>
      </c>
      <c r="C606" s="12" t="s">
        <v>59</v>
      </c>
      <c r="D606" s="12" t="s">
        <v>59</v>
      </c>
    </row>
    <row r="607" spans="1:4" x14ac:dyDescent="0.2">
      <c r="A607" s="12" t="s">
        <v>8737</v>
      </c>
      <c r="B607" s="12" t="s">
        <v>8736</v>
      </c>
      <c r="C607" s="12">
        <v>36</v>
      </c>
      <c r="D607" s="12">
        <v>40</v>
      </c>
    </row>
    <row r="608" spans="1:4" x14ac:dyDescent="0.2">
      <c r="A608" s="12" t="s">
        <v>3323</v>
      </c>
      <c r="B608" s="12" t="s">
        <v>3322</v>
      </c>
      <c r="C608" s="12">
        <v>190</v>
      </c>
      <c r="D608" s="12">
        <v>19</v>
      </c>
    </row>
    <row r="609" spans="1:4" x14ac:dyDescent="0.2">
      <c r="A609" s="12" t="s">
        <v>7308</v>
      </c>
      <c r="B609" s="12" t="s">
        <v>7307</v>
      </c>
      <c r="C609" s="12">
        <v>100</v>
      </c>
      <c r="D609" s="12">
        <v>10</v>
      </c>
    </row>
    <row r="610" spans="1:4" x14ac:dyDescent="0.2">
      <c r="A610" s="12" t="s">
        <v>8839</v>
      </c>
      <c r="B610" s="12" t="s">
        <v>8838</v>
      </c>
      <c r="C610" s="12">
        <v>100</v>
      </c>
      <c r="D610" s="12">
        <v>10</v>
      </c>
    </row>
    <row r="611" spans="1:4" x14ac:dyDescent="0.2">
      <c r="A611" s="12" t="s">
        <v>6017</v>
      </c>
      <c r="B611" s="12" t="s">
        <v>6016</v>
      </c>
      <c r="C611" s="12">
        <v>120</v>
      </c>
      <c r="D611" s="12">
        <v>12</v>
      </c>
    </row>
    <row r="612" spans="1:4" x14ac:dyDescent="0.2">
      <c r="A612" s="12" t="s">
        <v>6036</v>
      </c>
      <c r="B612" s="12" t="s">
        <v>6035</v>
      </c>
      <c r="C612" s="12">
        <v>460</v>
      </c>
      <c r="D612" s="12">
        <v>46</v>
      </c>
    </row>
    <row r="613" spans="1:4" x14ac:dyDescent="0.2">
      <c r="A613" s="12" t="s">
        <v>5079</v>
      </c>
      <c r="B613" s="12" t="s">
        <v>5078</v>
      </c>
      <c r="C613" s="12">
        <v>0.1</v>
      </c>
      <c r="D613" s="12">
        <v>0.01</v>
      </c>
    </row>
    <row r="614" spans="1:4" x14ac:dyDescent="0.2">
      <c r="A614" s="12" t="s">
        <v>429</v>
      </c>
      <c r="B614" s="12" t="s">
        <v>428</v>
      </c>
      <c r="C614" s="12">
        <v>1200</v>
      </c>
      <c r="D614" s="12">
        <v>120</v>
      </c>
    </row>
    <row r="615" spans="1:4" x14ac:dyDescent="0.2">
      <c r="A615" s="12" t="s">
        <v>6659</v>
      </c>
      <c r="B615" s="12" t="s">
        <v>6658</v>
      </c>
      <c r="C615" s="12" t="s">
        <v>59</v>
      </c>
      <c r="D615" s="12" t="s">
        <v>59</v>
      </c>
    </row>
    <row r="616" spans="1:4" x14ac:dyDescent="0.2">
      <c r="A616" s="12" t="s">
        <v>6660</v>
      </c>
      <c r="B616" s="12" t="s">
        <v>6658</v>
      </c>
      <c r="C616" s="12">
        <v>850</v>
      </c>
      <c r="D616" s="12">
        <v>85</v>
      </c>
    </row>
    <row r="617" spans="1:4" x14ac:dyDescent="0.2">
      <c r="A617" s="12" t="s">
        <v>1504</v>
      </c>
      <c r="B617" s="12" t="s">
        <v>1503</v>
      </c>
      <c r="C617" s="12">
        <v>50</v>
      </c>
      <c r="D617" s="12">
        <v>5</v>
      </c>
    </row>
    <row r="618" spans="1:4" x14ac:dyDescent="0.2">
      <c r="A618" s="12" t="s">
        <v>5142</v>
      </c>
      <c r="B618" s="12" t="s">
        <v>5141</v>
      </c>
      <c r="C618" s="12">
        <v>3.6</v>
      </c>
      <c r="D618" s="12">
        <v>4.1000000000000002E-2</v>
      </c>
    </row>
    <row r="619" spans="1:4" x14ac:dyDescent="0.2">
      <c r="A619" s="12" t="s">
        <v>10470</v>
      </c>
      <c r="B619" s="12" t="s">
        <v>10469</v>
      </c>
      <c r="C619" s="12">
        <v>0.39</v>
      </c>
      <c r="D619" s="12">
        <v>4.3E-3</v>
      </c>
    </row>
    <row r="620" spans="1:4" x14ac:dyDescent="0.2">
      <c r="A620" s="12" t="s">
        <v>3354</v>
      </c>
      <c r="B620" s="12" t="s">
        <v>3353</v>
      </c>
      <c r="C620" s="12">
        <v>100</v>
      </c>
      <c r="D620" s="12">
        <v>10</v>
      </c>
    </row>
    <row r="621" spans="1:4" x14ac:dyDescent="0.2">
      <c r="A621" s="12" t="s">
        <v>6278</v>
      </c>
      <c r="B621" s="12" t="s">
        <v>6277</v>
      </c>
      <c r="C621" s="12">
        <v>1000</v>
      </c>
      <c r="D621" s="12">
        <v>100</v>
      </c>
    </row>
    <row r="622" spans="1:4" x14ac:dyDescent="0.2">
      <c r="A622" s="12" t="s">
        <v>8405</v>
      </c>
      <c r="B622" s="12" t="s">
        <v>8404</v>
      </c>
      <c r="C622" s="12">
        <v>1000</v>
      </c>
      <c r="D622" s="12">
        <v>100</v>
      </c>
    </row>
    <row r="623" spans="1:4" x14ac:dyDescent="0.2">
      <c r="A623" s="12" t="s">
        <v>2381</v>
      </c>
      <c r="B623" s="12" t="s">
        <v>2380</v>
      </c>
      <c r="C623" s="12">
        <v>5100</v>
      </c>
      <c r="D623" s="12">
        <v>510</v>
      </c>
    </row>
    <row r="624" spans="1:4" x14ac:dyDescent="0.2">
      <c r="A624" s="12" t="s">
        <v>9182</v>
      </c>
      <c r="B624" s="12" t="s">
        <v>9181</v>
      </c>
      <c r="C624" s="12">
        <v>0.33</v>
      </c>
      <c r="D624" s="12">
        <v>5.8999999999999997E-2</v>
      </c>
    </row>
    <row r="625" spans="1:4" x14ac:dyDescent="0.2">
      <c r="A625" s="12" t="s">
        <v>7130</v>
      </c>
      <c r="B625" s="12" t="s">
        <v>7129</v>
      </c>
      <c r="C625" s="12">
        <v>3.6</v>
      </c>
      <c r="D625" s="12">
        <v>4.1000000000000002E-2</v>
      </c>
    </row>
    <row r="626" spans="1:4" x14ac:dyDescent="0.2">
      <c r="A626" s="12" t="s">
        <v>7408</v>
      </c>
      <c r="B626" s="12" t="s">
        <v>7407</v>
      </c>
      <c r="C626" s="12">
        <v>240</v>
      </c>
      <c r="D626" s="12">
        <v>53</v>
      </c>
    </row>
    <row r="627" spans="1:4" x14ac:dyDescent="0.2">
      <c r="A627" s="12" t="s">
        <v>5313</v>
      </c>
      <c r="B627" s="12" t="s">
        <v>5312</v>
      </c>
      <c r="C627" s="12">
        <v>0.39</v>
      </c>
      <c r="D627" s="12">
        <v>4.3E-3</v>
      </c>
    </row>
    <row r="628" spans="1:4" x14ac:dyDescent="0.2">
      <c r="A628" s="12" t="s">
        <v>2055</v>
      </c>
      <c r="B628" s="12" t="s">
        <v>2054</v>
      </c>
      <c r="C628" s="12">
        <v>270</v>
      </c>
      <c r="D628" s="12">
        <v>27</v>
      </c>
    </row>
    <row r="629" spans="1:4" x14ac:dyDescent="0.2">
      <c r="A629" s="12" t="s">
        <v>7718</v>
      </c>
      <c r="B629" s="12" t="s">
        <v>7717</v>
      </c>
      <c r="C629" s="12">
        <v>2.7</v>
      </c>
      <c r="D629" s="12">
        <v>0.25</v>
      </c>
    </row>
    <row r="630" spans="1:4" x14ac:dyDescent="0.2">
      <c r="A630" s="12" t="s">
        <v>10054</v>
      </c>
      <c r="B630" s="12" t="s">
        <v>10053</v>
      </c>
      <c r="C630" s="12">
        <v>360</v>
      </c>
      <c r="D630" s="12">
        <v>36</v>
      </c>
    </row>
    <row r="631" spans="1:4" x14ac:dyDescent="0.2">
      <c r="A631" s="12" t="s">
        <v>8843</v>
      </c>
      <c r="B631" s="12" t="s">
        <v>8842</v>
      </c>
      <c r="C631" s="12">
        <v>16</v>
      </c>
      <c r="D631" s="12">
        <v>0.54</v>
      </c>
    </row>
    <row r="632" spans="1:4" x14ac:dyDescent="0.2">
      <c r="A632" s="12" t="s">
        <v>6069</v>
      </c>
      <c r="B632" s="12" t="s">
        <v>6068</v>
      </c>
      <c r="C632" s="12">
        <v>1000</v>
      </c>
      <c r="D632" s="12">
        <v>100</v>
      </c>
    </row>
    <row r="633" spans="1:4" x14ac:dyDescent="0.2">
      <c r="A633" s="12" t="s">
        <v>840</v>
      </c>
      <c r="B633" s="12" t="s">
        <v>839</v>
      </c>
      <c r="C633" s="12">
        <v>220</v>
      </c>
      <c r="D633" s="12">
        <v>22</v>
      </c>
    </row>
    <row r="634" spans="1:4" x14ac:dyDescent="0.2">
      <c r="A634" s="12" t="s">
        <v>7528</v>
      </c>
      <c r="B634" s="12" t="s">
        <v>7527</v>
      </c>
      <c r="C634" s="12">
        <v>140</v>
      </c>
      <c r="D634" s="12">
        <v>14</v>
      </c>
    </row>
    <row r="635" spans="1:4" x14ac:dyDescent="0.2">
      <c r="A635" s="12" t="s">
        <v>7538</v>
      </c>
      <c r="B635" s="12" t="s">
        <v>7537</v>
      </c>
      <c r="C635" s="12">
        <v>100</v>
      </c>
      <c r="D635" s="12">
        <v>10</v>
      </c>
    </row>
    <row r="636" spans="1:4" x14ac:dyDescent="0.2">
      <c r="A636" s="12" t="s">
        <v>1039</v>
      </c>
      <c r="B636" s="12" t="s">
        <v>1038</v>
      </c>
      <c r="C636" s="12">
        <v>1700</v>
      </c>
      <c r="D636" s="12">
        <v>170</v>
      </c>
    </row>
    <row r="637" spans="1:4" x14ac:dyDescent="0.2">
      <c r="A637" s="12" t="s">
        <v>858</v>
      </c>
      <c r="B637" s="12" t="s">
        <v>857</v>
      </c>
      <c r="C637" s="12">
        <v>1000</v>
      </c>
      <c r="D637" s="12">
        <v>100</v>
      </c>
    </row>
    <row r="638" spans="1:4" x14ac:dyDescent="0.2">
      <c r="A638" s="12" t="s">
        <v>4514</v>
      </c>
      <c r="B638" s="12" t="s">
        <v>4513</v>
      </c>
      <c r="C638" s="12">
        <v>20</v>
      </c>
      <c r="D638" s="12">
        <v>2</v>
      </c>
    </row>
    <row r="639" spans="1:4" x14ac:dyDescent="0.2">
      <c r="A639" s="12" t="s">
        <v>7306</v>
      </c>
      <c r="B639" s="12" t="s">
        <v>7305</v>
      </c>
      <c r="C639" s="12">
        <v>2</v>
      </c>
      <c r="D639" s="12">
        <v>0.2</v>
      </c>
    </row>
    <row r="640" spans="1:4" x14ac:dyDescent="0.2">
      <c r="A640" s="12" t="s">
        <v>7534</v>
      </c>
      <c r="B640" s="12" t="s">
        <v>7533</v>
      </c>
      <c r="C640" s="12">
        <v>2.7</v>
      </c>
      <c r="D640" s="12">
        <v>3</v>
      </c>
    </row>
    <row r="641" spans="1:4" x14ac:dyDescent="0.2">
      <c r="A641" s="12" t="s">
        <v>4626</v>
      </c>
      <c r="B641" s="12" t="s">
        <v>4625</v>
      </c>
      <c r="C641" s="12">
        <v>1900</v>
      </c>
      <c r="D641" s="12">
        <v>190</v>
      </c>
    </row>
    <row r="642" spans="1:4" x14ac:dyDescent="0.2">
      <c r="A642" s="12" t="s">
        <v>2737</v>
      </c>
      <c r="B642" s="12" t="s">
        <v>2736</v>
      </c>
      <c r="C642" s="12">
        <v>1500</v>
      </c>
      <c r="D642" s="12">
        <v>150</v>
      </c>
    </row>
    <row r="643" spans="1:4" x14ac:dyDescent="0.2">
      <c r="A643" s="12" t="s">
        <v>8715</v>
      </c>
      <c r="B643" s="12" t="s">
        <v>8714</v>
      </c>
      <c r="C643" s="12">
        <v>50</v>
      </c>
      <c r="D643" s="12">
        <v>5</v>
      </c>
    </row>
    <row r="644" spans="1:4" x14ac:dyDescent="0.2">
      <c r="A644" s="12" t="s">
        <v>4616</v>
      </c>
      <c r="B644" s="12" t="s">
        <v>4615</v>
      </c>
      <c r="C644" s="12">
        <v>0.7</v>
      </c>
      <c r="D644" s="12">
        <v>0.1</v>
      </c>
    </row>
    <row r="645" spans="1:4" x14ac:dyDescent="0.2">
      <c r="A645" s="12" t="s">
        <v>533</v>
      </c>
      <c r="B645" s="12" t="s">
        <v>532</v>
      </c>
      <c r="C645" s="12">
        <v>50</v>
      </c>
      <c r="D645" s="12">
        <v>5</v>
      </c>
    </row>
    <row r="646" spans="1:4" x14ac:dyDescent="0.2">
      <c r="A646" s="12" t="s">
        <v>525</v>
      </c>
      <c r="B646" s="12" t="s">
        <v>524</v>
      </c>
      <c r="C646" s="12">
        <v>50</v>
      </c>
      <c r="D646" s="12">
        <v>5</v>
      </c>
    </row>
    <row r="647" spans="1:4" x14ac:dyDescent="0.2">
      <c r="A647" s="12" t="s">
        <v>523</v>
      </c>
      <c r="B647" s="12" t="s">
        <v>522</v>
      </c>
      <c r="C647" s="12">
        <v>50</v>
      </c>
      <c r="D647" s="12">
        <v>5</v>
      </c>
    </row>
    <row r="648" spans="1:4" x14ac:dyDescent="0.2">
      <c r="A648" s="12" t="s">
        <v>12357</v>
      </c>
      <c r="B648" s="12" t="s">
        <v>12356</v>
      </c>
      <c r="C648" s="12" t="s">
        <v>59</v>
      </c>
      <c r="D648" s="12" t="s">
        <v>59</v>
      </c>
    </row>
    <row r="649" spans="1:4" x14ac:dyDescent="0.2">
      <c r="A649" s="12" t="s">
        <v>5966</v>
      </c>
      <c r="B649" s="12" t="s">
        <v>5965</v>
      </c>
      <c r="C649" s="12">
        <v>42</v>
      </c>
      <c r="D649" s="12">
        <v>4.2</v>
      </c>
    </row>
    <row r="650" spans="1:4" x14ac:dyDescent="0.2">
      <c r="A650" s="12" t="s">
        <v>3956</v>
      </c>
      <c r="B650" s="12" t="s">
        <v>3955</v>
      </c>
      <c r="C650" s="12">
        <v>640</v>
      </c>
      <c r="D650" s="12">
        <v>64</v>
      </c>
    </row>
    <row r="651" spans="1:4" x14ac:dyDescent="0.2">
      <c r="A651" s="12" t="s">
        <v>5876</v>
      </c>
      <c r="B651" s="12" t="s">
        <v>5875</v>
      </c>
      <c r="C651" s="12">
        <v>51</v>
      </c>
      <c r="D651" s="12">
        <v>7.5</v>
      </c>
    </row>
    <row r="652" spans="1:4" x14ac:dyDescent="0.2">
      <c r="A652" s="12" t="s">
        <v>6259</v>
      </c>
      <c r="B652" s="12" t="s">
        <v>6258</v>
      </c>
      <c r="C652" s="12">
        <v>2500</v>
      </c>
      <c r="D652" s="12">
        <v>250</v>
      </c>
    </row>
    <row r="653" spans="1:4" x14ac:dyDescent="0.2">
      <c r="A653" s="12" t="s">
        <v>5823</v>
      </c>
      <c r="B653" s="12" t="s">
        <v>5822</v>
      </c>
      <c r="C653" s="12">
        <v>290</v>
      </c>
      <c r="D653" s="12">
        <v>29</v>
      </c>
    </row>
    <row r="654" spans="1:4" x14ac:dyDescent="0.2">
      <c r="A654" s="12" t="s">
        <v>5922</v>
      </c>
      <c r="B654" s="12" t="s">
        <v>5921</v>
      </c>
      <c r="C654" s="12">
        <v>400</v>
      </c>
      <c r="D654" s="12">
        <v>40</v>
      </c>
    </row>
    <row r="655" spans="1:4" x14ac:dyDescent="0.2">
      <c r="A655" s="12" t="s">
        <v>10535</v>
      </c>
      <c r="B655" s="12" t="s">
        <v>10534</v>
      </c>
      <c r="C655" s="12">
        <v>50</v>
      </c>
      <c r="D655" s="12">
        <v>5</v>
      </c>
    </row>
    <row r="656" spans="1:4" x14ac:dyDescent="0.2">
      <c r="A656" s="12" t="s">
        <v>6263</v>
      </c>
      <c r="B656" s="12" t="s">
        <v>6262</v>
      </c>
      <c r="C656" s="12">
        <v>110</v>
      </c>
      <c r="D656" s="12">
        <v>14</v>
      </c>
    </row>
    <row r="657" spans="1:4" x14ac:dyDescent="0.2">
      <c r="A657" s="12" t="s">
        <v>11770</v>
      </c>
      <c r="B657" s="12" t="s">
        <v>11769</v>
      </c>
      <c r="C657" s="12">
        <v>16</v>
      </c>
      <c r="D657" s="12">
        <v>1.6</v>
      </c>
    </row>
    <row r="658" spans="1:4" x14ac:dyDescent="0.2">
      <c r="A658" s="12" t="s">
        <v>7487</v>
      </c>
      <c r="B658" s="12" t="s">
        <v>7486</v>
      </c>
      <c r="C658" s="12">
        <v>100</v>
      </c>
      <c r="D658" s="12">
        <v>10</v>
      </c>
    </row>
    <row r="659" spans="1:4" x14ac:dyDescent="0.2">
      <c r="A659" s="12" t="s">
        <v>2860</v>
      </c>
      <c r="B659" s="12" t="s">
        <v>2859</v>
      </c>
      <c r="C659" s="12">
        <v>1800</v>
      </c>
      <c r="D659" s="12">
        <v>180</v>
      </c>
    </row>
    <row r="660" spans="1:4" x14ac:dyDescent="0.2">
      <c r="A660" s="12" t="s">
        <v>8841</v>
      </c>
      <c r="B660" s="12" t="s">
        <v>8840</v>
      </c>
      <c r="C660" s="12">
        <v>100</v>
      </c>
      <c r="D660" s="12">
        <v>10</v>
      </c>
    </row>
    <row r="661" spans="1:4" x14ac:dyDescent="0.2">
      <c r="A661" s="12" t="s">
        <v>7660</v>
      </c>
      <c r="B661" s="12" t="s">
        <v>7659</v>
      </c>
      <c r="C661" s="12" t="s">
        <v>59</v>
      </c>
      <c r="D661" s="12" t="s">
        <v>59</v>
      </c>
    </row>
    <row r="662" spans="1:4" x14ac:dyDescent="0.2">
      <c r="A662" s="12" t="s">
        <v>7661</v>
      </c>
      <c r="B662" s="12" t="s">
        <v>7659</v>
      </c>
      <c r="C662" s="12">
        <v>2500</v>
      </c>
      <c r="D662" s="12">
        <v>250</v>
      </c>
    </row>
    <row r="663" spans="1:4" x14ac:dyDescent="0.2">
      <c r="A663" s="12" t="s">
        <v>6726</v>
      </c>
      <c r="B663" s="12" t="s">
        <v>6725</v>
      </c>
      <c r="C663" s="12">
        <v>850</v>
      </c>
      <c r="D663" s="12">
        <v>85</v>
      </c>
    </row>
    <row r="664" spans="1:4" x14ac:dyDescent="0.2">
      <c r="A664" s="12" t="s">
        <v>8779</v>
      </c>
      <c r="B664" s="12" t="s">
        <v>8778</v>
      </c>
      <c r="C664" s="12" t="s">
        <v>59</v>
      </c>
      <c r="D664" s="12" t="s">
        <v>59</v>
      </c>
    </row>
    <row r="665" spans="1:4" x14ac:dyDescent="0.2">
      <c r="A665" s="12" t="s">
        <v>12022</v>
      </c>
      <c r="B665" s="12" t="s">
        <v>12021</v>
      </c>
      <c r="C665" s="12">
        <v>200</v>
      </c>
      <c r="D665" s="12">
        <v>20</v>
      </c>
    </row>
    <row r="666" spans="1:4" x14ac:dyDescent="0.2">
      <c r="A666" s="12" t="s">
        <v>12076</v>
      </c>
      <c r="B666" s="12" t="s">
        <v>12075</v>
      </c>
      <c r="C666" s="12">
        <v>120</v>
      </c>
      <c r="D666" s="12">
        <v>12</v>
      </c>
    </row>
    <row r="667" spans="1:4" x14ac:dyDescent="0.2">
      <c r="A667" s="12" t="s">
        <v>9437</v>
      </c>
      <c r="B667" s="12" t="s">
        <v>9436</v>
      </c>
      <c r="C667" s="12">
        <v>190</v>
      </c>
      <c r="D667" s="12">
        <v>7.9</v>
      </c>
    </row>
    <row r="668" spans="1:4" x14ac:dyDescent="0.2">
      <c r="A668" s="12" t="s">
        <v>9222</v>
      </c>
      <c r="B668" s="12" t="s">
        <v>9221</v>
      </c>
      <c r="C668" s="12">
        <v>1</v>
      </c>
      <c r="D668" s="12">
        <v>0.1</v>
      </c>
    </row>
    <row r="669" spans="1:4" x14ac:dyDescent="0.2">
      <c r="A669" s="12" t="s">
        <v>9276</v>
      </c>
      <c r="B669" s="12" t="s">
        <v>9275</v>
      </c>
      <c r="C669" s="12">
        <v>5600</v>
      </c>
      <c r="D669" s="12">
        <v>540</v>
      </c>
    </row>
    <row r="670" spans="1:4" x14ac:dyDescent="0.2">
      <c r="A670" s="12" t="s">
        <v>1168</v>
      </c>
      <c r="B670" s="12" t="s">
        <v>1167</v>
      </c>
      <c r="C670" s="12">
        <v>3400</v>
      </c>
      <c r="D670" s="12">
        <v>340</v>
      </c>
    </row>
    <row r="671" spans="1:4" x14ac:dyDescent="0.2">
      <c r="A671" s="12" t="s">
        <v>918</v>
      </c>
      <c r="B671" s="12" t="s">
        <v>917</v>
      </c>
      <c r="C671" s="12">
        <v>50</v>
      </c>
      <c r="D671" s="12">
        <v>5</v>
      </c>
    </row>
    <row r="672" spans="1:4" x14ac:dyDescent="0.2">
      <c r="A672" s="12" t="s">
        <v>3527</v>
      </c>
      <c r="B672" s="12" t="s">
        <v>3526</v>
      </c>
      <c r="C672" s="12">
        <v>90</v>
      </c>
      <c r="D672" s="12">
        <v>9</v>
      </c>
    </row>
    <row r="673" spans="1:4" x14ac:dyDescent="0.2">
      <c r="A673" s="12" t="s">
        <v>7412</v>
      </c>
      <c r="B673" s="12" t="s">
        <v>7411</v>
      </c>
      <c r="C673" s="12">
        <v>2700</v>
      </c>
      <c r="D673" s="12">
        <v>270</v>
      </c>
    </row>
    <row r="674" spans="1:4" x14ac:dyDescent="0.2">
      <c r="A674" s="12" t="s">
        <v>12193</v>
      </c>
      <c r="B674" s="12" t="s">
        <v>12192</v>
      </c>
      <c r="C674" s="12">
        <v>1</v>
      </c>
      <c r="D674" s="12">
        <v>0.1</v>
      </c>
    </row>
    <row r="675" spans="1:4" x14ac:dyDescent="0.2">
      <c r="A675" s="12" t="s">
        <v>7404</v>
      </c>
      <c r="B675" s="12" t="s">
        <v>7403</v>
      </c>
      <c r="C675" s="12">
        <v>140</v>
      </c>
      <c r="D675" s="12">
        <v>40</v>
      </c>
    </row>
    <row r="676" spans="1:4" x14ac:dyDescent="0.2">
      <c r="A676" s="12" t="s">
        <v>1292</v>
      </c>
      <c r="B676" s="12" t="s">
        <v>1291</v>
      </c>
      <c r="C676" s="12">
        <v>97</v>
      </c>
      <c r="D676" s="12">
        <v>7</v>
      </c>
    </row>
    <row r="677" spans="1:4" x14ac:dyDescent="0.2">
      <c r="A677" s="12" t="s">
        <v>1966</v>
      </c>
      <c r="B677" s="12" t="s">
        <v>1965</v>
      </c>
      <c r="C677" s="12">
        <v>2900</v>
      </c>
      <c r="D677" s="12">
        <v>3700</v>
      </c>
    </row>
    <row r="678" spans="1:4" x14ac:dyDescent="0.2">
      <c r="A678" s="12" t="s">
        <v>5954</v>
      </c>
      <c r="B678" s="12" t="s">
        <v>5953</v>
      </c>
      <c r="C678" s="12">
        <v>270</v>
      </c>
      <c r="D678" s="12">
        <v>27</v>
      </c>
    </row>
    <row r="679" spans="1:4" x14ac:dyDescent="0.2">
      <c r="A679" s="12" t="s">
        <v>834</v>
      </c>
      <c r="B679" s="12" t="s">
        <v>833</v>
      </c>
      <c r="C679" s="12">
        <v>1000</v>
      </c>
      <c r="D679" s="12">
        <v>100</v>
      </c>
    </row>
    <row r="680" spans="1:4" x14ac:dyDescent="0.2">
      <c r="A680" s="12" t="s">
        <v>9433</v>
      </c>
      <c r="B680" s="12" t="s">
        <v>9432</v>
      </c>
      <c r="C680" s="12">
        <v>1000</v>
      </c>
      <c r="D680" s="12">
        <v>100</v>
      </c>
    </row>
    <row r="681" spans="1:4" x14ac:dyDescent="0.2">
      <c r="A681" s="12" t="s">
        <v>8638</v>
      </c>
      <c r="B681" s="12" t="s">
        <v>8637</v>
      </c>
      <c r="C681" s="12">
        <v>340</v>
      </c>
      <c r="D681" s="12">
        <v>34</v>
      </c>
    </row>
    <row r="682" spans="1:4" x14ac:dyDescent="0.2">
      <c r="A682" s="12" t="s">
        <v>8466</v>
      </c>
      <c r="B682" s="12" t="s">
        <v>8465</v>
      </c>
      <c r="C682" s="12">
        <v>1000</v>
      </c>
      <c r="D682" s="12">
        <v>100</v>
      </c>
    </row>
    <row r="683" spans="1:4" x14ac:dyDescent="0.2">
      <c r="A683" s="12" t="s">
        <v>9270</v>
      </c>
      <c r="B683" s="12" t="s">
        <v>9269</v>
      </c>
      <c r="C683" s="12">
        <v>4800</v>
      </c>
      <c r="D683" s="12">
        <v>450</v>
      </c>
    </row>
    <row r="684" spans="1:4" x14ac:dyDescent="0.2">
      <c r="A684" s="12" t="s">
        <v>1801</v>
      </c>
      <c r="B684" s="12" t="s">
        <v>1800</v>
      </c>
      <c r="C684" s="12">
        <v>120</v>
      </c>
      <c r="D684" s="12">
        <v>12</v>
      </c>
    </row>
    <row r="685" spans="1:4" x14ac:dyDescent="0.2">
      <c r="A685" s="12" t="s">
        <v>9451</v>
      </c>
      <c r="B685" s="12" t="s">
        <v>9450</v>
      </c>
      <c r="C685" s="12">
        <v>60</v>
      </c>
      <c r="D685" s="12">
        <v>6</v>
      </c>
    </row>
    <row r="686" spans="1:4" x14ac:dyDescent="0.2">
      <c r="A686" s="12" t="s">
        <v>1170</v>
      </c>
      <c r="B686" s="12" t="s">
        <v>1169</v>
      </c>
      <c r="C686" s="12">
        <v>2700</v>
      </c>
      <c r="D686" s="12">
        <v>270</v>
      </c>
    </row>
    <row r="687" spans="1:4" x14ac:dyDescent="0.2">
      <c r="A687" s="12" t="s">
        <v>9444</v>
      </c>
      <c r="B687" s="12" t="s">
        <v>9443</v>
      </c>
      <c r="C687" s="12">
        <v>30</v>
      </c>
      <c r="D687" s="12">
        <v>3</v>
      </c>
    </row>
    <row r="688" spans="1:4" x14ac:dyDescent="0.2">
      <c r="A688" s="12" t="s">
        <v>8944</v>
      </c>
      <c r="B688" s="12" t="s">
        <v>8943</v>
      </c>
      <c r="C688" s="12">
        <v>290</v>
      </c>
      <c r="D688" s="12">
        <v>29</v>
      </c>
    </row>
    <row r="689" spans="1:4" x14ac:dyDescent="0.2">
      <c r="A689" s="12" t="s">
        <v>5934</v>
      </c>
      <c r="B689" s="12" t="s">
        <v>5933</v>
      </c>
      <c r="C689" s="12">
        <v>500</v>
      </c>
      <c r="D689" s="12">
        <v>50</v>
      </c>
    </row>
    <row r="690" spans="1:4" x14ac:dyDescent="0.2">
      <c r="A690" s="12" t="s">
        <v>4429</v>
      </c>
      <c r="B690" s="12" t="s">
        <v>4428</v>
      </c>
      <c r="C690" s="12">
        <v>110</v>
      </c>
      <c r="D690" s="12">
        <v>11</v>
      </c>
    </row>
    <row r="691" spans="1:4" x14ac:dyDescent="0.2">
      <c r="A691" s="12" t="s">
        <v>5785</v>
      </c>
      <c r="B691" s="12" t="s">
        <v>5784</v>
      </c>
      <c r="C691" s="12">
        <v>270</v>
      </c>
      <c r="D691" s="12">
        <v>5.4</v>
      </c>
    </row>
    <row r="692" spans="1:4" x14ac:dyDescent="0.2">
      <c r="A692" s="12" t="s">
        <v>6090</v>
      </c>
      <c r="B692" s="12" t="s">
        <v>6089</v>
      </c>
      <c r="C692" s="12">
        <v>100</v>
      </c>
      <c r="D692" s="12">
        <v>10</v>
      </c>
    </row>
    <row r="693" spans="1:4" x14ac:dyDescent="0.2">
      <c r="A693" s="12" t="s">
        <v>2809</v>
      </c>
      <c r="B693" s="12" t="s">
        <v>2808</v>
      </c>
      <c r="C693" s="12">
        <v>190</v>
      </c>
      <c r="D693" s="12">
        <v>19</v>
      </c>
    </row>
    <row r="694" spans="1:4" x14ac:dyDescent="0.2">
      <c r="A694" s="12" t="s">
        <v>5928</v>
      </c>
      <c r="B694" s="12" t="s">
        <v>5927</v>
      </c>
      <c r="C694" s="12">
        <v>280</v>
      </c>
      <c r="D694" s="12">
        <v>28</v>
      </c>
    </row>
    <row r="695" spans="1:4" x14ac:dyDescent="0.2">
      <c r="A695" s="12" t="s">
        <v>8847</v>
      </c>
      <c r="B695" s="12" t="s">
        <v>8846</v>
      </c>
      <c r="C695" s="12" t="s">
        <v>59</v>
      </c>
      <c r="D695" s="12" t="s">
        <v>59</v>
      </c>
    </row>
    <row r="696" spans="1:4" x14ac:dyDescent="0.2">
      <c r="A696" s="12" t="s">
        <v>9366</v>
      </c>
      <c r="B696" s="12" t="s">
        <v>9365</v>
      </c>
      <c r="C696" s="12">
        <v>3500</v>
      </c>
      <c r="D696" s="12">
        <v>350</v>
      </c>
    </row>
    <row r="697" spans="1:4" x14ac:dyDescent="0.2">
      <c r="A697" s="12" t="s">
        <v>7436</v>
      </c>
      <c r="B697" s="12" t="s">
        <v>7435</v>
      </c>
      <c r="C697" s="12" t="s">
        <v>59</v>
      </c>
      <c r="D697" s="12" t="s">
        <v>59</v>
      </c>
    </row>
    <row r="698" spans="1:4" x14ac:dyDescent="0.2">
      <c r="A698" s="12" t="s">
        <v>1226</v>
      </c>
      <c r="B698" s="12" t="s">
        <v>1225</v>
      </c>
      <c r="C698" s="12">
        <v>5700</v>
      </c>
      <c r="D698" s="12">
        <v>570</v>
      </c>
    </row>
    <row r="699" spans="1:4" x14ac:dyDescent="0.2">
      <c r="A699" s="12" t="s">
        <v>9095</v>
      </c>
      <c r="B699" s="12" t="s">
        <v>9094</v>
      </c>
      <c r="C699" s="12">
        <v>100</v>
      </c>
      <c r="D699" s="12">
        <v>10</v>
      </c>
    </row>
    <row r="700" spans="1:4" x14ac:dyDescent="0.2">
      <c r="A700" s="12" t="s">
        <v>9290</v>
      </c>
      <c r="B700" s="12" t="s">
        <v>9289</v>
      </c>
      <c r="C700" s="12">
        <v>120</v>
      </c>
      <c r="D700" s="12">
        <v>64</v>
      </c>
    </row>
    <row r="701" spans="1:4" x14ac:dyDescent="0.2">
      <c r="A701" s="12" t="s">
        <v>7410</v>
      </c>
      <c r="B701" s="12" t="s">
        <v>7409</v>
      </c>
      <c r="C701" s="12">
        <v>3000</v>
      </c>
      <c r="D701" s="12">
        <v>300</v>
      </c>
    </row>
    <row r="702" spans="1:4" x14ac:dyDescent="0.2">
      <c r="A702" s="12" t="s">
        <v>2884</v>
      </c>
      <c r="B702" s="12" t="s">
        <v>2883</v>
      </c>
      <c r="C702" s="12">
        <v>3700</v>
      </c>
      <c r="D702" s="12">
        <v>370</v>
      </c>
    </row>
    <row r="703" spans="1:4" x14ac:dyDescent="0.2">
      <c r="A703" s="12" t="s">
        <v>1970</v>
      </c>
      <c r="B703" s="12" t="s">
        <v>1969</v>
      </c>
      <c r="C703" s="12">
        <v>330</v>
      </c>
      <c r="D703" s="12">
        <v>33</v>
      </c>
    </row>
    <row r="704" spans="1:4" x14ac:dyDescent="0.2">
      <c r="A704" s="12" t="s">
        <v>1090</v>
      </c>
      <c r="B704" s="12" t="s">
        <v>1089</v>
      </c>
      <c r="C704" s="12">
        <v>70</v>
      </c>
      <c r="D704" s="12">
        <v>7</v>
      </c>
    </row>
    <row r="705" spans="1:4" x14ac:dyDescent="0.2">
      <c r="A705" s="12" t="s">
        <v>4107</v>
      </c>
      <c r="B705" s="12" t="s">
        <v>4106</v>
      </c>
      <c r="C705" s="12">
        <v>6</v>
      </c>
      <c r="D705" s="12">
        <v>0.6</v>
      </c>
    </row>
    <row r="706" spans="1:4" x14ac:dyDescent="0.2">
      <c r="A706" s="12" t="s">
        <v>5948</v>
      </c>
      <c r="B706" s="12" t="s">
        <v>5947</v>
      </c>
      <c r="C706" s="12">
        <v>1130</v>
      </c>
      <c r="D706" s="12">
        <v>113</v>
      </c>
    </row>
    <row r="707" spans="1:4" x14ac:dyDescent="0.2">
      <c r="A707" s="12" t="s">
        <v>5636</v>
      </c>
      <c r="B707" s="12" t="s">
        <v>5635</v>
      </c>
      <c r="C707" s="12">
        <v>2750</v>
      </c>
      <c r="D707" s="12">
        <v>275</v>
      </c>
    </row>
    <row r="708" spans="1:4" x14ac:dyDescent="0.2">
      <c r="A708" s="12" t="s">
        <v>8920</v>
      </c>
      <c r="B708" s="12" t="s">
        <v>8919</v>
      </c>
      <c r="C708" s="12">
        <v>100</v>
      </c>
      <c r="D708" s="12">
        <v>10</v>
      </c>
    </row>
    <row r="709" spans="1:4" x14ac:dyDescent="0.2">
      <c r="A709" s="12" t="s">
        <v>1147</v>
      </c>
      <c r="B709" s="12" t="s">
        <v>1146</v>
      </c>
      <c r="C709" s="12">
        <v>100</v>
      </c>
      <c r="D709" s="12">
        <v>10</v>
      </c>
    </row>
    <row r="710" spans="1:4" x14ac:dyDescent="0.2">
      <c r="A710" s="12" t="s">
        <v>7414</v>
      </c>
      <c r="B710" s="12" t="s">
        <v>7413</v>
      </c>
      <c r="C710" s="12">
        <v>3000</v>
      </c>
      <c r="D710" s="12">
        <v>300</v>
      </c>
    </row>
    <row r="711" spans="1:4" x14ac:dyDescent="0.2">
      <c r="A711" s="12" t="s">
        <v>12050</v>
      </c>
      <c r="B711" s="12" t="s">
        <v>12049</v>
      </c>
      <c r="C711" s="12">
        <v>60</v>
      </c>
      <c r="D711" s="12">
        <v>6</v>
      </c>
    </row>
    <row r="712" spans="1:4" x14ac:dyDescent="0.2">
      <c r="A712" s="12" t="s">
        <v>6742</v>
      </c>
      <c r="B712" s="12" t="s">
        <v>6741</v>
      </c>
      <c r="C712" s="12">
        <v>2900</v>
      </c>
      <c r="D712" s="12">
        <v>3700</v>
      </c>
    </row>
    <row r="713" spans="1:4" x14ac:dyDescent="0.2">
      <c r="A713" s="12" t="s">
        <v>539</v>
      </c>
      <c r="B713" s="12" t="s">
        <v>538</v>
      </c>
      <c r="C713" s="12">
        <v>290</v>
      </c>
      <c r="D713" s="12">
        <v>29</v>
      </c>
    </row>
    <row r="714" spans="1:4" x14ac:dyDescent="0.2">
      <c r="A714" s="12" t="s">
        <v>12026</v>
      </c>
      <c r="B714" s="12" t="s">
        <v>12025</v>
      </c>
      <c r="C714" s="12">
        <v>10000</v>
      </c>
      <c r="D714" s="12">
        <v>1000</v>
      </c>
    </row>
    <row r="715" spans="1:4" x14ac:dyDescent="0.2">
      <c r="A715" s="12" t="s">
        <v>5638</v>
      </c>
      <c r="B715" s="12" t="s">
        <v>5637</v>
      </c>
      <c r="C715" s="12">
        <v>450</v>
      </c>
      <c r="D715" s="12">
        <v>150</v>
      </c>
    </row>
    <row r="716" spans="1:4" x14ac:dyDescent="0.2">
      <c r="A716" s="12" t="s">
        <v>5625</v>
      </c>
      <c r="B716" s="12" t="s">
        <v>5624</v>
      </c>
      <c r="C716" s="12">
        <v>1800</v>
      </c>
      <c r="D716" s="12">
        <v>180</v>
      </c>
    </row>
    <row r="717" spans="1:4" x14ac:dyDescent="0.2">
      <c r="A717" s="12" t="s">
        <v>9442</v>
      </c>
      <c r="B717" s="12" t="s">
        <v>9441</v>
      </c>
      <c r="C717" s="12">
        <v>3000</v>
      </c>
      <c r="D717" s="12">
        <v>300</v>
      </c>
    </row>
    <row r="718" spans="1:4" x14ac:dyDescent="0.2">
      <c r="A718" s="12" t="s">
        <v>5944</v>
      </c>
      <c r="B718" s="12" t="s">
        <v>5943</v>
      </c>
      <c r="C718" s="12">
        <v>670</v>
      </c>
      <c r="D718" s="12">
        <v>67</v>
      </c>
    </row>
    <row r="719" spans="1:4" x14ac:dyDescent="0.2">
      <c r="A719" s="12" t="s">
        <v>12036</v>
      </c>
      <c r="B719" s="12" t="s">
        <v>12035</v>
      </c>
      <c r="C719" s="12">
        <v>2900</v>
      </c>
      <c r="D719" s="12">
        <v>3700</v>
      </c>
    </row>
    <row r="720" spans="1:4" x14ac:dyDescent="0.2">
      <c r="A720" s="12" t="s">
        <v>12651</v>
      </c>
      <c r="B720" s="12" t="s">
        <v>12241</v>
      </c>
      <c r="C720" s="12">
        <v>900</v>
      </c>
      <c r="D720" s="12">
        <v>90</v>
      </c>
    </row>
    <row r="721" spans="1:4" x14ac:dyDescent="0.2">
      <c r="A721" s="12" t="s">
        <v>12650</v>
      </c>
      <c r="B721" s="12" t="s">
        <v>12241</v>
      </c>
      <c r="C721" s="12" t="s">
        <v>59</v>
      </c>
      <c r="D721" s="12" t="s">
        <v>59</v>
      </c>
    </row>
    <row r="722" spans="1:4" x14ac:dyDescent="0.2">
      <c r="A722" s="12" t="s">
        <v>8489</v>
      </c>
      <c r="B722" s="12" t="s">
        <v>8488</v>
      </c>
      <c r="C722" s="12" t="s">
        <v>59</v>
      </c>
      <c r="D722" s="12" t="s">
        <v>59</v>
      </c>
    </row>
    <row r="723" spans="1:4" x14ac:dyDescent="0.2">
      <c r="A723" s="12" t="s">
        <v>8490</v>
      </c>
      <c r="B723" s="12" t="s">
        <v>8488</v>
      </c>
      <c r="C723" s="12">
        <v>1000</v>
      </c>
      <c r="D723" s="12">
        <v>100</v>
      </c>
    </row>
    <row r="724" spans="1:4" x14ac:dyDescent="0.2">
      <c r="A724" s="12" t="s">
        <v>6415</v>
      </c>
      <c r="B724" s="12" t="s">
        <v>6414</v>
      </c>
      <c r="C724" s="12">
        <v>3500</v>
      </c>
      <c r="D724" s="12">
        <v>350</v>
      </c>
    </row>
    <row r="725" spans="1:4" x14ac:dyDescent="0.2">
      <c r="A725" s="12" t="s">
        <v>8659</v>
      </c>
      <c r="B725" s="12" t="s">
        <v>8658</v>
      </c>
      <c r="C725" s="12">
        <v>13</v>
      </c>
      <c r="D725" s="12">
        <v>1.3</v>
      </c>
    </row>
    <row r="726" spans="1:4" x14ac:dyDescent="0.2">
      <c r="A726" s="12" t="s">
        <v>988</v>
      </c>
      <c r="B726" s="12" t="s">
        <v>987</v>
      </c>
      <c r="C726" s="12">
        <v>5700</v>
      </c>
      <c r="D726" s="12">
        <v>570</v>
      </c>
    </row>
    <row r="727" spans="1:4" x14ac:dyDescent="0.2">
      <c r="A727" s="12" t="s">
        <v>12247</v>
      </c>
      <c r="B727" s="12" t="s">
        <v>12246</v>
      </c>
      <c r="C727" s="12">
        <v>1500</v>
      </c>
      <c r="D727" s="12">
        <v>150</v>
      </c>
    </row>
    <row r="728" spans="1:4" x14ac:dyDescent="0.2">
      <c r="A728" s="12" t="s">
        <v>12240</v>
      </c>
      <c r="B728" s="12" t="s">
        <v>12239</v>
      </c>
      <c r="C728" s="12">
        <v>1800</v>
      </c>
      <c r="D728" s="12">
        <v>180</v>
      </c>
    </row>
    <row r="729" spans="1:4" x14ac:dyDescent="0.2">
      <c r="A729" s="12" t="s">
        <v>6730</v>
      </c>
      <c r="B729" s="12" t="s">
        <v>6729</v>
      </c>
      <c r="C729" s="12">
        <v>2900</v>
      </c>
      <c r="D729" s="12">
        <v>3700</v>
      </c>
    </row>
    <row r="730" spans="1:4" x14ac:dyDescent="0.2">
      <c r="A730" s="12" t="s">
        <v>12044</v>
      </c>
      <c r="B730" s="12" t="s">
        <v>12043</v>
      </c>
      <c r="C730" s="12">
        <v>2900</v>
      </c>
      <c r="D730" s="12">
        <v>3700</v>
      </c>
    </row>
    <row r="731" spans="1:4" x14ac:dyDescent="0.2">
      <c r="A731" s="12" t="s">
        <v>8041</v>
      </c>
      <c r="B731" s="12" t="s">
        <v>8040</v>
      </c>
      <c r="C731" s="12">
        <v>1500</v>
      </c>
      <c r="D731" s="12">
        <v>150</v>
      </c>
    </row>
    <row r="732" spans="1:4" x14ac:dyDescent="0.2">
      <c r="A732" s="12" t="s">
        <v>6440</v>
      </c>
      <c r="B732" s="12" t="s">
        <v>6439</v>
      </c>
      <c r="C732" s="12">
        <v>1800</v>
      </c>
      <c r="D732" s="12">
        <v>180</v>
      </c>
    </row>
    <row r="733" spans="1:4" x14ac:dyDescent="0.2">
      <c r="A733" s="12" t="s">
        <v>984</v>
      </c>
      <c r="B733" s="12" t="s">
        <v>983</v>
      </c>
      <c r="C733" s="12">
        <v>8</v>
      </c>
      <c r="D733" s="12">
        <v>0.8</v>
      </c>
    </row>
    <row r="734" spans="1:4" x14ac:dyDescent="0.2">
      <c r="A734" s="12" t="s">
        <v>11673</v>
      </c>
      <c r="B734" s="12" t="s">
        <v>11672</v>
      </c>
      <c r="C734" s="12">
        <v>400</v>
      </c>
      <c r="D734" s="12">
        <v>40</v>
      </c>
    </row>
    <row r="735" spans="1:4" x14ac:dyDescent="0.2">
      <c r="A735" s="12" t="s">
        <v>5950</v>
      </c>
      <c r="B735" s="12" t="s">
        <v>5949</v>
      </c>
      <c r="C735" s="12">
        <v>1000</v>
      </c>
      <c r="D735" s="12">
        <v>100</v>
      </c>
    </row>
    <row r="736" spans="1:4" x14ac:dyDescent="0.2">
      <c r="A736" s="12" t="s">
        <v>11661</v>
      </c>
      <c r="B736" s="12" t="s">
        <v>11660</v>
      </c>
      <c r="C736" s="12">
        <v>100</v>
      </c>
      <c r="D736" s="12">
        <v>10</v>
      </c>
    </row>
    <row r="737" spans="1:4" x14ac:dyDescent="0.2">
      <c r="A737" s="12" t="s">
        <v>8514</v>
      </c>
      <c r="B737" s="12" t="s">
        <v>8513</v>
      </c>
      <c r="C737" s="12" t="s">
        <v>59</v>
      </c>
      <c r="D737" s="12" t="s">
        <v>59</v>
      </c>
    </row>
    <row r="738" spans="1:4" x14ac:dyDescent="0.2">
      <c r="A738" s="12" t="s">
        <v>1979</v>
      </c>
      <c r="B738" s="12" t="s">
        <v>1978</v>
      </c>
      <c r="C738" s="12">
        <v>800</v>
      </c>
      <c r="D738" s="12">
        <v>80</v>
      </c>
    </row>
    <row r="739" spans="1:4" x14ac:dyDescent="0.2">
      <c r="A739" s="12" t="s">
        <v>8484</v>
      </c>
      <c r="B739" s="12" t="s">
        <v>8483</v>
      </c>
      <c r="C739" s="12" t="s">
        <v>59</v>
      </c>
      <c r="D739" s="12" t="s">
        <v>59</v>
      </c>
    </row>
    <row r="740" spans="1:4" x14ac:dyDescent="0.2">
      <c r="A740" s="12" t="s">
        <v>8485</v>
      </c>
      <c r="B740" s="12" t="s">
        <v>8483</v>
      </c>
      <c r="C740" s="12">
        <v>1000</v>
      </c>
      <c r="D740" s="12">
        <v>100</v>
      </c>
    </row>
    <row r="741" spans="1:4" x14ac:dyDescent="0.2">
      <c r="A741" s="12" t="s">
        <v>6435</v>
      </c>
      <c r="B741" s="12" t="s">
        <v>6434</v>
      </c>
      <c r="C741" s="12">
        <v>2750</v>
      </c>
      <c r="D741" s="12">
        <v>275</v>
      </c>
    </row>
    <row r="742" spans="1:4" x14ac:dyDescent="0.2">
      <c r="A742" s="12" t="s">
        <v>9077</v>
      </c>
      <c r="B742" s="12" t="s">
        <v>9076</v>
      </c>
      <c r="C742" s="12">
        <v>100</v>
      </c>
      <c r="D742" s="12">
        <v>10</v>
      </c>
    </row>
    <row r="743" spans="1:4" x14ac:dyDescent="0.2">
      <c r="A743" s="12" t="s">
        <v>7440</v>
      </c>
      <c r="B743" s="12" t="s">
        <v>7439</v>
      </c>
      <c r="C743" s="12">
        <v>100</v>
      </c>
      <c r="D743" s="12">
        <v>10</v>
      </c>
    </row>
    <row r="744" spans="1:4" x14ac:dyDescent="0.2">
      <c r="A744" s="12" t="s">
        <v>1230</v>
      </c>
      <c r="B744" s="12" t="s">
        <v>1229</v>
      </c>
      <c r="C744" s="12">
        <v>1500</v>
      </c>
      <c r="D744" s="12">
        <v>150</v>
      </c>
    </row>
    <row r="745" spans="1:4" x14ac:dyDescent="0.2">
      <c r="A745" s="12" t="s">
        <v>1221</v>
      </c>
      <c r="B745" s="12" t="s">
        <v>1220</v>
      </c>
      <c r="C745" s="12">
        <v>1500</v>
      </c>
      <c r="D745" s="12">
        <v>150</v>
      </c>
    </row>
    <row r="746" spans="1:4" x14ac:dyDescent="0.2">
      <c r="A746" s="12" t="s">
        <v>1222</v>
      </c>
      <c r="B746" s="12" t="s">
        <v>1220</v>
      </c>
      <c r="C746" s="12" t="s">
        <v>59</v>
      </c>
      <c r="D746" s="12" t="s">
        <v>59</v>
      </c>
    </row>
    <row r="747" spans="1:4" x14ac:dyDescent="0.2">
      <c r="A747" s="12" t="s">
        <v>5930</v>
      </c>
      <c r="B747" s="12" t="s">
        <v>5929</v>
      </c>
      <c r="C747" s="12">
        <v>1000</v>
      </c>
      <c r="D747" s="12">
        <v>100</v>
      </c>
    </row>
    <row r="748" spans="1:4" x14ac:dyDescent="0.2">
      <c r="A748" s="12" t="s">
        <v>8950</v>
      </c>
      <c r="B748" s="12" t="s">
        <v>8949</v>
      </c>
      <c r="C748" s="12">
        <v>100</v>
      </c>
      <c r="D748" s="12">
        <v>10</v>
      </c>
    </row>
    <row r="749" spans="1:4" x14ac:dyDescent="0.2">
      <c r="A749" s="12" t="s">
        <v>12636</v>
      </c>
      <c r="B749" s="12" t="s">
        <v>11291</v>
      </c>
      <c r="C749" s="12" t="s">
        <v>59</v>
      </c>
      <c r="D749" s="12" t="s">
        <v>59</v>
      </c>
    </row>
    <row r="750" spans="1:4" x14ac:dyDescent="0.2">
      <c r="A750" s="12" t="s">
        <v>12637</v>
      </c>
      <c r="B750" s="12" t="s">
        <v>11291</v>
      </c>
      <c r="C750" s="12">
        <v>1000</v>
      </c>
      <c r="D750" s="12">
        <v>100</v>
      </c>
    </row>
    <row r="751" spans="1:4" x14ac:dyDescent="0.2">
      <c r="A751" s="12" t="s">
        <v>1013</v>
      </c>
      <c r="B751" s="12" t="s">
        <v>1012</v>
      </c>
      <c r="C751" s="12">
        <v>200</v>
      </c>
      <c r="D751" s="12">
        <v>20</v>
      </c>
    </row>
    <row r="752" spans="1:4" x14ac:dyDescent="0.2">
      <c r="A752" s="12" t="s">
        <v>9472</v>
      </c>
      <c r="B752" s="12" t="s">
        <v>9471</v>
      </c>
      <c r="C752" s="12">
        <v>100</v>
      </c>
      <c r="D752" s="12">
        <v>10</v>
      </c>
    </row>
    <row r="753" spans="1:4" x14ac:dyDescent="0.2">
      <c r="A753" s="12" t="s">
        <v>902</v>
      </c>
      <c r="B753" s="12" t="s">
        <v>901</v>
      </c>
      <c r="C753" s="12" t="s">
        <v>59</v>
      </c>
      <c r="D753" s="12" t="s">
        <v>59</v>
      </c>
    </row>
    <row r="754" spans="1:4" x14ac:dyDescent="0.2">
      <c r="A754" s="12" t="s">
        <v>6531</v>
      </c>
      <c r="B754" s="12" t="s">
        <v>6530</v>
      </c>
      <c r="C754" s="12" t="s">
        <v>59</v>
      </c>
      <c r="D754" s="12" t="s">
        <v>59</v>
      </c>
    </row>
    <row r="755" spans="1:4" x14ac:dyDescent="0.2">
      <c r="A755" s="12" t="s">
        <v>1166</v>
      </c>
      <c r="B755" s="12" t="s">
        <v>1165</v>
      </c>
      <c r="C755" s="12">
        <v>5700</v>
      </c>
      <c r="D755" s="12">
        <v>570</v>
      </c>
    </row>
    <row r="756" spans="1:4" x14ac:dyDescent="0.2">
      <c r="A756" s="12" t="s">
        <v>9413</v>
      </c>
      <c r="B756" s="12" t="s">
        <v>9412</v>
      </c>
      <c r="C756" s="12">
        <v>100</v>
      </c>
      <c r="D756" s="12">
        <v>10</v>
      </c>
    </row>
    <row r="757" spans="1:4" x14ac:dyDescent="0.2">
      <c r="A757" s="12" t="s">
        <v>1160</v>
      </c>
      <c r="B757" s="12" t="s">
        <v>1159</v>
      </c>
      <c r="C757" s="12">
        <v>1500</v>
      </c>
      <c r="D757" s="12">
        <v>150</v>
      </c>
    </row>
    <row r="758" spans="1:4" x14ac:dyDescent="0.2">
      <c r="A758" s="12" t="s">
        <v>1161</v>
      </c>
      <c r="B758" s="12" t="s">
        <v>1159</v>
      </c>
      <c r="C758" s="12" t="s">
        <v>59</v>
      </c>
      <c r="D758" s="12" t="s">
        <v>59</v>
      </c>
    </row>
    <row r="759" spans="1:4" x14ac:dyDescent="0.2">
      <c r="A759" s="12" t="s">
        <v>10847</v>
      </c>
      <c r="B759" s="12" t="s">
        <v>10846</v>
      </c>
      <c r="C759" s="12">
        <v>27</v>
      </c>
      <c r="D759" s="12">
        <v>2</v>
      </c>
    </row>
    <row r="760" spans="1:4" x14ac:dyDescent="0.2">
      <c r="A760" s="12" t="s">
        <v>10849</v>
      </c>
      <c r="B760" s="12" t="s">
        <v>10848</v>
      </c>
      <c r="C760" s="12">
        <v>27</v>
      </c>
      <c r="D760" s="12">
        <v>2</v>
      </c>
    </row>
    <row r="761" spans="1:4" x14ac:dyDescent="0.2">
      <c r="A761" s="12" t="s">
        <v>6494</v>
      </c>
      <c r="B761" s="12" t="s">
        <v>6493</v>
      </c>
      <c r="C761" s="12" t="s">
        <v>59</v>
      </c>
      <c r="D761" s="12" t="s">
        <v>59</v>
      </c>
    </row>
    <row r="762" spans="1:4" x14ac:dyDescent="0.2">
      <c r="A762" s="12" t="s">
        <v>6294</v>
      </c>
      <c r="B762" s="12" t="s">
        <v>6293</v>
      </c>
      <c r="C762" s="12">
        <v>30</v>
      </c>
      <c r="D762" s="12">
        <v>3</v>
      </c>
    </row>
    <row r="763" spans="1:4" x14ac:dyDescent="0.2">
      <c r="A763" s="12" t="s">
        <v>346</v>
      </c>
      <c r="B763" s="12" t="s">
        <v>345</v>
      </c>
      <c r="C763" s="12">
        <v>250</v>
      </c>
      <c r="D763" s="12">
        <v>25</v>
      </c>
    </row>
    <row r="764" spans="1:4" x14ac:dyDescent="0.2">
      <c r="A764" s="12" t="s">
        <v>9282</v>
      </c>
      <c r="B764" s="12" t="s">
        <v>9281</v>
      </c>
      <c r="C764" s="12">
        <v>810</v>
      </c>
      <c r="D764" s="12">
        <v>81</v>
      </c>
    </row>
    <row r="765" spans="1:4" x14ac:dyDescent="0.2">
      <c r="A765" s="12" t="s">
        <v>1276</v>
      </c>
      <c r="B765" s="12" t="s">
        <v>1275</v>
      </c>
      <c r="C765" s="12" t="s">
        <v>59</v>
      </c>
      <c r="D765" s="12" t="s">
        <v>59</v>
      </c>
    </row>
    <row r="766" spans="1:4" x14ac:dyDescent="0.2">
      <c r="A766" s="12" t="s">
        <v>4071</v>
      </c>
      <c r="B766" s="12" t="s">
        <v>4070</v>
      </c>
      <c r="C766" s="12" t="s">
        <v>59</v>
      </c>
      <c r="D766" s="12" t="s">
        <v>59</v>
      </c>
    </row>
    <row r="767" spans="1:4" x14ac:dyDescent="0.2">
      <c r="A767" s="12" t="s">
        <v>6533</v>
      </c>
      <c r="B767" s="12" t="s">
        <v>6532</v>
      </c>
      <c r="C767" s="12">
        <v>30</v>
      </c>
      <c r="D767" s="12">
        <v>3</v>
      </c>
    </row>
    <row r="768" spans="1:4" x14ac:dyDescent="0.2">
      <c r="A768" s="12" t="s">
        <v>10525</v>
      </c>
      <c r="B768" s="12" t="s">
        <v>10524</v>
      </c>
      <c r="C768" s="12">
        <v>5</v>
      </c>
      <c r="D768" s="12">
        <v>0.5</v>
      </c>
    </row>
    <row r="769" spans="1:4" x14ac:dyDescent="0.2">
      <c r="A769" s="12" t="s">
        <v>1536</v>
      </c>
      <c r="B769" s="12" t="s">
        <v>1535</v>
      </c>
      <c r="C769" s="12" t="s">
        <v>59</v>
      </c>
      <c r="D769" s="12" t="s">
        <v>59</v>
      </c>
    </row>
    <row r="770" spans="1:4" x14ac:dyDescent="0.2">
      <c r="A770" s="12" t="s">
        <v>1537</v>
      </c>
      <c r="B770" s="12" t="s">
        <v>1535</v>
      </c>
      <c r="C770" s="12">
        <v>1000</v>
      </c>
      <c r="D770" s="12">
        <v>100</v>
      </c>
    </row>
    <row r="771" spans="1:4" x14ac:dyDescent="0.2">
      <c r="A771" s="12" t="s">
        <v>1803</v>
      </c>
      <c r="B771" s="12" t="s">
        <v>1802</v>
      </c>
      <c r="C771" s="12" t="s">
        <v>59</v>
      </c>
      <c r="D771" s="12" t="s">
        <v>59</v>
      </c>
    </row>
    <row r="772" spans="1:4" x14ac:dyDescent="0.2">
      <c r="A772" s="12" t="s">
        <v>6330</v>
      </c>
      <c r="B772" s="12" t="s">
        <v>6329</v>
      </c>
      <c r="C772" s="12" t="s">
        <v>59</v>
      </c>
      <c r="D772" s="12" t="s">
        <v>59</v>
      </c>
    </row>
    <row r="773" spans="1:4" x14ac:dyDescent="0.2">
      <c r="A773" s="12" t="s">
        <v>6331</v>
      </c>
      <c r="B773" s="12" t="s">
        <v>6329</v>
      </c>
      <c r="C773" s="12">
        <v>600</v>
      </c>
      <c r="D773" s="12">
        <v>60</v>
      </c>
    </row>
    <row r="774" spans="1:4" x14ac:dyDescent="0.2">
      <c r="A774" s="12" t="s">
        <v>1318</v>
      </c>
      <c r="B774" s="12" t="s">
        <v>1317</v>
      </c>
      <c r="C774" s="12" t="s">
        <v>59</v>
      </c>
      <c r="D774" s="12" t="s">
        <v>59</v>
      </c>
    </row>
    <row r="775" spans="1:4" x14ac:dyDescent="0.2">
      <c r="A775" s="12" t="s">
        <v>11151</v>
      </c>
      <c r="B775" s="12" t="s">
        <v>11150</v>
      </c>
      <c r="C775" s="12" t="s">
        <v>59</v>
      </c>
      <c r="D775" s="12" t="s">
        <v>59</v>
      </c>
    </row>
    <row r="776" spans="1:4" x14ac:dyDescent="0.2">
      <c r="A776" s="12" t="s">
        <v>908</v>
      </c>
      <c r="B776" s="12" t="s">
        <v>907</v>
      </c>
      <c r="C776" s="12">
        <v>4.4000000000000004</v>
      </c>
      <c r="D776" s="12">
        <v>0.44</v>
      </c>
    </row>
    <row r="777" spans="1:4" x14ac:dyDescent="0.2">
      <c r="A777" s="12" t="s">
        <v>4824</v>
      </c>
      <c r="B777" s="12" t="s">
        <v>4823</v>
      </c>
      <c r="C777" s="12" t="s">
        <v>59</v>
      </c>
      <c r="D777" s="12" t="s">
        <v>59</v>
      </c>
    </row>
    <row r="778" spans="1:4" x14ac:dyDescent="0.2">
      <c r="A778" s="12" t="s">
        <v>4153</v>
      </c>
      <c r="B778" s="12" t="s">
        <v>4152</v>
      </c>
      <c r="C778" s="12">
        <v>9</v>
      </c>
      <c r="D778" s="12">
        <v>0.9</v>
      </c>
    </row>
    <row r="779" spans="1:4" x14ac:dyDescent="0.2">
      <c r="A779" s="12" t="s">
        <v>10550</v>
      </c>
      <c r="B779" s="12" t="s">
        <v>10549</v>
      </c>
      <c r="C779" s="12" t="s">
        <v>4113</v>
      </c>
      <c r="D779" s="12" t="s">
        <v>4113</v>
      </c>
    </row>
    <row r="780" spans="1:4" x14ac:dyDescent="0.2">
      <c r="A780" s="12" t="s">
        <v>6088</v>
      </c>
      <c r="B780" s="12" t="s">
        <v>6087</v>
      </c>
      <c r="C780" s="12">
        <v>19000</v>
      </c>
      <c r="D780" s="12">
        <v>1900</v>
      </c>
    </row>
    <row r="781" spans="1:4" x14ac:dyDescent="0.2">
      <c r="A781" s="12" t="s">
        <v>7789</v>
      </c>
      <c r="B781" s="12" t="s">
        <v>7788</v>
      </c>
      <c r="C781" s="12">
        <v>180000</v>
      </c>
      <c r="D781" s="12">
        <v>32000</v>
      </c>
    </row>
    <row r="782" spans="1:4" x14ac:dyDescent="0.2">
      <c r="A782" s="12" t="s">
        <v>2273</v>
      </c>
      <c r="B782" s="12" t="s">
        <v>2272</v>
      </c>
      <c r="C782" s="12">
        <v>170</v>
      </c>
      <c r="D782" s="12">
        <v>17</v>
      </c>
    </row>
    <row r="783" spans="1:4" x14ac:dyDescent="0.2">
      <c r="A783" s="12" t="s">
        <v>1346</v>
      </c>
      <c r="B783" s="12" t="s">
        <v>1345</v>
      </c>
      <c r="C783" s="12">
        <v>175</v>
      </c>
      <c r="D783" s="12">
        <v>18</v>
      </c>
    </row>
    <row r="784" spans="1:4" x14ac:dyDescent="0.2">
      <c r="A784" s="12" t="s">
        <v>9421</v>
      </c>
      <c r="B784" s="12" t="s">
        <v>9420</v>
      </c>
      <c r="C784" s="12">
        <v>10000</v>
      </c>
      <c r="D784" s="12">
        <v>1000</v>
      </c>
    </row>
    <row r="785" spans="1:4" x14ac:dyDescent="0.2">
      <c r="A785" s="12" t="s">
        <v>2920</v>
      </c>
      <c r="B785" s="12" t="s">
        <v>2919</v>
      </c>
      <c r="C785" s="12" t="s">
        <v>59</v>
      </c>
      <c r="D785" s="12" t="s">
        <v>59</v>
      </c>
    </row>
    <row r="786" spans="1:4" x14ac:dyDescent="0.2">
      <c r="A786" s="12" t="s">
        <v>5027</v>
      </c>
      <c r="B786" s="12" t="s">
        <v>5026</v>
      </c>
      <c r="C786" s="12">
        <v>66</v>
      </c>
      <c r="D786" s="12">
        <v>6.6</v>
      </c>
    </row>
    <row r="787" spans="1:4" x14ac:dyDescent="0.2">
      <c r="A787" s="12" t="s">
        <v>6499</v>
      </c>
      <c r="B787" s="12" t="s">
        <v>6498</v>
      </c>
      <c r="C787" s="12">
        <v>1</v>
      </c>
      <c r="D787" s="12">
        <v>0.1</v>
      </c>
    </row>
    <row r="788" spans="1:4" x14ac:dyDescent="0.2">
      <c r="A788" s="12" t="s">
        <v>5845</v>
      </c>
      <c r="B788" s="12" t="s">
        <v>5844</v>
      </c>
      <c r="C788" s="12" t="s">
        <v>59</v>
      </c>
      <c r="D788" s="12" t="s">
        <v>59</v>
      </c>
    </row>
    <row r="789" spans="1:4" x14ac:dyDescent="0.2">
      <c r="A789" s="12" t="s">
        <v>6693</v>
      </c>
      <c r="B789" s="12" t="s">
        <v>6692</v>
      </c>
      <c r="C789" s="12">
        <v>25</v>
      </c>
      <c r="D789" s="12">
        <v>2.5</v>
      </c>
    </row>
    <row r="790" spans="1:4" x14ac:dyDescent="0.2">
      <c r="A790" s="12" t="s">
        <v>1454</v>
      </c>
      <c r="B790" s="12" t="s">
        <v>1453</v>
      </c>
      <c r="C790" s="12" t="s">
        <v>59</v>
      </c>
      <c r="D790" s="12" t="s">
        <v>59</v>
      </c>
    </row>
    <row r="791" spans="1:4" x14ac:dyDescent="0.2">
      <c r="A791" s="12" t="s">
        <v>1455</v>
      </c>
      <c r="B791" s="12" t="s">
        <v>1453</v>
      </c>
      <c r="C791" s="12">
        <v>2500</v>
      </c>
      <c r="D791" s="12">
        <v>250</v>
      </c>
    </row>
    <row r="792" spans="1:4" x14ac:dyDescent="0.2">
      <c r="A792" s="12" t="s">
        <v>9688</v>
      </c>
      <c r="B792" s="12" t="s">
        <v>9687</v>
      </c>
      <c r="C792" s="12">
        <v>50</v>
      </c>
      <c r="D792" s="12">
        <v>5</v>
      </c>
    </row>
    <row r="793" spans="1:4" x14ac:dyDescent="0.2">
      <c r="A793" s="12" t="s">
        <v>1976</v>
      </c>
      <c r="B793" s="12" t="s">
        <v>1975</v>
      </c>
      <c r="C793" s="12" t="s">
        <v>59</v>
      </c>
      <c r="D793" s="12" t="s">
        <v>59</v>
      </c>
    </row>
    <row r="794" spans="1:4" x14ac:dyDescent="0.2">
      <c r="A794" s="12" t="s">
        <v>1977</v>
      </c>
      <c r="B794" s="12" t="s">
        <v>1975</v>
      </c>
      <c r="C794" s="12">
        <v>2500</v>
      </c>
      <c r="D794" s="12">
        <v>250</v>
      </c>
    </row>
    <row r="795" spans="1:4" x14ac:dyDescent="0.2">
      <c r="A795" s="12" t="s">
        <v>12156</v>
      </c>
      <c r="B795" s="12" t="s">
        <v>12155</v>
      </c>
      <c r="C795" s="12" t="s">
        <v>59</v>
      </c>
      <c r="D795" s="12" t="s">
        <v>59</v>
      </c>
    </row>
    <row r="796" spans="1:4" x14ac:dyDescent="0.2">
      <c r="A796" s="12" t="s">
        <v>7112</v>
      </c>
      <c r="B796" s="12" t="s">
        <v>7111</v>
      </c>
      <c r="C796" s="12">
        <v>1</v>
      </c>
      <c r="D796" s="12">
        <v>0.1</v>
      </c>
    </row>
    <row r="797" spans="1:4" x14ac:dyDescent="0.2">
      <c r="A797" s="12" t="s">
        <v>2647</v>
      </c>
      <c r="B797" s="12" t="s">
        <v>2646</v>
      </c>
      <c r="C797" s="12">
        <v>375</v>
      </c>
      <c r="D797" s="12">
        <v>38</v>
      </c>
    </row>
    <row r="798" spans="1:4" x14ac:dyDescent="0.2">
      <c r="A798" s="12" t="s">
        <v>12191</v>
      </c>
      <c r="B798" s="12" t="s">
        <v>12190</v>
      </c>
      <c r="C798" s="12">
        <v>430</v>
      </c>
      <c r="D798" s="12">
        <v>43</v>
      </c>
    </row>
    <row r="799" spans="1:4" x14ac:dyDescent="0.2">
      <c r="A799" s="12" t="s">
        <v>2524</v>
      </c>
      <c r="B799" s="12" t="s">
        <v>2523</v>
      </c>
      <c r="C799" s="12">
        <v>840</v>
      </c>
      <c r="D799" s="12">
        <v>84</v>
      </c>
    </row>
    <row r="800" spans="1:4" x14ac:dyDescent="0.2">
      <c r="A800" s="12" t="s">
        <v>3614</v>
      </c>
      <c r="B800" s="12" t="s">
        <v>3613</v>
      </c>
      <c r="C800" s="12">
        <v>17</v>
      </c>
      <c r="D800" s="12">
        <v>1.7</v>
      </c>
    </row>
    <row r="801" spans="1:4" x14ac:dyDescent="0.2">
      <c r="A801" s="12" t="s">
        <v>1057</v>
      </c>
      <c r="B801" s="12" t="s">
        <v>1056</v>
      </c>
      <c r="C801" s="12">
        <v>1330</v>
      </c>
      <c r="D801" s="12">
        <v>133</v>
      </c>
    </row>
    <row r="802" spans="1:4" x14ac:dyDescent="0.2">
      <c r="A802" s="12" t="s">
        <v>11675</v>
      </c>
      <c r="B802" s="12" t="s">
        <v>11674</v>
      </c>
      <c r="C802" s="12">
        <v>82</v>
      </c>
      <c r="D802" s="12">
        <v>8.1999999999999993</v>
      </c>
    </row>
    <row r="803" spans="1:4" x14ac:dyDescent="0.2">
      <c r="A803" s="12" t="s">
        <v>7456</v>
      </c>
      <c r="B803" s="12" t="s">
        <v>7455</v>
      </c>
      <c r="C803" s="12">
        <v>6</v>
      </c>
      <c r="D803" s="12">
        <v>0.6</v>
      </c>
    </row>
    <row r="804" spans="1:4" x14ac:dyDescent="0.2">
      <c r="A804" s="12" t="s">
        <v>326</v>
      </c>
      <c r="B804" s="12" t="s">
        <v>325</v>
      </c>
      <c r="C804" s="12">
        <v>24</v>
      </c>
      <c r="D804" s="12">
        <v>2.4</v>
      </c>
    </row>
    <row r="805" spans="1:4" x14ac:dyDescent="0.2">
      <c r="A805" s="12" t="s">
        <v>2493</v>
      </c>
      <c r="B805" s="12" t="s">
        <v>2492</v>
      </c>
      <c r="C805" s="12">
        <v>2200</v>
      </c>
      <c r="D805" s="12">
        <v>220</v>
      </c>
    </row>
    <row r="806" spans="1:4" x14ac:dyDescent="0.2">
      <c r="A806" s="12" t="s">
        <v>8579</v>
      </c>
      <c r="B806" s="12" t="s">
        <v>8578</v>
      </c>
      <c r="C806" s="12">
        <v>160</v>
      </c>
      <c r="D806" s="12">
        <v>16</v>
      </c>
    </row>
    <row r="807" spans="1:4" x14ac:dyDescent="0.2">
      <c r="A807" s="12" t="s">
        <v>11648</v>
      </c>
      <c r="B807" s="12" t="s">
        <v>11647</v>
      </c>
      <c r="C807" s="12" t="s">
        <v>59</v>
      </c>
      <c r="D807" s="12" t="s">
        <v>59</v>
      </c>
    </row>
    <row r="808" spans="1:4" x14ac:dyDescent="0.2">
      <c r="A808" s="12" t="s">
        <v>11649</v>
      </c>
      <c r="B808" s="12" t="s">
        <v>11647</v>
      </c>
      <c r="C808" s="12">
        <v>400</v>
      </c>
      <c r="D808" s="12">
        <v>40</v>
      </c>
    </row>
    <row r="809" spans="1:4" x14ac:dyDescent="0.2">
      <c r="A809" s="12" t="s">
        <v>5615</v>
      </c>
      <c r="B809" s="12" t="s">
        <v>5614</v>
      </c>
      <c r="C809" s="12" t="s">
        <v>59</v>
      </c>
      <c r="D809" s="12" t="s">
        <v>59</v>
      </c>
    </row>
    <row r="810" spans="1:4" x14ac:dyDescent="0.2">
      <c r="A810" s="12" t="s">
        <v>2304</v>
      </c>
      <c r="B810" s="12" t="s">
        <v>2303</v>
      </c>
      <c r="C810" s="12">
        <v>900</v>
      </c>
      <c r="D810" s="12">
        <v>90</v>
      </c>
    </row>
    <row r="811" spans="1:4" x14ac:dyDescent="0.2">
      <c r="A811" s="12" t="s">
        <v>6527</v>
      </c>
      <c r="B811" s="12" t="s">
        <v>6526</v>
      </c>
      <c r="C811" s="12" t="s">
        <v>59</v>
      </c>
      <c r="D811" s="12" t="s">
        <v>59</v>
      </c>
    </row>
    <row r="812" spans="1:4" x14ac:dyDescent="0.2">
      <c r="A812" s="12" t="s">
        <v>1920</v>
      </c>
      <c r="B812" s="12" t="s">
        <v>1919</v>
      </c>
      <c r="C812" s="12">
        <v>50</v>
      </c>
      <c r="D812" s="12">
        <v>5</v>
      </c>
    </row>
    <row r="813" spans="1:4" x14ac:dyDescent="0.2">
      <c r="A813" s="12" t="s">
        <v>5681</v>
      </c>
      <c r="B813" s="12" t="s">
        <v>5680</v>
      </c>
      <c r="C813" s="12">
        <v>50</v>
      </c>
      <c r="D813" s="12">
        <v>5</v>
      </c>
    </row>
    <row r="814" spans="1:4" x14ac:dyDescent="0.2">
      <c r="A814" s="12" t="s">
        <v>6188</v>
      </c>
      <c r="B814" s="12" t="s">
        <v>6187</v>
      </c>
      <c r="C814" s="12">
        <v>50</v>
      </c>
      <c r="D814" s="12">
        <v>5</v>
      </c>
    </row>
    <row r="815" spans="1:4" x14ac:dyDescent="0.2">
      <c r="A815" s="12" t="s">
        <v>11410</v>
      </c>
      <c r="B815" s="12" t="s">
        <v>11409</v>
      </c>
      <c r="C815" s="12">
        <v>2000</v>
      </c>
      <c r="D815" s="12">
        <v>200</v>
      </c>
    </row>
    <row r="816" spans="1:4" x14ac:dyDescent="0.2">
      <c r="A816" s="12" t="s">
        <v>11277</v>
      </c>
      <c r="B816" s="12" t="s">
        <v>11276</v>
      </c>
      <c r="C816" s="12" t="s">
        <v>59</v>
      </c>
      <c r="D816" s="12" t="s">
        <v>59</v>
      </c>
    </row>
    <row r="817" spans="1:4" x14ac:dyDescent="0.2">
      <c r="A817" s="12" t="s">
        <v>7753</v>
      </c>
      <c r="B817" s="12" t="s">
        <v>7752</v>
      </c>
      <c r="C817" s="12" t="s">
        <v>59</v>
      </c>
      <c r="D817" s="12" t="s">
        <v>59</v>
      </c>
    </row>
    <row r="818" spans="1:4" x14ac:dyDescent="0.2">
      <c r="A818" s="12" t="s">
        <v>709</v>
      </c>
      <c r="B818" s="12" t="s">
        <v>708</v>
      </c>
      <c r="C818" s="12">
        <v>2</v>
      </c>
      <c r="D818" s="12">
        <v>0.2</v>
      </c>
    </row>
    <row r="819" spans="1:4" x14ac:dyDescent="0.2">
      <c r="A819" s="12" t="s">
        <v>8636</v>
      </c>
      <c r="B819" s="12" t="s">
        <v>8635</v>
      </c>
      <c r="C819" s="12">
        <v>6700</v>
      </c>
      <c r="D819" s="12">
        <v>110</v>
      </c>
    </row>
    <row r="820" spans="1:4" x14ac:dyDescent="0.2">
      <c r="A820" s="12" t="s">
        <v>4357</v>
      </c>
      <c r="B820" s="12" t="s">
        <v>4356</v>
      </c>
      <c r="C820" s="12">
        <v>650</v>
      </c>
      <c r="D820" s="12">
        <v>65</v>
      </c>
    </row>
    <row r="821" spans="1:4" x14ac:dyDescent="0.2">
      <c r="A821" s="12" t="s">
        <v>5795</v>
      </c>
      <c r="B821" s="12" t="s">
        <v>5794</v>
      </c>
      <c r="C821" s="12">
        <v>1</v>
      </c>
      <c r="D821" s="12">
        <v>0.1</v>
      </c>
    </row>
    <row r="822" spans="1:4" x14ac:dyDescent="0.2">
      <c r="A822" s="12" t="s">
        <v>1360</v>
      </c>
      <c r="B822" s="12" t="s">
        <v>1359</v>
      </c>
      <c r="C822" s="12">
        <v>4800</v>
      </c>
      <c r="D822" s="12">
        <v>450</v>
      </c>
    </row>
    <row r="823" spans="1:4" x14ac:dyDescent="0.2">
      <c r="A823" s="12" t="s">
        <v>10285</v>
      </c>
      <c r="B823" s="12" t="s">
        <v>10284</v>
      </c>
      <c r="C823" s="12">
        <v>100</v>
      </c>
      <c r="D823" s="12">
        <v>10</v>
      </c>
    </row>
    <row r="824" spans="1:4" x14ac:dyDescent="0.2">
      <c r="A824" s="12" t="s">
        <v>3247</v>
      </c>
      <c r="B824" s="12" t="s">
        <v>3246</v>
      </c>
      <c r="C824" s="12">
        <v>120</v>
      </c>
      <c r="D824" s="12">
        <v>12</v>
      </c>
    </row>
    <row r="825" spans="1:4" x14ac:dyDescent="0.2">
      <c r="A825" s="12" t="s">
        <v>7418</v>
      </c>
      <c r="B825" s="12" t="s">
        <v>7417</v>
      </c>
      <c r="C825" s="12">
        <v>0.25</v>
      </c>
      <c r="D825" s="12">
        <v>2.5000000000000001E-2</v>
      </c>
    </row>
    <row r="826" spans="1:4" x14ac:dyDescent="0.2">
      <c r="A826" s="12" t="s">
        <v>2978</v>
      </c>
      <c r="B826" s="12" t="s">
        <v>2977</v>
      </c>
      <c r="C826" s="12" t="s">
        <v>59</v>
      </c>
      <c r="D826" s="12" t="s">
        <v>59</v>
      </c>
    </row>
    <row r="827" spans="1:4" x14ac:dyDescent="0.2">
      <c r="A827" s="12" t="s">
        <v>9540</v>
      </c>
      <c r="B827" s="12" t="s">
        <v>9539</v>
      </c>
      <c r="C827" s="12">
        <v>150</v>
      </c>
      <c r="D827" s="12">
        <v>15</v>
      </c>
    </row>
    <row r="828" spans="1:4" x14ac:dyDescent="0.2">
      <c r="A828" s="12" t="s">
        <v>686</v>
      </c>
      <c r="B828" s="12" t="s">
        <v>685</v>
      </c>
      <c r="C828" s="12">
        <v>100</v>
      </c>
      <c r="D828" s="12">
        <v>10</v>
      </c>
    </row>
    <row r="829" spans="1:4" x14ac:dyDescent="0.2">
      <c r="A829" s="12" t="s">
        <v>2142</v>
      </c>
      <c r="B829" s="12" t="s">
        <v>2141</v>
      </c>
      <c r="C829" s="12">
        <v>1250</v>
      </c>
      <c r="D829" s="12">
        <v>125</v>
      </c>
    </row>
    <row r="830" spans="1:4" x14ac:dyDescent="0.2">
      <c r="A830" s="12" t="s">
        <v>12144</v>
      </c>
      <c r="B830" s="12" t="s">
        <v>12143</v>
      </c>
      <c r="C830" s="12">
        <v>1</v>
      </c>
      <c r="D830" s="12">
        <v>0.1</v>
      </c>
    </row>
    <row r="831" spans="1:4" x14ac:dyDescent="0.2">
      <c r="A831" s="12" t="s">
        <v>11557</v>
      </c>
      <c r="B831" s="12" t="s">
        <v>11556</v>
      </c>
      <c r="C831" s="12">
        <v>0.39</v>
      </c>
      <c r="D831" s="12">
        <v>4.3E-3</v>
      </c>
    </row>
    <row r="832" spans="1:4" x14ac:dyDescent="0.2">
      <c r="A832" s="12" t="s">
        <v>1726</v>
      </c>
      <c r="B832" s="12" t="s">
        <v>1725</v>
      </c>
      <c r="C832" s="12">
        <v>1700</v>
      </c>
      <c r="D832" s="12">
        <v>330</v>
      </c>
    </row>
    <row r="833" spans="1:4" x14ac:dyDescent="0.2">
      <c r="A833" s="12" t="s">
        <v>6393</v>
      </c>
      <c r="B833" s="12" t="s">
        <v>6392</v>
      </c>
      <c r="C833" s="12">
        <v>50</v>
      </c>
      <c r="D833" s="12">
        <v>5</v>
      </c>
    </row>
    <row r="834" spans="1:4" x14ac:dyDescent="0.2">
      <c r="A834" s="12" t="s">
        <v>1411</v>
      </c>
      <c r="B834" s="12" t="s">
        <v>1410</v>
      </c>
      <c r="C834" s="12">
        <v>1700</v>
      </c>
      <c r="D834" s="12">
        <v>330</v>
      </c>
    </row>
    <row r="835" spans="1:4" x14ac:dyDescent="0.2">
      <c r="A835" s="12" t="s">
        <v>3319</v>
      </c>
      <c r="B835" s="12" t="s">
        <v>3318</v>
      </c>
      <c r="C835" s="12">
        <v>200</v>
      </c>
      <c r="D835" s="12">
        <v>80</v>
      </c>
    </row>
    <row r="836" spans="1:4" x14ac:dyDescent="0.2">
      <c r="A836" s="12" t="s">
        <v>11646</v>
      </c>
      <c r="B836" s="12" t="s">
        <v>11645</v>
      </c>
      <c r="C836" s="12" t="s">
        <v>59</v>
      </c>
      <c r="D836" s="12" t="s">
        <v>59</v>
      </c>
    </row>
    <row r="837" spans="1:4" x14ac:dyDescent="0.2">
      <c r="A837" s="12" t="s">
        <v>1591</v>
      </c>
      <c r="B837" s="12" t="s">
        <v>1590</v>
      </c>
      <c r="C837" s="12">
        <v>900</v>
      </c>
      <c r="D837" s="12">
        <v>90</v>
      </c>
    </row>
    <row r="838" spans="1:4" x14ac:dyDescent="0.2">
      <c r="A838" s="12" t="s">
        <v>1942</v>
      </c>
      <c r="B838" s="12" t="s">
        <v>1941</v>
      </c>
      <c r="C838" s="12" t="s">
        <v>59</v>
      </c>
      <c r="D838" s="12" t="s">
        <v>59</v>
      </c>
    </row>
    <row r="839" spans="1:4" x14ac:dyDescent="0.2">
      <c r="A839" s="12" t="s">
        <v>420</v>
      </c>
      <c r="B839" s="12" t="s">
        <v>419</v>
      </c>
      <c r="C839" s="12" t="s">
        <v>59</v>
      </c>
      <c r="D839" s="12" t="s">
        <v>59</v>
      </c>
    </row>
    <row r="840" spans="1:4" x14ac:dyDescent="0.2">
      <c r="A840" s="12" t="s">
        <v>424</v>
      </c>
      <c r="B840" s="12" t="s">
        <v>423</v>
      </c>
      <c r="C840" s="12" t="s">
        <v>59</v>
      </c>
      <c r="D840" s="12" t="s">
        <v>59</v>
      </c>
    </row>
    <row r="841" spans="1:4" x14ac:dyDescent="0.2">
      <c r="A841" s="12" t="s">
        <v>425</v>
      </c>
      <c r="B841" s="12" t="s">
        <v>423</v>
      </c>
      <c r="C841" s="12">
        <v>600</v>
      </c>
      <c r="D841" s="12">
        <v>60</v>
      </c>
    </row>
    <row r="842" spans="1:4" x14ac:dyDescent="0.2">
      <c r="A842" s="12" t="s">
        <v>8508</v>
      </c>
      <c r="B842" s="12" t="s">
        <v>8507</v>
      </c>
      <c r="C842" s="12">
        <v>400</v>
      </c>
      <c r="D842" s="12">
        <v>40</v>
      </c>
    </row>
    <row r="843" spans="1:4" x14ac:dyDescent="0.2">
      <c r="A843" s="12" t="s">
        <v>1817</v>
      </c>
      <c r="B843" s="12" t="s">
        <v>1816</v>
      </c>
      <c r="C843" s="12" t="s">
        <v>59</v>
      </c>
      <c r="D843" s="12" t="s">
        <v>59</v>
      </c>
    </row>
    <row r="844" spans="1:4" x14ac:dyDescent="0.2">
      <c r="A844" s="12" t="s">
        <v>1498</v>
      </c>
      <c r="B844" s="12" t="s">
        <v>1497</v>
      </c>
      <c r="C844" s="12" t="s">
        <v>59</v>
      </c>
      <c r="D844" s="12" t="s">
        <v>59</v>
      </c>
    </row>
    <row r="845" spans="1:4" x14ac:dyDescent="0.2">
      <c r="A845" s="12" t="s">
        <v>4315</v>
      </c>
      <c r="B845" s="12" t="s">
        <v>4314</v>
      </c>
      <c r="C845" s="12">
        <v>3440</v>
      </c>
      <c r="D845" s="12">
        <v>344</v>
      </c>
    </row>
    <row r="846" spans="1:4" x14ac:dyDescent="0.2">
      <c r="A846" s="12" t="s">
        <v>2415</v>
      </c>
      <c r="B846" s="12" t="s">
        <v>2414</v>
      </c>
      <c r="C846" s="12">
        <v>6</v>
      </c>
      <c r="D846" s="12">
        <v>0.6</v>
      </c>
    </row>
    <row r="847" spans="1:4" x14ac:dyDescent="0.2">
      <c r="A847" s="12" t="s">
        <v>4321</v>
      </c>
      <c r="B847" s="12" t="s">
        <v>4320</v>
      </c>
      <c r="C847" s="12">
        <v>5</v>
      </c>
      <c r="D847" s="12">
        <v>0.5</v>
      </c>
    </row>
    <row r="848" spans="1:4" x14ac:dyDescent="0.2">
      <c r="A848" s="12" t="s">
        <v>448</v>
      </c>
      <c r="B848" s="12" t="s">
        <v>447</v>
      </c>
      <c r="C848" s="12">
        <v>3030</v>
      </c>
      <c r="D848" s="12">
        <v>303</v>
      </c>
    </row>
    <row r="849" spans="1:4" x14ac:dyDescent="0.2">
      <c r="A849" s="12" t="s">
        <v>7970</v>
      </c>
      <c r="B849" s="12" t="s">
        <v>7969</v>
      </c>
      <c r="C849" s="12">
        <v>260</v>
      </c>
      <c r="D849" s="12">
        <v>26</v>
      </c>
    </row>
    <row r="850" spans="1:4" x14ac:dyDescent="0.2">
      <c r="A850" s="12" t="s">
        <v>6529</v>
      </c>
      <c r="B850" s="12" t="s">
        <v>6528</v>
      </c>
      <c r="C850" s="12" t="s">
        <v>59</v>
      </c>
      <c r="D850" s="12" t="s">
        <v>59</v>
      </c>
    </row>
    <row r="851" spans="1:4" x14ac:dyDescent="0.2">
      <c r="A851" s="12" t="s">
        <v>2546</v>
      </c>
      <c r="B851" s="12" t="s">
        <v>2545</v>
      </c>
      <c r="C851" s="12">
        <v>0.2</v>
      </c>
      <c r="D851" s="12">
        <v>0.02</v>
      </c>
    </row>
    <row r="852" spans="1:4" x14ac:dyDescent="0.2">
      <c r="A852" s="12" t="s">
        <v>2552</v>
      </c>
      <c r="B852" s="12" t="s">
        <v>2551</v>
      </c>
      <c r="C852" s="12">
        <v>0.2</v>
      </c>
      <c r="D852" s="12">
        <v>0.02</v>
      </c>
    </row>
    <row r="853" spans="1:4" x14ac:dyDescent="0.2">
      <c r="A853" s="12" t="s">
        <v>8654</v>
      </c>
      <c r="B853" s="12" t="s">
        <v>8653</v>
      </c>
      <c r="C853" s="12">
        <v>30</v>
      </c>
      <c r="D853" s="12">
        <v>3</v>
      </c>
    </row>
    <row r="854" spans="1:4" x14ac:dyDescent="0.2">
      <c r="A854" s="12" t="s">
        <v>5202</v>
      </c>
      <c r="B854" s="12" t="s">
        <v>5201</v>
      </c>
      <c r="C854" s="12">
        <v>0.03</v>
      </c>
      <c r="D854" s="12">
        <v>3.0000000000000001E-3</v>
      </c>
    </row>
    <row r="855" spans="1:4" x14ac:dyDescent="0.2">
      <c r="A855" s="12" t="s">
        <v>12443</v>
      </c>
      <c r="B855" s="12" t="s">
        <v>12442</v>
      </c>
      <c r="C855" s="12">
        <v>20</v>
      </c>
      <c r="D855" s="12">
        <v>2</v>
      </c>
    </row>
    <row r="856" spans="1:4" x14ac:dyDescent="0.2">
      <c r="A856" s="12" t="s">
        <v>7300</v>
      </c>
      <c r="B856" s="12" t="s">
        <v>7299</v>
      </c>
      <c r="C856" s="12" t="s">
        <v>59</v>
      </c>
      <c r="D856" s="12" t="s">
        <v>59</v>
      </c>
    </row>
    <row r="857" spans="1:4" x14ac:dyDescent="0.2">
      <c r="A857" s="12" t="s">
        <v>3875</v>
      </c>
      <c r="B857" s="12" t="s">
        <v>3874</v>
      </c>
      <c r="C857" s="12">
        <v>50</v>
      </c>
      <c r="D857" s="12">
        <v>5</v>
      </c>
    </row>
    <row r="858" spans="1:4" x14ac:dyDescent="0.2">
      <c r="A858" s="12" t="s">
        <v>4182</v>
      </c>
      <c r="B858" s="12" t="s">
        <v>4181</v>
      </c>
      <c r="C858" s="12">
        <v>5</v>
      </c>
      <c r="D858" s="12">
        <v>0.5</v>
      </c>
    </row>
    <row r="859" spans="1:4" x14ac:dyDescent="0.2">
      <c r="A859" s="12" t="s">
        <v>7149</v>
      </c>
      <c r="B859" s="12" t="s">
        <v>7148</v>
      </c>
      <c r="C859" s="12" t="s">
        <v>59</v>
      </c>
      <c r="D859" s="12" t="s">
        <v>59</v>
      </c>
    </row>
    <row r="860" spans="1:4" x14ac:dyDescent="0.2">
      <c r="A860" s="12" t="s">
        <v>5146</v>
      </c>
      <c r="B860" s="12" t="s">
        <v>5145</v>
      </c>
      <c r="C860" s="12">
        <v>3.6</v>
      </c>
      <c r="D860" s="12">
        <v>4.1000000000000002E-2</v>
      </c>
    </row>
    <row r="861" spans="1:4" x14ac:dyDescent="0.2">
      <c r="A861" s="12" t="s">
        <v>4084</v>
      </c>
      <c r="B861" s="12" t="s">
        <v>4083</v>
      </c>
      <c r="C861" s="12">
        <v>1</v>
      </c>
      <c r="D861" s="12">
        <v>0.1</v>
      </c>
    </row>
    <row r="862" spans="1:4" x14ac:dyDescent="0.2">
      <c r="A862" s="12" t="s">
        <v>8537</v>
      </c>
      <c r="B862" s="12" t="s">
        <v>8536</v>
      </c>
      <c r="C862" s="12">
        <v>50</v>
      </c>
      <c r="D862" s="12">
        <v>5</v>
      </c>
    </row>
    <row r="863" spans="1:4" x14ac:dyDescent="0.2">
      <c r="A863" s="12" t="s">
        <v>5182</v>
      </c>
      <c r="B863" s="12" t="s">
        <v>5181</v>
      </c>
      <c r="C863" s="12">
        <v>3.6</v>
      </c>
      <c r="D863" s="12">
        <v>4.1000000000000002E-2</v>
      </c>
    </row>
    <row r="864" spans="1:4" x14ac:dyDescent="0.2">
      <c r="A864" s="12" t="s">
        <v>5156</v>
      </c>
      <c r="B864" s="12" t="s">
        <v>5155</v>
      </c>
      <c r="C864" s="12">
        <v>3.6</v>
      </c>
      <c r="D864" s="12">
        <v>4.1000000000000002E-2</v>
      </c>
    </row>
    <row r="865" spans="1:4" x14ac:dyDescent="0.2">
      <c r="A865" s="12" t="s">
        <v>5417</v>
      </c>
      <c r="B865" s="12" t="s">
        <v>5416</v>
      </c>
      <c r="C865" s="12">
        <v>3.6</v>
      </c>
      <c r="D865" s="12">
        <v>4.1000000000000002E-2</v>
      </c>
    </row>
    <row r="866" spans="1:4" x14ac:dyDescent="0.2">
      <c r="A866" s="12" t="s">
        <v>12574</v>
      </c>
      <c r="B866" s="12" t="s">
        <v>7197</v>
      </c>
      <c r="C866" s="12"/>
      <c r="D866" s="12">
        <v>0.71</v>
      </c>
    </row>
    <row r="867" spans="1:4" x14ac:dyDescent="0.2">
      <c r="A867" s="12" t="s">
        <v>12573</v>
      </c>
      <c r="B867" s="12" t="s">
        <v>7196</v>
      </c>
      <c r="C867" s="12">
        <v>2.8</v>
      </c>
      <c r="D867" s="12">
        <v>0.56999999999999995</v>
      </c>
    </row>
    <row r="868" spans="1:4" x14ac:dyDescent="0.2">
      <c r="A868" s="12" t="s">
        <v>7195</v>
      </c>
      <c r="B868" s="12" t="s">
        <v>7194</v>
      </c>
      <c r="C868" s="12">
        <v>17</v>
      </c>
      <c r="D868" s="12">
        <v>8.1</v>
      </c>
    </row>
    <row r="869" spans="1:4" x14ac:dyDescent="0.2">
      <c r="A869" s="12" t="s">
        <v>7737</v>
      </c>
      <c r="B869" s="12" t="s">
        <v>7736</v>
      </c>
      <c r="C869" s="12">
        <v>10</v>
      </c>
      <c r="D869" s="12">
        <v>1</v>
      </c>
    </row>
    <row r="870" spans="1:4" x14ac:dyDescent="0.2">
      <c r="A870" s="12" t="s">
        <v>3572</v>
      </c>
      <c r="B870" s="12" t="s">
        <v>3571</v>
      </c>
      <c r="C870" s="12">
        <v>600</v>
      </c>
      <c r="D870" s="12">
        <v>60</v>
      </c>
    </row>
    <row r="871" spans="1:4" x14ac:dyDescent="0.2">
      <c r="A871" s="12" t="s">
        <v>10896</v>
      </c>
      <c r="B871" s="12" t="s">
        <v>10895</v>
      </c>
      <c r="C871" s="12" t="s">
        <v>59</v>
      </c>
      <c r="D871" s="12" t="s">
        <v>59</v>
      </c>
    </row>
    <row r="872" spans="1:4" x14ac:dyDescent="0.2">
      <c r="A872" s="12" t="s">
        <v>11189</v>
      </c>
      <c r="B872" s="12" t="s">
        <v>11188</v>
      </c>
      <c r="C872" s="12" t="s">
        <v>59</v>
      </c>
      <c r="D872" s="12" t="s">
        <v>59</v>
      </c>
    </row>
    <row r="873" spans="1:4" x14ac:dyDescent="0.2">
      <c r="A873" s="12" t="s">
        <v>11447</v>
      </c>
      <c r="B873" s="12" t="s">
        <v>11446</v>
      </c>
      <c r="C873" s="12" t="s">
        <v>59</v>
      </c>
      <c r="D873" s="12" t="s">
        <v>59</v>
      </c>
    </row>
    <row r="874" spans="1:4" x14ac:dyDescent="0.2">
      <c r="A874" s="12" t="s">
        <v>11448</v>
      </c>
      <c r="B874" s="12" t="s">
        <v>11446</v>
      </c>
      <c r="C874" s="12">
        <v>1000</v>
      </c>
      <c r="D874" s="12">
        <v>100</v>
      </c>
    </row>
    <row r="875" spans="1:4" x14ac:dyDescent="0.2">
      <c r="A875" s="12" t="s">
        <v>9178</v>
      </c>
      <c r="B875" s="12" t="s">
        <v>9177</v>
      </c>
      <c r="C875" s="12">
        <v>0.33</v>
      </c>
      <c r="D875" s="12">
        <v>5.8999999999999997E-2</v>
      </c>
    </row>
    <row r="876" spans="1:4" x14ac:dyDescent="0.2">
      <c r="A876" s="12" t="s">
        <v>10482</v>
      </c>
      <c r="B876" s="12" t="s">
        <v>10481</v>
      </c>
      <c r="C876" s="12" t="s">
        <v>59</v>
      </c>
      <c r="D876" s="12" t="s">
        <v>59</v>
      </c>
    </row>
    <row r="877" spans="1:4" x14ac:dyDescent="0.2">
      <c r="A877" s="12" t="s">
        <v>8898</v>
      </c>
      <c r="B877" s="12" t="s">
        <v>8897</v>
      </c>
      <c r="C877" s="12" t="s">
        <v>59</v>
      </c>
      <c r="D877" s="12" t="s">
        <v>59</v>
      </c>
    </row>
    <row r="878" spans="1:4" x14ac:dyDescent="0.2">
      <c r="A878" s="12" t="s">
        <v>10876</v>
      </c>
      <c r="B878" s="12" t="s">
        <v>10875</v>
      </c>
      <c r="C878" s="12">
        <v>40</v>
      </c>
      <c r="D878" s="12">
        <v>4</v>
      </c>
    </row>
    <row r="879" spans="1:4" x14ac:dyDescent="0.2">
      <c r="A879" s="12" t="s">
        <v>3847</v>
      </c>
      <c r="B879" s="12" t="s">
        <v>3846</v>
      </c>
      <c r="C879" s="12" t="s">
        <v>59</v>
      </c>
      <c r="D879" s="12" t="s">
        <v>59</v>
      </c>
    </row>
    <row r="880" spans="1:4" x14ac:dyDescent="0.2">
      <c r="A880" s="12" t="s">
        <v>4343</v>
      </c>
      <c r="B880" s="12" t="s">
        <v>4342</v>
      </c>
      <c r="C880" s="12">
        <v>610</v>
      </c>
      <c r="D880" s="12">
        <v>61</v>
      </c>
    </row>
    <row r="881" spans="1:4" x14ac:dyDescent="0.2">
      <c r="A881" s="12" t="s">
        <v>2267</v>
      </c>
      <c r="B881" s="12" t="s">
        <v>2266</v>
      </c>
      <c r="C881" s="12">
        <v>500</v>
      </c>
      <c r="D881" s="12">
        <v>50</v>
      </c>
    </row>
    <row r="882" spans="1:4" x14ac:dyDescent="0.2">
      <c r="A882" s="12" t="s">
        <v>4466</v>
      </c>
      <c r="B882" s="12" t="s">
        <v>4465</v>
      </c>
      <c r="C882" s="12">
        <v>10</v>
      </c>
      <c r="D882" s="12">
        <v>1</v>
      </c>
    </row>
    <row r="883" spans="1:4" x14ac:dyDescent="0.2">
      <c r="A883" s="12" t="s">
        <v>3669</v>
      </c>
      <c r="B883" s="12" t="s">
        <v>3668</v>
      </c>
      <c r="C883" s="12">
        <v>50</v>
      </c>
      <c r="D883" s="12">
        <v>5</v>
      </c>
    </row>
    <row r="884" spans="1:4" x14ac:dyDescent="0.2">
      <c r="A884" s="12" t="s">
        <v>7373</v>
      </c>
      <c r="B884" s="12" t="s">
        <v>7372</v>
      </c>
      <c r="C884" s="12">
        <v>5</v>
      </c>
      <c r="D884" s="12">
        <v>0.5</v>
      </c>
    </row>
    <row r="885" spans="1:4" x14ac:dyDescent="0.2">
      <c r="A885" s="12" t="s">
        <v>1500</v>
      </c>
      <c r="B885" s="12" t="s">
        <v>1499</v>
      </c>
      <c r="C885" s="12">
        <v>990</v>
      </c>
      <c r="D885" s="12">
        <v>99</v>
      </c>
    </row>
    <row r="886" spans="1:4" x14ac:dyDescent="0.2">
      <c r="A886" s="12" t="s">
        <v>12032</v>
      </c>
      <c r="B886" s="12" t="s">
        <v>12031</v>
      </c>
      <c r="C886" s="12">
        <v>1000</v>
      </c>
      <c r="D886" s="12">
        <v>100</v>
      </c>
    </row>
    <row r="887" spans="1:4" x14ac:dyDescent="0.2">
      <c r="A887" s="12" t="s">
        <v>10066</v>
      </c>
      <c r="B887" s="12" t="s">
        <v>10065</v>
      </c>
      <c r="C887" s="12">
        <v>500</v>
      </c>
      <c r="D887" s="12">
        <v>50</v>
      </c>
    </row>
    <row r="888" spans="1:4" x14ac:dyDescent="0.2">
      <c r="A888" s="12" t="s">
        <v>8149</v>
      </c>
      <c r="B888" s="12" t="s">
        <v>8148</v>
      </c>
      <c r="C888" s="12">
        <v>0.25</v>
      </c>
      <c r="D888" s="12">
        <v>2.5000000000000001E-2</v>
      </c>
    </row>
    <row r="889" spans="1:4" x14ac:dyDescent="0.2">
      <c r="A889" s="12" t="s">
        <v>7972</v>
      </c>
      <c r="B889" s="12" t="s">
        <v>7971</v>
      </c>
      <c r="C889" s="12">
        <v>350</v>
      </c>
      <c r="D889" s="12">
        <v>35</v>
      </c>
    </row>
    <row r="890" spans="1:4" x14ac:dyDescent="0.2">
      <c r="A890" s="12" t="s">
        <v>6115</v>
      </c>
      <c r="B890" s="12" t="s">
        <v>6114</v>
      </c>
      <c r="C890" s="12">
        <v>50</v>
      </c>
      <c r="D890" s="12">
        <v>5</v>
      </c>
    </row>
    <row r="891" spans="1:4" x14ac:dyDescent="0.2">
      <c r="A891" s="12" t="s">
        <v>10070</v>
      </c>
      <c r="B891" s="12" t="s">
        <v>10069</v>
      </c>
      <c r="C891" s="12">
        <v>500</v>
      </c>
      <c r="D891" s="12">
        <v>50</v>
      </c>
    </row>
    <row r="892" spans="1:4" x14ac:dyDescent="0.2">
      <c r="A892" s="12" t="s">
        <v>7726</v>
      </c>
      <c r="B892" s="12" t="s">
        <v>7725</v>
      </c>
      <c r="C892" s="12" t="s">
        <v>59</v>
      </c>
      <c r="D892" s="12" t="s">
        <v>59</v>
      </c>
    </row>
    <row r="893" spans="1:4" x14ac:dyDescent="0.2">
      <c r="A893" s="12" t="s">
        <v>1244</v>
      </c>
      <c r="B893" s="12" t="s">
        <v>1243</v>
      </c>
      <c r="C893" s="12">
        <v>420</v>
      </c>
      <c r="D893" s="12">
        <v>42</v>
      </c>
    </row>
    <row r="894" spans="1:4" x14ac:dyDescent="0.2">
      <c r="A894" s="12" t="s">
        <v>7852</v>
      </c>
      <c r="B894" s="12" t="s">
        <v>7851</v>
      </c>
      <c r="C894" s="12" t="s">
        <v>59</v>
      </c>
      <c r="D894" s="12" t="s">
        <v>59</v>
      </c>
    </row>
    <row r="895" spans="1:4" x14ac:dyDescent="0.2">
      <c r="A895" s="12" t="s">
        <v>7853</v>
      </c>
      <c r="B895" s="12" t="s">
        <v>7851</v>
      </c>
      <c r="C895" s="12">
        <v>500</v>
      </c>
      <c r="D895" s="12">
        <v>50</v>
      </c>
    </row>
    <row r="896" spans="1:4" x14ac:dyDescent="0.2">
      <c r="A896" s="12" t="s">
        <v>7136</v>
      </c>
      <c r="B896" s="12" t="s">
        <v>7135</v>
      </c>
      <c r="C896" s="12">
        <v>10</v>
      </c>
      <c r="D896" s="12">
        <v>1</v>
      </c>
    </row>
    <row r="897" spans="1:4" x14ac:dyDescent="0.2">
      <c r="A897" s="12" t="s">
        <v>8184</v>
      </c>
      <c r="B897" s="12" t="s">
        <v>8183</v>
      </c>
      <c r="C897" s="12">
        <v>40</v>
      </c>
      <c r="D897" s="12">
        <v>4</v>
      </c>
    </row>
    <row r="898" spans="1:4" x14ac:dyDescent="0.2">
      <c r="A898" s="12" t="s">
        <v>4518</v>
      </c>
      <c r="B898" s="12" t="s">
        <v>4517</v>
      </c>
      <c r="C898" s="12">
        <v>50</v>
      </c>
      <c r="D898" s="12">
        <v>5</v>
      </c>
    </row>
    <row r="899" spans="1:4" x14ac:dyDescent="0.2">
      <c r="A899" s="12" t="s">
        <v>5429</v>
      </c>
      <c r="B899" s="12" t="s">
        <v>5428</v>
      </c>
      <c r="C899" s="12">
        <v>10</v>
      </c>
      <c r="D899" s="12">
        <v>1</v>
      </c>
    </row>
    <row r="900" spans="1:4" x14ac:dyDescent="0.2">
      <c r="A900" s="12" t="s">
        <v>12234</v>
      </c>
      <c r="B900" s="12" t="s">
        <v>12233</v>
      </c>
      <c r="C900" s="12">
        <v>10</v>
      </c>
      <c r="D900" s="12">
        <v>1</v>
      </c>
    </row>
    <row r="901" spans="1:4" x14ac:dyDescent="0.2">
      <c r="A901" s="12" t="s">
        <v>3295</v>
      </c>
      <c r="B901" s="12" t="s">
        <v>3294</v>
      </c>
      <c r="C901" s="12" t="s">
        <v>59</v>
      </c>
      <c r="D901" s="12" t="s">
        <v>59</v>
      </c>
    </row>
    <row r="902" spans="1:4" x14ac:dyDescent="0.2">
      <c r="A902" s="12" t="s">
        <v>7698</v>
      </c>
      <c r="B902" s="12" t="s">
        <v>7697</v>
      </c>
      <c r="C902" s="12" t="s">
        <v>59</v>
      </c>
      <c r="D902" s="12" t="s">
        <v>59</v>
      </c>
    </row>
    <row r="903" spans="1:4" x14ac:dyDescent="0.2">
      <c r="A903" s="12" t="s">
        <v>1485</v>
      </c>
      <c r="B903" s="12" t="s">
        <v>1484</v>
      </c>
      <c r="C903" s="12">
        <v>50</v>
      </c>
      <c r="D903" s="12">
        <v>5</v>
      </c>
    </row>
    <row r="904" spans="1:4" x14ac:dyDescent="0.2">
      <c r="A904" s="12" t="s">
        <v>8238</v>
      </c>
      <c r="B904" s="12" t="s">
        <v>8237</v>
      </c>
      <c r="C904" s="12">
        <v>1</v>
      </c>
      <c r="D904" s="12">
        <v>0.1</v>
      </c>
    </row>
    <row r="905" spans="1:4" x14ac:dyDescent="0.2">
      <c r="A905" s="12" t="s">
        <v>717</v>
      </c>
      <c r="B905" s="12" t="s">
        <v>716</v>
      </c>
      <c r="C905" s="12">
        <v>230</v>
      </c>
      <c r="D905" s="12">
        <v>23</v>
      </c>
    </row>
    <row r="906" spans="1:4" x14ac:dyDescent="0.2">
      <c r="A906" s="12" t="s">
        <v>497</v>
      </c>
      <c r="B906" s="12" t="s">
        <v>496</v>
      </c>
      <c r="C906" s="12">
        <v>400</v>
      </c>
      <c r="D906" s="12">
        <v>40</v>
      </c>
    </row>
    <row r="907" spans="1:4" x14ac:dyDescent="0.2">
      <c r="A907" s="12" t="s">
        <v>1686</v>
      </c>
      <c r="B907" s="12" t="s">
        <v>1685</v>
      </c>
      <c r="C907" s="12">
        <v>67</v>
      </c>
      <c r="D907" s="12">
        <v>6.7</v>
      </c>
    </row>
    <row r="908" spans="1:4" x14ac:dyDescent="0.2">
      <c r="A908" s="12" t="s">
        <v>5584</v>
      </c>
      <c r="B908" s="12" t="s">
        <v>5583</v>
      </c>
      <c r="C908" s="12">
        <v>1700</v>
      </c>
      <c r="D908" s="12">
        <v>170</v>
      </c>
    </row>
    <row r="909" spans="1:4" x14ac:dyDescent="0.2">
      <c r="A909" s="12" t="s">
        <v>9232</v>
      </c>
      <c r="B909" s="12" t="s">
        <v>9231</v>
      </c>
      <c r="C909" s="12">
        <v>70</v>
      </c>
      <c r="D909" s="12">
        <v>7</v>
      </c>
    </row>
    <row r="910" spans="1:4" x14ac:dyDescent="0.2">
      <c r="A910" s="12" t="s">
        <v>4904</v>
      </c>
      <c r="B910" s="12" t="s">
        <v>4903</v>
      </c>
      <c r="C910" s="12">
        <v>1000</v>
      </c>
      <c r="D910" s="12">
        <v>100</v>
      </c>
    </row>
    <row r="911" spans="1:4" x14ac:dyDescent="0.2">
      <c r="A911" s="12" t="s">
        <v>1983</v>
      </c>
      <c r="B911" s="12" t="s">
        <v>1982</v>
      </c>
      <c r="C911" s="12">
        <v>21</v>
      </c>
      <c r="D911" s="12">
        <v>2.1</v>
      </c>
    </row>
    <row r="912" spans="1:4" x14ac:dyDescent="0.2">
      <c r="A912" s="12" t="s">
        <v>8419</v>
      </c>
      <c r="B912" s="12" t="s">
        <v>8418</v>
      </c>
      <c r="C912" s="12">
        <v>1</v>
      </c>
      <c r="D912" s="12">
        <v>0.1</v>
      </c>
    </row>
    <row r="913" spans="1:4" x14ac:dyDescent="0.2">
      <c r="A913" s="12" t="s">
        <v>1710</v>
      </c>
      <c r="B913" s="12" t="s">
        <v>1709</v>
      </c>
      <c r="C913" s="12">
        <v>2</v>
      </c>
      <c r="D913" s="12">
        <v>0.2</v>
      </c>
    </row>
    <row r="914" spans="1:4" x14ac:dyDescent="0.2">
      <c r="A914" s="12" t="s">
        <v>3057</v>
      </c>
      <c r="B914" s="12" t="s">
        <v>3056</v>
      </c>
      <c r="C914" s="12">
        <v>140</v>
      </c>
      <c r="D914" s="12">
        <v>14</v>
      </c>
    </row>
    <row r="915" spans="1:4" x14ac:dyDescent="0.2">
      <c r="A915" s="12" t="s">
        <v>4057</v>
      </c>
      <c r="B915" s="12" t="s">
        <v>4056</v>
      </c>
      <c r="C915" s="12" t="s">
        <v>59</v>
      </c>
      <c r="D915" s="12" t="s">
        <v>59</v>
      </c>
    </row>
    <row r="916" spans="1:4" x14ac:dyDescent="0.2">
      <c r="A916" s="12" t="s">
        <v>12531</v>
      </c>
      <c r="B916" s="12" t="s">
        <v>4007</v>
      </c>
      <c r="C916" s="12"/>
      <c r="D916" s="12">
        <v>0.71</v>
      </c>
    </row>
    <row r="917" spans="1:4" x14ac:dyDescent="0.2">
      <c r="A917" s="12" t="s">
        <v>12530</v>
      </c>
      <c r="B917" s="12" t="s">
        <v>4006</v>
      </c>
      <c r="C917" s="12">
        <v>2.8</v>
      </c>
      <c r="D917" s="12">
        <v>0.56999999999999995</v>
      </c>
    </row>
    <row r="918" spans="1:4" x14ac:dyDescent="0.2">
      <c r="A918" s="12" t="s">
        <v>4005</v>
      </c>
      <c r="B918" s="12" t="s">
        <v>4004</v>
      </c>
      <c r="C918" s="12">
        <v>17</v>
      </c>
      <c r="D918" s="12">
        <v>8.1</v>
      </c>
    </row>
    <row r="919" spans="1:4" x14ac:dyDescent="0.2">
      <c r="A919" s="12" t="s">
        <v>3990</v>
      </c>
      <c r="B919" s="12" t="s">
        <v>3989</v>
      </c>
      <c r="C919" s="12" t="s">
        <v>59</v>
      </c>
      <c r="D919" s="12" t="s">
        <v>59</v>
      </c>
    </row>
    <row r="920" spans="1:4" x14ac:dyDescent="0.2">
      <c r="A920" s="12" t="s">
        <v>8914</v>
      </c>
      <c r="B920" s="12" t="s">
        <v>8913</v>
      </c>
      <c r="C920" s="12">
        <v>250</v>
      </c>
      <c r="D920" s="12">
        <v>25</v>
      </c>
    </row>
    <row r="921" spans="1:4" x14ac:dyDescent="0.2">
      <c r="A921" s="12" t="s">
        <v>6675</v>
      </c>
      <c r="B921" s="12" t="s">
        <v>6674</v>
      </c>
      <c r="C921" s="12" t="s">
        <v>59</v>
      </c>
      <c r="D921" s="12" t="s">
        <v>59</v>
      </c>
    </row>
    <row r="922" spans="1:4" x14ac:dyDescent="0.2">
      <c r="A922" s="12" t="s">
        <v>12286</v>
      </c>
      <c r="B922" s="12" t="s">
        <v>12285</v>
      </c>
      <c r="C922" s="12" t="s">
        <v>59</v>
      </c>
      <c r="D922" s="12" t="s">
        <v>59</v>
      </c>
    </row>
    <row r="923" spans="1:4" x14ac:dyDescent="0.2">
      <c r="A923" s="12" t="s">
        <v>4092</v>
      </c>
      <c r="B923" s="12" t="s">
        <v>4091</v>
      </c>
      <c r="C923" s="12">
        <v>50</v>
      </c>
      <c r="D923" s="12">
        <v>5</v>
      </c>
    </row>
    <row r="924" spans="1:4" x14ac:dyDescent="0.2">
      <c r="A924" s="12" t="s">
        <v>10444</v>
      </c>
      <c r="B924" s="12" t="s">
        <v>10443</v>
      </c>
      <c r="C924" s="12" t="s">
        <v>59</v>
      </c>
      <c r="D924" s="12" t="s">
        <v>59</v>
      </c>
    </row>
    <row r="925" spans="1:4" x14ac:dyDescent="0.2">
      <c r="A925" s="12" t="s">
        <v>8066</v>
      </c>
      <c r="B925" s="12" t="s">
        <v>8065</v>
      </c>
      <c r="C925" s="12"/>
      <c r="D925" s="12" t="s">
        <v>59</v>
      </c>
    </row>
    <row r="926" spans="1:4" x14ac:dyDescent="0.2">
      <c r="A926" s="12" t="s">
        <v>8735</v>
      </c>
      <c r="B926" s="12" t="s">
        <v>8734</v>
      </c>
      <c r="C926" s="12">
        <v>50</v>
      </c>
      <c r="D926" s="12">
        <v>5</v>
      </c>
    </row>
    <row r="927" spans="1:4" x14ac:dyDescent="0.2">
      <c r="A927" s="12" t="s">
        <v>10456</v>
      </c>
      <c r="B927" s="12" t="s">
        <v>10455</v>
      </c>
      <c r="C927" s="12">
        <v>20</v>
      </c>
      <c r="D927" s="12">
        <v>2</v>
      </c>
    </row>
    <row r="928" spans="1:4" x14ac:dyDescent="0.2">
      <c r="A928" s="12" t="s">
        <v>12095</v>
      </c>
      <c r="B928" s="12" t="s">
        <v>12094</v>
      </c>
      <c r="C928" s="12">
        <v>13</v>
      </c>
      <c r="D928" s="12">
        <v>1.3</v>
      </c>
    </row>
    <row r="929" spans="1:4" x14ac:dyDescent="0.2">
      <c r="A929" s="12" t="s">
        <v>12020</v>
      </c>
      <c r="B929" s="12" t="s">
        <v>12019</v>
      </c>
      <c r="C929" s="12">
        <v>40</v>
      </c>
      <c r="D929" s="12">
        <v>4</v>
      </c>
    </row>
    <row r="930" spans="1:4" x14ac:dyDescent="0.2">
      <c r="A930" s="12" t="s">
        <v>12105</v>
      </c>
      <c r="B930" s="12" t="s">
        <v>12104</v>
      </c>
      <c r="C930" s="12">
        <v>100</v>
      </c>
      <c r="D930" s="12">
        <v>10</v>
      </c>
    </row>
    <row r="931" spans="1:4" x14ac:dyDescent="0.2">
      <c r="A931" s="12" t="s">
        <v>4403</v>
      </c>
      <c r="B931" s="12" t="s">
        <v>4402</v>
      </c>
      <c r="C931" s="12">
        <v>2000</v>
      </c>
      <c r="D931" s="12">
        <v>200</v>
      </c>
    </row>
    <row r="932" spans="1:4" x14ac:dyDescent="0.2">
      <c r="A932" s="12" t="s">
        <v>3799</v>
      </c>
      <c r="B932" s="12" t="s">
        <v>3798</v>
      </c>
      <c r="C932" s="12" t="s">
        <v>59</v>
      </c>
      <c r="D932" s="12" t="s">
        <v>59</v>
      </c>
    </row>
    <row r="933" spans="1:4" x14ac:dyDescent="0.2">
      <c r="A933" s="12" t="s">
        <v>3800</v>
      </c>
      <c r="B933" s="12" t="s">
        <v>3798</v>
      </c>
      <c r="C933" s="12">
        <v>600</v>
      </c>
      <c r="D933" s="12">
        <v>60</v>
      </c>
    </row>
    <row r="934" spans="1:4" x14ac:dyDescent="0.2">
      <c r="A934" s="12" t="s">
        <v>11359</v>
      </c>
      <c r="B934" s="12" t="s">
        <v>11358</v>
      </c>
      <c r="C934" s="12">
        <v>20</v>
      </c>
      <c r="D934" s="12">
        <v>2</v>
      </c>
    </row>
    <row r="935" spans="1:4" x14ac:dyDescent="0.2">
      <c r="A935" s="12" t="s">
        <v>8926</v>
      </c>
      <c r="B935" s="12" t="s">
        <v>8925</v>
      </c>
      <c r="C935" s="12">
        <v>64</v>
      </c>
      <c r="D935" s="12">
        <v>25</v>
      </c>
    </row>
    <row r="936" spans="1:4" x14ac:dyDescent="0.2">
      <c r="A936" s="12" t="s">
        <v>5272</v>
      </c>
      <c r="B936" s="12" t="s">
        <v>5271</v>
      </c>
      <c r="C936" s="12">
        <v>20</v>
      </c>
      <c r="D936" s="12">
        <v>2</v>
      </c>
    </row>
    <row r="937" spans="1:4" x14ac:dyDescent="0.2">
      <c r="A937" s="12" t="s">
        <v>8668</v>
      </c>
      <c r="B937" s="12" t="s">
        <v>8667</v>
      </c>
      <c r="C937" s="12">
        <v>6.4</v>
      </c>
      <c r="D937" s="12">
        <v>0.64</v>
      </c>
    </row>
    <row r="938" spans="1:4" x14ac:dyDescent="0.2">
      <c r="A938" s="12" t="s">
        <v>7394</v>
      </c>
      <c r="B938" s="12" t="s">
        <v>7393</v>
      </c>
      <c r="C938" s="12" t="s">
        <v>59</v>
      </c>
      <c r="D938" s="12" t="s">
        <v>59</v>
      </c>
    </row>
    <row r="939" spans="1:4" x14ac:dyDescent="0.2">
      <c r="A939" s="12" t="s">
        <v>4148</v>
      </c>
      <c r="B939" s="12" t="s">
        <v>4147</v>
      </c>
      <c r="C939" s="12">
        <v>50</v>
      </c>
      <c r="D939" s="12">
        <v>5</v>
      </c>
    </row>
    <row r="940" spans="1:4" x14ac:dyDescent="0.2">
      <c r="A940" s="12" t="s">
        <v>8216</v>
      </c>
      <c r="B940" s="12" t="s">
        <v>8215</v>
      </c>
      <c r="C940" s="12">
        <v>10</v>
      </c>
      <c r="D940" s="12">
        <v>1</v>
      </c>
    </row>
    <row r="941" spans="1:4" x14ac:dyDescent="0.2">
      <c r="A941" s="12" t="s">
        <v>7251</v>
      </c>
      <c r="B941" s="12" t="s">
        <v>7250</v>
      </c>
      <c r="C941" s="12">
        <v>50</v>
      </c>
      <c r="D941" s="12">
        <v>5</v>
      </c>
    </row>
    <row r="942" spans="1:4" x14ac:dyDescent="0.2">
      <c r="A942" s="12" t="s">
        <v>7278</v>
      </c>
      <c r="B942" s="12" t="s">
        <v>7277</v>
      </c>
      <c r="C942" s="12">
        <v>50</v>
      </c>
      <c r="D942" s="12">
        <v>5</v>
      </c>
    </row>
    <row r="943" spans="1:4" x14ac:dyDescent="0.2">
      <c r="A943" s="12" t="s">
        <v>4512</v>
      </c>
      <c r="B943" s="12" t="s">
        <v>4511</v>
      </c>
      <c r="C943" s="12">
        <v>20</v>
      </c>
      <c r="D943" s="12">
        <v>2</v>
      </c>
    </row>
    <row r="944" spans="1:4" x14ac:dyDescent="0.2">
      <c r="A944" s="12" t="s">
        <v>5568</v>
      </c>
      <c r="B944" s="12" t="s">
        <v>5567</v>
      </c>
      <c r="C944" s="12">
        <v>5</v>
      </c>
      <c r="D944" s="12">
        <v>0.5</v>
      </c>
    </row>
    <row r="945" spans="1:4" x14ac:dyDescent="0.2">
      <c r="A945" s="12" t="s">
        <v>11285</v>
      </c>
      <c r="B945" s="12" t="s">
        <v>11284</v>
      </c>
      <c r="C945" s="12">
        <v>50</v>
      </c>
      <c r="D945" s="12">
        <v>5</v>
      </c>
    </row>
    <row r="946" spans="1:4" x14ac:dyDescent="0.2">
      <c r="A946" s="12" t="s">
        <v>10691</v>
      </c>
      <c r="B946" s="12" t="s">
        <v>10690</v>
      </c>
      <c r="C946" s="12" t="s">
        <v>59</v>
      </c>
      <c r="D946" s="12" t="s">
        <v>59</v>
      </c>
    </row>
    <row r="947" spans="1:4" x14ac:dyDescent="0.2">
      <c r="A947" s="12" t="s">
        <v>7910</v>
      </c>
      <c r="B947" s="12" t="s">
        <v>7909</v>
      </c>
      <c r="C947" s="12">
        <v>50</v>
      </c>
      <c r="D947" s="12">
        <v>5</v>
      </c>
    </row>
    <row r="948" spans="1:4" x14ac:dyDescent="0.2">
      <c r="A948" s="12" t="s">
        <v>7964</v>
      </c>
      <c r="B948" s="12" t="s">
        <v>7963</v>
      </c>
      <c r="C948" s="12">
        <v>100</v>
      </c>
      <c r="D948" s="12">
        <v>10</v>
      </c>
    </row>
    <row r="949" spans="1:4" x14ac:dyDescent="0.2">
      <c r="A949" s="12" t="s">
        <v>10963</v>
      </c>
      <c r="B949" s="12" t="s">
        <v>10962</v>
      </c>
      <c r="C949" s="12">
        <v>20</v>
      </c>
      <c r="D949" s="12">
        <v>2</v>
      </c>
    </row>
    <row r="950" spans="1:4" x14ac:dyDescent="0.2">
      <c r="A950" s="12" t="s">
        <v>5475</v>
      </c>
      <c r="B950" s="12" t="s">
        <v>5474</v>
      </c>
      <c r="C950" s="12">
        <v>90</v>
      </c>
      <c r="D950" s="12">
        <v>9</v>
      </c>
    </row>
    <row r="951" spans="1:4" x14ac:dyDescent="0.2">
      <c r="A951" s="12" t="s">
        <v>6164</v>
      </c>
      <c r="B951" s="12" t="s">
        <v>6163</v>
      </c>
      <c r="C951" s="12">
        <v>60</v>
      </c>
      <c r="D951" s="12">
        <v>6</v>
      </c>
    </row>
    <row r="952" spans="1:4" x14ac:dyDescent="0.2">
      <c r="A952" s="12" t="s">
        <v>4694</v>
      </c>
      <c r="B952" s="12" t="s">
        <v>4693</v>
      </c>
      <c r="C952" s="12" t="s">
        <v>59</v>
      </c>
      <c r="D952" s="12" t="s">
        <v>59</v>
      </c>
    </row>
    <row r="953" spans="1:4" x14ac:dyDescent="0.2">
      <c r="A953" s="12" t="s">
        <v>4367</v>
      </c>
      <c r="B953" s="12" t="s">
        <v>4366</v>
      </c>
      <c r="C953" s="12" t="s">
        <v>59</v>
      </c>
      <c r="D953" s="12" t="s">
        <v>59</v>
      </c>
    </row>
    <row r="954" spans="1:4" x14ac:dyDescent="0.2">
      <c r="A954" s="12" t="s">
        <v>4369</v>
      </c>
      <c r="B954" s="12" t="s">
        <v>4368</v>
      </c>
      <c r="C954" s="12" t="s">
        <v>59</v>
      </c>
      <c r="D954" s="12" t="s">
        <v>59</v>
      </c>
    </row>
    <row r="955" spans="1:4" x14ac:dyDescent="0.2">
      <c r="A955" s="12" t="s">
        <v>12082</v>
      </c>
      <c r="B955" s="12" t="s">
        <v>12081</v>
      </c>
      <c r="C955" s="12">
        <v>400</v>
      </c>
      <c r="D955" s="12">
        <v>40</v>
      </c>
    </row>
    <row r="956" spans="1:4" x14ac:dyDescent="0.2">
      <c r="A956" s="12" t="s">
        <v>7253</v>
      </c>
      <c r="B956" s="12" t="s">
        <v>7252</v>
      </c>
      <c r="C956" s="12">
        <v>410</v>
      </c>
      <c r="D956" s="12">
        <v>41</v>
      </c>
    </row>
    <row r="957" spans="1:4" x14ac:dyDescent="0.2">
      <c r="A957" s="12" t="s">
        <v>10000</v>
      </c>
      <c r="B957" s="12" t="s">
        <v>9999</v>
      </c>
      <c r="C957" s="12" t="s">
        <v>59</v>
      </c>
      <c r="D957" s="12" t="s">
        <v>59</v>
      </c>
    </row>
    <row r="958" spans="1:4" x14ac:dyDescent="0.2">
      <c r="A958" s="12" t="s">
        <v>8791</v>
      </c>
      <c r="B958" s="12" t="s">
        <v>8790</v>
      </c>
      <c r="C958" s="12" t="s">
        <v>59</v>
      </c>
      <c r="D958" s="12" t="s">
        <v>59</v>
      </c>
    </row>
    <row r="959" spans="1:4" x14ac:dyDescent="0.2">
      <c r="A959" s="12" t="s">
        <v>11221</v>
      </c>
      <c r="B959" s="12" t="s">
        <v>11220</v>
      </c>
      <c r="C959" s="12">
        <v>3.6</v>
      </c>
      <c r="D959" s="12">
        <v>4.1000000000000002E-2</v>
      </c>
    </row>
    <row r="960" spans="1:4" x14ac:dyDescent="0.2">
      <c r="A960" s="12" t="s">
        <v>4672</v>
      </c>
      <c r="B960" s="12" t="s">
        <v>4671</v>
      </c>
      <c r="C960" s="12" t="s">
        <v>59</v>
      </c>
      <c r="D960" s="12" t="s">
        <v>59</v>
      </c>
    </row>
    <row r="961" spans="1:4" x14ac:dyDescent="0.2">
      <c r="A961" s="12" t="s">
        <v>4293</v>
      </c>
      <c r="B961" s="12" t="s">
        <v>4292</v>
      </c>
      <c r="C961" s="12" t="s">
        <v>59</v>
      </c>
      <c r="D961" s="12" t="s">
        <v>59</v>
      </c>
    </row>
    <row r="962" spans="1:4" x14ac:dyDescent="0.2">
      <c r="A962" s="12" t="s">
        <v>3032</v>
      </c>
      <c r="B962" s="12" t="s">
        <v>3031</v>
      </c>
      <c r="C962" s="12" t="s">
        <v>59</v>
      </c>
      <c r="D962" s="12" t="s">
        <v>59</v>
      </c>
    </row>
    <row r="963" spans="1:4" x14ac:dyDescent="0.2">
      <c r="A963" s="12" t="s">
        <v>4714</v>
      </c>
      <c r="B963" s="12" t="s">
        <v>4713</v>
      </c>
      <c r="C963" s="12" t="s">
        <v>59</v>
      </c>
      <c r="D963" s="12" t="s">
        <v>59</v>
      </c>
    </row>
    <row r="964" spans="1:4" x14ac:dyDescent="0.2">
      <c r="A964" s="12" t="s">
        <v>6236</v>
      </c>
      <c r="B964" s="12" t="s">
        <v>6235</v>
      </c>
      <c r="C964" s="12" t="s">
        <v>59</v>
      </c>
      <c r="D964" s="12" t="s">
        <v>59</v>
      </c>
    </row>
    <row r="965" spans="1:4" x14ac:dyDescent="0.2">
      <c r="A965" s="12" t="s">
        <v>9975</v>
      </c>
      <c r="B965" s="12" t="s">
        <v>9974</v>
      </c>
      <c r="C965" s="12" t="s">
        <v>59</v>
      </c>
      <c r="D965" s="12" t="s">
        <v>59</v>
      </c>
    </row>
    <row r="966" spans="1:4" x14ac:dyDescent="0.2">
      <c r="A966" s="12" t="s">
        <v>3797</v>
      </c>
      <c r="B966" s="12" t="s">
        <v>3796</v>
      </c>
      <c r="C966" s="12">
        <v>100</v>
      </c>
      <c r="D966" s="12">
        <v>10</v>
      </c>
    </row>
    <row r="967" spans="1:4" x14ac:dyDescent="0.2">
      <c r="A967" s="12" t="s">
        <v>9186</v>
      </c>
      <c r="B967" s="12" t="s">
        <v>9185</v>
      </c>
      <c r="C967" s="12">
        <v>0.33</v>
      </c>
      <c r="D967" s="12">
        <v>5.8999999999999997E-2</v>
      </c>
    </row>
    <row r="968" spans="1:4" x14ac:dyDescent="0.2">
      <c r="A968" s="12" t="s">
        <v>12011</v>
      </c>
      <c r="B968" s="12" t="s">
        <v>12010</v>
      </c>
      <c r="C968" s="12" t="s">
        <v>59</v>
      </c>
      <c r="D968" s="12" t="s">
        <v>59</v>
      </c>
    </row>
    <row r="969" spans="1:4" x14ac:dyDescent="0.2">
      <c r="A969" s="12" t="s">
        <v>12012</v>
      </c>
      <c r="B969" s="12" t="s">
        <v>12010</v>
      </c>
      <c r="C969" s="12">
        <v>4800</v>
      </c>
      <c r="D969" s="12">
        <v>480</v>
      </c>
    </row>
    <row r="970" spans="1:4" x14ac:dyDescent="0.2">
      <c r="A970" s="12" t="s">
        <v>12016</v>
      </c>
      <c r="B970" s="12" t="s">
        <v>12015</v>
      </c>
      <c r="C970" s="12">
        <v>100</v>
      </c>
      <c r="D970" s="12">
        <v>10</v>
      </c>
    </row>
    <row r="971" spans="1:4" x14ac:dyDescent="0.2">
      <c r="A971" s="12" t="s">
        <v>9860</v>
      </c>
      <c r="B971" s="12" t="s">
        <v>9859</v>
      </c>
      <c r="C971" s="12">
        <v>6</v>
      </c>
      <c r="D971" s="12">
        <v>0.6</v>
      </c>
    </row>
    <row r="972" spans="1:4" x14ac:dyDescent="0.2">
      <c r="A972" s="12" t="s">
        <v>68</v>
      </c>
      <c r="B972" s="12" t="s">
        <v>67</v>
      </c>
      <c r="C972" s="12">
        <v>100</v>
      </c>
      <c r="D972" s="12">
        <v>10</v>
      </c>
    </row>
    <row r="973" spans="1:4" x14ac:dyDescent="0.2">
      <c r="A973" s="12" t="s">
        <v>1605</v>
      </c>
      <c r="B973" s="12" t="s">
        <v>1604</v>
      </c>
      <c r="C973" s="12">
        <v>480</v>
      </c>
      <c r="D973" s="12">
        <v>48</v>
      </c>
    </row>
    <row r="974" spans="1:4" x14ac:dyDescent="0.2">
      <c r="A974" s="12" t="s">
        <v>608</v>
      </c>
      <c r="B974" s="12" t="s">
        <v>607</v>
      </c>
      <c r="C974" s="12" t="s">
        <v>59</v>
      </c>
      <c r="D974" s="12" t="s">
        <v>59</v>
      </c>
    </row>
    <row r="975" spans="1:4" x14ac:dyDescent="0.2">
      <c r="A975" s="12" t="s">
        <v>10380</v>
      </c>
      <c r="B975" s="12" t="s">
        <v>10379</v>
      </c>
      <c r="C975" s="12">
        <v>50</v>
      </c>
      <c r="D975" s="12">
        <v>5</v>
      </c>
    </row>
    <row r="976" spans="1:4" x14ac:dyDescent="0.2">
      <c r="A976" s="12" t="s">
        <v>4658</v>
      </c>
      <c r="B976" s="12" t="s">
        <v>4657</v>
      </c>
      <c r="C976" s="12" t="s">
        <v>59</v>
      </c>
      <c r="D976" s="12" t="s">
        <v>59</v>
      </c>
    </row>
    <row r="977" spans="1:4" x14ac:dyDescent="0.2">
      <c r="A977" s="12" t="s">
        <v>9838</v>
      </c>
      <c r="B977" s="12" t="s">
        <v>9837</v>
      </c>
      <c r="C977" s="12">
        <v>1000</v>
      </c>
      <c r="D977" s="12">
        <v>100</v>
      </c>
    </row>
    <row r="978" spans="1:4" x14ac:dyDescent="0.2">
      <c r="A978" s="12" t="s">
        <v>9852</v>
      </c>
      <c r="B978" s="12" t="s">
        <v>9851</v>
      </c>
      <c r="C978" s="12">
        <v>500</v>
      </c>
      <c r="D978" s="12">
        <v>50</v>
      </c>
    </row>
    <row r="979" spans="1:4" x14ac:dyDescent="0.2">
      <c r="A979" s="12" t="s">
        <v>4524</v>
      </c>
      <c r="B979" s="12" t="s">
        <v>4523</v>
      </c>
      <c r="C979" s="12">
        <v>20</v>
      </c>
      <c r="D979" s="12">
        <v>2</v>
      </c>
    </row>
    <row r="980" spans="1:4" x14ac:dyDescent="0.2">
      <c r="A980" s="12" t="s">
        <v>5700</v>
      </c>
      <c r="B980" s="12" t="s">
        <v>5699</v>
      </c>
      <c r="C980" s="12">
        <v>500</v>
      </c>
      <c r="D980" s="12">
        <v>50</v>
      </c>
    </row>
    <row r="981" spans="1:4" x14ac:dyDescent="0.2">
      <c r="A981" s="12" t="s">
        <v>9890</v>
      </c>
      <c r="B981" s="12" t="s">
        <v>9889</v>
      </c>
      <c r="C981" s="12">
        <v>1100</v>
      </c>
      <c r="D981" s="12">
        <v>110</v>
      </c>
    </row>
    <row r="982" spans="1:4" x14ac:dyDescent="0.2">
      <c r="A982" s="12" t="s">
        <v>2401</v>
      </c>
      <c r="B982" s="12" t="s">
        <v>2400</v>
      </c>
      <c r="C982" s="12">
        <v>170</v>
      </c>
      <c r="D982" s="12">
        <v>17</v>
      </c>
    </row>
    <row r="983" spans="1:4" x14ac:dyDescent="0.2">
      <c r="A983" s="12" t="s">
        <v>2912</v>
      </c>
      <c r="B983" s="12" t="s">
        <v>2911</v>
      </c>
      <c r="C983" s="12">
        <v>1000</v>
      </c>
      <c r="D983" s="12">
        <v>100</v>
      </c>
    </row>
    <row r="984" spans="1:4" x14ac:dyDescent="0.2">
      <c r="A984" s="12" t="s">
        <v>9097</v>
      </c>
      <c r="B984" s="12" t="s">
        <v>9096</v>
      </c>
      <c r="C984" s="12">
        <v>2450</v>
      </c>
      <c r="D984" s="12">
        <v>245</v>
      </c>
    </row>
    <row r="985" spans="1:4" x14ac:dyDescent="0.2">
      <c r="A985" s="12" t="s">
        <v>11992</v>
      </c>
      <c r="B985" s="12" t="s">
        <v>11991</v>
      </c>
      <c r="C985" s="12">
        <v>2450</v>
      </c>
      <c r="D985" s="12">
        <v>245</v>
      </c>
    </row>
    <row r="986" spans="1:4" x14ac:dyDescent="0.2">
      <c r="A986" s="12" t="s">
        <v>2108</v>
      </c>
      <c r="B986" s="12" t="s">
        <v>2107</v>
      </c>
      <c r="C986" s="12">
        <v>2700</v>
      </c>
      <c r="D986" s="12">
        <v>270</v>
      </c>
    </row>
    <row r="987" spans="1:4" x14ac:dyDescent="0.2">
      <c r="A987" s="12" t="s">
        <v>6781</v>
      </c>
      <c r="B987" s="12" t="s">
        <v>6780</v>
      </c>
      <c r="C987" s="12">
        <v>1400</v>
      </c>
      <c r="D987" s="12">
        <v>140</v>
      </c>
    </row>
    <row r="988" spans="1:4" x14ac:dyDescent="0.2">
      <c r="A988" s="12" t="s">
        <v>9788</v>
      </c>
      <c r="B988" s="12" t="s">
        <v>9787</v>
      </c>
      <c r="C988" s="12">
        <v>290</v>
      </c>
      <c r="D988" s="12">
        <v>3.3</v>
      </c>
    </row>
    <row r="989" spans="1:4" x14ac:dyDescent="0.2">
      <c r="A989" s="12" t="s">
        <v>3438</v>
      </c>
      <c r="B989" s="12" t="s">
        <v>3437</v>
      </c>
      <c r="C989" s="12">
        <v>220</v>
      </c>
      <c r="D989" s="12">
        <v>22</v>
      </c>
    </row>
    <row r="990" spans="1:4" x14ac:dyDescent="0.2">
      <c r="A990" s="12" t="s">
        <v>3137</v>
      </c>
      <c r="B990" s="12" t="s">
        <v>3136</v>
      </c>
      <c r="C990" s="12">
        <v>930</v>
      </c>
      <c r="D990" s="12">
        <v>93</v>
      </c>
    </row>
    <row r="991" spans="1:4" x14ac:dyDescent="0.2">
      <c r="A991" s="12" t="s">
        <v>11031</v>
      </c>
      <c r="B991" s="12" t="s">
        <v>11030</v>
      </c>
      <c r="C991" s="12">
        <v>3.6</v>
      </c>
      <c r="D991" s="12">
        <v>4.1000000000000002E-2</v>
      </c>
    </row>
    <row r="992" spans="1:4" x14ac:dyDescent="0.2">
      <c r="A992" s="12" t="s">
        <v>2341</v>
      </c>
      <c r="B992" s="12" t="s">
        <v>2340</v>
      </c>
      <c r="C992" s="12">
        <v>560</v>
      </c>
      <c r="D992" s="12">
        <v>100</v>
      </c>
    </row>
    <row r="993" spans="1:4" x14ac:dyDescent="0.2">
      <c r="A993" s="12" t="s">
        <v>1795</v>
      </c>
      <c r="B993" s="12" t="s">
        <v>1794</v>
      </c>
      <c r="C993" s="12">
        <v>1500</v>
      </c>
      <c r="D993" s="12">
        <v>150</v>
      </c>
    </row>
    <row r="994" spans="1:4" x14ac:dyDescent="0.2">
      <c r="A994" s="12" t="s">
        <v>1797</v>
      </c>
      <c r="B994" s="12" t="s">
        <v>1796</v>
      </c>
      <c r="C994" s="12">
        <v>3750</v>
      </c>
      <c r="D994" s="12">
        <v>375</v>
      </c>
    </row>
    <row r="995" spans="1:4" x14ac:dyDescent="0.2">
      <c r="A995" s="12" t="s">
        <v>6261</v>
      </c>
      <c r="B995" s="12" t="s">
        <v>6260</v>
      </c>
      <c r="C995" s="12">
        <v>2300</v>
      </c>
      <c r="D995" s="12">
        <v>230</v>
      </c>
    </row>
    <row r="996" spans="1:4" x14ac:dyDescent="0.2">
      <c r="A996" s="12" t="s">
        <v>5905</v>
      </c>
      <c r="B996" s="12" t="s">
        <v>5904</v>
      </c>
      <c r="C996" s="12">
        <v>100</v>
      </c>
      <c r="D996" s="12">
        <v>10</v>
      </c>
    </row>
    <row r="997" spans="1:4" x14ac:dyDescent="0.2">
      <c r="A997" s="12" t="s">
        <v>8960</v>
      </c>
      <c r="B997" s="12" t="s">
        <v>8959</v>
      </c>
      <c r="C997" s="12" t="s">
        <v>59</v>
      </c>
      <c r="D997" s="12" t="s">
        <v>59</v>
      </c>
    </row>
    <row r="998" spans="1:4" x14ac:dyDescent="0.2">
      <c r="A998" s="12" t="s">
        <v>8961</v>
      </c>
      <c r="B998" s="12" t="s">
        <v>8959</v>
      </c>
      <c r="C998" s="12">
        <v>1000</v>
      </c>
      <c r="D998" s="12">
        <v>100</v>
      </c>
    </row>
    <row r="999" spans="1:4" x14ac:dyDescent="0.2">
      <c r="A999" s="12" t="s">
        <v>7619</v>
      </c>
      <c r="B999" s="12" t="s">
        <v>7618</v>
      </c>
      <c r="C999" s="12">
        <v>20</v>
      </c>
      <c r="D999" s="12">
        <v>2</v>
      </c>
    </row>
    <row r="1000" spans="1:4" x14ac:dyDescent="0.2">
      <c r="A1000" s="12" t="s">
        <v>8222</v>
      </c>
      <c r="B1000" s="12" t="s">
        <v>8221</v>
      </c>
      <c r="C1000" s="12" t="s">
        <v>59</v>
      </c>
      <c r="D1000" s="12" t="s">
        <v>59</v>
      </c>
    </row>
    <row r="1001" spans="1:4" x14ac:dyDescent="0.2">
      <c r="A1001" s="12" t="s">
        <v>4030</v>
      </c>
      <c r="B1001" s="12" t="s">
        <v>4029</v>
      </c>
      <c r="C1001" s="12">
        <v>10</v>
      </c>
      <c r="D1001" s="12">
        <v>1</v>
      </c>
    </row>
    <row r="1002" spans="1:4" x14ac:dyDescent="0.2">
      <c r="A1002" s="12" t="s">
        <v>8757</v>
      </c>
      <c r="B1002" s="12" t="s">
        <v>8756</v>
      </c>
      <c r="C1002" s="12">
        <v>2000</v>
      </c>
      <c r="D1002" s="12">
        <v>200</v>
      </c>
    </row>
    <row r="1003" spans="1:4" x14ac:dyDescent="0.2">
      <c r="A1003" s="12" t="s">
        <v>4216</v>
      </c>
      <c r="B1003" s="12" t="s">
        <v>4215</v>
      </c>
      <c r="C1003" s="12">
        <v>3.6</v>
      </c>
      <c r="D1003" s="12">
        <v>4.1000000000000002E-2</v>
      </c>
    </row>
    <row r="1004" spans="1:4" x14ac:dyDescent="0.2">
      <c r="A1004" s="12" t="s">
        <v>10511</v>
      </c>
      <c r="B1004" s="12" t="s">
        <v>10510</v>
      </c>
      <c r="C1004" s="12">
        <v>92</v>
      </c>
      <c r="D1004" s="12">
        <v>40</v>
      </c>
    </row>
    <row r="1005" spans="1:4" x14ac:dyDescent="0.2">
      <c r="A1005" s="12" t="s">
        <v>8436</v>
      </c>
      <c r="B1005" s="12" t="s">
        <v>8435</v>
      </c>
      <c r="C1005" s="12">
        <v>110</v>
      </c>
      <c r="D1005" s="12">
        <v>11</v>
      </c>
    </row>
    <row r="1006" spans="1:4" x14ac:dyDescent="0.2">
      <c r="A1006" s="12" t="s">
        <v>3118</v>
      </c>
      <c r="B1006" s="12" t="s">
        <v>3117</v>
      </c>
      <c r="C1006" s="12">
        <v>960</v>
      </c>
      <c r="D1006" s="12">
        <v>96</v>
      </c>
    </row>
    <row r="1007" spans="1:4" x14ac:dyDescent="0.2">
      <c r="A1007" s="12" t="s">
        <v>7773</v>
      </c>
      <c r="B1007" s="12" t="s">
        <v>7772</v>
      </c>
      <c r="C1007" s="12">
        <v>150</v>
      </c>
      <c r="D1007" s="12">
        <v>73</v>
      </c>
    </row>
    <row r="1008" spans="1:4" x14ac:dyDescent="0.2">
      <c r="A1008" s="12" t="s">
        <v>1718</v>
      </c>
      <c r="B1008" s="12" t="s">
        <v>1717</v>
      </c>
      <c r="C1008" s="12">
        <v>830</v>
      </c>
      <c r="D1008" s="12">
        <v>83</v>
      </c>
    </row>
    <row r="1009" spans="1:4" x14ac:dyDescent="0.2">
      <c r="A1009" s="12" t="s">
        <v>10519</v>
      </c>
      <c r="B1009" s="12" t="s">
        <v>10518</v>
      </c>
      <c r="C1009" s="12">
        <v>250</v>
      </c>
      <c r="D1009" s="12">
        <v>25</v>
      </c>
    </row>
    <row r="1010" spans="1:4" x14ac:dyDescent="0.2">
      <c r="A1010" s="12" t="s">
        <v>9638</v>
      </c>
      <c r="B1010" s="12" t="s">
        <v>9637</v>
      </c>
      <c r="C1010" s="12">
        <v>440</v>
      </c>
      <c r="D1010" s="12">
        <v>44</v>
      </c>
    </row>
    <row r="1011" spans="1:4" x14ac:dyDescent="0.2">
      <c r="A1011" s="12" t="s">
        <v>2456</v>
      </c>
      <c r="B1011" s="12" t="s">
        <v>2455</v>
      </c>
      <c r="C1011" s="12">
        <v>340</v>
      </c>
      <c r="D1011" s="12">
        <v>34</v>
      </c>
    </row>
    <row r="1012" spans="1:4" x14ac:dyDescent="0.2">
      <c r="A1012" s="12" t="s">
        <v>4642</v>
      </c>
      <c r="B1012" s="12" t="s">
        <v>4641</v>
      </c>
      <c r="C1012" s="12">
        <v>27</v>
      </c>
      <c r="D1012" s="12">
        <v>30</v>
      </c>
    </row>
    <row r="1013" spans="1:4" x14ac:dyDescent="0.2">
      <c r="A1013" s="12" t="s">
        <v>11899</v>
      </c>
      <c r="B1013" s="12" t="s">
        <v>11898</v>
      </c>
      <c r="C1013" s="12">
        <v>8.6</v>
      </c>
      <c r="D1013" s="12">
        <v>2.5</v>
      </c>
    </row>
    <row r="1014" spans="1:4" x14ac:dyDescent="0.2">
      <c r="A1014" s="12" t="s">
        <v>2468</v>
      </c>
      <c r="B1014" s="12" t="s">
        <v>2467</v>
      </c>
      <c r="C1014" s="12">
        <v>70</v>
      </c>
      <c r="D1014" s="12">
        <v>7</v>
      </c>
    </row>
    <row r="1015" spans="1:4" x14ac:dyDescent="0.2">
      <c r="A1015" s="12" t="s">
        <v>8089</v>
      </c>
      <c r="B1015" s="12" t="s">
        <v>8088</v>
      </c>
      <c r="C1015" s="12" t="s">
        <v>59</v>
      </c>
      <c r="D1015" s="12" t="s">
        <v>59</v>
      </c>
    </row>
    <row r="1016" spans="1:4" x14ac:dyDescent="0.2">
      <c r="A1016" s="12" t="s">
        <v>4170</v>
      </c>
      <c r="B1016" s="12" t="s">
        <v>4169</v>
      </c>
      <c r="C1016" s="12" t="s">
        <v>59</v>
      </c>
      <c r="D1016" s="12" t="s">
        <v>59</v>
      </c>
    </row>
    <row r="1017" spans="1:4" x14ac:dyDescent="0.2">
      <c r="A1017" s="12" t="s">
        <v>4260</v>
      </c>
      <c r="B1017" s="12" t="s">
        <v>4259</v>
      </c>
      <c r="C1017" s="12">
        <v>230</v>
      </c>
      <c r="D1017" s="12">
        <v>23</v>
      </c>
    </row>
    <row r="1018" spans="1:4" x14ac:dyDescent="0.2">
      <c r="A1018" s="12" t="s">
        <v>9055</v>
      </c>
      <c r="B1018" s="12" t="s">
        <v>9054</v>
      </c>
      <c r="C1018" s="12">
        <v>11000</v>
      </c>
      <c r="D1018" s="12">
        <v>1400</v>
      </c>
    </row>
    <row r="1019" spans="1:4" x14ac:dyDescent="0.2">
      <c r="A1019" s="12" t="s">
        <v>822</v>
      </c>
      <c r="B1019" s="12" t="s">
        <v>821</v>
      </c>
      <c r="C1019" s="12">
        <v>720</v>
      </c>
      <c r="D1019" s="12">
        <v>72</v>
      </c>
    </row>
    <row r="1020" spans="1:4" x14ac:dyDescent="0.2">
      <c r="A1020" s="12" t="s">
        <v>7771</v>
      </c>
      <c r="B1020" s="12" t="s">
        <v>7770</v>
      </c>
      <c r="C1020" s="12">
        <v>2700</v>
      </c>
      <c r="D1020" s="12">
        <v>270</v>
      </c>
    </row>
    <row r="1021" spans="1:4" x14ac:dyDescent="0.2">
      <c r="A1021" s="12" t="s">
        <v>4624</v>
      </c>
      <c r="B1021" s="12" t="s">
        <v>4623</v>
      </c>
      <c r="C1021" s="12">
        <v>9300</v>
      </c>
      <c r="D1021" s="12">
        <v>930</v>
      </c>
    </row>
    <row r="1022" spans="1:4" x14ac:dyDescent="0.2">
      <c r="A1022" s="12" t="s">
        <v>2383</v>
      </c>
      <c r="B1022" s="12" t="s">
        <v>2382</v>
      </c>
      <c r="C1022" s="12">
        <v>140</v>
      </c>
      <c r="D1022" s="12">
        <v>270</v>
      </c>
    </row>
    <row r="1023" spans="1:4" x14ac:dyDescent="0.2">
      <c r="A1023" s="12" t="s">
        <v>4155</v>
      </c>
      <c r="B1023" s="12" t="s">
        <v>4154</v>
      </c>
      <c r="C1023" s="12" t="s">
        <v>59</v>
      </c>
      <c r="D1023" s="12" t="s">
        <v>59</v>
      </c>
    </row>
    <row r="1024" spans="1:4" x14ac:dyDescent="0.2">
      <c r="A1024" s="12" t="s">
        <v>11131</v>
      </c>
      <c r="B1024" s="12" t="s">
        <v>11130</v>
      </c>
      <c r="C1024" s="12">
        <v>20</v>
      </c>
      <c r="D1024" s="12">
        <v>2</v>
      </c>
    </row>
    <row r="1025" spans="1:4" x14ac:dyDescent="0.2">
      <c r="A1025" s="12" t="s">
        <v>5715</v>
      </c>
      <c r="B1025" s="12" t="s">
        <v>5714</v>
      </c>
      <c r="C1025" s="12">
        <v>40</v>
      </c>
      <c r="D1025" s="12">
        <v>4</v>
      </c>
    </row>
    <row r="1026" spans="1:4" x14ac:dyDescent="0.2">
      <c r="A1026" s="12" t="s">
        <v>3523</v>
      </c>
      <c r="B1026" s="12" t="s">
        <v>3522</v>
      </c>
      <c r="C1026" s="12">
        <v>50</v>
      </c>
      <c r="D1026" s="12">
        <v>5</v>
      </c>
    </row>
    <row r="1027" spans="1:4" x14ac:dyDescent="0.2">
      <c r="A1027" s="12" t="s">
        <v>9435</v>
      </c>
      <c r="B1027" s="12" t="s">
        <v>9434</v>
      </c>
      <c r="C1027" s="12">
        <v>600</v>
      </c>
      <c r="D1027" s="12">
        <v>90</v>
      </c>
    </row>
    <row r="1028" spans="1:4" x14ac:dyDescent="0.2">
      <c r="A1028" s="12" t="s">
        <v>7483</v>
      </c>
      <c r="B1028" s="12" t="s">
        <v>7482</v>
      </c>
      <c r="C1028" s="12">
        <v>16</v>
      </c>
      <c r="D1028" s="12">
        <v>0.54</v>
      </c>
    </row>
    <row r="1029" spans="1:4" x14ac:dyDescent="0.2">
      <c r="A1029" s="12" t="s">
        <v>1151</v>
      </c>
      <c r="B1029" s="12" t="s">
        <v>1150</v>
      </c>
      <c r="C1029" s="12">
        <v>5700</v>
      </c>
      <c r="D1029" s="12">
        <v>570</v>
      </c>
    </row>
    <row r="1030" spans="1:4" x14ac:dyDescent="0.2">
      <c r="A1030" s="12" t="s">
        <v>9431</v>
      </c>
      <c r="B1030" s="12" t="s">
        <v>9430</v>
      </c>
      <c r="C1030" s="12">
        <v>1500</v>
      </c>
      <c r="D1030" s="12">
        <v>150</v>
      </c>
    </row>
    <row r="1031" spans="1:4" x14ac:dyDescent="0.2">
      <c r="A1031" s="12" t="s">
        <v>947</v>
      </c>
      <c r="B1031" s="12" t="s">
        <v>946</v>
      </c>
      <c r="C1031" s="12">
        <v>1000</v>
      </c>
      <c r="D1031" s="12">
        <v>100</v>
      </c>
    </row>
    <row r="1032" spans="1:4" x14ac:dyDescent="0.2">
      <c r="A1032" s="12" t="s">
        <v>5946</v>
      </c>
      <c r="B1032" s="12" t="s">
        <v>5945</v>
      </c>
      <c r="C1032" s="12">
        <v>850</v>
      </c>
      <c r="D1032" s="12">
        <v>85</v>
      </c>
    </row>
    <row r="1033" spans="1:4" x14ac:dyDescent="0.2">
      <c r="A1033" s="12" t="s">
        <v>9093</v>
      </c>
      <c r="B1033" s="12" t="s">
        <v>9092</v>
      </c>
      <c r="C1033" s="12">
        <v>1700</v>
      </c>
      <c r="D1033" s="12">
        <v>330</v>
      </c>
    </row>
    <row r="1034" spans="1:4" x14ac:dyDescent="0.2">
      <c r="A1034" s="12" t="s">
        <v>2110</v>
      </c>
      <c r="B1034" s="12" t="s">
        <v>2109</v>
      </c>
      <c r="C1034" s="12">
        <v>100</v>
      </c>
      <c r="D1034" s="12">
        <v>10</v>
      </c>
    </row>
    <row r="1035" spans="1:4" x14ac:dyDescent="0.2">
      <c r="A1035" s="12" t="s">
        <v>9288</v>
      </c>
      <c r="B1035" s="12" t="s">
        <v>9287</v>
      </c>
      <c r="C1035" s="12">
        <v>1500</v>
      </c>
      <c r="D1035" s="12">
        <v>150</v>
      </c>
    </row>
    <row r="1036" spans="1:4" x14ac:dyDescent="0.2">
      <c r="A1036" s="12" t="s">
        <v>6451</v>
      </c>
      <c r="B1036" s="12" t="s">
        <v>6450</v>
      </c>
      <c r="C1036" s="12">
        <v>100</v>
      </c>
      <c r="D1036" s="12">
        <v>10</v>
      </c>
    </row>
    <row r="1037" spans="1:4" x14ac:dyDescent="0.2">
      <c r="A1037" s="12" t="s">
        <v>6306</v>
      </c>
      <c r="B1037" s="12" t="s">
        <v>6305</v>
      </c>
      <c r="C1037" s="12" t="s">
        <v>59</v>
      </c>
      <c r="D1037" s="12" t="s">
        <v>59</v>
      </c>
    </row>
    <row r="1038" spans="1:4" x14ac:dyDescent="0.2">
      <c r="A1038" s="12" t="s">
        <v>6307</v>
      </c>
      <c r="B1038" s="12" t="s">
        <v>6305</v>
      </c>
      <c r="C1038" s="12">
        <v>1000</v>
      </c>
      <c r="D1038" s="12">
        <v>100</v>
      </c>
    </row>
    <row r="1039" spans="1:4" x14ac:dyDescent="0.2">
      <c r="A1039" s="12" t="s">
        <v>9406</v>
      </c>
      <c r="B1039" s="12" t="s">
        <v>9405</v>
      </c>
      <c r="C1039" s="12" t="s">
        <v>59</v>
      </c>
      <c r="D1039" s="12" t="s">
        <v>59</v>
      </c>
    </row>
    <row r="1040" spans="1:4" x14ac:dyDescent="0.2">
      <c r="A1040" s="12" t="s">
        <v>9407</v>
      </c>
      <c r="B1040" s="12" t="s">
        <v>9405</v>
      </c>
      <c r="C1040" s="12">
        <v>1000</v>
      </c>
      <c r="D1040" s="12">
        <v>100</v>
      </c>
    </row>
    <row r="1041" spans="1:4" x14ac:dyDescent="0.2">
      <c r="A1041" s="12" t="s">
        <v>8232</v>
      </c>
      <c r="B1041" s="12" t="s">
        <v>8231</v>
      </c>
      <c r="C1041" s="12">
        <v>1</v>
      </c>
      <c r="D1041" s="12">
        <v>0.1</v>
      </c>
    </row>
    <row r="1042" spans="1:4" x14ac:dyDescent="0.2">
      <c r="A1042" s="12" t="s">
        <v>3857</v>
      </c>
      <c r="B1042" s="12" t="s">
        <v>3856</v>
      </c>
      <c r="C1042" s="12">
        <v>50</v>
      </c>
      <c r="D1042" s="12">
        <v>5</v>
      </c>
    </row>
    <row r="1043" spans="1:4" x14ac:dyDescent="0.2">
      <c r="A1043" s="12" t="s">
        <v>8922</v>
      </c>
      <c r="B1043" s="12" t="s">
        <v>8921</v>
      </c>
      <c r="C1043" s="12">
        <v>100</v>
      </c>
      <c r="D1043" s="12">
        <v>10</v>
      </c>
    </row>
    <row r="1044" spans="1:4" x14ac:dyDescent="0.2">
      <c r="A1044" s="12" t="s">
        <v>11299</v>
      </c>
      <c r="B1044" s="12" t="s">
        <v>11298</v>
      </c>
      <c r="C1044" s="12">
        <v>100</v>
      </c>
      <c r="D1044" s="12">
        <v>10</v>
      </c>
    </row>
    <row r="1045" spans="1:4" x14ac:dyDescent="0.2">
      <c r="A1045" s="12" t="s">
        <v>6130</v>
      </c>
      <c r="B1045" s="12" t="s">
        <v>6129</v>
      </c>
      <c r="C1045" s="12">
        <v>90</v>
      </c>
      <c r="D1045" s="12">
        <v>9</v>
      </c>
    </row>
    <row r="1046" spans="1:4" x14ac:dyDescent="0.2">
      <c r="A1046" s="12" t="s">
        <v>11125</v>
      </c>
      <c r="B1046" s="12" t="s">
        <v>11124</v>
      </c>
      <c r="C1046" s="12">
        <v>20</v>
      </c>
      <c r="D1046" s="12">
        <v>2</v>
      </c>
    </row>
    <row r="1047" spans="1:4" x14ac:dyDescent="0.2">
      <c r="A1047" s="12" t="s">
        <v>5757</v>
      </c>
      <c r="B1047" s="12" t="s">
        <v>5756</v>
      </c>
      <c r="C1047" s="12">
        <v>20</v>
      </c>
      <c r="D1047" s="12">
        <v>2</v>
      </c>
    </row>
    <row r="1048" spans="1:4" x14ac:dyDescent="0.2">
      <c r="A1048" s="12" t="s">
        <v>2452</v>
      </c>
      <c r="B1048" s="12" t="s">
        <v>2451</v>
      </c>
      <c r="C1048" s="12" t="s">
        <v>59</v>
      </c>
      <c r="D1048" s="12" t="s">
        <v>59</v>
      </c>
    </row>
    <row r="1049" spans="1:4" x14ac:dyDescent="0.2">
      <c r="A1049" s="12" t="s">
        <v>8336</v>
      </c>
      <c r="B1049" s="12" t="s">
        <v>8335</v>
      </c>
      <c r="C1049" s="12">
        <v>20</v>
      </c>
      <c r="D1049" s="12">
        <v>2</v>
      </c>
    </row>
    <row r="1050" spans="1:4" x14ac:dyDescent="0.2">
      <c r="A1050" s="12" t="s">
        <v>11704</v>
      </c>
      <c r="B1050" s="12" t="s">
        <v>11703</v>
      </c>
      <c r="C1050" s="12">
        <v>20</v>
      </c>
      <c r="D1050" s="12">
        <v>2</v>
      </c>
    </row>
    <row r="1051" spans="1:4" x14ac:dyDescent="0.2">
      <c r="A1051" s="12" t="s">
        <v>1912</v>
      </c>
      <c r="B1051" s="12" t="s">
        <v>1911</v>
      </c>
      <c r="C1051" s="12">
        <v>400</v>
      </c>
      <c r="D1051" s="12">
        <v>40</v>
      </c>
    </row>
    <row r="1052" spans="1:4" x14ac:dyDescent="0.2">
      <c r="A1052" s="12" t="s">
        <v>5829</v>
      </c>
      <c r="B1052" s="12" t="s">
        <v>5828</v>
      </c>
      <c r="C1052" s="12">
        <v>20</v>
      </c>
      <c r="D1052" s="12">
        <v>2</v>
      </c>
    </row>
    <row r="1053" spans="1:4" x14ac:dyDescent="0.2">
      <c r="A1053" s="12" t="s">
        <v>6397</v>
      </c>
      <c r="B1053" s="12" t="s">
        <v>6396</v>
      </c>
      <c r="C1053" s="12" t="s">
        <v>59</v>
      </c>
      <c r="D1053" s="12" t="s">
        <v>59</v>
      </c>
    </row>
    <row r="1054" spans="1:4" x14ac:dyDescent="0.2">
      <c r="A1054" s="12" t="s">
        <v>7781</v>
      </c>
      <c r="B1054" s="12" t="s">
        <v>7780</v>
      </c>
      <c r="C1054" s="12">
        <v>1000</v>
      </c>
      <c r="D1054" s="12">
        <v>100</v>
      </c>
    </row>
    <row r="1055" spans="1:4" x14ac:dyDescent="0.2">
      <c r="A1055" s="12" t="s">
        <v>5278</v>
      </c>
      <c r="B1055" s="12" t="s">
        <v>5277</v>
      </c>
      <c r="C1055" s="12" t="s">
        <v>59</v>
      </c>
      <c r="D1055" s="12"/>
    </row>
    <row r="1056" spans="1:4" x14ac:dyDescent="0.2">
      <c r="A1056" s="12" t="s">
        <v>5279</v>
      </c>
      <c r="B1056" s="12" t="s">
        <v>5277</v>
      </c>
      <c r="C1056" s="12"/>
      <c r="D1056" s="12">
        <v>0.9</v>
      </c>
    </row>
    <row r="1057" spans="1:4" x14ac:dyDescent="0.2">
      <c r="A1057" s="12" t="s">
        <v>4236</v>
      </c>
      <c r="B1057" s="12" t="s">
        <v>4235</v>
      </c>
      <c r="C1057" s="12">
        <v>1000</v>
      </c>
      <c r="D1057" s="12">
        <v>100</v>
      </c>
    </row>
    <row r="1058" spans="1:4" x14ac:dyDescent="0.2">
      <c r="A1058" s="12" t="s">
        <v>7142</v>
      </c>
      <c r="B1058" s="12" t="s">
        <v>7141</v>
      </c>
      <c r="C1058" s="12">
        <v>10</v>
      </c>
      <c r="D1058" s="12">
        <v>1</v>
      </c>
    </row>
    <row r="1059" spans="1:4" x14ac:dyDescent="0.2">
      <c r="A1059" s="12" t="s">
        <v>9167</v>
      </c>
      <c r="B1059" s="12" t="s">
        <v>9166</v>
      </c>
      <c r="C1059" s="12">
        <v>0.33</v>
      </c>
      <c r="D1059" s="12">
        <v>5.8999999999999997E-2</v>
      </c>
    </row>
    <row r="1060" spans="1:4" x14ac:dyDescent="0.2">
      <c r="A1060" s="12" t="s">
        <v>8151</v>
      </c>
      <c r="B1060" s="12" t="s">
        <v>8150</v>
      </c>
      <c r="C1060" s="12">
        <v>2</v>
      </c>
      <c r="D1060" s="12">
        <v>0.2</v>
      </c>
    </row>
    <row r="1061" spans="1:4" x14ac:dyDescent="0.2">
      <c r="A1061" s="12" t="s">
        <v>9125</v>
      </c>
      <c r="B1061" s="12" t="s">
        <v>9124</v>
      </c>
      <c r="C1061" s="12" t="s">
        <v>59</v>
      </c>
      <c r="D1061" s="12" t="s">
        <v>59</v>
      </c>
    </row>
    <row r="1062" spans="1:4" x14ac:dyDescent="0.2">
      <c r="A1062" s="12" t="s">
        <v>9126</v>
      </c>
      <c r="B1062" s="12" t="s">
        <v>9124</v>
      </c>
      <c r="C1062" s="12">
        <v>2500</v>
      </c>
      <c r="D1062" s="12">
        <v>250</v>
      </c>
    </row>
    <row r="1063" spans="1:4" x14ac:dyDescent="0.2">
      <c r="A1063" s="12" t="s">
        <v>11366</v>
      </c>
      <c r="B1063" s="12" t="s">
        <v>11365</v>
      </c>
      <c r="C1063" s="12" t="s">
        <v>59</v>
      </c>
      <c r="D1063" s="12" t="s">
        <v>59</v>
      </c>
    </row>
    <row r="1064" spans="1:4" x14ac:dyDescent="0.2">
      <c r="A1064" s="12" t="s">
        <v>9184</v>
      </c>
      <c r="B1064" s="12" t="s">
        <v>9183</v>
      </c>
      <c r="C1064" s="12">
        <v>0.33</v>
      </c>
      <c r="D1064" s="12">
        <v>5.8999999999999997E-2</v>
      </c>
    </row>
    <row r="1065" spans="1:4" x14ac:dyDescent="0.2">
      <c r="A1065" s="12" t="s">
        <v>8688</v>
      </c>
      <c r="B1065" s="12" t="s">
        <v>8687</v>
      </c>
      <c r="C1065" s="12">
        <v>30</v>
      </c>
      <c r="D1065" s="12">
        <v>3</v>
      </c>
    </row>
    <row r="1066" spans="1:4" x14ac:dyDescent="0.2">
      <c r="A1066" s="12" t="s">
        <v>6217</v>
      </c>
      <c r="B1066" s="12" t="s">
        <v>6216</v>
      </c>
      <c r="C1066" s="12" t="s">
        <v>59</v>
      </c>
      <c r="D1066" s="12" t="s">
        <v>59</v>
      </c>
    </row>
    <row r="1067" spans="1:4" x14ac:dyDescent="0.2">
      <c r="A1067" s="12" t="s">
        <v>12018</v>
      </c>
      <c r="B1067" s="12" t="s">
        <v>12017</v>
      </c>
      <c r="C1067" s="12">
        <v>27</v>
      </c>
      <c r="D1067" s="12">
        <v>2.7</v>
      </c>
    </row>
    <row r="1068" spans="1:4" x14ac:dyDescent="0.2">
      <c r="A1068" s="12" t="s">
        <v>12074</v>
      </c>
      <c r="B1068" s="12" t="s">
        <v>12073</v>
      </c>
      <c r="C1068" s="12">
        <v>160</v>
      </c>
      <c r="D1068" s="12">
        <v>16</v>
      </c>
    </row>
    <row r="1069" spans="1:4" x14ac:dyDescent="0.2">
      <c r="A1069" s="12" t="s">
        <v>12189</v>
      </c>
      <c r="B1069" s="12" t="s">
        <v>12188</v>
      </c>
      <c r="C1069" s="12">
        <v>1</v>
      </c>
      <c r="D1069" s="12">
        <v>0.1</v>
      </c>
    </row>
    <row r="1070" spans="1:4" x14ac:dyDescent="0.2">
      <c r="A1070" s="12" t="s">
        <v>11938</v>
      </c>
      <c r="B1070" s="12" t="s">
        <v>11937</v>
      </c>
      <c r="C1070" s="12">
        <v>50</v>
      </c>
      <c r="D1070" s="12">
        <v>5</v>
      </c>
    </row>
    <row r="1071" spans="1:4" x14ac:dyDescent="0.2">
      <c r="A1071" s="12" t="s">
        <v>8694</v>
      </c>
      <c r="B1071" s="12" t="s">
        <v>8693</v>
      </c>
      <c r="C1071" s="12">
        <v>30</v>
      </c>
      <c r="D1071" s="12">
        <v>3</v>
      </c>
    </row>
    <row r="1072" spans="1:4" x14ac:dyDescent="0.2">
      <c r="A1072" s="12" t="s">
        <v>2704</v>
      </c>
      <c r="B1072" s="12" t="s">
        <v>2703</v>
      </c>
      <c r="C1072" s="12" t="s">
        <v>59</v>
      </c>
      <c r="D1072" s="12" t="s">
        <v>59</v>
      </c>
    </row>
    <row r="1073" spans="1:4" x14ac:dyDescent="0.2">
      <c r="A1073" s="12" t="s">
        <v>1666</v>
      </c>
      <c r="B1073" s="12" t="s">
        <v>1665</v>
      </c>
      <c r="C1073" s="12" t="s">
        <v>59</v>
      </c>
      <c r="D1073" s="12" t="s">
        <v>59</v>
      </c>
    </row>
    <row r="1074" spans="1:4" x14ac:dyDescent="0.2">
      <c r="A1074" s="12" t="s">
        <v>3566</v>
      </c>
      <c r="B1074" s="12" t="s">
        <v>3565</v>
      </c>
      <c r="C1074" s="12">
        <v>600</v>
      </c>
      <c r="D1074" s="12">
        <v>60</v>
      </c>
    </row>
    <row r="1075" spans="1:4" x14ac:dyDescent="0.2">
      <c r="A1075" s="12" t="s">
        <v>8727</v>
      </c>
      <c r="B1075" s="12" t="s">
        <v>8726</v>
      </c>
      <c r="C1075" s="12">
        <v>97</v>
      </c>
      <c r="D1075" s="12">
        <v>7</v>
      </c>
    </row>
    <row r="1076" spans="1:4" x14ac:dyDescent="0.2">
      <c r="A1076" s="12" t="s">
        <v>8332</v>
      </c>
      <c r="B1076" s="12" t="s">
        <v>8331</v>
      </c>
      <c r="C1076" s="12">
        <v>27</v>
      </c>
      <c r="D1076" s="12">
        <v>2.7</v>
      </c>
    </row>
    <row r="1077" spans="1:4" x14ac:dyDescent="0.2">
      <c r="A1077" s="12" t="s">
        <v>5106</v>
      </c>
      <c r="B1077" s="12" t="s">
        <v>5105</v>
      </c>
      <c r="C1077" s="12">
        <v>40</v>
      </c>
      <c r="D1077" s="12">
        <v>4</v>
      </c>
    </row>
    <row r="1078" spans="1:4" x14ac:dyDescent="0.2">
      <c r="A1078" s="12" t="s">
        <v>961</v>
      </c>
      <c r="B1078" s="12" t="s">
        <v>960</v>
      </c>
      <c r="C1078" s="12">
        <v>40</v>
      </c>
      <c r="D1078" s="12">
        <v>4</v>
      </c>
    </row>
    <row r="1079" spans="1:4" x14ac:dyDescent="0.2">
      <c r="A1079" s="12" t="s">
        <v>12249</v>
      </c>
      <c r="B1079" s="12" t="s">
        <v>12248</v>
      </c>
      <c r="C1079" s="12">
        <v>600</v>
      </c>
      <c r="D1079" s="12">
        <v>60</v>
      </c>
    </row>
    <row r="1080" spans="1:4" x14ac:dyDescent="0.2">
      <c r="A1080" s="12" t="s">
        <v>3444</v>
      </c>
      <c r="B1080" s="12" t="s">
        <v>3443</v>
      </c>
      <c r="C1080" s="12">
        <v>2950</v>
      </c>
      <c r="D1080" s="12">
        <v>295</v>
      </c>
    </row>
    <row r="1081" spans="1:4" x14ac:dyDescent="0.2">
      <c r="A1081" s="12" t="s">
        <v>10376</v>
      </c>
      <c r="B1081" s="12" t="s">
        <v>10375</v>
      </c>
      <c r="C1081" s="12" t="s">
        <v>59</v>
      </c>
      <c r="D1081" s="12" t="s">
        <v>59</v>
      </c>
    </row>
    <row r="1082" spans="1:4" x14ac:dyDescent="0.2">
      <c r="A1082" s="12" t="s">
        <v>3750</v>
      </c>
      <c r="B1082" s="12" t="s">
        <v>3749</v>
      </c>
      <c r="C1082" s="12" t="s">
        <v>59</v>
      </c>
      <c r="D1082" s="12" t="s">
        <v>59</v>
      </c>
    </row>
    <row r="1083" spans="1:4" x14ac:dyDescent="0.2">
      <c r="A1083" s="12" t="s">
        <v>3751</v>
      </c>
      <c r="B1083" s="12" t="s">
        <v>3749</v>
      </c>
      <c r="C1083" s="12">
        <v>600</v>
      </c>
      <c r="D1083" s="12">
        <v>60</v>
      </c>
    </row>
    <row r="1084" spans="1:4" x14ac:dyDescent="0.2">
      <c r="A1084" s="12" t="s">
        <v>10981</v>
      </c>
      <c r="B1084" s="12" t="s">
        <v>10980</v>
      </c>
      <c r="C1084" s="12" t="s">
        <v>59</v>
      </c>
      <c r="D1084" s="12" t="s">
        <v>59</v>
      </c>
    </row>
    <row r="1085" spans="1:4" x14ac:dyDescent="0.2">
      <c r="A1085" s="12" t="s">
        <v>4569</v>
      </c>
      <c r="B1085" s="12" t="s">
        <v>4568</v>
      </c>
      <c r="C1085" s="12" t="s">
        <v>59</v>
      </c>
      <c r="D1085" s="12" t="s">
        <v>59</v>
      </c>
    </row>
    <row r="1086" spans="1:4" x14ac:dyDescent="0.2">
      <c r="A1086" s="12" t="s">
        <v>5739</v>
      </c>
      <c r="B1086" s="12" t="s">
        <v>5738</v>
      </c>
      <c r="C1086" s="12">
        <v>3.6</v>
      </c>
      <c r="D1086" s="12">
        <v>4.1000000000000002E-2</v>
      </c>
    </row>
    <row r="1087" spans="1:4" x14ac:dyDescent="0.2">
      <c r="A1087" s="12" t="s">
        <v>10660</v>
      </c>
      <c r="B1087" s="12" t="s">
        <v>10659</v>
      </c>
      <c r="C1087" s="12">
        <v>1000</v>
      </c>
      <c r="D1087" s="12">
        <v>100</v>
      </c>
    </row>
    <row r="1088" spans="1:4" x14ac:dyDescent="0.2">
      <c r="A1088" s="12" t="s">
        <v>11629</v>
      </c>
      <c r="B1088" s="12" t="s">
        <v>11628</v>
      </c>
      <c r="C1088" s="12">
        <v>2000</v>
      </c>
      <c r="D1088" s="12">
        <v>26</v>
      </c>
    </row>
    <row r="1089" spans="1:4" x14ac:dyDescent="0.2">
      <c r="A1089" s="12" t="s">
        <v>6122</v>
      </c>
      <c r="B1089" s="12" t="s">
        <v>6121</v>
      </c>
      <c r="C1089" s="12">
        <v>360</v>
      </c>
      <c r="D1089" s="12">
        <v>36</v>
      </c>
    </row>
    <row r="1090" spans="1:4" x14ac:dyDescent="0.2">
      <c r="A1090" s="12" t="s">
        <v>10878</v>
      </c>
      <c r="B1090" s="12" t="s">
        <v>10877</v>
      </c>
      <c r="C1090" s="12">
        <v>50</v>
      </c>
      <c r="D1090" s="12">
        <v>5</v>
      </c>
    </row>
    <row r="1091" spans="1:4" x14ac:dyDescent="0.2">
      <c r="A1091" s="12" t="s">
        <v>7714</v>
      </c>
      <c r="B1091" s="12" t="s">
        <v>7713</v>
      </c>
      <c r="C1091" s="12">
        <v>3.6</v>
      </c>
      <c r="D1091" s="12">
        <v>4.1000000000000002E-2</v>
      </c>
    </row>
    <row r="1092" spans="1:4" x14ac:dyDescent="0.2">
      <c r="A1092" s="12" t="s">
        <v>11353</v>
      </c>
      <c r="B1092" s="12" t="s">
        <v>11352</v>
      </c>
      <c r="C1092" s="12" t="s">
        <v>59</v>
      </c>
      <c r="D1092" s="12" t="s">
        <v>59</v>
      </c>
    </row>
    <row r="1093" spans="1:4" x14ac:dyDescent="0.2">
      <c r="A1093" s="12" t="s">
        <v>7730</v>
      </c>
      <c r="B1093" s="12" t="s">
        <v>7729</v>
      </c>
      <c r="C1093" s="12">
        <v>10</v>
      </c>
      <c r="D1093" s="12">
        <v>1</v>
      </c>
    </row>
    <row r="1094" spans="1:4" x14ac:dyDescent="0.2">
      <c r="A1094" s="12" t="s">
        <v>136</v>
      </c>
      <c r="B1094" s="12" t="s">
        <v>135</v>
      </c>
      <c r="C1094" s="12">
        <v>1400</v>
      </c>
      <c r="D1094" s="12">
        <v>140</v>
      </c>
    </row>
    <row r="1095" spans="1:4" x14ac:dyDescent="0.2">
      <c r="A1095" s="12" t="s">
        <v>4329</v>
      </c>
      <c r="B1095" s="12" t="s">
        <v>4328</v>
      </c>
      <c r="C1095" s="12">
        <v>120</v>
      </c>
      <c r="D1095" s="12">
        <v>12</v>
      </c>
    </row>
    <row r="1096" spans="1:4" x14ac:dyDescent="0.2">
      <c r="A1096" s="12" t="s">
        <v>5408</v>
      </c>
      <c r="B1096" s="12" t="s">
        <v>5407</v>
      </c>
      <c r="C1096" s="12" t="s">
        <v>59</v>
      </c>
      <c r="D1096" s="12" t="s">
        <v>59</v>
      </c>
    </row>
    <row r="1097" spans="1:4" x14ac:dyDescent="0.2">
      <c r="A1097" s="12" t="s">
        <v>5409</v>
      </c>
      <c r="B1097" s="12" t="s">
        <v>5407</v>
      </c>
      <c r="C1097" s="12">
        <v>1000</v>
      </c>
      <c r="D1097" s="12">
        <v>100</v>
      </c>
    </row>
    <row r="1098" spans="1:4" x14ac:dyDescent="0.2">
      <c r="A1098" s="12" t="s">
        <v>4395</v>
      </c>
      <c r="B1098" s="12" t="s">
        <v>4394</v>
      </c>
      <c r="C1098" s="12">
        <v>1120</v>
      </c>
      <c r="D1098" s="12">
        <v>112</v>
      </c>
    </row>
    <row r="1099" spans="1:4" x14ac:dyDescent="0.2">
      <c r="A1099" s="12" t="s">
        <v>4632</v>
      </c>
      <c r="B1099" s="12" t="s">
        <v>4631</v>
      </c>
      <c r="C1099" s="12" t="s">
        <v>59</v>
      </c>
      <c r="D1099" s="12" t="s">
        <v>59</v>
      </c>
    </row>
    <row r="1100" spans="1:4" x14ac:dyDescent="0.2">
      <c r="A1100" s="12" t="s">
        <v>1853</v>
      </c>
      <c r="B1100" s="12" t="s">
        <v>1852</v>
      </c>
      <c r="C1100" s="12">
        <v>310</v>
      </c>
      <c r="D1100" s="12">
        <v>31</v>
      </c>
    </row>
    <row r="1101" spans="1:4" x14ac:dyDescent="0.2">
      <c r="A1101" s="12" t="s">
        <v>1854</v>
      </c>
      <c r="B1101" s="12" t="s">
        <v>1852</v>
      </c>
      <c r="C1101" s="12" t="s">
        <v>59</v>
      </c>
      <c r="D1101" s="12" t="s">
        <v>59</v>
      </c>
    </row>
    <row r="1102" spans="1:4" x14ac:dyDescent="0.2">
      <c r="A1102" s="12" t="s">
        <v>10779</v>
      </c>
      <c r="B1102" s="12" t="s">
        <v>10778</v>
      </c>
      <c r="C1102" s="12" t="s">
        <v>59</v>
      </c>
      <c r="D1102" s="12" t="s">
        <v>59</v>
      </c>
    </row>
    <row r="1103" spans="1:4" x14ac:dyDescent="0.2">
      <c r="A1103" s="12" t="s">
        <v>9785</v>
      </c>
      <c r="B1103" s="12" t="s">
        <v>9784</v>
      </c>
      <c r="C1103" s="12" t="s">
        <v>59</v>
      </c>
      <c r="D1103" s="12" t="s">
        <v>59</v>
      </c>
    </row>
    <row r="1104" spans="1:4" x14ac:dyDescent="0.2">
      <c r="A1104" s="12" t="s">
        <v>6496</v>
      </c>
      <c r="B1104" s="12" t="s">
        <v>6495</v>
      </c>
      <c r="C1104" s="12" t="s">
        <v>59</v>
      </c>
      <c r="D1104" s="12" t="s">
        <v>59</v>
      </c>
    </row>
    <row r="1105" spans="1:4" x14ac:dyDescent="0.2">
      <c r="A1105" s="12" t="s">
        <v>6497</v>
      </c>
      <c r="B1105" s="12" t="s">
        <v>6495</v>
      </c>
      <c r="C1105" s="12">
        <v>600</v>
      </c>
      <c r="D1105" s="12">
        <v>60</v>
      </c>
    </row>
    <row r="1106" spans="1:4" x14ac:dyDescent="0.2">
      <c r="A1106" s="12" t="s">
        <v>7642</v>
      </c>
      <c r="B1106" s="12" t="s">
        <v>7641</v>
      </c>
      <c r="C1106" s="12">
        <v>600</v>
      </c>
      <c r="D1106" s="12">
        <v>60</v>
      </c>
    </row>
    <row r="1107" spans="1:4" x14ac:dyDescent="0.2">
      <c r="A1107" s="12" t="s">
        <v>6004</v>
      </c>
      <c r="B1107" s="12" t="s">
        <v>6003</v>
      </c>
      <c r="C1107" s="12" t="s">
        <v>59</v>
      </c>
      <c r="D1107" s="12" t="s">
        <v>59</v>
      </c>
    </row>
    <row r="1108" spans="1:4" x14ac:dyDescent="0.2">
      <c r="A1108" s="12" t="s">
        <v>12243</v>
      </c>
      <c r="B1108" s="12" t="s">
        <v>12242</v>
      </c>
      <c r="C1108" s="12">
        <v>1500</v>
      </c>
      <c r="D1108" s="12">
        <v>150</v>
      </c>
    </row>
    <row r="1109" spans="1:4" x14ac:dyDescent="0.2">
      <c r="A1109" s="12" t="s">
        <v>10629</v>
      </c>
      <c r="B1109" s="12" t="s">
        <v>10628</v>
      </c>
      <c r="C1109" s="12">
        <v>0.5</v>
      </c>
      <c r="D1109" s="12">
        <v>0.05</v>
      </c>
    </row>
    <row r="1110" spans="1:4" x14ac:dyDescent="0.2">
      <c r="A1110" s="12" t="s">
        <v>5281</v>
      </c>
      <c r="B1110" s="12" t="s">
        <v>5280</v>
      </c>
      <c r="C1110" s="12" t="s">
        <v>59</v>
      </c>
      <c r="D1110" s="12"/>
    </row>
    <row r="1111" spans="1:4" x14ac:dyDescent="0.2">
      <c r="A1111" s="12" t="s">
        <v>5282</v>
      </c>
      <c r="B1111" s="12" t="s">
        <v>5280</v>
      </c>
      <c r="C1111" s="12"/>
      <c r="D1111" s="12">
        <v>0.9</v>
      </c>
    </row>
    <row r="1112" spans="1:4" x14ac:dyDescent="0.2">
      <c r="A1112" s="12" t="s">
        <v>5521</v>
      </c>
      <c r="B1112" s="12" t="s">
        <v>5520</v>
      </c>
      <c r="C1112" s="12" t="s">
        <v>59</v>
      </c>
      <c r="D1112" s="12" t="s">
        <v>59</v>
      </c>
    </row>
    <row r="1113" spans="1:4" x14ac:dyDescent="0.2">
      <c r="A1113" s="12" t="s">
        <v>4425</v>
      </c>
      <c r="B1113" s="12" t="s">
        <v>4424</v>
      </c>
      <c r="C1113" s="12">
        <v>100</v>
      </c>
      <c r="D1113" s="12">
        <v>10</v>
      </c>
    </row>
    <row r="1114" spans="1:4" x14ac:dyDescent="0.2">
      <c r="A1114" s="12" t="s">
        <v>4242</v>
      </c>
      <c r="B1114" s="12" t="s">
        <v>4241</v>
      </c>
      <c r="C1114" s="12">
        <v>2450</v>
      </c>
      <c r="D1114" s="12">
        <v>245</v>
      </c>
    </row>
    <row r="1115" spans="1:4" x14ac:dyDescent="0.2">
      <c r="A1115" s="12" t="s">
        <v>4255</v>
      </c>
      <c r="B1115" s="12" t="s">
        <v>4254</v>
      </c>
      <c r="C1115" s="12">
        <v>2450</v>
      </c>
      <c r="D1115" s="12">
        <v>245</v>
      </c>
    </row>
    <row r="1116" spans="1:4" x14ac:dyDescent="0.2">
      <c r="A1116" s="12" t="s">
        <v>4906</v>
      </c>
      <c r="B1116" s="12" t="s">
        <v>4905</v>
      </c>
      <c r="C1116" s="12">
        <v>1000</v>
      </c>
      <c r="D1116" s="12">
        <v>100</v>
      </c>
    </row>
    <row r="1117" spans="1:4" x14ac:dyDescent="0.2">
      <c r="A1117" s="12" t="s">
        <v>6797</v>
      </c>
      <c r="B1117" s="12" t="s">
        <v>6796</v>
      </c>
      <c r="C1117" s="12">
        <v>1000</v>
      </c>
      <c r="D1117" s="12">
        <v>100</v>
      </c>
    </row>
    <row r="1118" spans="1:4" x14ac:dyDescent="0.2">
      <c r="A1118" s="12" t="s">
        <v>58</v>
      </c>
      <c r="B1118" s="12" t="s">
        <v>57</v>
      </c>
      <c r="C1118" s="12" t="s">
        <v>59</v>
      </c>
      <c r="D1118" s="12" t="s">
        <v>59</v>
      </c>
    </row>
    <row r="1119" spans="1:4" x14ac:dyDescent="0.2">
      <c r="A1119" s="12" t="s">
        <v>12367</v>
      </c>
      <c r="B1119" s="12" t="s">
        <v>12366</v>
      </c>
      <c r="C1119" s="12">
        <v>290</v>
      </c>
      <c r="D1119" s="12">
        <v>3.3</v>
      </c>
    </row>
    <row r="1120" spans="1:4" x14ac:dyDescent="0.2">
      <c r="A1120" s="12" t="s">
        <v>11205</v>
      </c>
      <c r="B1120" s="12" t="s">
        <v>11204</v>
      </c>
      <c r="C1120" s="12" t="s">
        <v>59</v>
      </c>
      <c r="D1120" s="12" t="s">
        <v>59</v>
      </c>
    </row>
    <row r="1121" spans="1:4" x14ac:dyDescent="0.2">
      <c r="A1121" s="12" t="s">
        <v>11206</v>
      </c>
      <c r="B1121" s="12" t="s">
        <v>11204</v>
      </c>
      <c r="C1121" s="12">
        <v>1000</v>
      </c>
      <c r="D1121" s="12">
        <v>100</v>
      </c>
    </row>
    <row r="1122" spans="1:4" x14ac:dyDescent="0.2">
      <c r="A1122" s="12" t="s">
        <v>12369</v>
      </c>
      <c r="B1122" s="12" t="s">
        <v>12368</v>
      </c>
      <c r="C1122" s="12">
        <v>25</v>
      </c>
      <c r="D1122" s="12">
        <v>2.5</v>
      </c>
    </row>
    <row r="1123" spans="1:4" x14ac:dyDescent="0.2">
      <c r="A1123" s="12" t="s">
        <v>11048</v>
      </c>
      <c r="B1123" s="12" t="s">
        <v>11047</v>
      </c>
      <c r="C1123" s="12" t="s">
        <v>59</v>
      </c>
      <c r="D1123" s="12" t="s">
        <v>59</v>
      </c>
    </row>
    <row r="1124" spans="1:4" x14ac:dyDescent="0.2">
      <c r="A1124" s="12" t="s">
        <v>5150</v>
      </c>
      <c r="B1124" s="12" t="s">
        <v>5149</v>
      </c>
      <c r="C1124" s="12">
        <v>3.6</v>
      </c>
      <c r="D1124" s="12">
        <v>4.1000000000000002E-2</v>
      </c>
    </row>
    <row r="1125" spans="1:4" x14ac:dyDescent="0.2">
      <c r="A1125" s="12" t="s">
        <v>826</v>
      </c>
      <c r="B1125" s="12" t="s">
        <v>825</v>
      </c>
      <c r="C1125" s="12">
        <v>1</v>
      </c>
      <c r="D1125" s="12">
        <v>0.1</v>
      </c>
    </row>
    <row r="1126" spans="1:4" x14ac:dyDescent="0.2">
      <c r="A1126" s="12" t="s">
        <v>10984</v>
      </c>
      <c r="B1126" s="12" t="s">
        <v>10983</v>
      </c>
      <c r="C1126" s="12">
        <v>20</v>
      </c>
      <c r="D1126" s="12">
        <v>2</v>
      </c>
    </row>
    <row r="1127" spans="1:4" x14ac:dyDescent="0.2">
      <c r="A1127" s="12" t="s">
        <v>7700</v>
      </c>
      <c r="B1127" s="12" t="s">
        <v>7699</v>
      </c>
      <c r="C1127" s="12" t="s">
        <v>59</v>
      </c>
      <c r="D1127" s="12" t="s">
        <v>59</v>
      </c>
    </row>
    <row r="1128" spans="1:4" x14ac:dyDescent="0.2">
      <c r="A1128" s="12" t="s">
        <v>5441</v>
      </c>
      <c r="B1128" s="12" t="s">
        <v>5440</v>
      </c>
      <c r="C1128" s="12">
        <v>50</v>
      </c>
      <c r="D1128" s="12">
        <v>5</v>
      </c>
    </row>
    <row r="1129" spans="1:4" x14ac:dyDescent="0.2">
      <c r="A1129" s="12" t="s">
        <v>3867</v>
      </c>
      <c r="B1129" s="12" t="s">
        <v>3866</v>
      </c>
      <c r="C1129" s="12">
        <v>50</v>
      </c>
      <c r="D1129" s="12">
        <v>5</v>
      </c>
    </row>
    <row r="1130" spans="1:4" x14ac:dyDescent="0.2">
      <c r="A1130" s="12" t="s">
        <v>4224</v>
      </c>
      <c r="B1130" s="12" t="s">
        <v>4223</v>
      </c>
      <c r="C1130" s="12" t="s">
        <v>59</v>
      </c>
      <c r="D1130" s="12" t="s">
        <v>59</v>
      </c>
    </row>
    <row r="1131" spans="1:4" x14ac:dyDescent="0.2">
      <c r="A1131" s="12" t="s">
        <v>7257</v>
      </c>
      <c r="B1131" s="12" t="s">
        <v>7256</v>
      </c>
      <c r="C1131" s="12">
        <v>3</v>
      </c>
      <c r="D1131" s="12">
        <v>6.7000000000000004E-2</v>
      </c>
    </row>
    <row r="1132" spans="1:4" x14ac:dyDescent="0.2">
      <c r="A1132" s="12" t="s">
        <v>4129</v>
      </c>
      <c r="B1132" s="12" t="s">
        <v>4128</v>
      </c>
      <c r="C1132" s="12">
        <v>3</v>
      </c>
      <c r="D1132" s="12">
        <v>6.7000000000000004E-2</v>
      </c>
    </row>
    <row r="1133" spans="1:4" x14ac:dyDescent="0.2">
      <c r="A1133" s="12" t="s">
        <v>4522</v>
      </c>
      <c r="B1133" s="12" t="s">
        <v>4521</v>
      </c>
      <c r="C1133" s="12">
        <v>50</v>
      </c>
      <c r="D1133" s="12">
        <v>5</v>
      </c>
    </row>
    <row r="1134" spans="1:4" x14ac:dyDescent="0.2">
      <c r="A1134" s="12" t="s">
        <v>11006</v>
      </c>
      <c r="B1134" s="12" t="s">
        <v>11005</v>
      </c>
      <c r="C1134" s="12">
        <v>20</v>
      </c>
      <c r="D1134" s="12">
        <v>2</v>
      </c>
    </row>
    <row r="1135" spans="1:4" x14ac:dyDescent="0.2">
      <c r="A1135" s="12" t="s">
        <v>4202</v>
      </c>
      <c r="B1135" s="12" t="s">
        <v>4201</v>
      </c>
      <c r="C1135" s="12">
        <v>5</v>
      </c>
      <c r="D1135" s="12">
        <v>0.5</v>
      </c>
    </row>
    <row r="1136" spans="1:4" x14ac:dyDescent="0.2">
      <c r="A1136" s="12" t="s">
        <v>4492</v>
      </c>
      <c r="B1136" s="12" t="s">
        <v>4491</v>
      </c>
      <c r="C1136" s="12">
        <v>50</v>
      </c>
      <c r="D1136" s="12">
        <v>5</v>
      </c>
    </row>
    <row r="1137" spans="1:4" x14ac:dyDescent="0.2">
      <c r="A1137" s="12" t="s">
        <v>868</v>
      </c>
      <c r="B1137" s="12" t="s">
        <v>867</v>
      </c>
      <c r="C1137" s="12">
        <v>10</v>
      </c>
      <c r="D1137" s="12">
        <v>1</v>
      </c>
    </row>
    <row r="1138" spans="1:4" x14ac:dyDescent="0.2">
      <c r="A1138" s="12" t="s">
        <v>10222</v>
      </c>
      <c r="B1138" s="12" t="s">
        <v>10221</v>
      </c>
      <c r="C1138" s="12">
        <v>0.5</v>
      </c>
      <c r="D1138" s="12">
        <v>0.05</v>
      </c>
    </row>
    <row r="1139" spans="1:4" x14ac:dyDescent="0.2">
      <c r="A1139" s="12" t="s">
        <v>1744</v>
      </c>
      <c r="B1139" s="12" t="s">
        <v>1743</v>
      </c>
      <c r="C1139" s="12">
        <v>100</v>
      </c>
      <c r="D1139" s="12">
        <v>10</v>
      </c>
    </row>
    <row r="1140" spans="1:4" x14ac:dyDescent="0.2">
      <c r="A1140" s="12" t="s">
        <v>4856</v>
      </c>
      <c r="B1140" s="12" t="s">
        <v>4855</v>
      </c>
      <c r="C1140" s="12" t="s">
        <v>59</v>
      </c>
      <c r="D1140" s="12" t="s">
        <v>59</v>
      </c>
    </row>
    <row r="1141" spans="1:4" x14ac:dyDescent="0.2">
      <c r="A1141" s="12" t="s">
        <v>4876</v>
      </c>
      <c r="B1141" s="12" t="s">
        <v>4875</v>
      </c>
      <c r="C1141" s="12">
        <v>20</v>
      </c>
      <c r="D1141" s="12">
        <v>2</v>
      </c>
    </row>
    <row r="1142" spans="1:4" x14ac:dyDescent="0.2">
      <c r="A1142" s="12" t="s">
        <v>4878</v>
      </c>
      <c r="B1142" s="12" t="s">
        <v>4877</v>
      </c>
      <c r="C1142" s="12" t="s">
        <v>59</v>
      </c>
      <c r="D1142" s="12" t="s">
        <v>59</v>
      </c>
    </row>
    <row r="1143" spans="1:4" x14ac:dyDescent="0.2">
      <c r="A1143" s="12" t="s">
        <v>4805</v>
      </c>
      <c r="B1143" s="12" t="s">
        <v>4804</v>
      </c>
      <c r="C1143" s="12">
        <v>5.4</v>
      </c>
      <c r="D1143" s="12">
        <v>3.3E-3</v>
      </c>
    </row>
    <row r="1144" spans="1:4" x14ac:dyDescent="0.2">
      <c r="A1144" s="12" t="s">
        <v>4809</v>
      </c>
      <c r="B1144" s="12" t="s">
        <v>4808</v>
      </c>
      <c r="C1144" s="12">
        <v>5.4</v>
      </c>
      <c r="D1144" s="12">
        <v>3.3E-3</v>
      </c>
    </row>
    <row r="1145" spans="1:4" x14ac:dyDescent="0.2">
      <c r="A1145" s="12" t="s">
        <v>5005</v>
      </c>
      <c r="B1145" s="12" t="s">
        <v>5004</v>
      </c>
      <c r="C1145" s="12">
        <v>50</v>
      </c>
      <c r="D1145" s="12">
        <v>5</v>
      </c>
    </row>
    <row r="1146" spans="1:4" x14ac:dyDescent="0.2">
      <c r="A1146" s="12" t="s">
        <v>11510</v>
      </c>
      <c r="B1146" s="12" t="s">
        <v>11509</v>
      </c>
      <c r="C1146" s="12">
        <v>1</v>
      </c>
      <c r="D1146" s="12">
        <v>0.1</v>
      </c>
    </row>
    <row r="1147" spans="1:4" x14ac:dyDescent="0.2">
      <c r="A1147" s="12" t="s">
        <v>5336</v>
      </c>
      <c r="B1147" s="12" t="s">
        <v>5335</v>
      </c>
      <c r="C1147" s="12">
        <v>0.21</v>
      </c>
      <c r="D1147" s="12">
        <v>1.6999999999999999E-3</v>
      </c>
    </row>
    <row r="1148" spans="1:4" x14ac:dyDescent="0.2">
      <c r="A1148" s="12" t="s">
        <v>5342</v>
      </c>
      <c r="B1148" s="12" t="s">
        <v>5341</v>
      </c>
      <c r="C1148" s="12">
        <v>0.21</v>
      </c>
      <c r="D1148" s="12">
        <v>1.6999999999999999E-3</v>
      </c>
    </row>
    <row r="1149" spans="1:4" x14ac:dyDescent="0.2">
      <c r="A1149" s="12" t="s">
        <v>5160</v>
      </c>
      <c r="B1149" s="12" t="s">
        <v>5159</v>
      </c>
      <c r="C1149" s="12">
        <v>3.6</v>
      </c>
      <c r="D1149" s="12">
        <v>4.1000000000000002E-2</v>
      </c>
    </row>
    <row r="1150" spans="1:4" x14ac:dyDescent="0.2">
      <c r="A1150" s="12" t="s">
        <v>9690</v>
      </c>
      <c r="B1150" s="12" t="s">
        <v>9689</v>
      </c>
      <c r="C1150" s="12">
        <v>100</v>
      </c>
      <c r="D1150" s="12">
        <v>10</v>
      </c>
    </row>
    <row r="1151" spans="1:4" x14ac:dyDescent="0.2">
      <c r="A1151" s="12" t="s">
        <v>5136</v>
      </c>
      <c r="B1151" s="12" t="s">
        <v>5135</v>
      </c>
      <c r="C1151" s="12">
        <v>3.6</v>
      </c>
      <c r="D1151" s="12">
        <v>4.1000000000000002E-2</v>
      </c>
    </row>
    <row r="1152" spans="1:4" x14ac:dyDescent="0.2">
      <c r="A1152" s="12" t="s">
        <v>5185</v>
      </c>
      <c r="B1152" s="12" t="s">
        <v>5184</v>
      </c>
      <c r="C1152" s="12">
        <v>3.6</v>
      </c>
      <c r="D1152" s="12">
        <v>4.1000000000000002E-2</v>
      </c>
    </row>
    <row r="1153" spans="1:4" x14ac:dyDescent="0.2">
      <c r="A1153" s="12" t="s">
        <v>7745</v>
      </c>
      <c r="B1153" s="12" t="s">
        <v>7744</v>
      </c>
      <c r="C1153" s="12" t="s">
        <v>59</v>
      </c>
      <c r="D1153" s="12" t="s">
        <v>59</v>
      </c>
    </row>
    <row r="1154" spans="1:4" x14ac:dyDescent="0.2">
      <c r="A1154" s="12" t="s">
        <v>7747</v>
      </c>
      <c r="B1154" s="12" t="s">
        <v>7746</v>
      </c>
      <c r="C1154" s="12" t="s">
        <v>59</v>
      </c>
      <c r="D1154" s="12" t="s">
        <v>59</v>
      </c>
    </row>
    <row r="1155" spans="1:4" x14ac:dyDescent="0.2">
      <c r="A1155" s="12" t="s">
        <v>7724</v>
      </c>
      <c r="B1155" s="12" t="s">
        <v>7723</v>
      </c>
      <c r="C1155" s="12" t="s">
        <v>59</v>
      </c>
      <c r="D1155" s="12" t="s">
        <v>59</v>
      </c>
    </row>
    <row r="1156" spans="1:4" x14ac:dyDescent="0.2">
      <c r="A1156" s="12" t="s">
        <v>8192</v>
      </c>
      <c r="B1156" s="12" t="s">
        <v>8191</v>
      </c>
      <c r="C1156" s="12">
        <v>40</v>
      </c>
      <c r="D1156" s="12">
        <v>4</v>
      </c>
    </row>
    <row r="1157" spans="1:4" x14ac:dyDescent="0.2">
      <c r="A1157" s="12" t="s">
        <v>8196</v>
      </c>
      <c r="B1157" s="12" t="s">
        <v>8195</v>
      </c>
      <c r="C1157" s="12">
        <v>40</v>
      </c>
      <c r="D1157" s="12">
        <v>4</v>
      </c>
    </row>
    <row r="1158" spans="1:4" x14ac:dyDescent="0.2">
      <c r="A1158" s="12" t="s">
        <v>8060</v>
      </c>
      <c r="B1158" s="12" t="s">
        <v>8059</v>
      </c>
      <c r="C1158" s="12"/>
      <c r="D1158" s="12" t="s">
        <v>59</v>
      </c>
    </row>
    <row r="1159" spans="1:4" x14ac:dyDescent="0.2">
      <c r="A1159" s="12" t="s">
        <v>4102</v>
      </c>
      <c r="B1159" s="12" t="s">
        <v>4101</v>
      </c>
      <c r="C1159" s="12">
        <v>5</v>
      </c>
      <c r="D1159" s="12">
        <v>0.5</v>
      </c>
    </row>
    <row r="1160" spans="1:4" x14ac:dyDescent="0.2">
      <c r="A1160" s="12" t="s">
        <v>7640</v>
      </c>
      <c r="B1160" s="12" t="s">
        <v>7639</v>
      </c>
      <c r="C1160" s="12" t="s">
        <v>59</v>
      </c>
      <c r="D1160" s="12" t="s">
        <v>59</v>
      </c>
    </row>
    <row r="1161" spans="1:4" x14ac:dyDescent="0.2">
      <c r="A1161" s="12" t="s">
        <v>7732</v>
      </c>
      <c r="B1161" s="12" t="s">
        <v>7731</v>
      </c>
      <c r="C1161" s="12">
        <v>10</v>
      </c>
      <c r="D1161" s="12">
        <v>1</v>
      </c>
    </row>
    <row r="1162" spans="1:4" x14ac:dyDescent="0.2">
      <c r="A1162" s="12" t="s">
        <v>7296</v>
      </c>
      <c r="B1162" s="12" t="s">
        <v>7295</v>
      </c>
      <c r="C1162" s="12">
        <v>6</v>
      </c>
      <c r="D1162" s="12">
        <v>0.6</v>
      </c>
    </row>
    <row r="1163" spans="1:4" x14ac:dyDescent="0.2">
      <c r="A1163" s="12" t="s">
        <v>10430</v>
      </c>
      <c r="B1163" s="12" t="s">
        <v>10429</v>
      </c>
      <c r="C1163" s="12">
        <v>20</v>
      </c>
      <c r="D1163" s="12">
        <v>2</v>
      </c>
    </row>
    <row r="1164" spans="1:4" x14ac:dyDescent="0.2">
      <c r="A1164" s="12" t="s">
        <v>8147</v>
      </c>
      <c r="B1164" s="12" t="s">
        <v>8146</v>
      </c>
      <c r="C1164" s="12">
        <v>0.25</v>
      </c>
      <c r="D1164" s="12">
        <v>2.5000000000000001E-2</v>
      </c>
    </row>
    <row r="1165" spans="1:4" x14ac:dyDescent="0.2">
      <c r="A1165" s="12" t="s">
        <v>11097</v>
      </c>
      <c r="B1165" s="12" t="s">
        <v>11096</v>
      </c>
      <c r="C1165" s="12">
        <v>20</v>
      </c>
      <c r="D1165" s="12">
        <v>2</v>
      </c>
    </row>
    <row r="1166" spans="1:4" x14ac:dyDescent="0.2">
      <c r="A1166" s="12" t="s">
        <v>6099</v>
      </c>
      <c r="B1166" s="12" t="s">
        <v>6098</v>
      </c>
      <c r="C1166" s="12">
        <v>50</v>
      </c>
      <c r="D1166" s="12">
        <v>5</v>
      </c>
    </row>
    <row r="1167" spans="1:4" x14ac:dyDescent="0.2">
      <c r="A1167" s="12" t="s">
        <v>529</v>
      </c>
      <c r="B1167" s="12" t="s">
        <v>528</v>
      </c>
      <c r="C1167" s="12">
        <v>50</v>
      </c>
      <c r="D1167" s="12">
        <v>5</v>
      </c>
    </row>
    <row r="1168" spans="1:4" x14ac:dyDescent="0.2">
      <c r="A1168" s="12" t="s">
        <v>5709</v>
      </c>
      <c r="B1168" s="12" t="s">
        <v>5708</v>
      </c>
      <c r="C1168" s="12">
        <v>50</v>
      </c>
      <c r="D1168" s="12">
        <v>5</v>
      </c>
    </row>
    <row r="1169" spans="1:4" x14ac:dyDescent="0.2">
      <c r="A1169" s="12" t="s">
        <v>6223</v>
      </c>
      <c r="B1169" s="12" t="s">
        <v>6222</v>
      </c>
      <c r="C1169" s="12">
        <v>50</v>
      </c>
      <c r="D1169" s="12">
        <v>5</v>
      </c>
    </row>
    <row r="1170" spans="1:4" x14ac:dyDescent="0.2">
      <c r="A1170" s="12" t="s">
        <v>5603</v>
      </c>
      <c r="B1170" s="12" t="s">
        <v>5602</v>
      </c>
      <c r="C1170" s="12">
        <v>1</v>
      </c>
      <c r="D1170" s="12">
        <v>0.1</v>
      </c>
    </row>
    <row r="1171" spans="1:4" x14ac:dyDescent="0.2">
      <c r="A1171" s="12" t="s">
        <v>11547</v>
      </c>
      <c r="B1171" s="12" t="s">
        <v>11546</v>
      </c>
      <c r="C1171" s="12">
        <v>100</v>
      </c>
      <c r="D1171" s="12">
        <v>10</v>
      </c>
    </row>
    <row r="1172" spans="1:4" x14ac:dyDescent="0.2">
      <c r="A1172" s="12" t="s">
        <v>10452</v>
      </c>
      <c r="B1172" s="12" t="s">
        <v>10451</v>
      </c>
      <c r="C1172" s="12" t="s">
        <v>59</v>
      </c>
      <c r="D1172" s="12" t="s">
        <v>59</v>
      </c>
    </row>
    <row r="1173" spans="1:4" x14ac:dyDescent="0.2">
      <c r="A1173" s="12" t="s">
        <v>8024</v>
      </c>
      <c r="B1173" s="12" t="s">
        <v>8023</v>
      </c>
      <c r="C1173" s="12">
        <v>50</v>
      </c>
      <c r="D1173" s="12">
        <v>5</v>
      </c>
    </row>
    <row r="1174" spans="1:4" x14ac:dyDescent="0.2">
      <c r="A1174" s="12" t="s">
        <v>8270</v>
      </c>
      <c r="B1174" s="12" t="s">
        <v>8269</v>
      </c>
      <c r="C1174" s="12">
        <v>2.7</v>
      </c>
      <c r="D1174" s="12">
        <v>0.25</v>
      </c>
    </row>
    <row r="1175" spans="1:4" x14ac:dyDescent="0.2">
      <c r="A1175" s="12" t="s">
        <v>8696</v>
      </c>
      <c r="B1175" s="12" t="s">
        <v>8695</v>
      </c>
      <c r="C1175" s="12">
        <v>30</v>
      </c>
      <c r="D1175" s="12">
        <v>3</v>
      </c>
    </row>
    <row r="1176" spans="1:4" x14ac:dyDescent="0.2">
      <c r="A1176" s="12" t="s">
        <v>7156</v>
      </c>
      <c r="B1176" s="12" t="s">
        <v>7155</v>
      </c>
      <c r="C1176" s="12" t="s">
        <v>59</v>
      </c>
      <c r="D1176" s="12" t="s">
        <v>59</v>
      </c>
    </row>
    <row r="1177" spans="1:4" x14ac:dyDescent="0.2">
      <c r="A1177" s="12" t="s">
        <v>11141</v>
      </c>
      <c r="B1177" s="12" t="s">
        <v>11140</v>
      </c>
      <c r="C1177" s="12">
        <v>20</v>
      </c>
      <c r="D1177" s="12">
        <v>2</v>
      </c>
    </row>
    <row r="1178" spans="1:4" x14ac:dyDescent="0.2">
      <c r="A1178" s="12" t="s">
        <v>11185</v>
      </c>
      <c r="B1178" s="12" t="s">
        <v>11184</v>
      </c>
      <c r="C1178" s="12" t="s">
        <v>59</v>
      </c>
      <c r="D1178" s="12" t="s">
        <v>59</v>
      </c>
    </row>
    <row r="1179" spans="1:4" x14ac:dyDescent="0.2">
      <c r="A1179" s="12" t="s">
        <v>9175</v>
      </c>
      <c r="B1179" s="12" t="s">
        <v>9174</v>
      </c>
      <c r="C1179" s="12">
        <v>0.33</v>
      </c>
      <c r="D1179" s="12">
        <v>5.8999999999999997E-2</v>
      </c>
    </row>
    <row r="1180" spans="1:4" x14ac:dyDescent="0.2">
      <c r="A1180" s="12" t="s">
        <v>12449</v>
      </c>
      <c r="B1180" s="12" t="s">
        <v>12448</v>
      </c>
      <c r="C1180" s="12">
        <v>20</v>
      </c>
      <c r="D1180" s="12">
        <v>2</v>
      </c>
    </row>
    <row r="1181" spans="1:4" x14ac:dyDescent="0.2">
      <c r="A1181" s="12" t="s">
        <v>12474</v>
      </c>
      <c r="B1181" s="12" t="s">
        <v>12473</v>
      </c>
      <c r="C1181" s="12">
        <v>50</v>
      </c>
      <c r="D1181" s="12">
        <v>5</v>
      </c>
    </row>
    <row r="1182" spans="1:4" x14ac:dyDescent="0.2">
      <c r="A1182" s="12" t="s">
        <v>11751</v>
      </c>
      <c r="B1182" s="12" t="s">
        <v>11750</v>
      </c>
      <c r="C1182" s="12">
        <v>1</v>
      </c>
      <c r="D1182" s="12">
        <v>0.1</v>
      </c>
    </row>
    <row r="1183" spans="1:4" x14ac:dyDescent="0.2">
      <c r="A1183" s="12" t="s">
        <v>12283</v>
      </c>
      <c r="B1183" s="12" t="s">
        <v>12282</v>
      </c>
      <c r="C1183" s="12">
        <v>0.5</v>
      </c>
      <c r="D1183" s="12">
        <v>0.05</v>
      </c>
    </row>
    <row r="1184" spans="1:4" x14ac:dyDescent="0.2">
      <c r="A1184" s="12" t="s">
        <v>12381</v>
      </c>
      <c r="B1184" s="12" t="s">
        <v>12380</v>
      </c>
      <c r="C1184" s="12">
        <v>10</v>
      </c>
      <c r="D1184" s="12">
        <v>1</v>
      </c>
    </row>
    <row r="1185" spans="1:4" x14ac:dyDescent="0.2">
      <c r="A1185" s="12" t="s">
        <v>9960</v>
      </c>
      <c r="B1185" s="12" t="s">
        <v>9959</v>
      </c>
      <c r="C1185" s="12">
        <v>20</v>
      </c>
      <c r="D1185" s="12">
        <v>2</v>
      </c>
    </row>
    <row r="1186" spans="1:4" x14ac:dyDescent="0.2">
      <c r="A1186" s="12" t="s">
        <v>4100</v>
      </c>
      <c r="B1186" s="12" t="s">
        <v>4099</v>
      </c>
      <c r="C1186" s="12">
        <v>5</v>
      </c>
      <c r="D1186" s="12">
        <v>0.5</v>
      </c>
    </row>
    <row r="1187" spans="1:4" x14ac:dyDescent="0.2">
      <c r="A1187" s="12" t="s">
        <v>11492</v>
      </c>
      <c r="B1187" s="12" t="s">
        <v>11491</v>
      </c>
      <c r="C1187" s="12">
        <v>50</v>
      </c>
      <c r="D1187" s="12">
        <v>5</v>
      </c>
    </row>
    <row r="1188" spans="1:4" x14ac:dyDescent="0.2">
      <c r="A1188" s="12" t="s">
        <v>12281</v>
      </c>
      <c r="B1188" s="12" t="s">
        <v>12280</v>
      </c>
      <c r="C1188" s="12">
        <v>0.5</v>
      </c>
      <c r="D1188" s="12">
        <v>0.05</v>
      </c>
    </row>
    <row r="1189" spans="1:4" x14ac:dyDescent="0.2">
      <c r="A1189" s="12" t="s">
        <v>9958</v>
      </c>
      <c r="B1189" s="12" t="s">
        <v>9957</v>
      </c>
      <c r="C1189" s="12">
        <v>10</v>
      </c>
      <c r="D1189" s="12">
        <v>1</v>
      </c>
    </row>
    <row r="1190" spans="1:4" x14ac:dyDescent="0.2">
      <c r="A1190" s="12" t="s">
        <v>12453</v>
      </c>
      <c r="B1190" s="12" t="s">
        <v>12452</v>
      </c>
      <c r="C1190" s="12">
        <v>20</v>
      </c>
      <c r="D1190" s="12">
        <v>2</v>
      </c>
    </row>
    <row r="1191" spans="1:4" x14ac:dyDescent="0.2">
      <c r="A1191" s="12" t="s">
        <v>12463</v>
      </c>
      <c r="B1191" s="12" t="s">
        <v>12462</v>
      </c>
      <c r="C1191" s="12">
        <v>20</v>
      </c>
      <c r="D1191" s="12">
        <v>2</v>
      </c>
    </row>
    <row r="1192" spans="1:4" x14ac:dyDescent="0.2">
      <c r="A1192" s="12" t="s">
        <v>192</v>
      </c>
      <c r="B1192" s="12" t="s">
        <v>191</v>
      </c>
      <c r="C1192" s="12">
        <v>5700</v>
      </c>
      <c r="D1192" s="12">
        <v>570</v>
      </c>
    </row>
    <row r="1193" spans="1:4" x14ac:dyDescent="0.2">
      <c r="A1193" s="12" t="s">
        <v>5692</v>
      </c>
      <c r="B1193" s="12" t="s">
        <v>5691</v>
      </c>
      <c r="C1193" s="12" t="s">
        <v>59</v>
      </c>
      <c r="D1193" s="12" t="s">
        <v>59</v>
      </c>
    </row>
    <row r="1194" spans="1:4" x14ac:dyDescent="0.2">
      <c r="A1194" s="12" t="s">
        <v>5693</v>
      </c>
      <c r="B1194" s="12" t="s">
        <v>5691</v>
      </c>
      <c r="C1194" s="12">
        <v>1000</v>
      </c>
      <c r="D1194" s="12">
        <v>100</v>
      </c>
    </row>
    <row r="1195" spans="1:4" x14ac:dyDescent="0.2">
      <c r="A1195" s="12" t="s">
        <v>8692</v>
      </c>
      <c r="B1195" s="12" t="s">
        <v>8691</v>
      </c>
      <c r="C1195" s="12">
        <v>30</v>
      </c>
      <c r="D1195" s="12">
        <v>3</v>
      </c>
    </row>
    <row r="1196" spans="1:4" x14ac:dyDescent="0.2">
      <c r="A1196" s="12" t="s">
        <v>8268</v>
      </c>
      <c r="B1196" s="12" t="s">
        <v>8267</v>
      </c>
      <c r="C1196" s="12">
        <v>2.7</v>
      </c>
      <c r="D1196" s="12">
        <v>0.25</v>
      </c>
    </row>
    <row r="1197" spans="1:4" x14ac:dyDescent="0.2">
      <c r="A1197" s="12" t="s">
        <v>8266</v>
      </c>
      <c r="B1197" s="12" t="s">
        <v>8265</v>
      </c>
      <c r="C1197" s="12">
        <v>2.7</v>
      </c>
      <c r="D1197" s="12">
        <v>0.25</v>
      </c>
    </row>
    <row r="1198" spans="1:4" x14ac:dyDescent="0.2">
      <c r="A1198" s="12" t="s">
        <v>8062</v>
      </c>
      <c r="B1198" s="12" t="s">
        <v>8061</v>
      </c>
      <c r="C1198" s="12"/>
      <c r="D1198" s="12" t="s">
        <v>59</v>
      </c>
    </row>
    <row r="1199" spans="1:4" x14ac:dyDescent="0.2">
      <c r="A1199" s="12" t="s">
        <v>5425</v>
      </c>
      <c r="B1199" s="12" t="s">
        <v>5424</v>
      </c>
      <c r="C1199" s="12">
        <v>10</v>
      </c>
      <c r="D1199" s="12">
        <v>1</v>
      </c>
    </row>
    <row r="1200" spans="1:4" x14ac:dyDescent="0.2">
      <c r="A1200" s="12" t="s">
        <v>5483</v>
      </c>
      <c r="B1200" s="12" t="s">
        <v>5482</v>
      </c>
      <c r="C1200" s="12">
        <v>10</v>
      </c>
      <c r="D1200" s="12">
        <v>1</v>
      </c>
    </row>
    <row r="1201" spans="1:4" x14ac:dyDescent="0.2">
      <c r="A1201" s="12" t="s">
        <v>4567</v>
      </c>
      <c r="B1201" s="12" t="s">
        <v>4566</v>
      </c>
      <c r="C1201" s="12" t="s">
        <v>59</v>
      </c>
      <c r="D1201" s="12" t="s">
        <v>59</v>
      </c>
    </row>
    <row r="1202" spans="1:4" x14ac:dyDescent="0.2">
      <c r="A1202" s="12" t="s">
        <v>7743</v>
      </c>
      <c r="B1202" s="12" t="s">
        <v>7742</v>
      </c>
      <c r="C1202" s="12" t="s">
        <v>59</v>
      </c>
      <c r="D1202" s="12" t="s">
        <v>59</v>
      </c>
    </row>
    <row r="1203" spans="1:4" x14ac:dyDescent="0.2">
      <c r="A1203" s="12" t="s">
        <v>4834</v>
      </c>
      <c r="B1203" s="12" t="s">
        <v>4833</v>
      </c>
      <c r="C1203" s="12" t="s">
        <v>59</v>
      </c>
      <c r="D1203" s="12" t="s">
        <v>59</v>
      </c>
    </row>
    <row r="1204" spans="1:4" x14ac:dyDescent="0.2">
      <c r="A1204" s="12" t="s">
        <v>11822</v>
      </c>
      <c r="B1204" s="12" t="s">
        <v>11821</v>
      </c>
      <c r="C1204" s="12">
        <v>50</v>
      </c>
      <c r="D1204" s="12">
        <v>5</v>
      </c>
    </row>
    <row r="1205" spans="1:4" x14ac:dyDescent="0.2">
      <c r="A1205" s="12" t="s">
        <v>11820</v>
      </c>
      <c r="B1205" s="12" t="s">
        <v>11819</v>
      </c>
      <c r="C1205" s="12">
        <v>50</v>
      </c>
      <c r="D1205" s="12">
        <v>5</v>
      </c>
    </row>
    <row r="1206" spans="1:4" x14ac:dyDescent="0.2">
      <c r="A1206" s="12" t="s">
        <v>10865</v>
      </c>
      <c r="B1206" s="12" t="s">
        <v>10864</v>
      </c>
      <c r="C1206" s="12">
        <v>14</v>
      </c>
      <c r="D1206" s="12"/>
    </row>
    <row r="1207" spans="1:4" x14ac:dyDescent="0.2">
      <c r="A1207" s="12" t="s">
        <v>10866</v>
      </c>
      <c r="B1207" s="12" t="s">
        <v>10864</v>
      </c>
      <c r="C1207" s="12"/>
      <c r="D1207" s="12">
        <v>0.27</v>
      </c>
    </row>
    <row r="1208" spans="1:4" x14ac:dyDescent="0.2">
      <c r="A1208" s="12" t="s">
        <v>6805</v>
      </c>
      <c r="B1208" s="12" t="s">
        <v>6804</v>
      </c>
      <c r="C1208" s="12" t="s">
        <v>59</v>
      </c>
      <c r="D1208" s="12" t="s">
        <v>59</v>
      </c>
    </row>
    <row r="1209" spans="1:4" x14ac:dyDescent="0.2">
      <c r="A1209" s="12" t="s">
        <v>3843</v>
      </c>
      <c r="B1209" s="12" t="s">
        <v>3842</v>
      </c>
      <c r="C1209" s="12">
        <v>50</v>
      </c>
      <c r="D1209" s="12">
        <v>5</v>
      </c>
    </row>
    <row r="1210" spans="1:4" x14ac:dyDescent="0.2">
      <c r="A1210" s="12" t="s">
        <v>4220</v>
      </c>
      <c r="B1210" s="12" t="s">
        <v>4219</v>
      </c>
      <c r="C1210" s="12">
        <v>50</v>
      </c>
      <c r="D1210" s="12">
        <v>5</v>
      </c>
    </row>
    <row r="1211" spans="1:4" x14ac:dyDescent="0.2">
      <c r="A1211" s="12" t="s">
        <v>8172</v>
      </c>
      <c r="B1211" s="12" t="s">
        <v>8171</v>
      </c>
      <c r="C1211" s="12">
        <v>40</v>
      </c>
      <c r="D1211" s="12">
        <v>4</v>
      </c>
    </row>
    <row r="1212" spans="1:4" x14ac:dyDescent="0.2">
      <c r="A1212" s="12" t="s">
        <v>4174</v>
      </c>
      <c r="B1212" s="12" t="s">
        <v>4173</v>
      </c>
      <c r="C1212" s="12">
        <v>80</v>
      </c>
      <c r="D1212" s="12">
        <v>8</v>
      </c>
    </row>
    <row r="1213" spans="1:4" x14ac:dyDescent="0.2">
      <c r="A1213" s="12" t="s">
        <v>7990</v>
      </c>
      <c r="B1213" s="12" t="s">
        <v>7989</v>
      </c>
      <c r="C1213" s="12">
        <v>50</v>
      </c>
      <c r="D1213" s="12">
        <v>5</v>
      </c>
    </row>
    <row r="1214" spans="1:4" x14ac:dyDescent="0.2">
      <c r="A1214" s="12" t="s">
        <v>8751</v>
      </c>
      <c r="B1214" s="12" t="s">
        <v>8750</v>
      </c>
      <c r="C1214" s="12">
        <v>30</v>
      </c>
      <c r="D1214" s="12">
        <v>3</v>
      </c>
    </row>
    <row r="1215" spans="1:4" x14ac:dyDescent="0.2">
      <c r="A1215" s="12" t="s">
        <v>2029</v>
      </c>
      <c r="B1215" s="12" t="s">
        <v>2028</v>
      </c>
      <c r="C1215" s="12">
        <v>100</v>
      </c>
      <c r="D1215" s="12">
        <v>10</v>
      </c>
    </row>
    <row r="1216" spans="1:4" x14ac:dyDescent="0.2">
      <c r="A1216" s="12" t="s">
        <v>11017</v>
      </c>
      <c r="B1216" s="12" t="s">
        <v>11016</v>
      </c>
      <c r="C1216" s="12">
        <v>20</v>
      </c>
      <c r="D1216" s="12">
        <v>2</v>
      </c>
    </row>
    <row r="1217" spans="1:4" x14ac:dyDescent="0.2">
      <c r="A1217" s="12" t="s">
        <v>6553</v>
      </c>
      <c r="B1217" s="12" t="s">
        <v>6552</v>
      </c>
      <c r="C1217" s="12">
        <v>20</v>
      </c>
      <c r="D1217" s="12">
        <v>2</v>
      </c>
    </row>
    <row r="1218" spans="1:4" x14ac:dyDescent="0.2">
      <c r="A1218" s="12" t="s">
        <v>5453</v>
      </c>
      <c r="B1218" s="12" t="s">
        <v>5452</v>
      </c>
      <c r="C1218" s="12">
        <v>4.4000000000000004</v>
      </c>
      <c r="D1218" s="12">
        <v>10</v>
      </c>
    </row>
    <row r="1219" spans="1:4" x14ac:dyDescent="0.2">
      <c r="A1219" s="12" t="s">
        <v>8047</v>
      </c>
      <c r="B1219" s="12" t="s">
        <v>8046</v>
      </c>
      <c r="C1219" s="12" t="s">
        <v>59</v>
      </c>
      <c r="D1219" s="12" t="s">
        <v>59</v>
      </c>
    </row>
    <row r="1220" spans="1:4" x14ac:dyDescent="0.2">
      <c r="A1220" s="12" t="s">
        <v>8048</v>
      </c>
      <c r="B1220" s="12" t="s">
        <v>8046</v>
      </c>
      <c r="C1220" s="12">
        <v>600</v>
      </c>
      <c r="D1220" s="12">
        <v>60</v>
      </c>
    </row>
    <row r="1221" spans="1:4" x14ac:dyDescent="0.2">
      <c r="A1221" s="12" t="s">
        <v>7648</v>
      </c>
      <c r="B1221" s="12" t="s">
        <v>7647</v>
      </c>
      <c r="C1221" s="12">
        <v>200</v>
      </c>
      <c r="D1221" s="12">
        <v>48</v>
      </c>
    </row>
    <row r="1222" spans="1:4" x14ac:dyDescent="0.2">
      <c r="A1222" s="12" t="s">
        <v>4638</v>
      </c>
      <c r="B1222" s="12" t="s">
        <v>4637</v>
      </c>
      <c r="C1222" s="12">
        <v>40</v>
      </c>
      <c r="D1222" s="12">
        <v>4</v>
      </c>
    </row>
    <row r="1223" spans="1:4" x14ac:dyDescent="0.2">
      <c r="A1223" s="12" t="s">
        <v>12146</v>
      </c>
      <c r="B1223" s="12" t="s">
        <v>12145</v>
      </c>
      <c r="C1223" s="12">
        <v>1</v>
      </c>
      <c r="D1223" s="12">
        <v>0.1</v>
      </c>
    </row>
    <row r="1224" spans="1:4" x14ac:dyDescent="0.2">
      <c r="A1224" s="12" t="s">
        <v>11683</v>
      </c>
      <c r="B1224" s="12" t="s">
        <v>11682</v>
      </c>
      <c r="C1224" s="12">
        <v>90</v>
      </c>
      <c r="D1224" s="12">
        <v>9</v>
      </c>
    </row>
    <row r="1225" spans="1:4" x14ac:dyDescent="0.2">
      <c r="A1225" s="12" t="s">
        <v>9677</v>
      </c>
      <c r="B1225" s="12" t="s">
        <v>9676</v>
      </c>
      <c r="C1225" s="12">
        <v>5</v>
      </c>
      <c r="D1225" s="12">
        <v>0.5</v>
      </c>
    </row>
    <row r="1226" spans="1:4" x14ac:dyDescent="0.2">
      <c r="A1226" s="12" t="s">
        <v>11964</v>
      </c>
      <c r="B1226" s="12" t="s">
        <v>11963</v>
      </c>
      <c r="C1226" s="12">
        <v>50</v>
      </c>
      <c r="D1226" s="12">
        <v>5</v>
      </c>
    </row>
    <row r="1227" spans="1:4" x14ac:dyDescent="0.2">
      <c r="A1227" s="12" t="s">
        <v>6399</v>
      </c>
      <c r="B1227" s="12" t="s">
        <v>6398</v>
      </c>
      <c r="C1227" s="12">
        <v>530</v>
      </c>
      <c r="D1227" s="12">
        <v>53</v>
      </c>
    </row>
    <row r="1228" spans="1:4" x14ac:dyDescent="0.2">
      <c r="A1228" s="12" t="s">
        <v>7844</v>
      </c>
      <c r="B1228" s="12" t="s">
        <v>7843</v>
      </c>
      <c r="C1228" s="12">
        <v>100</v>
      </c>
      <c r="D1228" s="12">
        <v>10</v>
      </c>
    </row>
    <row r="1229" spans="1:4" x14ac:dyDescent="0.2">
      <c r="A1229" s="12" t="s">
        <v>6419</v>
      </c>
      <c r="B1229" s="12" t="s">
        <v>6418</v>
      </c>
      <c r="C1229" s="12">
        <v>8</v>
      </c>
      <c r="D1229" s="12">
        <v>0.8</v>
      </c>
    </row>
    <row r="1230" spans="1:4" x14ac:dyDescent="0.2">
      <c r="A1230" s="12" t="s">
        <v>2677</v>
      </c>
      <c r="B1230" s="12" t="s">
        <v>2676</v>
      </c>
      <c r="C1230" s="12">
        <v>100</v>
      </c>
      <c r="D1230" s="12">
        <v>10</v>
      </c>
    </row>
    <row r="1231" spans="1:4" x14ac:dyDescent="0.2">
      <c r="A1231" s="12" t="s">
        <v>11744</v>
      </c>
      <c r="B1231" s="12" t="s">
        <v>11743</v>
      </c>
      <c r="C1231" s="12" t="s">
        <v>59</v>
      </c>
      <c r="D1231" s="12" t="s">
        <v>59</v>
      </c>
    </row>
    <row r="1232" spans="1:4" x14ac:dyDescent="0.2">
      <c r="A1232" s="12" t="s">
        <v>6190</v>
      </c>
      <c r="B1232" s="12" t="s">
        <v>6189</v>
      </c>
      <c r="C1232" s="12" t="s">
        <v>59</v>
      </c>
      <c r="D1232" s="12" t="s">
        <v>59</v>
      </c>
    </row>
    <row r="1233" spans="1:4" x14ac:dyDescent="0.2">
      <c r="A1233" s="12" t="s">
        <v>4678</v>
      </c>
      <c r="B1233" s="12" t="s">
        <v>4677</v>
      </c>
      <c r="C1233" s="12" t="s">
        <v>59</v>
      </c>
      <c r="D1233" s="12" t="s">
        <v>59</v>
      </c>
    </row>
    <row r="1234" spans="1:4" x14ac:dyDescent="0.2">
      <c r="A1234" s="12" t="s">
        <v>1829</v>
      </c>
      <c r="B1234" s="12" t="s">
        <v>1828</v>
      </c>
      <c r="C1234" s="12">
        <v>1000</v>
      </c>
      <c r="D1234" s="12">
        <v>100</v>
      </c>
    </row>
    <row r="1235" spans="1:4" x14ac:dyDescent="0.2">
      <c r="A1235" s="12" t="s">
        <v>4724</v>
      </c>
      <c r="B1235" s="12" t="s">
        <v>4723</v>
      </c>
      <c r="C1235" s="12" t="s">
        <v>59</v>
      </c>
      <c r="D1235" s="12" t="s">
        <v>59</v>
      </c>
    </row>
    <row r="1236" spans="1:4" x14ac:dyDescent="0.2">
      <c r="A1236" s="12" t="s">
        <v>4507</v>
      </c>
      <c r="B1236" s="12" t="s">
        <v>4506</v>
      </c>
      <c r="C1236" s="12" t="s">
        <v>59</v>
      </c>
      <c r="D1236" s="12" t="s">
        <v>59</v>
      </c>
    </row>
    <row r="1237" spans="1:4" x14ac:dyDescent="0.2">
      <c r="A1237" s="12" t="s">
        <v>10030</v>
      </c>
      <c r="B1237" s="12" t="s">
        <v>10029</v>
      </c>
      <c r="C1237" s="12" t="s">
        <v>59</v>
      </c>
      <c r="D1237" s="12" t="s">
        <v>59</v>
      </c>
    </row>
    <row r="1238" spans="1:4" x14ac:dyDescent="0.2">
      <c r="A1238" s="12" t="s">
        <v>5743</v>
      </c>
      <c r="B1238" s="12" t="s">
        <v>5742</v>
      </c>
      <c r="C1238" s="12">
        <v>10</v>
      </c>
      <c r="D1238" s="12">
        <v>1</v>
      </c>
    </row>
    <row r="1239" spans="1:4" x14ac:dyDescent="0.2">
      <c r="A1239" s="12" t="s">
        <v>5746</v>
      </c>
      <c r="B1239" s="12" t="s">
        <v>5745</v>
      </c>
      <c r="C1239" s="12">
        <v>25</v>
      </c>
      <c r="D1239" s="12">
        <v>2.5</v>
      </c>
    </row>
    <row r="1240" spans="1:4" x14ac:dyDescent="0.2">
      <c r="A1240" s="12" t="s">
        <v>11887</v>
      </c>
      <c r="B1240" s="12" t="s">
        <v>11886</v>
      </c>
      <c r="C1240" s="12">
        <v>1700</v>
      </c>
      <c r="D1240" s="12">
        <v>170</v>
      </c>
    </row>
    <row r="1241" spans="1:4" x14ac:dyDescent="0.2">
      <c r="A1241" s="12" t="s">
        <v>10203</v>
      </c>
      <c r="B1241" s="12" t="s">
        <v>10202</v>
      </c>
      <c r="C1241" s="12">
        <v>50</v>
      </c>
      <c r="D1241" s="12">
        <v>5</v>
      </c>
    </row>
    <row r="1242" spans="1:4" x14ac:dyDescent="0.2">
      <c r="A1242" s="12" t="s">
        <v>4131</v>
      </c>
      <c r="B1242" s="12" t="s">
        <v>4130</v>
      </c>
      <c r="C1242" s="12">
        <v>3</v>
      </c>
      <c r="D1242" s="12">
        <v>6.7000000000000004E-2</v>
      </c>
    </row>
    <row r="1243" spans="1:4" x14ac:dyDescent="0.2">
      <c r="A1243" s="12" t="s">
        <v>12228</v>
      </c>
      <c r="B1243" s="12" t="s">
        <v>12227</v>
      </c>
      <c r="C1243" s="12">
        <v>10</v>
      </c>
      <c r="D1243" s="12">
        <v>1</v>
      </c>
    </row>
    <row r="1244" spans="1:4" x14ac:dyDescent="0.2">
      <c r="A1244" s="12" t="s">
        <v>2395</v>
      </c>
      <c r="B1244" s="12" t="s">
        <v>2394</v>
      </c>
      <c r="C1244" s="12">
        <v>700</v>
      </c>
      <c r="D1244" s="12">
        <v>70</v>
      </c>
    </row>
    <row r="1245" spans="1:4" x14ac:dyDescent="0.2">
      <c r="A1245" s="12" t="s">
        <v>4226</v>
      </c>
      <c r="B1245" s="12" t="s">
        <v>4225</v>
      </c>
      <c r="C1245" s="12" t="s">
        <v>59</v>
      </c>
      <c r="D1245" s="12" t="s">
        <v>59</v>
      </c>
    </row>
    <row r="1246" spans="1:4" x14ac:dyDescent="0.2">
      <c r="A1246" s="12" t="s">
        <v>12363</v>
      </c>
      <c r="B1246" s="12" t="s">
        <v>12362</v>
      </c>
      <c r="C1246" s="12">
        <v>2200</v>
      </c>
      <c r="D1246" s="12">
        <v>180</v>
      </c>
    </row>
    <row r="1247" spans="1:4" x14ac:dyDescent="0.2">
      <c r="A1247" s="12" t="s">
        <v>6326</v>
      </c>
      <c r="B1247" s="12" t="s">
        <v>6325</v>
      </c>
      <c r="C1247" s="12">
        <v>20</v>
      </c>
      <c r="D1247" s="12">
        <v>2</v>
      </c>
    </row>
    <row r="1248" spans="1:4" x14ac:dyDescent="0.2">
      <c r="A1248" s="12" t="s">
        <v>7848</v>
      </c>
      <c r="B1248" s="12" t="s">
        <v>7847</v>
      </c>
      <c r="C1248" s="12">
        <v>550</v>
      </c>
      <c r="D1248" s="12">
        <v>55</v>
      </c>
    </row>
    <row r="1249" spans="1:4" x14ac:dyDescent="0.2">
      <c r="A1249" s="12" t="s">
        <v>4918</v>
      </c>
      <c r="B1249" s="12" t="s">
        <v>4917</v>
      </c>
      <c r="C1249" s="12" t="s">
        <v>59</v>
      </c>
      <c r="D1249" s="12" t="s">
        <v>59</v>
      </c>
    </row>
    <row r="1250" spans="1:4" x14ac:dyDescent="0.2">
      <c r="A1250" s="12" t="s">
        <v>12214</v>
      </c>
      <c r="B1250" s="12" t="s">
        <v>12213</v>
      </c>
      <c r="C1250" s="12">
        <v>100</v>
      </c>
      <c r="D1250" s="12">
        <v>10</v>
      </c>
    </row>
    <row r="1251" spans="1:4" x14ac:dyDescent="0.2">
      <c r="A1251" s="12" t="s">
        <v>6033</v>
      </c>
      <c r="B1251" s="12" t="s">
        <v>6032</v>
      </c>
      <c r="C1251" s="12">
        <v>4300</v>
      </c>
      <c r="D1251" s="12">
        <v>430</v>
      </c>
    </row>
    <row r="1252" spans="1:4" x14ac:dyDescent="0.2">
      <c r="A1252" s="12" t="s">
        <v>6034</v>
      </c>
      <c r="B1252" s="12" t="s">
        <v>6032</v>
      </c>
      <c r="C1252" s="12" t="s">
        <v>59</v>
      </c>
      <c r="D1252" s="12" t="s">
        <v>59</v>
      </c>
    </row>
    <row r="1253" spans="1:4" x14ac:dyDescent="0.2">
      <c r="A1253" s="12" t="s">
        <v>10559</v>
      </c>
      <c r="B1253" s="12" t="s">
        <v>10558</v>
      </c>
      <c r="C1253" s="12">
        <v>330</v>
      </c>
      <c r="D1253" s="12">
        <v>33</v>
      </c>
    </row>
    <row r="1254" spans="1:4" x14ac:dyDescent="0.2">
      <c r="A1254" s="12" t="s">
        <v>6456</v>
      </c>
      <c r="B1254" s="12" t="s">
        <v>6455</v>
      </c>
      <c r="C1254" s="12" t="s">
        <v>59</v>
      </c>
      <c r="D1254" s="12" t="s">
        <v>59</v>
      </c>
    </row>
    <row r="1255" spans="1:4" x14ac:dyDescent="0.2">
      <c r="A1255" s="12" t="s">
        <v>6457</v>
      </c>
      <c r="B1255" s="12" t="s">
        <v>6455</v>
      </c>
      <c r="C1255" s="12">
        <v>600</v>
      </c>
      <c r="D1255" s="12">
        <v>60</v>
      </c>
    </row>
    <row r="1256" spans="1:4" x14ac:dyDescent="0.2">
      <c r="A1256" s="12" t="s">
        <v>12410</v>
      </c>
      <c r="B1256" s="12" t="s">
        <v>12409</v>
      </c>
      <c r="C1256" s="12">
        <v>20</v>
      </c>
      <c r="D1256" s="12">
        <v>2</v>
      </c>
    </row>
    <row r="1257" spans="1:4" x14ac:dyDescent="0.2">
      <c r="A1257" s="12" t="s">
        <v>10625</v>
      </c>
      <c r="B1257" s="12" t="s">
        <v>10624</v>
      </c>
      <c r="C1257" s="12" t="s">
        <v>59</v>
      </c>
      <c r="D1257" s="12" t="s">
        <v>59</v>
      </c>
    </row>
    <row r="1258" spans="1:4" x14ac:dyDescent="0.2">
      <c r="A1258" s="12" t="s">
        <v>4139</v>
      </c>
      <c r="B1258" s="12" t="s">
        <v>4138</v>
      </c>
      <c r="C1258" s="12">
        <v>0.03</v>
      </c>
      <c r="D1258" s="12">
        <v>3.0000000000000001E-3</v>
      </c>
    </row>
    <row r="1259" spans="1:4" x14ac:dyDescent="0.2">
      <c r="A1259" s="12" t="s">
        <v>7720</v>
      </c>
      <c r="B1259" s="12" t="s">
        <v>7719</v>
      </c>
      <c r="C1259" s="12" t="s">
        <v>59</v>
      </c>
      <c r="D1259" s="12" t="s">
        <v>59</v>
      </c>
    </row>
    <row r="1260" spans="1:4" x14ac:dyDescent="0.2">
      <c r="A1260" s="12" t="s">
        <v>7986</v>
      </c>
      <c r="B1260" s="12" t="s">
        <v>7985</v>
      </c>
      <c r="C1260" s="12">
        <v>50</v>
      </c>
      <c r="D1260" s="12">
        <v>5</v>
      </c>
    </row>
    <row r="1261" spans="1:4" x14ac:dyDescent="0.2">
      <c r="A1261" s="12" t="s">
        <v>7646</v>
      </c>
      <c r="B1261" s="12" t="s">
        <v>7645</v>
      </c>
      <c r="C1261" s="12">
        <v>550</v>
      </c>
      <c r="D1261" s="12">
        <v>55</v>
      </c>
    </row>
    <row r="1262" spans="1:4" x14ac:dyDescent="0.2">
      <c r="A1262" s="12" t="s">
        <v>5178</v>
      </c>
      <c r="B1262" s="12" t="s">
        <v>5177</v>
      </c>
      <c r="C1262" s="12">
        <v>0.39</v>
      </c>
      <c r="D1262" s="12">
        <v>4.3E-3</v>
      </c>
    </row>
    <row r="1263" spans="1:4" x14ac:dyDescent="0.2">
      <c r="A1263" s="12" t="s">
        <v>12625</v>
      </c>
      <c r="B1263" s="12" t="s">
        <v>10998</v>
      </c>
      <c r="C1263" s="12"/>
      <c r="D1263" s="12">
        <v>0.71</v>
      </c>
    </row>
    <row r="1264" spans="1:4" x14ac:dyDescent="0.2">
      <c r="A1264" s="12" t="s">
        <v>12624</v>
      </c>
      <c r="B1264" s="12" t="s">
        <v>10997</v>
      </c>
      <c r="C1264" s="12">
        <v>2.8</v>
      </c>
      <c r="D1264" s="12">
        <v>0.56999999999999995</v>
      </c>
    </row>
    <row r="1265" spans="1:4" x14ac:dyDescent="0.2">
      <c r="A1265" s="12" t="s">
        <v>10996</v>
      </c>
      <c r="B1265" s="12" t="s">
        <v>10995</v>
      </c>
      <c r="C1265" s="12">
        <v>17</v>
      </c>
      <c r="D1265" s="12">
        <v>8.1</v>
      </c>
    </row>
    <row r="1266" spans="1:4" x14ac:dyDescent="0.2">
      <c r="A1266" s="12" t="s">
        <v>4934</v>
      </c>
      <c r="B1266" s="12" t="s">
        <v>4933</v>
      </c>
      <c r="C1266" s="12">
        <v>35</v>
      </c>
      <c r="D1266" s="12">
        <v>3.5</v>
      </c>
    </row>
    <row r="1267" spans="1:4" x14ac:dyDescent="0.2">
      <c r="A1267" s="12" t="s">
        <v>11847</v>
      </c>
      <c r="B1267" s="12" t="s">
        <v>11846</v>
      </c>
      <c r="C1267" s="12">
        <v>100</v>
      </c>
      <c r="D1267" s="12">
        <v>10</v>
      </c>
    </row>
    <row r="1268" spans="1:4" x14ac:dyDescent="0.2">
      <c r="A1268" s="12" t="s">
        <v>10880</v>
      </c>
      <c r="B1268" s="12" t="s">
        <v>10879</v>
      </c>
      <c r="C1268" s="12">
        <v>50</v>
      </c>
      <c r="D1268" s="12">
        <v>5</v>
      </c>
    </row>
    <row r="1269" spans="1:4" x14ac:dyDescent="0.2">
      <c r="A1269" s="12" t="s">
        <v>8417</v>
      </c>
      <c r="B1269" s="12" t="s">
        <v>8416</v>
      </c>
      <c r="C1269" s="12">
        <v>3700</v>
      </c>
      <c r="D1269" s="12">
        <v>370</v>
      </c>
    </row>
    <row r="1270" spans="1:4" x14ac:dyDescent="0.2">
      <c r="A1270" s="12" t="s">
        <v>7426</v>
      </c>
      <c r="B1270" s="12" t="s">
        <v>7425</v>
      </c>
      <c r="C1270" s="12">
        <v>2</v>
      </c>
      <c r="D1270" s="12">
        <v>0.2</v>
      </c>
    </row>
    <row r="1271" spans="1:4" x14ac:dyDescent="0.2">
      <c r="A1271" s="12" t="s">
        <v>11631</v>
      </c>
      <c r="B1271" s="12" t="s">
        <v>11630</v>
      </c>
      <c r="C1271" s="12">
        <v>20</v>
      </c>
      <c r="D1271" s="12">
        <v>2</v>
      </c>
    </row>
    <row r="1272" spans="1:4" x14ac:dyDescent="0.2">
      <c r="A1272" s="12" t="s">
        <v>1178</v>
      </c>
      <c r="B1272" s="12" t="s">
        <v>1177</v>
      </c>
      <c r="C1272" s="12">
        <v>5700</v>
      </c>
      <c r="D1272" s="12">
        <v>570</v>
      </c>
    </row>
    <row r="1273" spans="1:4" x14ac:dyDescent="0.2">
      <c r="A1273" s="12" t="s">
        <v>1179</v>
      </c>
      <c r="B1273" s="12" t="s">
        <v>1177</v>
      </c>
      <c r="C1273" s="12" t="s">
        <v>59</v>
      </c>
      <c r="D1273" s="12" t="s">
        <v>59</v>
      </c>
    </row>
    <row r="1274" spans="1:4" x14ac:dyDescent="0.2">
      <c r="A1274" s="12" t="s">
        <v>4016</v>
      </c>
      <c r="B1274" s="12" t="s">
        <v>4015</v>
      </c>
      <c r="C1274" s="12">
        <v>180</v>
      </c>
      <c r="D1274" s="12">
        <v>92</v>
      </c>
    </row>
    <row r="1275" spans="1:4" x14ac:dyDescent="0.2">
      <c r="A1275" s="12" t="s">
        <v>10219</v>
      </c>
      <c r="B1275" s="12" t="s">
        <v>10218</v>
      </c>
      <c r="C1275" s="12">
        <v>0.1</v>
      </c>
      <c r="D1275" s="12">
        <v>0.01</v>
      </c>
    </row>
    <row r="1276" spans="1:4" x14ac:dyDescent="0.2">
      <c r="A1276" s="12" t="s">
        <v>208</v>
      </c>
      <c r="B1276" s="12" t="s">
        <v>207</v>
      </c>
      <c r="C1276" s="12" t="s">
        <v>59</v>
      </c>
      <c r="D1276" s="12" t="s">
        <v>59</v>
      </c>
    </row>
    <row r="1277" spans="1:4" x14ac:dyDescent="0.2">
      <c r="A1277" s="12" t="s">
        <v>5421</v>
      </c>
      <c r="B1277" s="12" t="s">
        <v>5420</v>
      </c>
      <c r="C1277" s="12" t="s">
        <v>59</v>
      </c>
      <c r="D1277" s="12" t="s">
        <v>59</v>
      </c>
    </row>
    <row r="1278" spans="1:4" x14ac:dyDescent="0.2">
      <c r="A1278" s="12" t="s">
        <v>8432</v>
      </c>
      <c r="B1278" s="12" t="s">
        <v>8431</v>
      </c>
      <c r="C1278" s="12">
        <v>15</v>
      </c>
      <c r="D1278" s="12">
        <v>1.5</v>
      </c>
    </row>
    <row r="1279" spans="1:4" x14ac:dyDescent="0.2">
      <c r="A1279" s="12" t="s">
        <v>9032</v>
      </c>
      <c r="B1279" s="12" t="s">
        <v>9031</v>
      </c>
      <c r="C1279" s="12">
        <v>1000</v>
      </c>
      <c r="D1279" s="12">
        <v>100</v>
      </c>
    </row>
    <row r="1280" spans="1:4" x14ac:dyDescent="0.2">
      <c r="A1280" s="12" t="s">
        <v>11230</v>
      </c>
      <c r="B1280" s="12" t="s">
        <v>11229</v>
      </c>
      <c r="C1280" s="12">
        <v>1000</v>
      </c>
      <c r="D1280" s="12">
        <v>100</v>
      </c>
    </row>
    <row r="1281" spans="1:4" x14ac:dyDescent="0.2">
      <c r="A1281" s="12" t="s">
        <v>11234</v>
      </c>
      <c r="B1281" s="12" t="s">
        <v>11233</v>
      </c>
      <c r="C1281" s="12">
        <v>1000</v>
      </c>
      <c r="D1281" s="12">
        <v>100</v>
      </c>
    </row>
    <row r="1282" spans="1:4" x14ac:dyDescent="0.2">
      <c r="A1282" s="12" t="s">
        <v>11232</v>
      </c>
      <c r="B1282" s="12" t="s">
        <v>11231</v>
      </c>
      <c r="C1282" s="12">
        <v>1000</v>
      </c>
      <c r="D1282" s="12">
        <v>100</v>
      </c>
    </row>
    <row r="1283" spans="1:4" x14ac:dyDescent="0.2">
      <c r="A1283" s="12" t="s">
        <v>166</v>
      </c>
      <c r="B1283" s="12" t="s">
        <v>165</v>
      </c>
      <c r="C1283" s="12">
        <v>3400</v>
      </c>
      <c r="D1283" s="12">
        <v>340</v>
      </c>
    </row>
    <row r="1284" spans="1:4" x14ac:dyDescent="0.2">
      <c r="A1284" s="12" t="s">
        <v>3269</v>
      </c>
      <c r="B1284" s="12" t="s">
        <v>3268</v>
      </c>
      <c r="C1284" s="12">
        <v>200</v>
      </c>
      <c r="D1284" s="12">
        <v>48</v>
      </c>
    </row>
    <row r="1285" spans="1:4" x14ac:dyDescent="0.2">
      <c r="A1285" s="12" t="s">
        <v>5415</v>
      </c>
      <c r="B1285" s="12" t="s">
        <v>5414</v>
      </c>
      <c r="C1285" s="12">
        <v>10</v>
      </c>
      <c r="D1285" s="12">
        <v>1</v>
      </c>
    </row>
    <row r="1286" spans="1:4" x14ac:dyDescent="0.2">
      <c r="A1286" s="12" t="s">
        <v>4813</v>
      </c>
      <c r="B1286" s="12" t="s">
        <v>4812</v>
      </c>
      <c r="C1286" s="12" t="s">
        <v>59</v>
      </c>
      <c r="D1286" s="12" t="s">
        <v>59</v>
      </c>
    </row>
    <row r="1287" spans="1:4" x14ac:dyDescent="0.2">
      <c r="A1287" s="12" t="s">
        <v>12527</v>
      </c>
      <c r="B1287" s="12" t="s">
        <v>3986</v>
      </c>
      <c r="C1287" s="12"/>
      <c r="D1287" s="12">
        <v>0.71</v>
      </c>
    </row>
    <row r="1288" spans="1:4" x14ac:dyDescent="0.2">
      <c r="A1288" s="12" t="s">
        <v>12526</v>
      </c>
      <c r="B1288" s="12" t="s">
        <v>3985</v>
      </c>
      <c r="C1288" s="12">
        <v>2.8</v>
      </c>
      <c r="D1288" s="12">
        <v>0.56999999999999995</v>
      </c>
    </row>
    <row r="1289" spans="1:4" x14ac:dyDescent="0.2">
      <c r="A1289" s="12" t="s">
        <v>3984</v>
      </c>
      <c r="B1289" s="12" t="s">
        <v>3983</v>
      </c>
      <c r="C1289" s="12">
        <v>17</v>
      </c>
      <c r="D1289" s="12">
        <v>8.1</v>
      </c>
    </row>
    <row r="1290" spans="1:4" x14ac:dyDescent="0.2">
      <c r="A1290" s="12" t="s">
        <v>1922</v>
      </c>
      <c r="B1290" s="12" t="s">
        <v>1921</v>
      </c>
      <c r="C1290" s="12">
        <v>190</v>
      </c>
      <c r="D1290" s="12">
        <v>19</v>
      </c>
    </row>
    <row r="1291" spans="1:4" x14ac:dyDescent="0.2">
      <c r="A1291" s="12" t="s">
        <v>8182</v>
      </c>
      <c r="B1291" s="12" t="s">
        <v>8181</v>
      </c>
      <c r="C1291" s="12">
        <v>0.39</v>
      </c>
      <c r="D1291" s="12">
        <v>4.3E-3</v>
      </c>
    </row>
    <row r="1292" spans="1:4" x14ac:dyDescent="0.2">
      <c r="A1292" s="12" t="s">
        <v>1136</v>
      </c>
      <c r="B1292" s="12" t="s">
        <v>1135</v>
      </c>
      <c r="C1292" s="12">
        <v>0.05</v>
      </c>
      <c r="D1292" s="12">
        <v>5.0000000000000001E-3</v>
      </c>
    </row>
    <row r="1293" spans="1:4" x14ac:dyDescent="0.2">
      <c r="A1293" s="12" t="s">
        <v>2158</v>
      </c>
      <c r="B1293" s="12" t="s">
        <v>2157</v>
      </c>
      <c r="C1293" s="12">
        <v>200</v>
      </c>
      <c r="D1293" s="12">
        <v>20</v>
      </c>
    </row>
    <row r="1294" spans="1:4" x14ac:dyDescent="0.2">
      <c r="A1294" s="12" t="s">
        <v>2092</v>
      </c>
      <c r="B1294" s="12" t="s">
        <v>2091</v>
      </c>
      <c r="C1294" s="12">
        <v>1</v>
      </c>
      <c r="D1294" s="12">
        <v>0.1</v>
      </c>
    </row>
    <row r="1295" spans="1:4" x14ac:dyDescent="0.2">
      <c r="A1295" s="12" t="s">
        <v>8204</v>
      </c>
      <c r="B1295" s="12" t="s">
        <v>8203</v>
      </c>
      <c r="C1295" s="12">
        <v>40</v>
      </c>
      <c r="D1295" s="12">
        <v>4</v>
      </c>
    </row>
    <row r="1296" spans="1:4" x14ac:dyDescent="0.2">
      <c r="A1296" s="12" t="s">
        <v>10871</v>
      </c>
      <c r="B1296" s="12" t="s">
        <v>10870</v>
      </c>
      <c r="C1296" s="12" t="s">
        <v>59</v>
      </c>
      <c r="D1296" s="12" t="s">
        <v>59</v>
      </c>
    </row>
    <row r="1297" spans="1:4" x14ac:dyDescent="0.2">
      <c r="A1297" s="12" t="s">
        <v>10986</v>
      </c>
      <c r="B1297" s="12" t="s">
        <v>10985</v>
      </c>
      <c r="C1297" s="12">
        <v>20</v>
      </c>
      <c r="D1297" s="12">
        <v>2</v>
      </c>
    </row>
    <row r="1298" spans="1:4" x14ac:dyDescent="0.2">
      <c r="A1298" s="12" t="s">
        <v>11175</v>
      </c>
      <c r="B1298" s="12" t="s">
        <v>11174</v>
      </c>
      <c r="C1298" s="12" t="s">
        <v>59</v>
      </c>
      <c r="D1298" s="12" t="s">
        <v>59</v>
      </c>
    </row>
    <row r="1299" spans="1:4" x14ac:dyDescent="0.2">
      <c r="A1299" s="12" t="s">
        <v>3861</v>
      </c>
      <c r="B1299" s="12" t="s">
        <v>3860</v>
      </c>
      <c r="C1299" s="12">
        <v>50</v>
      </c>
      <c r="D1299" s="12">
        <v>5</v>
      </c>
    </row>
    <row r="1300" spans="1:4" x14ac:dyDescent="0.2">
      <c r="A1300" s="12" t="s">
        <v>8068</v>
      </c>
      <c r="B1300" s="12" t="s">
        <v>8067</v>
      </c>
      <c r="C1300" s="12">
        <v>0.39</v>
      </c>
      <c r="D1300" s="12">
        <v>4.3E-3</v>
      </c>
    </row>
    <row r="1301" spans="1:4" x14ac:dyDescent="0.2">
      <c r="A1301" s="12" t="s">
        <v>8258</v>
      </c>
      <c r="B1301" s="12" t="s">
        <v>8257</v>
      </c>
      <c r="C1301" s="12">
        <v>2.7</v>
      </c>
      <c r="D1301" s="12">
        <v>0.25</v>
      </c>
    </row>
    <row r="1302" spans="1:4" x14ac:dyDescent="0.2">
      <c r="A1302" s="12" t="s">
        <v>9776</v>
      </c>
      <c r="B1302" s="12" t="s">
        <v>9775</v>
      </c>
      <c r="C1302" s="12">
        <v>10</v>
      </c>
      <c r="D1302" s="12">
        <v>1</v>
      </c>
    </row>
    <row r="1303" spans="1:4" x14ac:dyDescent="0.2">
      <c r="A1303" s="12" t="s">
        <v>4034</v>
      </c>
      <c r="B1303" s="12" t="s">
        <v>4033</v>
      </c>
      <c r="C1303" s="12" t="s">
        <v>59</v>
      </c>
      <c r="D1303" s="12" t="s">
        <v>59</v>
      </c>
    </row>
    <row r="1304" spans="1:4" x14ac:dyDescent="0.2">
      <c r="A1304" s="12" t="s">
        <v>4882</v>
      </c>
      <c r="B1304" s="12" t="s">
        <v>4881</v>
      </c>
      <c r="C1304" s="12" t="s">
        <v>59</v>
      </c>
      <c r="D1304" s="12" t="s">
        <v>59</v>
      </c>
    </row>
    <row r="1305" spans="1:4" x14ac:dyDescent="0.2">
      <c r="A1305" s="12" t="s">
        <v>4210</v>
      </c>
      <c r="B1305" s="12" t="s">
        <v>4209</v>
      </c>
      <c r="C1305" s="12">
        <v>5</v>
      </c>
      <c r="D1305" s="12">
        <v>0.5</v>
      </c>
    </row>
    <row r="1306" spans="1:4" x14ac:dyDescent="0.2">
      <c r="A1306" s="12" t="s">
        <v>11320</v>
      </c>
      <c r="B1306" s="12" t="s">
        <v>11319</v>
      </c>
      <c r="C1306" s="12">
        <v>20</v>
      </c>
      <c r="D1306" s="12">
        <v>2</v>
      </c>
    </row>
    <row r="1307" spans="1:4" x14ac:dyDescent="0.2">
      <c r="A1307" s="12" t="s">
        <v>5007</v>
      </c>
      <c r="B1307" s="12" t="s">
        <v>5006</v>
      </c>
      <c r="C1307" s="12">
        <v>50</v>
      </c>
      <c r="D1307" s="12">
        <v>5</v>
      </c>
    </row>
    <row r="1308" spans="1:4" x14ac:dyDescent="0.2">
      <c r="A1308" s="12" t="s">
        <v>5303</v>
      </c>
      <c r="B1308" s="12" t="s">
        <v>5302</v>
      </c>
      <c r="C1308" s="12">
        <v>0.21</v>
      </c>
      <c r="D1308" s="12">
        <v>1.6999999999999999E-3</v>
      </c>
    </row>
    <row r="1309" spans="1:4" x14ac:dyDescent="0.2">
      <c r="A1309" s="12" t="s">
        <v>7741</v>
      </c>
      <c r="B1309" s="12" t="s">
        <v>7740</v>
      </c>
      <c r="C1309" s="12" t="s">
        <v>59</v>
      </c>
      <c r="D1309" s="12" t="s">
        <v>59</v>
      </c>
    </row>
    <row r="1310" spans="1:4" x14ac:dyDescent="0.2">
      <c r="A1310" s="12" t="s">
        <v>5338</v>
      </c>
      <c r="B1310" s="12" t="s">
        <v>5337</v>
      </c>
      <c r="C1310" s="12">
        <v>0.21</v>
      </c>
      <c r="D1310" s="12">
        <v>1.6999999999999999E-3</v>
      </c>
    </row>
    <row r="1311" spans="1:4" x14ac:dyDescent="0.2">
      <c r="A1311" s="12" t="s">
        <v>8908</v>
      </c>
      <c r="B1311" s="12" t="s">
        <v>8907</v>
      </c>
      <c r="C1311" s="12">
        <v>500</v>
      </c>
      <c r="D1311" s="12">
        <v>50</v>
      </c>
    </row>
    <row r="1312" spans="1:4" x14ac:dyDescent="0.2">
      <c r="A1312" s="12" t="s">
        <v>4206</v>
      </c>
      <c r="B1312" s="12" t="s">
        <v>4205</v>
      </c>
      <c r="C1312" s="12">
        <v>50</v>
      </c>
      <c r="D1312" s="12">
        <v>5</v>
      </c>
    </row>
    <row r="1313" spans="1:4" x14ac:dyDescent="0.2">
      <c r="A1313" s="12" t="s">
        <v>8072</v>
      </c>
      <c r="B1313" s="12" t="s">
        <v>8071</v>
      </c>
      <c r="C1313" s="12"/>
      <c r="D1313" s="12" t="s">
        <v>59</v>
      </c>
    </row>
    <row r="1314" spans="1:4" x14ac:dyDescent="0.2">
      <c r="A1314" s="12" t="s">
        <v>9169</v>
      </c>
      <c r="B1314" s="12" t="s">
        <v>9168</v>
      </c>
      <c r="C1314" s="12">
        <v>0.33</v>
      </c>
      <c r="D1314" s="12">
        <v>5.8999999999999997E-2</v>
      </c>
    </row>
    <row r="1315" spans="1:4" x14ac:dyDescent="0.2">
      <c r="A1315" s="12" t="s">
        <v>7728</v>
      </c>
      <c r="B1315" s="12" t="s">
        <v>7727</v>
      </c>
      <c r="C1315" s="12">
        <v>8</v>
      </c>
      <c r="D1315" s="12">
        <v>0.8</v>
      </c>
    </row>
    <row r="1316" spans="1:4" x14ac:dyDescent="0.2">
      <c r="A1316" s="12" t="s">
        <v>2466</v>
      </c>
      <c r="B1316" s="12" t="s">
        <v>2465</v>
      </c>
      <c r="C1316" s="12">
        <v>12</v>
      </c>
      <c r="D1316" s="12">
        <v>1.2</v>
      </c>
    </row>
    <row r="1317" spans="1:4" x14ac:dyDescent="0.2">
      <c r="A1317" s="12" t="s">
        <v>11816</v>
      </c>
      <c r="B1317" s="12" t="s">
        <v>11815</v>
      </c>
      <c r="C1317" s="12">
        <v>50</v>
      </c>
      <c r="D1317" s="12">
        <v>5</v>
      </c>
    </row>
    <row r="1318" spans="1:4" x14ac:dyDescent="0.2">
      <c r="A1318" s="12" t="s">
        <v>8719</v>
      </c>
      <c r="B1318" s="12" t="s">
        <v>8718</v>
      </c>
      <c r="C1318" s="12">
        <v>3</v>
      </c>
      <c r="D1318" s="12">
        <v>0.3</v>
      </c>
    </row>
    <row r="1319" spans="1:4" x14ac:dyDescent="0.2">
      <c r="A1319" s="12" t="s">
        <v>10906</v>
      </c>
      <c r="B1319" s="12" t="s">
        <v>10905</v>
      </c>
      <c r="C1319" s="12" t="s">
        <v>59</v>
      </c>
      <c r="D1319" s="12" t="s">
        <v>59</v>
      </c>
    </row>
    <row r="1320" spans="1:4" x14ac:dyDescent="0.2">
      <c r="A1320" s="12" t="s">
        <v>2643</v>
      </c>
      <c r="B1320" s="12" t="s">
        <v>2642</v>
      </c>
      <c r="C1320" s="12">
        <v>1120</v>
      </c>
      <c r="D1320" s="12">
        <v>112</v>
      </c>
    </row>
    <row r="1321" spans="1:4" x14ac:dyDescent="0.2">
      <c r="A1321" s="12" t="s">
        <v>1431</v>
      </c>
      <c r="B1321" s="12" t="s">
        <v>1430</v>
      </c>
      <c r="C1321" s="12" t="s">
        <v>59</v>
      </c>
      <c r="D1321" s="12" t="s">
        <v>59</v>
      </c>
    </row>
    <row r="1322" spans="1:4" x14ac:dyDescent="0.2">
      <c r="A1322" s="12" t="s">
        <v>11203</v>
      </c>
      <c r="B1322" s="12" t="s">
        <v>11202</v>
      </c>
      <c r="C1322" s="12">
        <v>20</v>
      </c>
      <c r="D1322" s="12">
        <v>2</v>
      </c>
    </row>
    <row r="1323" spans="1:4" x14ac:dyDescent="0.2">
      <c r="A1323" s="12" t="s">
        <v>10349</v>
      </c>
      <c r="B1323" s="12" t="s">
        <v>10348</v>
      </c>
      <c r="C1323" s="12" t="s">
        <v>59</v>
      </c>
      <c r="D1323" s="12" t="s">
        <v>59</v>
      </c>
    </row>
    <row r="1324" spans="1:4" x14ac:dyDescent="0.2">
      <c r="A1324" s="12" t="s">
        <v>10350</v>
      </c>
      <c r="B1324" s="12" t="s">
        <v>10348</v>
      </c>
      <c r="C1324" s="12">
        <v>1000</v>
      </c>
      <c r="D1324" s="12">
        <v>100</v>
      </c>
    </row>
    <row r="1325" spans="1:4" x14ac:dyDescent="0.2">
      <c r="A1325" s="12" t="s">
        <v>3257</v>
      </c>
      <c r="B1325" s="12" t="s">
        <v>3256</v>
      </c>
      <c r="C1325" s="12">
        <v>1700</v>
      </c>
      <c r="D1325" s="12">
        <v>330</v>
      </c>
    </row>
    <row r="1326" spans="1:4" x14ac:dyDescent="0.2">
      <c r="A1326" s="12" t="s">
        <v>2834</v>
      </c>
      <c r="B1326" s="12" t="s">
        <v>2833</v>
      </c>
      <c r="C1326" s="12">
        <v>1700</v>
      </c>
      <c r="D1326" s="12">
        <v>330</v>
      </c>
    </row>
    <row r="1327" spans="1:4" x14ac:dyDescent="0.2">
      <c r="A1327" s="12" t="s">
        <v>1352</v>
      </c>
      <c r="B1327" s="12" t="s">
        <v>1351</v>
      </c>
      <c r="C1327" s="12">
        <v>1700</v>
      </c>
      <c r="D1327" s="12">
        <v>330</v>
      </c>
    </row>
    <row r="1328" spans="1:4" x14ac:dyDescent="0.2">
      <c r="A1328" s="12" t="s">
        <v>7863</v>
      </c>
      <c r="B1328" s="12" t="s">
        <v>7862</v>
      </c>
      <c r="C1328" s="12">
        <v>3500</v>
      </c>
      <c r="D1328" s="12">
        <v>350</v>
      </c>
    </row>
    <row r="1329" spans="1:4" x14ac:dyDescent="0.2">
      <c r="A1329" s="12" t="s">
        <v>5168</v>
      </c>
      <c r="B1329" s="12" t="s">
        <v>5167</v>
      </c>
      <c r="C1329" s="12">
        <v>3.6</v>
      </c>
      <c r="D1329" s="12">
        <v>4.1000000000000002E-2</v>
      </c>
    </row>
    <row r="1330" spans="1:4" x14ac:dyDescent="0.2">
      <c r="A1330" s="12" t="s">
        <v>6255</v>
      </c>
      <c r="B1330" s="12" t="s">
        <v>6254</v>
      </c>
      <c r="C1330" s="12">
        <v>50</v>
      </c>
      <c r="D1330" s="12">
        <v>5</v>
      </c>
    </row>
    <row r="1331" spans="1:4" x14ac:dyDescent="0.2">
      <c r="A1331" s="12" t="s">
        <v>11500</v>
      </c>
      <c r="B1331" s="12" t="s">
        <v>11499</v>
      </c>
      <c r="C1331" s="12">
        <v>1</v>
      </c>
      <c r="D1331" s="12">
        <v>0.1</v>
      </c>
    </row>
    <row r="1332" spans="1:4" x14ac:dyDescent="0.2">
      <c r="A1332" s="12" t="s">
        <v>9455</v>
      </c>
      <c r="B1332" s="12" t="s">
        <v>9454</v>
      </c>
      <c r="C1332" s="12">
        <v>2500</v>
      </c>
      <c r="D1332" s="12">
        <v>250</v>
      </c>
    </row>
    <row r="1333" spans="1:4" x14ac:dyDescent="0.2">
      <c r="A1333" s="12" t="s">
        <v>7607</v>
      </c>
      <c r="B1333" s="12" t="s">
        <v>7606</v>
      </c>
      <c r="C1333" s="12" t="s">
        <v>59</v>
      </c>
      <c r="D1333" s="12" t="s">
        <v>59</v>
      </c>
    </row>
    <row r="1334" spans="1:4" x14ac:dyDescent="0.2">
      <c r="A1334" s="12" t="s">
        <v>4734</v>
      </c>
      <c r="B1334" s="12" t="s">
        <v>4733</v>
      </c>
      <c r="C1334" s="12" t="s">
        <v>59</v>
      </c>
      <c r="D1334" s="12" t="s">
        <v>59</v>
      </c>
    </row>
    <row r="1335" spans="1:4" x14ac:dyDescent="0.2">
      <c r="A1335" s="12" t="s">
        <v>7672</v>
      </c>
      <c r="B1335" s="12" t="s">
        <v>7671</v>
      </c>
      <c r="C1335" s="12">
        <v>10</v>
      </c>
      <c r="D1335" s="12">
        <v>1</v>
      </c>
    </row>
    <row r="1336" spans="1:4" x14ac:dyDescent="0.2">
      <c r="A1336" s="12" t="s">
        <v>4036</v>
      </c>
      <c r="B1336" s="12" t="s">
        <v>4035</v>
      </c>
      <c r="C1336" s="12">
        <v>400</v>
      </c>
      <c r="D1336" s="12">
        <v>40</v>
      </c>
    </row>
    <row r="1337" spans="1:4" x14ac:dyDescent="0.2">
      <c r="A1337" s="12" t="s">
        <v>12418</v>
      </c>
      <c r="B1337" s="12" t="s">
        <v>12417</v>
      </c>
      <c r="C1337" s="12">
        <v>0.39</v>
      </c>
      <c r="D1337" s="12">
        <v>4.3E-3</v>
      </c>
    </row>
    <row r="1338" spans="1:4" x14ac:dyDescent="0.2">
      <c r="A1338" s="12" t="s">
        <v>8729</v>
      </c>
      <c r="B1338" s="12" t="s">
        <v>8728</v>
      </c>
      <c r="C1338" s="12">
        <v>10</v>
      </c>
      <c r="D1338" s="12">
        <v>1</v>
      </c>
    </row>
    <row r="1339" spans="1:4" x14ac:dyDescent="0.2">
      <c r="A1339" s="12" t="s">
        <v>3405</v>
      </c>
      <c r="B1339" s="12" t="s">
        <v>3404</v>
      </c>
      <c r="C1339" s="12">
        <v>50</v>
      </c>
      <c r="D1339" s="12">
        <v>5</v>
      </c>
    </row>
    <row r="1340" spans="1:4" x14ac:dyDescent="0.2">
      <c r="A1340" s="12" t="s">
        <v>8811</v>
      </c>
      <c r="B1340" s="12" t="s">
        <v>8810</v>
      </c>
      <c r="C1340" s="12" t="s">
        <v>59</v>
      </c>
      <c r="D1340" s="12" t="s">
        <v>59</v>
      </c>
    </row>
    <row r="1341" spans="1:4" x14ac:dyDescent="0.2">
      <c r="A1341" s="12" t="s">
        <v>8717</v>
      </c>
      <c r="B1341" s="12" t="s">
        <v>8716</v>
      </c>
      <c r="C1341" s="12">
        <v>40</v>
      </c>
      <c r="D1341" s="12">
        <v>4</v>
      </c>
    </row>
    <row r="1342" spans="1:4" x14ac:dyDescent="0.2">
      <c r="A1342" s="12" t="s">
        <v>5162</v>
      </c>
      <c r="B1342" s="12" t="s">
        <v>5161</v>
      </c>
      <c r="C1342" s="12">
        <v>3.6</v>
      </c>
      <c r="D1342" s="12">
        <v>4.1000000000000002E-2</v>
      </c>
    </row>
    <row r="1343" spans="1:4" x14ac:dyDescent="0.2">
      <c r="A1343" s="12" t="s">
        <v>5634</v>
      </c>
      <c r="B1343" s="12" t="s">
        <v>5633</v>
      </c>
      <c r="C1343" s="12" t="s">
        <v>59</v>
      </c>
      <c r="D1343" s="12" t="s">
        <v>59</v>
      </c>
    </row>
    <row r="1344" spans="1:4" x14ac:dyDescent="0.2">
      <c r="A1344" s="12" t="s">
        <v>4488</v>
      </c>
      <c r="B1344" s="12" t="s">
        <v>4487</v>
      </c>
      <c r="C1344" s="12">
        <v>50</v>
      </c>
      <c r="D1344" s="12">
        <v>5</v>
      </c>
    </row>
    <row r="1345" spans="1:4" x14ac:dyDescent="0.2">
      <c r="A1345" s="12" t="s">
        <v>9945</v>
      </c>
      <c r="B1345" s="12" t="s">
        <v>9944</v>
      </c>
      <c r="C1345" s="12">
        <v>10</v>
      </c>
      <c r="D1345" s="12">
        <v>1</v>
      </c>
    </row>
    <row r="1346" spans="1:4" x14ac:dyDescent="0.2">
      <c r="A1346" s="12" t="s">
        <v>12425</v>
      </c>
      <c r="B1346" s="12" t="s">
        <v>12424</v>
      </c>
      <c r="C1346" s="12">
        <v>20</v>
      </c>
      <c r="D1346" s="12">
        <v>2</v>
      </c>
    </row>
    <row r="1347" spans="1:4" x14ac:dyDescent="0.2">
      <c r="A1347" s="12" t="s">
        <v>5673</v>
      </c>
      <c r="B1347" s="12" t="s">
        <v>5672</v>
      </c>
      <c r="C1347" s="12" t="s">
        <v>59</v>
      </c>
      <c r="D1347" s="12" t="s">
        <v>59</v>
      </c>
    </row>
    <row r="1348" spans="1:4" x14ac:dyDescent="0.2">
      <c r="A1348" s="12" t="s">
        <v>8823</v>
      </c>
      <c r="B1348" s="12" t="s">
        <v>8822</v>
      </c>
      <c r="C1348" s="12">
        <v>350</v>
      </c>
      <c r="D1348" s="12">
        <v>35</v>
      </c>
    </row>
    <row r="1349" spans="1:4" x14ac:dyDescent="0.2">
      <c r="A1349" s="12" t="s">
        <v>8863</v>
      </c>
      <c r="B1349" s="12" t="s">
        <v>8862</v>
      </c>
      <c r="C1349" s="12">
        <v>350</v>
      </c>
      <c r="D1349" s="12">
        <v>35</v>
      </c>
    </row>
    <row r="1350" spans="1:4" x14ac:dyDescent="0.2">
      <c r="A1350" s="12" t="s">
        <v>12423</v>
      </c>
      <c r="B1350" s="12" t="s">
        <v>12422</v>
      </c>
      <c r="C1350" s="12">
        <v>20</v>
      </c>
      <c r="D1350" s="12">
        <v>2</v>
      </c>
    </row>
    <row r="1351" spans="1:4" x14ac:dyDescent="0.2">
      <c r="A1351" s="12" t="s">
        <v>4893</v>
      </c>
      <c r="B1351" s="12" t="s">
        <v>4892</v>
      </c>
      <c r="C1351" s="12" t="s">
        <v>59</v>
      </c>
      <c r="D1351" s="12" t="s">
        <v>59</v>
      </c>
    </row>
    <row r="1352" spans="1:4" x14ac:dyDescent="0.2">
      <c r="A1352" s="12" t="s">
        <v>5301</v>
      </c>
      <c r="B1352" s="12" t="s">
        <v>5300</v>
      </c>
      <c r="C1352" s="12">
        <v>0.21</v>
      </c>
      <c r="D1352" s="12">
        <v>1.6999999999999999E-3</v>
      </c>
    </row>
    <row r="1353" spans="1:4" x14ac:dyDescent="0.2">
      <c r="A1353" s="12" t="s">
        <v>12387</v>
      </c>
      <c r="B1353" s="12" t="s">
        <v>12386</v>
      </c>
      <c r="C1353" s="12">
        <v>480</v>
      </c>
      <c r="D1353" s="12">
        <v>48</v>
      </c>
    </row>
    <row r="1354" spans="1:4" x14ac:dyDescent="0.2">
      <c r="A1354" s="12" t="s">
        <v>9057</v>
      </c>
      <c r="B1354" s="12" t="s">
        <v>9056</v>
      </c>
      <c r="C1354" s="12">
        <v>250</v>
      </c>
      <c r="D1354" s="12">
        <v>25</v>
      </c>
    </row>
    <row r="1355" spans="1:4" x14ac:dyDescent="0.2">
      <c r="A1355" s="12" t="s">
        <v>12187</v>
      </c>
      <c r="B1355" s="12" t="s">
        <v>12186</v>
      </c>
      <c r="C1355" s="12">
        <v>600</v>
      </c>
      <c r="D1355" s="12">
        <v>60</v>
      </c>
    </row>
    <row r="1356" spans="1:4" x14ac:dyDescent="0.2">
      <c r="A1356" s="12" t="s">
        <v>704</v>
      </c>
      <c r="B1356" s="12" t="s">
        <v>703</v>
      </c>
      <c r="C1356" s="12">
        <v>600</v>
      </c>
      <c r="D1356" s="12">
        <v>60</v>
      </c>
    </row>
    <row r="1357" spans="1:4" x14ac:dyDescent="0.2">
      <c r="A1357" s="12" t="s">
        <v>1688</v>
      </c>
      <c r="B1357" s="12" t="s">
        <v>1687</v>
      </c>
      <c r="C1357" s="12" t="s">
        <v>59</v>
      </c>
      <c r="D1357" s="12" t="s">
        <v>59</v>
      </c>
    </row>
    <row r="1358" spans="1:4" x14ac:dyDescent="0.2">
      <c r="A1358" s="12" t="s">
        <v>3275</v>
      </c>
      <c r="B1358" s="12" t="s">
        <v>3274</v>
      </c>
      <c r="C1358" s="12">
        <v>120</v>
      </c>
      <c r="D1358" s="12">
        <v>12</v>
      </c>
    </row>
    <row r="1359" spans="1:4" x14ac:dyDescent="0.2">
      <c r="A1359" s="12" t="s">
        <v>8045</v>
      </c>
      <c r="B1359" s="12" t="s">
        <v>8044</v>
      </c>
      <c r="C1359" s="12" t="s">
        <v>59</v>
      </c>
      <c r="D1359" s="12" t="s">
        <v>59</v>
      </c>
    </row>
    <row r="1360" spans="1:4" x14ac:dyDescent="0.2">
      <c r="A1360" s="12" t="s">
        <v>4198</v>
      </c>
      <c r="B1360" s="12" t="s">
        <v>4197</v>
      </c>
      <c r="C1360" s="12">
        <v>5</v>
      </c>
      <c r="D1360" s="12">
        <v>0.5</v>
      </c>
    </row>
    <row r="1361" spans="1:4" x14ac:dyDescent="0.2">
      <c r="A1361" s="12" t="s">
        <v>4826</v>
      </c>
      <c r="B1361" s="12" t="s">
        <v>4825</v>
      </c>
      <c r="C1361" s="12">
        <v>20</v>
      </c>
      <c r="D1361" s="12">
        <v>2</v>
      </c>
    </row>
    <row r="1362" spans="1:4" x14ac:dyDescent="0.2">
      <c r="A1362" s="12" t="s">
        <v>2130</v>
      </c>
      <c r="B1362" s="12" t="s">
        <v>2129</v>
      </c>
      <c r="C1362" s="12">
        <v>1700</v>
      </c>
      <c r="D1362" s="12">
        <v>170</v>
      </c>
    </row>
    <row r="1363" spans="1:4" x14ac:dyDescent="0.2">
      <c r="A1363" s="12" t="s">
        <v>8374</v>
      </c>
      <c r="B1363" s="12" t="s">
        <v>8373</v>
      </c>
      <c r="C1363" s="12">
        <v>90</v>
      </c>
      <c r="D1363" s="12">
        <v>9</v>
      </c>
    </row>
    <row r="1364" spans="1:4" x14ac:dyDescent="0.2">
      <c r="A1364" s="12" t="s">
        <v>12655</v>
      </c>
      <c r="B1364" s="12" t="s">
        <v>12361</v>
      </c>
      <c r="C1364" s="12"/>
      <c r="D1364" s="12">
        <v>0.71</v>
      </c>
    </row>
    <row r="1365" spans="1:4" x14ac:dyDescent="0.2">
      <c r="A1365" s="12" t="s">
        <v>12654</v>
      </c>
      <c r="B1365" s="12" t="s">
        <v>12360</v>
      </c>
      <c r="C1365" s="12">
        <v>2.8</v>
      </c>
      <c r="D1365" s="12">
        <v>0.56999999999999995</v>
      </c>
    </row>
    <row r="1366" spans="1:4" x14ac:dyDescent="0.2">
      <c r="A1366" s="12" t="s">
        <v>12359</v>
      </c>
      <c r="B1366" s="12" t="s">
        <v>12358</v>
      </c>
      <c r="C1366" s="12">
        <v>17</v>
      </c>
      <c r="D1366" s="12">
        <v>8.1</v>
      </c>
    </row>
    <row r="1367" spans="1:4" x14ac:dyDescent="0.2">
      <c r="A1367" s="12" t="s">
        <v>1041</v>
      </c>
      <c r="B1367" s="12" t="s">
        <v>1040</v>
      </c>
      <c r="C1367" s="12">
        <v>16400</v>
      </c>
      <c r="D1367" s="12">
        <v>1640</v>
      </c>
    </row>
    <row r="1368" spans="1:4" x14ac:dyDescent="0.2">
      <c r="A1368" s="12" t="s">
        <v>11722</v>
      </c>
      <c r="B1368" s="12" t="s">
        <v>11721</v>
      </c>
      <c r="C1368" s="12">
        <v>10</v>
      </c>
      <c r="D1368" s="12">
        <v>1</v>
      </c>
    </row>
    <row r="1369" spans="1:4" x14ac:dyDescent="0.2">
      <c r="A1369" s="12" t="s">
        <v>5419</v>
      </c>
      <c r="B1369" s="12" t="s">
        <v>5418</v>
      </c>
      <c r="C1369" s="12">
        <v>10</v>
      </c>
      <c r="D1369" s="12">
        <v>1</v>
      </c>
    </row>
    <row r="1370" spans="1:4" x14ac:dyDescent="0.2">
      <c r="A1370" s="12" t="s">
        <v>12427</v>
      </c>
      <c r="B1370" s="12" t="s">
        <v>12426</v>
      </c>
      <c r="C1370" s="12">
        <v>20</v>
      </c>
      <c r="D1370" s="12">
        <v>2</v>
      </c>
    </row>
    <row r="1371" spans="1:4" x14ac:dyDescent="0.2">
      <c r="A1371" s="12" t="s">
        <v>2223</v>
      </c>
      <c r="B1371" s="12" t="s">
        <v>2222</v>
      </c>
      <c r="C1371" s="12">
        <v>3600</v>
      </c>
      <c r="D1371" s="12">
        <v>360</v>
      </c>
    </row>
    <row r="1372" spans="1:4" x14ac:dyDescent="0.2">
      <c r="A1372" s="12" t="s">
        <v>11165</v>
      </c>
      <c r="B1372" s="12" t="s">
        <v>11164</v>
      </c>
      <c r="C1372" s="12" t="s">
        <v>59</v>
      </c>
      <c r="D1372" s="12" t="s">
        <v>59</v>
      </c>
    </row>
    <row r="1373" spans="1:4" x14ac:dyDescent="0.2">
      <c r="A1373" s="12" t="s">
        <v>10440</v>
      </c>
      <c r="B1373" s="12" t="s">
        <v>10439</v>
      </c>
      <c r="C1373" s="12" t="s">
        <v>59</v>
      </c>
      <c r="D1373" s="12" t="s">
        <v>59</v>
      </c>
    </row>
    <row r="1374" spans="1:4" x14ac:dyDescent="0.2">
      <c r="A1374" s="12" t="s">
        <v>11127</v>
      </c>
      <c r="B1374" s="12" t="s">
        <v>11126</v>
      </c>
      <c r="C1374" s="12" t="s">
        <v>59</v>
      </c>
      <c r="D1374" s="12" t="s">
        <v>59</v>
      </c>
    </row>
    <row r="1375" spans="1:4" x14ac:dyDescent="0.2">
      <c r="A1375" s="12" t="s">
        <v>10408</v>
      </c>
      <c r="B1375" s="12" t="s">
        <v>10407</v>
      </c>
      <c r="C1375" s="12" t="s">
        <v>59</v>
      </c>
      <c r="D1375" s="12" t="s">
        <v>59</v>
      </c>
    </row>
    <row r="1376" spans="1:4" x14ac:dyDescent="0.2">
      <c r="A1376" s="12" t="s">
        <v>8353</v>
      </c>
      <c r="B1376" s="12" t="s">
        <v>8352</v>
      </c>
      <c r="C1376" s="12" t="s">
        <v>59</v>
      </c>
      <c r="D1376" s="12" t="s">
        <v>59</v>
      </c>
    </row>
    <row r="1377" spans="1:4" x14ac:dyDescent="0.2">
      <c r="A1377" s="12" t="s">
        <v>12627</v>
      </c>
      <c r="B1377" s="12" t="s">
        <v>11072</v>
      </c>
      <c r="C1377" s="12"/>
      <c r="D1377" s="12">
        <v>0.71</v>
      </c>
    </row>
    <row r="1378" spans="1:4" x14ac:dyDescent="0.2">
      <c r="A1378" s="12" t="s">
        <v>12626</v>
      </c>
      <c r="B1378" s="12" t="s">
        <v>11071</v>
      </c>
      <c r="C1378" s="12">
        <v>2.8</v>
      </c>
      <c r="D1378" s="12">
        <v>0.56999999999999995</v>
      </c>
    </row>
    <row r="1379" spans="1:4" x14ac:dyDescent="0.2">
      <c r="A1379" s="12" t="s">
        <v>11070</v>
      </c>
      <c r="B1379" s="12" t="s">
        <v>11069</v>
      </c>
      <c r="C1379" s="12">
        <v>17</v>
      </c>
      <c r="D1379" s="12">
        <v>8.1</v>
      </c>
    </row>
    <row r="1380" spans="1:4" x14ac:dyDescent="0.2">
      <c r="A1380" s="12" t="s">
        <v>10386</v>
      </c>
      <c r="B1380" s="12" t="s">
        <v>10385</v>
      </c>
      <c r="C1380" s="12">
        <v>20</v>
      </c>
      <c r="D1380" s="12">
        <v>2</v>
      </c>
    </row>
    <row r="1381" spans="1:4" x14ac:dyDescent="0.2">
      <c r="A1381" s="12" t="s">
        <v>4838</v>
      </c>
      <c r="B1381" s="12" t="s">
        <v>4837</v>
      </c>
      <c r="C1381" s="12">
        <v>0.39</v>
      </c>
      <c r="D1381" s="12">
        <v>4.3E-3</v>
      </c>
    </row>
    <row r="1382" spans="1:4" x14ac:dyDescent="0.2">
      <c r="A1382" s="12" t="s">
        <v>12441</v>
      </c>
      <c r="B1382" s="12" t="s">
        <v>12440</v>
      </c>
      <c r="C1382" s="12">
        <v>20</v>
      </c>
      <c r="D1382" s="12">
        <v>2</v>
      </c>
    </row>
    <row r="1383" spans="1:4" x14ac:dyDescent="0.2">
      <c r="A1383" s="12" t="s">
        <v>10468</v>
      </c>
      <c r="B1383" s="12" t="s">
        <v>10467</v>
      </c>
      <c r="C1383" s="12">
        <v>0.5</v>
      </c>
      <c r="D1383" s="12">
        <v>0.05</v>
      </c>
    </row>
    <row r="1384" spans="1:4" x14ac:dyDescent="0.2">
      <c r="A1384" s="12" t="s">
        <v>10988</v>
      </c>
      <c r="B1384" s="12" t="s">
        <v>10987</v>
      </c>
      <c r="C1384" s="12">
        <v>20</v>
      </c>
      <c r="D1384" s="12">
        <v>2</v>
      </c>
    </row>
    <row r="1385" spans="1:4" x14ac:dyDescent="0.2">
      <c r="A1385" s="12" t="s">
        <v>12472</v>
      </c>
      <c r="B1385" s="12" t="s">
        <v>12471</v>
      </c>
      <c r="C1385" s="12">
        <v>50</v>
      </c>
      <c r="D1385" s="12">
        <v>5</v>
      </c>
    </row>
    <row r="1386" spans="1:4" x14ac:dyDescent="0.2">
      <c r="A1386" s="12" t="s">
        <v>4854</v>
      </c>
      <c r="B1386" s="12" t="s">
        <v>4853</v>
      </c>
      <c r="C1386" s="12" t="s">
        <v>59</v>
      </c>
      <c r="D1386" s="12" t="s">
        <v>59</v>
      </c>
    </row>
    <row r="1387" spans="1:4" x14ac:dyDescent="0.2">
      <c r="A1387" s="12" t="s">
        <v>128</v>
      </c>
      <c r="B1387" s="12" t="s">
        <v>127</v>
      </c>
      <c r="C1387" s="12">
        <v>2200</v>
      </c>
      <c r="D1387" s="12">
        <v>220</v>
      </c>
    </row>
    <row r="1388" spans="1:4" x14ac:dyDescent="0.2">
      <c r="A1388" s="12" t="s">
        <v>4618</v>
      </c>
      <c r="B1388" s="12" t="s">
        <v>4617</v>
      </c>
      <c r="C1388" s="12">
        <v>300</v>
      </c>
      <c r="D1388" s="12">
        <v>30</v>
      </c>
    </row>
    <row r="1389" spans="1:4" x14ac:dyDescent="0.2">
      <c r="A1389" s="12" t="s">
        <v>3903</v>
      </c>
      <c r="B1389" s="12" t="s">
        <v>3902</v>
      </c>
      <c r="C1389" s="12" t="s">
        <v>59</v>
      </c>
      <c r="D1389" s="12" t="s">
        <v>59</v>
      </c>
    </row>
    <row r="1390" spans="1:4" x14ac:dyDescent="0.2">
      <c r="A1390" s="12" t="s">
        <v>5196</v>
      </c>
      <c r="B1390" s="12" t="s">
        <v>5195</v>
      </c>
      <c r="C1390" s="12">
        <v>3.6</v>
      </c>
      <c r="D1390" s="12">
        <v>4.1000000000000002E-2</v>
      </c>
    </row>
    <row r="1391" spans="1:4" x14ac:dyDescent="0.2">
      <c r="A1391" s="12" t="s">
        <v>7680</v>
      </c>
      <c r="B1391" s="12" t="s">
        <v>7679</v>
      </c>
      <c r="C1391" s="12">
        <v>50</v>
      </c>
      <c r="D1391" s="12">
        <v>5</v>
      </c>
    </row>
    <row r="1392" spans="1:4" x14ac:dyDescent="0.2">
      <c r="A1392" s="12" t="s">
        <v>12529</v>
      </c>
      <c r="B1392" s="12" t="s">
        <v>4003</v>
      </c>
      <c r="C1392" s="12"/>
      <c r="D1392" s="12">
        <v>0.71</v>
      </c>
    </row>
    <row r="1393" spans="1:4" x14ac:dyDescent="0.2">
      <c r="A1393" s="12" t="s">
        <v>12528</v>
      </c>
      <c r="B1393" s="12" t="s">
        <v>4002</v>
      </c>
      <c r="C1393" s="12">
        <v>2.8</v>
      </c>
      <c r="D1393" s="12">
        <v>0.56999999999999995</v>
      </c>
    </row>
    <row r="1394" spans="1:4" x14ac:dyDescent="0.2">
      <c r="A1394" s="12" t="s">
        <v>4001</v>
      </c>
      <c r="B1394" s="12" t="s">
        <v>4000</v>
      </c>
      <c r="C1394" s="12">
        <v>17</v>
      </c>
      <c r="D1394" s="12">
        <v>8.1</v>
      </c>
    </row>
    <row r="1395" spans="1:4" x14ac:dyDescent="0.2">
      <c r="A1395" s="12" t="s">
        <v>3450</v>
      </c>
      <c r="B1395" s="12" t="s">
        <v>3449</v>
      </c>
      <c r="C1395" s="12">
        <v>250</v>
      </c>
      <c r="D1395" s="12">
        <v>25</v>
      </c>
    </row>
    <row r="1396" spans="1:4" x14ac:dyDescent="0.2">
      <c r="A1396" s="12" t="s">
        <v>6503</v>
      </c>
      <c r="B1396" s="12" t="s">
        <v>6502</v>
      </c>
      <c r="C1396" s="12">
        <v>1500</v>
      </c>
      <c r="D1396" s="12">
        <v>150</v>
      </c>
    </row>
    <row r="1397" spans="1:4" x14ac:dyDescent="0.2">
      <c r="A1397" s="12" t="s">
        <v>9524</v>
      </c>
      <c r="B1397" s="12" t="s">
        <v>9523</v>
      </c>
      <c r="C1397" s="12">
        <v>20</v>
      </c>
      <c r="D1397" s="12">
        <v>2</v>
      </c>
    </row>
    <row r="1398" spans="1:4" x14ac:dyDescent="0.2">
      <c r="A1398" s="12" t="s">
        <v>10466</v>
      </c>
      <c r="B1398" s="12" t="s">
        <v>10465</v>
      </c>
      <c r="C1398" s="12" t="s">
        <v>59</v>
      </c>
      <c r="D1398" s="12" t="s">
        <v>59</v>
      </c>
    </row>
    <row r="1399" spans="1:4" x14ac:dyDescent="0.2">
      <c r="A1399" s="12" t="s">
        <v>284</v>
      </c>
      <c r="B1399" s="12" t="s">
        <v>283</v>
      </c>
      <c r="C1399" s="12">
        <v>10000</v>
      </c>
      <c r="D1399" s="12">
        <v>1000</v>
      </c>
    </row>
    <row r="1400" spans="1:4" x14ac:dyDescent="0.2">
      <c r="A1400" s="12" t="s">
        <v>3145</v>
      </c>
      <c r="B1400" s="12" t="s">
        <v>3144</v>
      </c>
      <c r="C1400" s="12">
        <v>1800</v>
      </c>
      <c r="D1400" s="12">
        <v>180</v>
      </c>
    </row>
    <row r="1401" spans="1:4" x14ac:dyDescent="0.2">
      <c r="A1401" s="12" t="s">
        <v>4051</v>
      </c>
      <c r="B1401" s="12" t="s">
        <v>4050</v>
      </c>
      <c r="C1401" s="12" t="s">
        <v>59</v>
      </c>
      <c r="D1401" s="12" t="s">
        <v>59</v>
      </c>
    </row>
    <row r="1402" spans="1:4" x14ac:dyDescent="0.2">
      <c r="A1402" s="12" t="s">
        <v>210</v>
      </c>
      <c r="B1402" s="12" t="s">
        <v>209</v>
      </c>
      <c r="C1402" s="12" t="s">
        <v>59</v>
      </c>
      <c r="D1402" s="12" t="s">
        <v>59</v>
      </c>
    </row>
    <row r="1403" spans="1:4" x14ac:dyDescent="0.2">
      <c r="A1403" s="12" t="s">
        <v>8110</v>
      </c>
      <c r="B1403" s="12" t="s">
        <v>8109</v>
      </c>
      <c r="C1403" s="12">
        <v>1100</v>
      </c>
      <c r="D1403" s="12">
        <v>110</v>
      </c>
    </row>
    <row r="1404" spans="1:4" x14ac:dyDescent="0.2">
      <c r="A1404" s="12" t="s">
        <v>4401</v>
      </c>
      <c r="B1404" s="12" t="s">
        <v>4400</v>
      </c>
      <c r="C1404" s="12">
        <v>1000</v>
      </c>
      <c r="D1404" s="12">
        <v>100</v>
      </c>
    </row>
    <row r="1405" spans="1:4" x14ac:dyDescent="0.2">
      <c r="A1405" s="12" t="s">
        <v>4365</v>
      </c>
      <c r="B1405" s="12" t="s">
        <v>4364</v>
      </c>
      <c r="C1405" s="12" t="s">
        <v>59</v>
      </c>
      <c r="D1405" s="12" t="s">
        <v>59</v>
      </c>
    </row>
    <row r="1406" spans="1:4" x14ac:dyDescent="0.2">
      <c r="A1406" s="12" t="s">
        <v>4371</v>
      </c>
      <c r="B1406" s="12" t="s">
        <v>4370</v>
      </c>
      <c r="C1406" s="12" t="s">
        <v>59</v>
      </c>
      <c r="D1406" s="12" t="s">
        <v>59</v>
      </c>
    </row>
    <row r="1407" spans="1:4" x14ac:dyDescent="0.2">
      <c r="A1407" s="12" t="s">
        <v>3419</v>
      </c>
      <c r="B1407" s="12" t="s">
        <v>3418</v>
      </c>
      <c r="C1407" s="12">
        <v>250</v>
      </c>
      <c r="D1407" s="12">
        <v>25</v>
      </c>
    </row>
    <row r="1408" spans="1:4" x14ac:dyDescent="0.2">
      <c r="A1408" s="12" t="s">
        <v>9202</v>
      </c>
      <c r="B1408" s="12" t="s">
        <v>9201</v>
      </c>
      <c r="C1408" s="12">
        <v>10</v>
      </c>
      <c r="D1408" s="12">
        <v>1</v>
      </c>
    </row>
    <row r="1409" spans="1:4" x14ac:dyDescent="0.2">
      <c r="A1409" s="12" t="s">
        <v>6314</v>
      </c>
      <c r="B1409" s="12" t="s">
        <v>6313</v>
      </c>
      <c r="C1409" s="12" t="s">
        <v>59</v>
      </c>
      <c r="D1409" s="12" t="s">
        <v>59</v>
      </c>
    </row>
    <row r="1410" spans="1:4" x14ac:dyDescent="0.2">
      <c r="A1410" s="12" t="s">
        <v>2397</v>
      </c>
      <c r="B1410" s="12" t="s">
        <v>2396</v>
      </c>
      <c r="C1410" s="12">
        <v>50</v>
      </c>
      <c r="D1410" s="12">
        <v>5</v>
      </c>
    </row>
    <row r="1411" spans="1:4" x14ac:dyDescent="0.2">
      <c r="A1411" s="12" t="s">
        <v>10503</v>
      </c>
      <c r="B1411" s="12" t="s">
        <v>10502</v>
      </c>
      <c r="C1411" s="12">
        <v>50</v>
      </c>
      <c r="D1411" s="12">
        <v>5</v>
      </c>
    </row>
    <row r="1412" spans="1:4" x14ac:dyDescent="0.2">
      <c r="A1412" s="12" t="s">
        <v>11345</v>
      </c>
      <c r="B1412" s="12" t="s">
        <v>11344</v>
      </c>
      <c r="C1412" s="12">
        <v>5.9999999999999995E-4</v>
      </c>
      <c r="D1412" s="12">
        <v>6.0000000000000002E-5</v>
      </c>
    </row>
    <row r="1413" spans="1:4" x14ac:dyDescent="0.2">
      <c r="A1413" s="12" t="s">
        <v>10813</v>
      </c>
      <c r="B1413" s="12" t="s">
        <v>10812</v>
      </c>
      <c r="C1413" s="12">
        <v>60</v>
      </c>
      <c r="D1413" s="12">
        <v>6</v>
      </c>
    </row>
    <row r="1414" spans="1:4" x14ac:dyDescent="0.2">
      <c r="A1414" s="12" t="s">
        <v>12617</v>
      </c>
      <c r="B1414" s="12" t="s">
        <v>10892</v>
      </c>
      <c r="C1414" s="12"/>
      <c r="D1414" s="12">
        <v>0.71</v>
      </c>
    </row>
    <row r="1415" spans="1:4" x14ac:dyDescent="0.2">
      <c r="A1415" s="12" t="s">
        <v>12616</v>
      </c>
      <c r="B1415" s="12" t="s">
        <v>10891</v>
      </c>
      <c r="C1415" s="12">
        <v>2.8</v>
      </c>
      <c r="D1415" s="12">
        <v>0.56999999999999995</v>
      </c>
    </row>
    <row r="1416" spans="1:4" x14ac:dyDescent="0.2">
      <c r="A1416" s="12" t="s">
        <v>10890</v>
      </c>
      <c r="B1416" s="12" t="s">
        <v>10889</v>
      </c>
      <c r="C1416" s="12">
        <v>17</v>
      </c>
      <c r="D1416" s="12">
        <v>8.1</v>
      </c>
    </row>
    <row r="1417" spans="1:4" x14ac:dyDescent="0.2">
      <c r="A1417" s="12" t="s">
        <v>10402</v>
      </c>
      <c r="B1417" s="12" t="s">
        <v>10401</v>
      </c>
      <c r="C1417" s="12">
        <v>20</v>
      </c>
      <c r="D1417" s="12">
        <v>2</v>
      </c>
    </row>
    <row r="1418" spans="1:4" x14ac:dyDescent="0.2">
      <c r="A1418" s="12" t="s">
        <v>4184</v>
      </c>
      <c r="B1418" s="12" t="s">
        <v>4183</v>
      </c>
      <c r="C1418" s="12">
        <v>50</v>
      </c>
      <c r="D1418" s="12">
        <v>5</v>
      </c>
    </row>
    <row r="1419" spans="1:4" x14ac:dyDescent="0.2">
      <c r="A1419" s="12" t="s">
        <v>8731</v>
      </c>
      <c r="B1419" s="12" t="s">
        <v>8730</v>
      </c>
      <c r="C1419" s="12">
        <v>50</v>
      </c>
      <c r="D1419" s="12">
        <v>5</v>
      </c>
    </row>
    <row r="1420" spans="1:4" x14ac:dyDescent="0.2">
      <c r="A1420" s="12" t="s">
        <v>12351</v>
      </c>
      <c r="B1420" s="12" t="s">
        <v>12350</v>
      </c>
      <c r="C1420" s="12" t="s">
        <v>59</v>
      </c>
      <c r="D1420" s="12" t="s">
        <v>59</v>
      </c>
    </row>
    <row r="1421" spans="1:4" x14ac:dyDescent="0.2">
      <c r="A1421" s="12" t="s">
        <v>12203</v>
      </c>
      <c r="B1421" s="12" t="s">
        <v>12202</v>
      </c>
      <c r="C1421" s="12" t="s">
        <v>59</v>
      </c>
      <c r="D1421" s="12" t="s">
        <v>59</v>
      </c>
    </row>
    <row r="1422" spans="1:4" x14ac:dyDescent="0.2">
      <c r="A1422" s="12" t="s">
        <v>12204</v>
      </c>
      <c r="B1422" s="12" t="s">
        <v>12202</v>
      </c>
      <c r="C1422" s="12">
        <v>1000</v>
      </c>
      <c r="D1422" s="12">
        <v>100</v>
      </c>
    </row>
    <row r="1423" spans="1:4" x14ac:dyDescent="0.2">
      <c r="A1423" s="12" t="s">
        <v>2691</v>
      </c>
      <c r="B1423" s="12" t="s">
        <v>2690</v>
      </c>
      <c r="C1423" s="12">
        <v>350</v>
      </c>
      <c r="D1423" s="12">
        <v>35</v>
      </c>
    </row>
    <row r="1424" spans="1:4" x14ac:dyDescent="0.2">
      <c r="A1424" s="12" t="s">
        <v>9730</v>
      </c>
      <c r="B1424" s="12" t="s">
        <v>9729</v>
      </c>
      <c r="C1424" s="12" t="s">
        <v>59</v>
      </c>
      <c r="D1424" s="12" t="s">
        <v>59</v>
      </c>
    </row>
    <row r="1425" spans="1:4" x14ac:dyDescent="0.2">
      <c r="A1425" s="12" t="s">
        <v>4339</v>
      </c>
      <c r="B1425" s="12" t="s">
        <v>4338</v>
      </c>
      <c r="C1425" s="12">
        <v>610</v>
      </c>
      <c r="D1425" s="12">
        <v>61</v>
      </c>
    </row>
    <row r="1426" spans="1:4" x14ac:dyDescent="0.2">
      <c r="A1426" s="12" t="s">
        <v>11484</v>
      </c>
      <c r="B1426" s="12" t="s">
        <v>11483</v>
      </c>
      <c r="C1426" s="12" t="s">
        <v>59</v>
      </c>
      <c r="D1426" s="12" t="s">
        <v>59</v>
      </c>
    </row>
    <row r="1427" spans="1:4" x14ac:dyDescent="0.2">
      <c r="A1427" s="12" t="s">
        <v>3531</v>
      </c>
      <c r="B1427" s="12" t="s">
        <v>3530</v>
      </c>
      <c r="C1427" s="12">
        <v>0.8</v>
      </c>
      <c r="D1427" s="12">
        <v>0.08</v>
      </c>
    </row>
    <row r="1428" spans="1:4" x14ac:dyDescent="0.2">
      <c r="A1428" s="12" t="s">
        <v>8990</v>
      </c>
      <c r="B1428" s="12" t="s">
        <v>8989</v>
      </c>
      <c r="C1428" s="12">
        <v>610</v>
      </c>
      <c r="D1428" s="12">
        <v>61</v>
      </c>
    </row>
    <row r="1429" spans="1:4" x14ac:dyDescent="0.2">
      <c r="A1429" s="12" t="s">
        <v>7124</v>
      </c>
      <c r="B1429" s="12" t="s">
        <v>7123</v>
      </c>
      <c r="C1429" s="12" t="s">
        <v>59</v>
      </c>
      <c r="D1429" s="12" t="s">
        <v>59</v>
      </c>
    </row>
    <row r="1430" spans="1:4" x14ac:dyDescent="0.2">
      <c r="A1430" s="12" t="s">
        <v>12226</v>
      </c>
      <c r="B1430" s="12" t="s">
        <v>12225</v>
      </c>
      <c r="C1430" s="12">
        <v>50</v>
      </c>
      <c r="D1430" s="12">
        <v>5</v>
      </c>
    </row>
    <row r="1431" spans="1:4" x14ac:dyDescent="0.2">
      <c r="A1431" s="12" t="s">
        <v>4112</v>
      </c>
      <c r="B1431" s="12" t="s">
        <v>4111</v>
      </c>
      <c r="C1431" s="12" t="s">
        <v>59</v>
      </c>
      <c r="D1431" s="12" t="s">
        <v>59</v>
      </c>
    </row>
    <row r="1432" spans="1:4" x14ac:dyDescent="0.2">
      <c r="A1432" s="12" t="s">
        <v>4496</v>
      </c>
      <c r="B1432" s="12" t="s">
        <v>4495</v>
      </c>
      <c r="C1432" s="12">
        <v>10</v>
      </c>
      <c r="D1432" s="12">
        <v>1</v>
      </c>
    </row>
    <row r="1433" spans="1:4" x14ac:dyDescent="0.2">
      <c r="A1433" s="12" t="s">
        <v>10410</v>
      </c>
      <c r="B1433" s="12" t="s">
        <v>10409</v>
      </c>
      <c r="C1433" s="12" t="s">
        <v>59</v>
      </c>
      <c r="D1433" s="12" t="s">
        <v>59</v>
      </c>
    </row>
    <row r="1434" spans="1:4" x14ac:dyDescent="0.2">
      <c r="A1434" s="12" t="s">
        <v>6601</v>
      </c>
      <c r="B1434" s="12" t="s">
        <v>6600</v>
      </c>
      <c r="C1434" s="12">
        <v>4.9000000000000004</v>
      </c>
      <c r="D1434" s="12">
        <v>16</v>
      </c>
    </row>
    <row r="1435" spans="1:4" x14ac:dyDescent="0.2">
      <c r="A1435" s="12" t="s">
        <v>872</v>
      </c>
      <c r="B1435" s="12" t="s">
        <v>871</v>
      </c>
      <c r="C1435" s="12" t="s">
        <v>59</v>
      </c>
      <c r="D1435" s="12" t="s">
        <v>59</v>
      </c>
    </row>
    <row r="1436" spans="1:4" x14ac:dyDescent="0.2">
      <c r="A1436" s="12" t="s">
        <v>6008</v>
      </c>
      <c r="B1436" s="12" t="s">
        <v>6007</v>
      </c>
      <c r="C1436" s="12">
        <v>4300</v>
      </c>
      <c r="D1436" s="12">
        <v>430</v>
      </c>
    </row>
    <row r="1437" spans="1:4" x14ac:dyDescent="0.2">
      <c r="A1437" s="12" t="s">
        <v>6009</v>
      </c>
      <c r="B1437" s="12" t="s">
        <v>6007</v>
      </c>
      <c r="C1437" s="12" t="s">
        <v>59</v>
      </c>
      <c r="D1437" s="12" t="s">
        <v>59</v>
      </c>
    </row>
    <row r="1438" spans="1:4" x14ac:dyDescent="0.2">
      <c r="A1438" s="12" t="s">
        <v>5893</v>
      </c>
      <c r="B1438" s="12" t="s">
        <v>5892</v>
      </c>
      <c r="C1438" s="12">
        <v>1000</v>
      </c>
      <c r="D1438" s="12">
        <v>100</v>
      </c>
    </row>
    <row r="1439" spans="1:4" x14ac:dyDescent="0.2">
      <c r="A1439" s="12" t="s">
        <v>9332</v>
      </c>
      <c r="B1439" s="12" t="s">
        <v>9331</v>
      </c>
      <c r="C1439" s="12">
        <v>840</v>
      </c>
      <c r="D1439" s="12">
        <v>84</v>
      </c>
    </row>
    <row r="1440" spans="1:4" x14ac:dyDescent="0.2">
      <c r="A1440" s="12" t="s">
        <v>4591</v>
      </c>
      <c r="B1440" s="12" t="s">
        <v>4590</v>
      </c>
      <c r="C1440" s="12">
        <v>110</v>
      </c>
      <c r="D1440" s="12">
        <v>11</v>
      </c>
    </row>
    <row r="1441" spans="1:4" x14ac:dyDescent="0.2">
      <c r="A1441" s="12" t="s">
        <v>8723</v>
      </c>
      <c r="B1441" s="12" t="s">
        <v>8722</v>
      </c>
      <c r="C1441" s="12">
        <v>97</v>
      </c>
      <c r="D1441" s="12">
        <v>7</v>
      </c>
    </row>
    <row r="1442" spans="1:4" x14ac:dyDescent="0.2">
      <c r="A1442" s="12" t="s">
        <v>4595</v>
      </c>
      <c r="B1442" s="12" t="s">
        <v>4594</v>
      </c>
      <c r="C1442" s="12">
        <v>400</v>
      </c>
      <c r="D1442" s="12">
        <v>40</v>
      </c>
    </row>
    <row r="1443" spans="1:4" x14ac:dyDescent="0.2">
      <c r="A1443" s="12" t="s">
        <v>7339</v>
      </c>
      <c r="B1443" s="12" t="s">
        <v>7338</v>
      </c>
      <c r="C1443" s="12" t="s">
        <v>59</v>
      </c>
      <c r="D1443" s="12" t="s">
        <v>59</v>
      </c>
    </row>
    <row r="1444" spans="1:4" x14ac:dyDescent="0.2">
      <c r="A1444" s="12" t="s">
        <v>12052</v>
      </c>
      <c r="B1444" s="12" t="s">
        <v>12051</v>
      </c>
      <c r="C1444" s="12">
        <v>50</v>
      </c>
      <c r="D1444" s="12">
        <v>5</v>
      </c>
    </row>
    <row r="1445" spans="1:4" x14ac:dyDescent="0.2">
      <c r="A1445" s="12" t="s">
        <v>11068</v>
      </c>
      <c r="B1445" s="12" t="s">
        <v>11067</v>
      </c>
      <c r="C1445" s="12">
        <v>20</v>
      </c>
      <c r="D1445" s="12">
        <v>2</v>
      </c>
    </row>
    <row r="1446" spans="1:4" x14ac:dyDescent="0.2">
      <c r="A1446" s="12" t="s">
        <v>11083</v>
      </c>
      <c r="B1446" s="12" t="s">
        <v>11082</v>
      </c>
      <c r="C1446" s="12" t="s">
        <v>59</v>
      </c>
      <c r="D1446" s="12" t="s">
        <v>59</v>
      </c>
    </row>
    <row r="1447" spans="1:4" x14ac:dyDescent="0.2">
      <c r="A1447" s="12" t="s">
        <v>8260</v>
      </c>
      <c r="B1447" s="12" t="s">
        <v>8259</v>
      </c>
      <c r="C1447" s="12">
        <v>2.7</v>
      </c>
      <c r="D1447" s="12">
        <v>0.25</v>
      </c>
    </row>
    <row r="1448" spans="1:4" x14ac:dyDescent="0.2">
      <c r="A1448" s="12" t="s">
        <v>9336</v>
      </c>
      <c r="B1448" s="12" t="s">
        <v>9335</v>
      </c>
      <c r="C1448" s="12">
        <v>14</v>
      </c>
      <c r="D1448" s="12">
        <v>1.4</v>
      </c>
    </row>
    <row r="1449" spans="1:4" x14ac:dyDescent="0.2">
      <c r="A1449" s="12" t="s">
        <v>11608</v>
      </c>
      <c r="B1449" s="12" t="s">
        <v>11607</v>
      </c>
      <c r="C1449" s="12">
        <v>39</v>
      </c>
      <c r="D1449" s="12">
        <v>3.9</v>
      </c>
    </row>
    <row r="1450" spans="1:4" x14ac:dyDescent="0.2">
      <c r="A1450" s="12" t="s">
        <v>5623</v>
      </c>
      <c r="B1450" s="12" t="s">
        <v>5622</v>
      </c>
      <c r="C1450" s="12">
        <v>1000</v>
      </c>
      <c r="D1450" s="12">
        <v>100</v>
      </c>
    </row>
    <row r="1451" spans="1:4" x14ac:dyDescent="0.2">
      <c r="A1451" s="12" t="s">
        <v>6411</v>
      </c>
      <c r="B1451" s="12" t="s">
        <v>6410</v>
      </c>
      <c r="C1451" s="12">
        <v>1000</v>
      </c>
      <c r="D1451" s="12">
        <v>100</v>
      </c>
    </row>
    <row r="1452" spans="1:4" x14ac:dyDescent="0.2">
      <c r="A1452" s="12" t="s">
        <v>5847</v>
      </c>
      <c r="B1452" s="12" t="s">
        <v>5846</v>
      </c>
      <c r="C1452" s="12">
        <v>0.5</v>
      </c>
      <c r="D1452" s="12">
        <v>0.05</v>
      </c>
    </row>
    <row r="1453" spans="1:4" x14ac:dyDescent="0.2">
      <c r="A1453" s="12" t="s">
        <v>3343</v>
      </c>
      <c r="B1453" s="12" t="s">
        <v>3342</v>
      </c>
      <c r="C1453" s="12">
        <v>500</v>
      </c>
      <c r="D1453" s="12">
        <v>50</v>
      </c>
    </row>
    <row r="1454" spans="1:4" x14ac:dyDescent="0.2">
      <c r="A1454" s="12" t="s">
        <v>6595</v>
      </c>
      <c r="B1454" s="12" t="s">
        <v>6594</v>
      </c>
      <c r="C1454" s="12">
        <v>3100</v>
      </c>
      <c r="D1454" s="12">
        <v>1440</v>
      </c>
    </row>
    <row r="1455" spans="1:4" x14ac:dyDescent="0.2">
      <c r="A1455" s="12" t="s">
        <v>8311</v>
      </c>
      <c r="B1455" s="12" t="s">
        <v>8310</v>
      </c>
      <c r="C1455" s="12">
        <v>400</v>
      </c>
      <c r="D1455" s="12">
        <v>40</v>
      </c>
    </row>
    <row r="1456" spans="1:4" x14ac:dyDescent="0.2">
      <c r="A1456" s="12" t="s">
        <v>8226</v>
      </c>
      <c r="B1456" s="12" t="s">
        <v>8225</v>
      </c>
      <c r="C1456" s="12">
        <v>20</v>
      </c>
      <c r="D1456" s="12">
        <v>2</v>
      </c>
    </row>
    <row r="1457" spans="1:4" x14ac:dyDescent="0.2">
      <c r="A1457" s="12" t="s">
        <v>8286</v>
      </c>
      <c r="B1457" s="12" t="s">
        <v>8285</v>
      </c>
      <c r="C1457" s="12">
        <v>2500</v>
      </c>
      <c r="D1457" s="12">
        <v>250</v>
      </c>
    </row>
    <row r="1458" spans="1:4" x14ac:dyDescent="0.2">
      <c r="A1458" s="12" t="s">
        <v>6597</v>
      </c>
      <c r="B1458" s="12" t="s">
        <v>6596</v>
      </c>
      <c r="C1458" s="12">
        <v>125</v>
      </c>
      <c r="D1458" s="12">
        <v>12.5</v>
      </c>
    </row>
    <row r="1459" spans="1:4" x14ac:dyDescent="0.2">
      <c r="A1459" s="12" t="s">
        <v>9467</v>
      </c>
      <c r="B1459" s="12" t="s">
        <v>9466</v>
      </c>
      <c r="C1459" s="12">
        <v>50</v>
      </c>
      <c r="D1459" s="12">
        <v>5</v>
      </c>
    </row>
    <row r="1460" spans="1:4" x14ac:dyDescent="0.2">
      <c r="A1460" s="12" t="s">
        <v>769</v>
      </c>
      <c r="B1460" s="12" t="s">
        <v>768</v>
      </c>
      <c r="C1460" s="12" t="s">
        <v>59</v>
      </c>
      <c r="D1460" s="12" t="s">
        <v>59</v>
      </c>
    </row>
    <row r="1461" spans="1:4" x14ac:dyDescent="0.2">
      <c r="A1461" s="12" t="s">
        <v>713</v>
      </c>
      <c r="B1461" s="12" t="s">
        <v>712</v>
      </c>
      <c r="C1461" s="12">
        <v>460</v>
      </c>
      <c r="D1461" s="12">
        <v>46</v>
      </c>
    </row>
    <row r="1462" spans="1:4" x14ac:dyDescent="0.2">
      <c r="A1462" s="12" t="s">
        <v>5586</v>
      </c>
      <c r="B1462" s="12" t="s">
        <v>5585</v>
      </c>
      <c r="C1462" s="12">
        <v>3700</v>
      </c>
      <c r="D1462" s="12">
        <v>370</v>
      </c>
    </row>
    <row r="1463" spans="1:4" x14ac:dyDescent="0.2">
      <c r="A1463" s="12" t="s">
        <v>6092</v>
      </c>
      <c r="B1463" s="12" t="s">
        <v>6091</v>
      </c>
      <c r="C1463" s="12">
        <v>100</v>
      </c>
      <c r="D1463" s="12">
        <v>10</v>
      </c>
    </row>
    <row r="1464" spans="1:4" x14ac:dyDescent="0.2">
      <c r="A1464" s="12" t="s">
        <v>11417</v>
      </c>
      <c r="B1464" s="12" t="s">
        <v>11416</v>
      </c>
      <c r="C1464" s="12" t="s">
        <v>59</v>
      </c>
      <c r="D1464" s="12" t="s">
        <v>59</v>
      </c>
    </row>
    <row r="1465" spans="1:4" x14ac:dyDescent="0.2">
      <c r="A1465" s="12" t="s">
        <v>7509</v>
      </c>
      <c r="B1465" s="12" t="s">
        <v>7508</v>
      </c>
      <c r="C1465" s="12">
        <v>200</v>
      </c>
      <c r="D1465" s="12">
        <v>48</v>
      </c>
    </row>
    <row r="1466" spans="1:4" x14ac:dyDescent="0.2">
      <c r="A1466" s="12" t="s">
        <v>10062</v>
      </c>
      <c r="B1466" s="12" t="s">
        <v>10061</v>
      </c>
      <c r="C1466" s="12">
        <v>1</v>
      </c>
      <c r="D1466" s="12">
        <v>0.1</v>
      </c>
    </row>
    <row r="1467" spans="1:4" x14ac:dyDescent="0.2">
      <c r="A1467" s="12" t="s">
        <v>7682</v>
      </c>
      <c r="B1467" s="12" t="s">
        <v>7681</v>
      </c>
      <c r="C1467" s="12">
        <v>90</v>
      </c>
      <c r="D1467" s="12">
        <v>9</v>
      </c>
    </row>
    <row r="1468" spans="1:4" x14ac:dyDescent="0.2">
      <c r="A1468" s="12" t="s">
        <v>8034</v>
      </c>
      <c r="B1468" s="12" t="s">
        <v>8033</v>
      </c>
      <c r="C1468" s="12">
        <v>100</v>
      </c>
      <c r="D1468" s="12">
        <v>10</v>
      </c>
    </row>
    <row r="1469" spans="1:4" x14ac:dyDescent="0.2">
      <c r="A1469" s="12" t="s">
        <v>9155</v>
      </c>
      <c r="B1469" s="12" t="s">
        <v>9154</v>
      </c>
      <c r="C1469" s="12">
        <v>10000</v>
      </c>
      <c r="D1469" s="12">
        <v>2700</v>
      </c>
    </row>
    <row r="1470" spans="1:4" x14ac:dyDescent="0.2">
      <c r="A1470" s="12" t="s">
        <v>6265</v>
      </c>
      <c r="B1470" s="12" t="s">
        <v>6264</v>
      </c>
      <c r="C1470" s="12">
        <v>200</v>
      </c>
      <c r="D1470" s="12">
        <v>20</v>
      </c>
    </row>
    <row r="1471" spans="1:4" x14ac:dyDescent="0.2">
      <c r="A1471" s="12" t="s">
        <v>11415</v>
      </c>
      <c r="B1471" s="12" t="s">
        <v>11414</v>
      </c>
      <c r="C1471" s="12" t="s">
        <v>59</v>
      </c>
      <c r="D1471" s="12" t="s">
        <v>59</v>
      </c>
    </row>
    <row r="1472" spans="1:4" x14ac:dyDescent="0.2">
      <c r="A1472" s="12" t="s">
        <v>6433</v>
      </c>
      <c r="B1472" s="12" t="s">
        <v>6432</v>
      </c>
      <c r="C1472" s="12">
        <v>8000</v>
      </c>
      <c r="D1472" s="12">
        <v>800</v>
      </c>
    </row>
    <row r="1473" spans="1:4" x14ac:dyDescent="0.2">
      <c r="A1473" s="12" t="s">
        <v>7945</v>
      </c>
      <c r="B1473" s="12" t="s">
        <v>7944</v>
      </c>
      <c r="C1473" s="12" t="s">
        <v>59</v>
      </c>
      <c r="D1473" s="12" t="s">
        <v>59</v>
      </c>
    </row>
    <row r="1474" spans="1:4" x14ac:dyDescent="0.2">
      <c r="A1474" s="12" t="s">
        <v>7946</v>
      </c>
      <c r="B1474" s="12" t="s">
        <v>7944</v>
      </c>
      <c r="C1474" s="12">
        <v>1000</v>
      </c>
      <c r="D1474" s="12">
        <v>100</v>
      </c>
    </row>
    <row r="1475" spans="1:4" x14ac:dyDescent="0.2">
      <c r="A1475" s="12" t="s">
        <v>9161</v>
      </c>
      <c r="B1475" s="12" t="s">
        <v>9160</v>
      </c>
      <c r="C1475" s="12">
        <v>3000</v>
      </c>
      <c r="D1475" s="12">
        <v>300</v>
      </c>
    </row>
    <row r="1476" spans="1:4" x14ac:dyDescent="0.2">
      <c r="A1476" s="12" t="s">
        <v>11762</v>
      </c>
      <c r="B1476" s="12" t="s">
        <v>11761</v>
      </c>
      <c r="C1476" s="12" t="s">
        <v>59</v>
      </c>
      <c r="D1476" s="12" t="s">
        <v>59</v>
      </c>
    </row>
    <row r="1477" spans="1:4" x14ac:dyDescent="0.2">
      <c r="A1477" s="12" t="s">
        <v>5765</v>
      </c>
      <c r="B1477" s="12" t="s">
        <v>5764</v>
      </c>
      <c r="C1477" s="12">
        <v>21000</v>
      </c>
      <c r="D1477" s="12">
        <v>2100</v>
      </c>
    </row>
    <row r="1478" spans="1:4" x14ac:dyDescent="0.2">
      <c r="A1478" s="12" t="s">
        <v>4684</v>
      </c>
      <c r="B1478" s="12" t="s">
        <v>4683</v>
      </c>
      <c r="C1478" s="12">
        <v>10</v>
      </c>
      <c r="D1478" s="12">
        <v>1</v>
      </c>
    </row>
    <row r="1479" spans="1:4" x14ac:dyDescent="0.2">
      <c r="A1479" s="12" t="s">
        <v>4844</v>
      </c>
      <c r="B1479" s="12" t="s">
        <v>4843</v>
      </c>
      <c r="C1479" s="12">
        <v>0.39</v>
      </c>
      <c r="D1479" s="12">
        <v>4.3E-3</v>
      </c>
    </row>
    <row r="1480" spans="1:4" x14ac:dyDescent="0.2">
      <c r="A1480" s="12" t="s">
        <v>8032</v>
      </c>
      <c r="B1480" s="12" t="s">
        <v>8031</v>
      </c>
      <c r="C1480" s="12">
        <v>800</v>
      </c>
      <c r="D1480" s="12">
        <v>80</v>
      </c>
    </row>
    <row r="1481" spans="1:4" x14ac:dyDescent="0.2">
      <c r="A1481" s="12" t="s">
        <v>9292</v>
      </c>
      <c r="B1481" s="12" t="s">
        <v>9291</v>
      </c>
      <c r="C1481" s="12">
        <v>1500</v>
      </c>
      <c r="D1481" s="12">
        <v>150</v>
      </c>
    </row>
    <row r="1482" spans="1:4" x14ac:dyDescent="0.2">
      <c r="A1482" s="12" t="s">
        <v>5647</v>
      </c>
      <c r="B1482" s="12" t="s">
        <v>5646</v>
      </c>
      <c r="C1482" s="12">
        <v>40</v>
      </c>
      <c r="D1482" s="12">
        <v>4</v>
      </c>
    </row>
    <row r="1483" spans="1:4" x14ac:dyDescent="0.2">
      <c r="A1483" s="12" t="s">
        <v>3427</v>
      </c>
      <c r="B1483" s="12" t="s">
        <v>3426</v>
      </c>
      <c r="C1483" s="12">
        <v>1000</v>
      </c>
      <c r="D1483" s="12">
        <v>100</v>
      </c>
    </row>
    <row r="1484" spans="1:4" x14ac:dyDescent="0.2">
      <c r="A1484" s="12" t="s">
        <v>8043</v>
      </c>
      <c r="B1484" s="12" t="s">
        <v>8042</v>
      </c>
      <c r="C1484" s="12">
        <v>220</v>
      </c>
      <c r="D1484" s="12">
        <v>22</v>
      </c>
    </row>
    <row r="1485" spans="1:4" x14ac:dyDescent="0.2">
      <c r="A1485" s="12" t="s">
        <v>10442</v>
      </c>
      <c r="B1485" s="12" t="s">
        <v>10441</v>
      </c>
      <c r="C1485" s="12">
        <v>100</v>
      </c>
      <c r="D1485" s="12">
        <v>10</v>
      </c>
    </row>
    <row r="1486" spans="1:4" x14ac:dyDescent="0.2">
      <c r="A1486" s="12" t="s">
        <v>12211</v>
      </c>
      <c r="B1486" s="12" t="s">
        <v>12210</v>
      </c>
      <c r="C1486" s="12" t="s">
        <v>59</v>
      </c>
      <c r="D1486" s="12" t="s">
        <v>59</v>
      </c>
    </row>
    <row r="1487" spans="1:4" x14ac:dyDescent="0.2">
      <c r="A1487" s="12" t="s">
        <v>12212</v>
      </c>
      <c r="B1487" s="12" t="s">
        <v>12210</v>
      </c>
      <c r="C1487" s="12">
        <v>1000</v>
      </c>
      <c r="D1487" s="12">
        <v>100</v>
      </c>
    </row>
    <row r="1488" spans="1:4" x14ac:dyDescent="0.2">
      <c r="A1488" s="12" t="s">
        <v>9476</v>
      </c>
      <c r="B1488" s="12" t="s">
        <v>9475</v>
      </c>
      <c r="C1488" s="12">
        <v>100</v>
      </c>
      <c r="D1488" s="12">
        <v>10</v>
      </c>
    </row>
    <row r="1489" spans="1:4" x14ac:dyDescent="0.2">
      <c r="A1489" s="12" t="s">
        <v>12042</v>
      </c>
      <c r="B1489" s="12" t="s">
        <v>12041</v>
      </c>
      <c r="C1489" s="12">
        <v>2900</v>
      </c>
      <c r="D1489" s="12">
        <v>3700</v>
      </c>
    </row>
    <row r="1490" spans="1:4" x14ac:dyDescent="0.2">
      <c r="A1490" s="12" t="s">
        <v>4484</v>
      </c>
      <c r="B1490" s="12" t="s">
        <v>4483</v>
      </c>
      <c r="C1490" s="12">
        <v>16</v>
      </c>
      <c r="D1490" s="12">
        <v>0.54</v>
      </c>
    </row>
    <row r="1491" spans="1:4" x14ac:dyDescent="0.2">
      <c r="A1491" s="12" t="s">
        <v>7438</v>
      </c>
      <c r="B1491" s="12" t="s">
        <v>7437</v>
      </c>
      <c r="C1491" s="12" t="s">
        <v>59</v>
      </c>
      <c r="D1491" s="12" t="s">
        <v>59</v>
      </c>
    </row>
    <row r="1492" spans="1:4" x14ac:dyDescent="0.2">
      <c r="A1492" s="12" t="s">
        <v>9483</v>
      </c>
      <c r="B1492" s="12" t="s">
        <v>9482</v>
      </c>
      <c r="C1492" s="12">
        <v>1500</v>
      </c>
      <c r="D1492" s="12">
        <v>150</v>
      </c>
    </row>
    <row r="1493" spans="1:4" x14ac:dyDescent="0.2">
      <c r="A1493" s="12" t="s">
        <v>9484</v>
      </c>
      <c r="B1493" s="12" t="s">
        <v>9482</v>
      </c>
      <c r="C1493" s="12" t="s">
        <v>59</v>
      </c>
      <c r="D1493" s="12" t="s">
        <v>59</v>
      </c>
    </row>
    <row r="1494" spans="1:4" x14ac:dyDescent="0.2">
      <c r="A1494" s="12" t="s">
        <v>4601</v>
      </c>
      <c r="B1494" s="12" t="s">
        <v>4600</v>
      </c>
      <c r="C1494" s="12">
        <v>600</v>
      </c>
      <c r="D1494" s="12">
        <v>60</v>
      </c>
    </row>
    <row r="1495" spans="1:4" x14ac:dyDescent="0.2">
      <c r="A1495" s="12" t="s">
        <v>11044</v>
      </c>
      <c r="B1495" s="12" t="s">
        <v>11043</v>
      </c>
      <c r="C1495" s="12">
        <v>50</v>
      </c>
      <c r="D1495" s="12">
        <v>5</v>
      </c>
    </row>
    <row r="1496" spans="1:4" x14ac:dyDescent="0.2">
      <c r="A1496" s="12" t="s">
        <v>5025</v>
      </c>
      <c r="B1496" s="12" t="s">
        <v>5024</v>
      </c>
      <c r="C1496" s="12">
        <v>0.01</v>
      </c>
      <c r="D1496" s="12">
        <v>1E-3</v>
      </c>
    </row>
    <row r="1497" spans="1:4" x14ac:dyDescent="0.2">
      <c r="A1497" s="12" t="s">
        <v>2602</v>
      </c>
      <c r="B1497" s="12" t="s">
        <v>2601</v>
      </c>
      <c r="C1497" s="12">
        <v>100</v>
      </c>
      <c r="D1497" s="12">
        <v>10</v>
      </c>
    </row>
    <row r="1498" spans="1:4" x14ac:dyDescent="0.2">
      <c r="A1498" s="12" t="s">
        <v>1693</v>
      </c>
      <c r="B1498" s="12" t="s">
        <v>1692</v>
      </c>
      <c r="C1498" s="12" t="s">
        <v>59</v>
      </c>
      <c r="D1498" s="12" t="s">
        <v>59</v>
      </c>
    </row>
    <row r="1499" spans="1:4" x14ac:dyDescent="0.2">
      <c r="A1499" s="12" t="s">
        <v>1694</v>
      </c>
      <c r="B1499" s="12" t="s">
        <v>1692</v>
      </c>
      <c r="C1499" s="12">
        <v>600</v>
      </c>
      <c r="D1499" s="12">
        <v>60</v>
      </c>
    </row>
    <row r="1500" spans="1:4" x14ac:dyDescent="0.2">
      <c r="A1500" s="12" t="s">
        <v>615</v>
      </c>
      <c r="B1500" s="12" t="s">
        <v>614</v>
      </c>
      <c r="C1500" s="12">
        <v>70</v>
      </c>
      <c r="D1500" s="12">
        <v>7</v>
      </c>
    </row>
    <row r="1501" spans="1:4" x14ac:dyDescent="0.2">
      <c r="A1501" s="12" t="s">
        <v>2763</v>
      </c>
      <c r="B1501" s="12" t="s">
        <v>2762</v>
      </c>
      <c r="C1501" s="12">
        <v>970</v>
      </c>
      <c r="D1501" s="12">
        <v>97</v>
      </c>
    </row>
    <row r="1502" spans="1:4" x14ac:dyDescent="0.2">
      <c r="A1502" s="12" t="s">
        <v>2450</v>
      </c>
      <c r="B1502" s="12" t="s">
        <v>2449</v>
      </c>
      <c r="C1502" s="12">
        <v>45</v>
      </c>
      <c r="D1502" s="12">
        <v>4.5</v>
      </c>
    </row>
    <row r="1503" spans="1:4" x14ac:dyDescent="0.2">
      <c r="A1503" s="12" t="s">
        <v>1386</v>
      </c>
      <c r="B1503" s="12" t="s">
        <v>1385</v>
      </c>
      <c r="C1503" s="12">
        <v>840</v>
      </c>
      <c r="D1503" s="12">
        <v>84</v>
      </c>
    </row>
    <row r="1504" spans="1:4" x14ac:dyDescent="0.2">
      <c r="A1504" s="12" t="s">
        <v>1496</v>
      </c>
      <c r="B1504" s="12" t="s">
        <v>1495</v>
      </c>
      <c r="C1504" s="12">
        <v>100</v>
      </c>
      <c r="D1504" s="12">
        <v>10</v>
      </c>
    </row>
    <row r="1505" spans="1:4" x14ac:dyDescent="0.2">
      <c r="A1505" s="12" t="s">
        <v>8932</v>
      </c>
      <c r="B1505" s="12" t="s">
        <v>8931</v>
      </c>
      <c r="C1505" s="12">
        <v>290</v>
      </c>
      <c r="D1505" s="12">
        <v>29</v>
      </c>
    </row>
    <row r="1506" spans="1:4" x14ac:dyDescent="0.2">
      <c r="A1506" s="12" t="s">
        <v>12097</v>
      </c>
      <c r="B1506" s="12" t="s">
        <v>12096</v>
      </c>
      <c r="C1506" s="12">
        <v>2700</v>
      </c>
      <c r="D1506" s="12">
        <v>270</v>
      </c>
    </row>
    <row r="1507" spans="1:4" x14ac:dyDescent="0.2">
      <c r="A1507" s="12" t="s">
        <v>10994</v>
      </c>
      <c r="B1507" s="12" t="s">
        <v>10993</v>
      </c>
      <c r="C1507" s="12" t="s">
        <v>59</v>
      </c>
      <c r="D1507" s="12" t="s">
        <v>59</v>
      </c>
    </row>
    <row r="1508" spans="1:4" x14ac:dyDescent="0.2">
      <c r="A1508" s="12" t="s">
        <v>9552</v>
      </c>
      <c r="B1508" s="12" t="s">
        <v>9551</v>
      </c>
      <c r="C1508" s="12">
        <v>10</v>
      </c>
      <c r="D1508" s="12">
        <v>1</v>
      </c>
    </row>
    <row r="1509" spans="1:4" x14ac:dyDescent="0.2">
      <c r="A1509" s="12" t="s">
        <v>10856</v>
      </c>
      <c r="B1509" s="12" t="s">
        <v>10855</v>
      </c>
      <c r="C1509" s="12">
        <v>14</v>
      </c>
      <c r="D1509" s="12"/>
    </row>
    <row r="1510" spans="1:4" x14ac:dyDescent="0.2">
      <c r="A1510" s="12" t="s">
        <v>10857</v>
      </c>
      <c r="B1510" s="12" t="s">
        <v>10855</v>
      </c>
      <c r="C1510" s="12"/>
      <c r="D1510" s="12">
        <v>0.27</v>
      </c>
    </row>
    <row r="1511" spans="1:4" x14ac:dyDescent="0.2">
      <c r="A1511" s="12" t="s">
        <v>3739</v>
      </c>
      <c r="B1511" s="12" t="s">
        <v>3738</v>
      </c>
      <c r="C1511" s="12" t="s">
        <v>59</v>
      </c>
      <c r="D1511" s="12" t="s">
        <v>59</v>
      </c>
    </row>
    <row r="1512" spans="1:4" x14ac:dyDescent="0.2">
      <c r="A1512" s="12" t="s">
        <v>8178</v>
      </c>
      <c r="B1512" s="12" t="s">
        <v>8177</v>
      </c>
      <c r="C1512" s="12" t="s">
        <v>59</v>
      </c>
      <c r="D1512" s="12" t="s">
        <v>59</v>
      </c>
    </row>
    <row r="1513" spans="1:4" x14ac:dyDescent="0.2">
      <c r="A1513" s="12" t="s">
        <v>7118</v>
      </c>
      <c r="B1513" s="12" t="s">
        <v>7117</v>
      </c>
      <c r="C1513" s="12" t="s">
        <v>59</v>
      </c>
      <c r="D1513" s="12" t="s">
        <v>59</v>
      </c>
    </row>
    <row r="1514" spans="1:4" x14ac:dyDescent="0.2">
      <c r="A1514" s="12" t="s">
        <v>4803</v>
      </c>
      <c r="B1514" s="12" t="s">
        <v>4802</v>
      </c>
      <c r="C1514" s="12">
        <v>5.4</v>
      </c>
      <c r="D1514" s="12">
        <v>3.3E-3</v>
      </c>
    </row>
    <row r="1515" spans="1:4" x14ac:dyDescent="0.2">
      <c r="A1515" s="12" t="s">
        <v>362</v>
      </c>
      <c r="B1515" s="12" t="s">
        <v>361</v>
      </c>
      <c r="C1515" s="12" t="s">
        <v>59</v>
      </c>
      <c r="D1515" s="12" t="s">
        <v>59</v>
      </c>
    </row>
    <row r="1516" spans="1:4" x14ac:dyDescent="0.2">
      <c r="A1516" s="12" t="s">
        <v>1142</v>
      </c>
      <c r="B1516" s="12" t="s">
        <v>1141</v>
      </c>
      <c r="C1516" s="12">
        <v>1500</v>
      </c>
      <c r="D1516" s="12">
        <v>150</v>
      </c>
    </row>
    <row r="1517" spans="1:4" x14ac:dyDescent="0.2">
      <c r="A1517" s="12" t="s">
        <v>1143</v>
      </c>
      <c r="B1517" s="12" t="s">
        <v>1141</v>
      </c>
      <c r="C1517" s="12" t="s">
        <v>59</v>
      </c>
      <c r="D1517" s="12" t="s">
        <v>59</v>
      </c>
    </row>
    <row r="1518" spans="1:4" x14ac:dyDescent="0.2">
      <c r="A1518" s="12" t="s">
        <v>1019</v>
      </c>
      <c r="B1518" s="12" t="s">
        <v>1018</v>
      </c>
      <c r="C1518" s="12">
        <v>1500</v>
      </c>
      <c r="D1518" s="12">
        <v>150</v>
      </c>
    </row>
    <row r="1519" spans="1:4" x14ac:dyDescent="0.2">
      <c r="A1519" s="12" t="s">
        <v>1020</v>
      </c>
      <c r="B1519" s="12" t="s">
        <v>1018</v>
      </c>
      <c r="C1519" s="12" t="s">
        <v>59</v>
      </c>
      <c r="D1519" s="12" t="s">
        <v>59</v>
      </c>
    </row>
    <row r="1520" spans="1:4" x14ac:dyDescent="0.2">
      <c r="A1520" s="12" t="s">
        <v>158</v>
      </c>
      <c r="B1520" s="12" t="s">
        <v>157</v>
      </c>
      <c r="C1520" s="12">
        <v>170</v>
      </c>
      <c r="D1520" s="12">
        <v>17</v>
      </c>
    </row>
    <row r="1521" spans="1:4" x14ac:dyDescent="0.2">
      <c r="A1521" s="12" t="s">
        <v>1149</v>
      </c>
      <c r="B1521" s="12" t="s">
        <v>1148</v>
      </c>
      <c r="C1521" s="12">
        <v>33</v>
      </c>
      <c r="D1521" s="12">
        <v>3.3</v>
      </c>
    </row>
    <row r="1522" spans="1:4" x14ac:dyDescent="0.2">
      <c r="A1522" s="12" t="s">
        <v>11907</v>
      </c>
      <c r="B1522" s="12" t="s">
        <v>11906</v>
      </c>
      <c r="C1522" s="12">
        <v>20</v>
      </c>
      <c r="D1522" s="12">
        <v>2</v>
      </c>
    </row>
    <row r="1523" spans="1:4" x14ac:dyDescent="0.2">
      <c r="A1523" s="12" t="s">
        <v>4476</v>
      </c>
      <c r="B1523" s="12" t="s">
        <v>4475</v>
      </c>
      <c r="C1523" s="12" t="s">
        <v>59</v>
      </c>
      <c r="D1523" s="12" t="s">
        <v>59</v>
      </c>
    </row>
    <row r="1524" spans="1:4" x14ac:dyDescent="0.2">
      <c r="A1524" s="12" t="s">
        <v>1246</v>
      </c>
      <c r="B1524" s="12" t="s">
        <v>1245</v>
      </c>
      <c r="C1524" s="12">
        <v>20</v>
      </c>
      <c r="D1524" s="12">
        <v>2</v>
      </c>
    </row>
    <row r="1525" spans="1:4" x14ac:dyDescent="0.2">
      <c r="A1525" s="12" t="s">
        <v>4387</v>
      </c>
      <c r="B1525" s="12" t="s">
        <v>4386</v>
      </c>
      <c r="C1525" s="12">
        <v>2000</v>
      </c>
      <c r="D1525" s="12">
        <v>200</v>
      </c>
    </row>
    <row r="1526" spans="1:4" x14ac:dyDescent="0.2">
      <c r="A1526" s="12" t="s">
        <v>5170</v>
      </c>
      <c r="B1526" s="12" t="s">
        <v>5169</v>
      </c>
      <c r="C1526" s="12">
        <v>3.6</v>
      </c>
      <c r="D1526" s="12">
        <v>4.1000000000000002E-2</v>
      </c>
    </row>
    <row r="1527" spans="1:4" x14ac:dyDescent="0.2">
      <c r="A1527" s="12" t="s">
        <v>2584</v>
      </c>
      <c r="B1527" s="12" t="s">
        <v>2583</v>
      </c>
      <c r="C1527" s="12">
        <v>5</v>
      </c>
      <c r="D1527" s="12">
        <v>0.5</v>
      </c>
    </row>
    <row r="1528" spans="1:4" x14ac:dyDescent="0.2">
      <c r="A1528" s="12" t="s">
        <v>1778</v>
      </c>
      <c r="B1528" s="12" t="s">
        <v>1777</v>
      </c>
      <c r="C1528" s="12" t="s">
        <v>59</v>
      </c>
      <c r="D1528" s="12" t="s">
        <v>59</v>
      </c>
    </row>
    <row r="1529" spans="1:4" x14ac:dyDescent="0.2">
      <c r="A1529" s="12" t="s">
        <v>2765</v>
      </c>
      <c r="B1529" s="12" t="s">
        <v>2764</v>
      </c>
      <c r="C1529" s="12">
        <v>1700</v>
      </c>
      <c r="D1529" s="12">
        <v>330</v>
      </c>
    </row>
    <row r="1530" spans="1:4" x14ac:dyDescent="0.2">
      <c r="A1530" s="12" t="s">
        <v>4245</v>
      </c>
      <c r="B1530" s="12" t="s">
        <v>4244</v>
      </c>
      <c r="C1530" s="12">
        <v>2450</v>
      </c>
      <c r="D1530" s="12">
        <v>245</v>
      </c>
    </row>
    <row r="1531" spans="1:4" x14ac:dyDescent="0.2">
      <c r="A1531" s="12" t="s">
        <v>4676</v>
      </c>
      <c r="B1531" s="12" t="s">
        <v>4675</v>
      </c>
      <c r="C1531" s="12" t="s">
        <v>59</v>
      </c>
      <c r="D1531" s="12" t="s">
        <v>59</v>
      </c>
    </row>
    <row r="1532" spans="1:4" x14ac:dyDescent="0.2">
      <c r="A1532" s="12" t="s">
        <v>1394</v>
      </c>
      <c r="B1532" s="12" t="s">
        <v>1393</v>
      </c>
      <c r="C1532" s="12">
        <v>1700</v>
      </c>
      <c r="D1532" s="12">
        <v>330</v>
      </c>
    </row>
    <row r="1533" spans="1:4" x14ac:dyDescent="0.2">
      <c r="A1533" s="12" t="s">
        <v>6225</v>
      </c>
      <c r="B1533" s="12" t="s">
        <v>6224</v>
      </c>
      <c r="C1533" s="12">
        <v>20</v>
      </c>
      <c r="D1533" s="12">
        <v>2</v>
      </c>
    </row>
    <row r="1534" spans="1:4" x14ac:dyDescent="0.2">
      <c r="A1534" s="12" t="s">
        <v>9411</v>
      </c>
      <c r="B1534" s="12" t="s">
        <v>9410</v>
      </c>
      <c r="C1534" s="12" t="s">
        <v>59</v>
      </c>
      <c r="D1534" s="12" t="s">
        <v>59</v>
      </c>
    </row>
    <row r="1535" spans="1:4" x14ac:dyDescent="0.2">
      <c r="A1535" s="12" t="s">
        <v>8755</v>
      </c>
      <c r="B1535" s="12" t="s">
        <v>8754</v>
      </c>
      <c r="C1535" s="12">
        <v>1</v>
      </c>
      <c r="D1535" s="12">
        <v>0.1</v>
      </c>
    </row>
    <row r="1536" spans="1:4" x14ac:dyDescent="0.2">
      <c r="A1536" s="12" t="s">
        <v>4110</v>
      </c>
      <c r="B1536" s="12" t="s">
        <v>4109</v>
      </c>
      <c r="C1536" s="12">
        <v>100</v>
      </c>
      <c r="D1536" s="12">
        <v>10</v>
      </c>
    </row>
    <row r="1537" spans="1:4" x14ac:dyDescent="0.2">
      <c r="A1537" s="12" t="s">
        <v>176</v>
      </c>
      <c r="B1537" s="12" t="s">
        <v>175</v>
      </c>
      <c r="C1537" s="12">
        <v>20</v>
      </c>
      <c r="D1537" s="12">
        <v>2</v>
      </c>
    </row>
    <row r="1538" spans="1:4" x14ac:dyDescent="0.2">
      <c r="A1538" s="12" t="s">
        <v>4073</v>
      </c>
      <c r="B1538" s="12" t="s">
        <v>4072</v>
      </c>
      <c r="C1538" s="12" t="s">
        <v>59</v>
      </c>
      <c r="D1538" s="12" t="s">
        <v>59</v>
      </c>
    </row>
    <row r="1539" spans="1:4" x14ac:dyDescent="0.2">
      <c r="A1539" s="12" t="s">
        <v>2625</v>
      </c>
      <c r="B1539" s="12" t="s">
        <v>2624</v>
      </c>
      <c r="C1539" s="12">
        <v>10</v>
      </c>
      <c r="D1539" s="12">
        <v>1</v>
      </c>
    </row>
    <row r="1540" spans="1:4" x14ac:dyDescent="0.2">
      <c r="A1540" s="12" t="s">
        <v>11435</v>
      </c>
      <c r="B1540" s="12" t="s">
        <v>11434</v>
      </c>
      <c r="C1540" s="12">
        <v>20</v>
      </c>
      <c r="D1540" s="12">
        <v>2</v>
      </c>
    </row>
    <row r="1541" spans="1:4" x14ac:dyDescent="0.2">
      <c r="A1541" s="12" t="s">
        <v>10859</v>
      </c>
      <c r="B1541" s="12" t="s">
        <v>10858</v>
      </c>
      <c r="C1541" s="12">
        <v>14</v>
      </c>
      <c r="D1541" s="12"/>
    </row>
    <row r="1542" spans="1:4" x14ac:dyDescent="0.2">
      <c r="A1542" s="12" t="s">
        <v>10860</v>
      </c>
      <c r="B1542" s="12" t="s">
        <v>10858</v>
      </c>
      <c r="C1542" s="12"/>
      <c r="D1542" s="12">
        <v>0.27</v>
      </c>
    </row>
    <row r="1543" spans="1:4" x14ac:dyDescent="0.2">
      <c r="A1543" s="12" t="s">
        <v>7260</v>
      </c>
      <c r="B1543" s="12" t="s">
        <v>7259</v>
      </c>
      <c r="C1543" s="12">
        <v>1000</v>
      </c>
      <c r="D1543" s="12">
        <v>100</v>
      </c>
    </row>
    <row r="1544" spans="1:4" x14ac:dyDescent="0.2">
      <c r="A1544" s="12" t="s">
        <v>11054</v>
      </c>
      <c r="B1544" s="12" t="s">
        <v>11053</v>
      </c>
      <c r="C1544" s="12">
        <v>20</v>
      </c>
      <c r="D1544" s="12">
        <v>2</v>
      </c>
    </row>
    <row r="1545" spans="1:4" x14ac:dyDescent="0.2">
      <c r="A1545" s="12" t="s">
        <v>3345</v>
      </c>
      <c r="B1545" s="12" t="s">
        <v>3344</v>
      </c>
      <c r="C1545" s="12">
        <v>20</v>
      </c>
      <c r="D1545" s="12">
        <v>2</v>
      </c>
    </row>
    <row r="1546" spans="1:4" x14ac:dyDescent="0.2">
      <c r="A1546" s="12" t="s">
        <v>6150</v>
      </c>
      <c r="B1546" s="12" t="s">
        <v>6149</v>
      </c>
      <c r="C1546" s="12">
        <v>20</v>
      </c>
      <c r="D1546" s="12">
        <v>2</v>
      </c>
    </row>
    <row r="1547" spans="1:4" x14ac:dyDescent="0.2">
      <c r="A1547" s="12" t="s">
        <v>12310</v>
      </c>
      <c r="B1547" s="12" t="s">
        <v>12309</v>
      </c>
      <c r="C1547" s="12">
        <v>500</v>
      </c>
      <c r="D1547" s="12">
        <v>50</v>
      </c>
    </row>
    <row r="1548" spans="1:4" x14ac:dyDescent="0.2">
      <c r="A1548" s="12" t="s">
        <v>7875</v>
      </c>
      <c r="B1548" s="12" t="s">
        <v>7874</v>
      </c>
      <c r="C1548" s="12">
        <v>5700</v>
      </c>
      <c r="D1548" s="12">
        <v>570</v>
      </c>
    </row>
    <row r="1549" spans="1:4" x14ac:dyDescent="0.2">
      <c r="A1549" s="12" t="s">
        <v>3649</v>
      </c>
      <c r="B1549" s="12" t="s">
        <v>3648</v>
      </c>
      <c r="C1549" s="12">
        <v>5700</v>
      </c>
      <c r="D1549" s="12">
        <v>570</v>
      </c>
    </row>
    <row r="1550" spans="1:4" x14ac:dyDescent="0.2">
      <c r="A1550" s="12" t="s">
        <v>3650</v>
      </c>
      <c r="B1550" s="12" t="s">
        <v>3648</v>
      </c>
      <c r="C1550" s="12" t="s">
        <v>59</v>
      </c>
      <c r="D1550" s="12" t="s">
        <v>59</v>
      </c>
    </row>
    <row r="1551" spans="1:4" x14ac:dyDescent="0.2">
      <c r="A1551" s="12" t="s">
        <v>11755</v>
      </c>
      <c r="B1551" s="12" t="s">
        <v>11754</v>
      </c>
      <c r="C1551" s="12">
        <v>200</v>
      </c>
      <c r="D1551" s="12">
        <v>20</v>
      </c>
    </row>
    <row r="1552" spans="1:4" x14ac:dyDescent="0.2">
      <c r="A1552" s="12" t="s">
        <v>8295</v>
      </c>
      <c r="B1552" s="12" t="s">
        <v>8294</v>
      </c>
      <c r="C1552" s="12">
        <v>3.2</v>
      </c>
      <c r="D1552" s="12">
        <v>0.32</v>
      </c>
    </row>
    <row r="1553" spans="1:4" x14ac:dyDescent="0.2">
      <c r="A1553" s="12" t="s">
        <v>5592</v>
      </c>
      <c r="B1553" s="12" t="s">
        <v>5591</v>
      </c>
      <c r="C1553" s="12">
        <v>100</v>
      </c>
      <c r="D1553" s="12">
        <v>10</v>
      </c>
    </row>
    <row r="1554" spans="1:4" ht="28.5" x14ac:dyDescent="0.2">
      <c r="A1554" s="12" t="s">
        <v>4585</v>
      </c>
      <c r="B1554" s="12" t="s">
        <v>4584</v>
      </c>
      <c r="C1554" s="12" t="s">
        <v>59</v>
      </c>
      <c r="D1554" s="12" t="s">
        <v>59</v>
      </c>
    </row>
    <row r="1555" spans="1:4" x14ac:dyDescent="0.2">
      <c r="A1555" s="12" t="s">
        <v>5499</v>
      </c>
      <c r="B1555" s="12" t="s">
        <v>5498</v>
      </c>
      <c r="C1555" s="12">
        <v>40</v>
      </c>
      <c r="D1555" s="12">
        <v>4</v>
      </c>
    </row>
    <row r="1556" spans="1:4" x14ac:dyDescent="0.2">
      <c r="A1556" s="12" t="s">
        <v>9359</v>
      </c>
      <c r="B1556" s="12" t="s">
        <v>9358</v>
      </c>
      <c r="C1556" s="12">
        <v>400</v>
      </c>
      <c r="D1556" s="12">
        <v>40</v>
      </c>
    </row>
    <row r="1557" spans="1:4" x14ac:dyDescent="0.2">
      <c r="A1557" s="12" t="s">
        <v>170</v>
      </c>
      <c r="B1557" s="12" t="s">
        <v>169</v>
      </c>
      <c r="C1557" s="12">
        <v>3400</v>
      </c>
      <c r="D1557" s="12">
        <v>340</v>
      </c>
    </row>
    <row r="1558" spans="1:4" x14ac:dyDescent="0.2">
      <c r="A1558" s="12" t="s">
        <v>8302</v>
      </c>
      <c r="B1558" s="12" t="s">
        <v>8301</v>
      </c>
      <c r="C1558" s="12">
        <v>50</v>
      </c>
      <c r="D1558" s="12">
        <v>5</v>
      </c>
    </row>
    <row r="1559" spans="1:4" x14ac:dyDescent="0.2">
      <c r="A1559" s="12" t="s">
        <v>12476</v>
      </c>
      <c r="B1559" s="12" t="s">
        <v>12475</v>
      </c>
      <c r="C1559" s="12">
        <v>50</v>
      </c>
      <c r="D1559" s="12">
        <v>5</v>
      </c>
    </row>
    <row r="1560" spans="1:4" x14ac:dyDescent="0.2">
      <c r="A1560" s="12" t="s">
        <v>2090</v>
      </c>
      <c r="B1560" s="12" t="s">
        <v>2089</v>
      </c>
      <c r="C1560" s="12">
        <v>50</v>
      </c>
      <c r="D1560" s="12">
        <v>5</v>
      </c>
    </row>
    <row r="1561" spans="1:4" x14ac:dyDescent="0.2">
      <c r="A1561" s="12" t="s">
        <v>10979</v>
      </c>
      <c r="B1561" s="12" t="s">
        <v>10978</v>
      </c>
      <c r="C1561" s="12">
        <v>600</v>
      </c>
      <c r="D1561" s="12">
        <v>60</v>
      </c>
    </row>
    <row r="1562" spans="1:4" x14ac:dyDescent="0.2">
      <c r="A1562" s="12" t="s">
        <v>12099</v>
      </c>
      <c r="B1562" s="12" t="s">
        <v>12098</v>
      </c>
      <c r="C1562" s="12">
        <v>1200</v>
      </c>
      <c r="D1562" s="12">
        <v>120</v>
      </c>
    </row>
    <row r="1563" spans="1:4" x14ac:dyDescent="0.2">
      <c r="A1563" s="12" t="s">
        <v>5198</v>
      </c>
      <c r="B1563" s="12" t="s">
        <v>5197</v>
      </c>
      <c r="C1563" s="12">
        <v>0.39</v>
      </c>
      <c r="D1563" s="12">
        <v>4.3E-3</v>
      </c>
    </row>
    <row r="1564" spans="1:4" x14ac:dyDescent="0.2">
      <c r="A1564" s="12" t="s">
        <v>4405</v>
      </c>
      <c r="B1564" s="12" t="s">
        <v>4404</v>
      </c>
      <c r="C1564" s="12" t="s">
        <v>59</v>
      </c>
      <c r="D1564" s="12" t="s">
        <v>59</v>
      </c>
    </row>
    <row r="1565" spans="1:4" x14ac:dyDescent="0.2">
      <c r="A1565" s="12" t="s">
        <v>7255</v>
      </c>
      <c r="B1565" s="12" t="s">
        <v>7254</v>
      </c>
      <c r="C1565" s="12">
        <v>20</v>
      </c>
      <c r="D1565" s="12">
        <v>2</v>
      </c>
    </row>
    <row r="1566" spans="1:4" x14ac:dyDescent="0.2">
      <c r="A1566" s="12" t="s">
        <v>5045</v>
      </c>
      <c r="B1566" s="12" t="s">
        <v>5044</v>
      </c>
      <c r="C1566" s="12">
        <v>3</v>
      </c>
      <c r="D1566" s="12">
        <v>0.3</v>
      </c>
    </row>
    <row r="1567" spans="1:4" x14ac:dyDescent="0.2">
      <c r="A1567" s="12" t="s">
        <v>9607</v>
      </c>
      <c r="B1567" s="12" t="s">
        <v>9606</v>
      </c>
      <c r="C1567" s="12" t="s">
        <v>59</v>
      </c>
      <c r="D1567" s="12" t="s">
        <v>59</v>
      </c>
    </row>
    <row r="1568" spans="1:4" x14ac:dyDescent="0.2">
      <c r="A1568" s="12" t="s">
        <v>5515</v>
      </c>
      <c r="B1568" s="12" t="s">
        <v>5514</v>
      </c>
      <c r="C1568" s="12">
        <v>490</v>
      </c>
      <c r="D1568" s="12">
        <v>49</v>
      </c>
    </row>
    <row r="1569" spans="1:4" x14ac:dyDescent="0.2">
      <c r="A1569" s="12" t="s">
        <v>10710</v>
      </c>
      <c r="B1569" s="12" t="s">
        <v>10709</v>
      </c>
      <c r="C1569" s="12" t="s">
        <v>59</v>
      </c>
      <c r="D1569" s="12" t="s">
        <v>59</v>
      </c>
    </row>
    <row r="1570" spans="1:4" x14ac:dyDescent="0.2">
      <c r="A1570" s="12" t="s">
        <v>12593</v>
      </c>
      <c r="B1570" s="12" t="s">
        <v>8680</v>
      </c>
      <c r="C1570" s="12">
        <v>8.1</v>
      </c>
      <c r="D1570" s="12">
        <v>0.55000000000000004</v>
      </c>
    </row>
    <row r="1571" spans="1:4" x14ac:dyDescent="0.2">
      <c r="A1571" s="12" t="s">
        <v>12592</v>
      </c>
      <c r="B1571" s="12" t="s">
        <v>8680</v>
      </c>
      <c r="C1571" s="12">
        <v>3.3</v>
      </c>
      <c r="D1571" s="12">
        <v>6.3E-2</v>
      </c>
    </row>
    <row r="1572" spans="1:4" x14ac:dyDescent="0.2">
      <c r="A1572" s="12" t="s">
        <v>11679</v>
      </c>
      <c r="B1572" s="12" t="s">
        <v>11678</v>
      </c>
      <c r="C1572" s="12">
        <v>1500</v>
      </c>
      <c r="D1572" s="12">
        <v>150</v>
      </c>
    </row>
    <row r="1573" spans="1:4" x14ac:dyDescent="0.2">
      <c r="A1573" s="12" t="s">
        <v>11944</v>
      </c>
      <c r="B1573" s="12" t="s">
        <v>11943</v>
      </c>
      <c r="C1573" s="12">
        <v>2</v>
      </c>
      <c r="D1573" s="12">
        <v>0.2</v>
      </c>
    </row>
    <row r="1574" spans="1:4" x14ac:dyDescent="0.2">
      <c r="A1574" s="12" t="s">
        <v>4351</v>
      </c>
      <c r="B1574" s="12" t="s">
        <v>4350</v>
      </c>
      <c r="C1574" s="12">
        <v>18</v>
      </c>
      <c r="D1574" s="12">
        <v>14</v>
      </c>
    </row>
    <row r="1575" spans="1:4" x14ac:dyDescent="0.2">
      <c r="A1575" s="12" t="s">
        <v>9657</v>
      </c>
      <c r="B1575" s="12" t="s">
        <v>9656</v>
      </c>
      <c r="C1575" s="12" t="s">
        <v>59</v>
      </c>
      <c r="D1575" s="12" t="s">
        <v>59</v>
      </c>
    </row>
    <row r="1576" spans="1:4" ht="28.5" x14ac:dyDescent="0.2">
      <c r="A1576" s="12" t="s">
        <v>6896</v>
      </c>
      <c r="B1576" s="12" t="s">
        <v>6895</v>
      </c>
      <c r="C1576" s="12" t="s">
        <v>59</v>
      </c>
      <c r="D1576" s="12" t="s">
        <v>59</v>
      </c>
    </row>
    <row r="1577" spans="1:4" ht="28.5" x14ac:dyDescent="0.2">
      <c r="A1577" s="12" t="s">
        <v>6897</v>
      </c>
      <c r="B1577" s="12" t="s">
        <v>6895</v>
      </c>
      <c r="C1577" s="12">
        <v>1000</v>
      </c>
      <c r="D1577" s="12">
        <v>100</v>
      </c>
    </row>
    <row r="1578" spans="1:4" x14ac:dyDescent="0.2">
      <c r="A1578" s="12" t="s">
        <v>3141</v>
      </c>
      <c r="B1578" s="12" t="s">
        <v>3140</v>
      </c>
      <c r="C1578" s="12" t="s">
        <v>59</v>
      </c>
      <c r="D1578" s="12" t="s">
        <v>59</v>
      </c>
    </row>
    <row r="1579" spans="1:4" x14ac:dyDescent="0.2">
      <c r="A1579" s="12" t="s">
        <v>2655</v>
      </c>
      <c r="B1579" s="12" t="s">
        <v>2654</v>
      </c>
      <c r="C1579" s="12">
        <v>460</v>
      </c>
      <c r="D1579" s="12">
        <v>46</v>
      </c>
    </row>
    <row r="1580" spans="1:4" x14ac:dyDescent="0.2">
      <c r="A1580" s="12" t="s">
        <v>990</v>
      </c>
      <c r="B1580" s="12" t="s">
        <v>989</v>
      </c>
      <c r="C1580" s="12">
        <v>5700</v>
      </c>
      <c r="D1580" s="12">
        <v>570</v>
      </c>
    </row>
    <row r="1581" spans="1:4" x14ac:dyDescent="0.2">
      <c r="A1581" s="12" t="s">
        <v>11062</v>
      </c>
      <c r="B1581" s="12" t="s">
        <v>11061</v>
      </c>
      <c r="C1581" s="12" t="s">
        <v>59</v>
      </c>
      <c r="D1581" s="12" t="s">
        <v>59</v>
      </c>
    </row>
    <row r="1582" spans="1:4" x14ac:dyDescent="0.2">
      <c r="A1582" s="12" t="s">
        <v>8409</v>
      </c>
      <c r="B1582" s="12" t="s">
        <v>8408</v>
      </c>
      <c r="C1582" s="12">
        <v>25</v>
      </c>
      <c r="D1582" s="12">
        <v>2.5</v>
      </c>
    </row>
    <row r="1583" spans="1:4" x14ac:dyDescent="0.2">
      <c r="A1583" s="12" t="s">
        <v>6779</v>
      </c>
      <c r="B1583" s="12" t="s">
        <v>6778</v>
      </c>
      <c r="C1583" s="12">
        <v>2</v>
      </c>
      <c r="D1583" s="12">
        <v>0.2</v>
      </c>
    </row>
    <row r="1584" spans="1:4" x14ac:dyDescent="0.2">
      <c r="A1584" s="12" t="s">
        <v>906</v>
      </c>
      <c r="B1584" s="12" t="s">
        <v>905</v>
      </c>
      <c r="C1584" s="12">
        <v>1100</v>
      </c>
      <c r="D1584" s="12">
        <v>9.9</v>
      </c>
    </row>
    <row r="1585" spans="1:4" x14ac:dyDescent="0.2">
      <c r="A1585" s="12" t="s">
        <v>9361</v>
      </c>
      <c r="B1585" s="12" t="s">
        <v>9360</v>
      </c>
      <c r="C1585" s="12">
        <v>400</v>
      </c>
      <c r="D1585" s="12">
        <v>40</v>
      </c>
    </row>
    <row r="1586" spans="1:4" x14ac:dyDescent="0.2">
      <c r="A1586" s="12" t="s">
        <v>7375</v>
      </c>
      <c r="B1586" s="12" t="s">
        <v>7374</v>
      </c>
      <c r="C1586" s="12">
        <v>160</v>
      </c>
      <c r="D1586" s="12">
        <v>16</v>
      </c>
    </row>
    <row r="1587" spans="1:4" x14ac:dyDescent="0.2">
      <c r="A1587" s="12" t="s">
        <v>721</v>
      </c>
      <c r="B1587" s="12" t="s">
        <v>720</v>
      </c>
      <c r="C1587" s="12">
        <v>2450</v>
      </c>
      <c r="D1587" s="12">
        <v>245</v>
      </c>
    </row>
    <row r="1588" spans="1:4" x14ac:dyDescent="0.2">
      <c r="A1588" s="12" t="s">
        <v>4419</v>
      </c>
      <c r="B1588" s="12" t="s">
        <v>4418</v>
      </c>
      <c r="C1588" s="12" t="s">
        <v>59</v>
      </c>
      <c r="D1588" s="12" t="s">
        <v>59</v>
      </c>
    </row>
    <row r="1589" spans="1:4" x14ac:dyDescent="0.2">
      <c r="A1589" s="12" t="s">
        <v>9565</v>
      </c>
      <c r="B1589" s="12" t="s">
        <v>9564</v>
      </c>
      <c r="C1589" s="12">
        <v>50</v>
      </c>
      <c r="D1589" s="12">
        <v>5</v>
      </c>
    </row>
    <row r="1590" spans="1:4" x14ac:dyDescent="0.2">
      <c r="A1590" s="12" t="s">
        <v>8497</v>
      </c>
      <c r="B1590" s="12" t="s">
        <v>8496</v>
      </c>
      <c r="C1590" s="12" t="s">
        <v>59</v>
      </c>
      <c r="D1590" s="12" t="s">
        <v>59</v>
      </c>
    </row>
    <row r="1591" spans="1:4" x14ac:dyDescent="0.2">
      <c r="A1591" s="12" t="s">
        <v>8498</v>
      </c>
      <c r="B1591" s="12" t="s">
        <v>8496</v>
      </c>
      <c r="C1591" s="12">
        <v>500</v>
      </c>
      <c r="D1591" s="12">
        <v>50</v>
      </c>
    </row>
    <row r="1592" spans="1:4" x14ac:dyDescent="0.2">
      <c r="A1592" s="12" t="s">
        <v>1895</v>
      </c>
      <c r="B1592" s="12" t="s">
        <v>1894</v>
      </c>
      <c r="C1592" s="12">
        <v>100</v>
      </c>
      <c r="D1592" s="12">
        <v>10</v>
      </c>
    </row>
    <row r="1593" spans="1:4" x14ac:dyDescent="0.2">
      <c r="A1593" s="12" t="s">
        <v>9425</v>
      </c>
      <c r="B1593" s="12" t="s">
        <v>9424</v>
      </c>
      <c r="C1593" s="12">
        <v>1.3</v>
      </c>
      <c r="D1593" s="12">
        <v>0.13</v>
      </c>
    </row>
    <row r="1594" spans="1:4" x14ac:dyDescent="0.2">
      <c r="A1594" s="12" t="s">
        <v>5176</v>
      </c>
      <c r="B1594" s="12" t="s">
        <v>5175</v>
      </c>
      <c r="C1594" s="12">
        <v>3.6</v>
      </c>
      <c r="D1594" s="12">
        <v>4.1000000000000002E-2</v>
      </c>
    </row>
    <row r="1595" spans="1:4" x14ac:dyDescent="0.2">
      <c r="A1595" s="12" t="s">
        <v>12431</v>
      </c>
      <c r="B1595" s="12" t="s">
        <v>12430</v>
      </c>
      <c r="C1595" s="12">
        <v>20</v>
      </c>
      <c r="D1595" s="12">
        <v>2</v>
      </c>
    </row>
    <row r="1596" spans="1:4" ht="28.5" x14ac:dyDescent="0.2">
      <c r="A1596" s="12" t="s">
        <v>3023</v>
      </c>
      <c r="B1596" s="12" t="s">
        <v>3022</v>
      </c>
      <c r="C1596" s="12" t="s">
        <v>59</v>
      </c>
      <c r="D1596" s="12" t="s">
        <v>59</v>
      </c>
    </row>
    <row r="1597" spans="1:4" ht="28.5" x14ac:dyDescent="0.2">
      <c r="A1597" s="12" t="s">
        <v>3024</v>
      </c>
      <c r="B1597" s="12" t="s">
        <v>3022</v>
      </c>
      <c r="C1597" s="12">
        <v>1000</v>
      </c>
      <c r="D1597" s="12">
        <v>100</v>
      </c>
    </row>
    <row r="1598" spans="1:4" x14ac:dyDescent="0.2">
      <c r="A1598" s="12" t="s">
        <v>11757</v>
      </c>
      <c r="B1598" s="12" t="s">
        <v>11756</v>
      </c>
      <c r="C1598" s="12">
        <v>50</v>
      </c>
      <c r="D1598" s="12">
        <v>5</v>
      </c>
    </row>
    <row r="1599" spans="1:4" x14ac:dyDescent="0.2">
      <c r="A1599" s="12" t="s">
        <v>9888</v>
      </c>
      <c r="B1599" s="12" t="s">
        <v>9887</v>
      </c>
      <c r="C1599" s="12" t="s">
        <v>59</v>
      </c>
      <c r="D1599" s="12" t="s">
        <v>59</v>
      </c>
    </row>
    <row r="1600" spans="1:4" x14ac:dyDescent="0.2">
      <c r="A1600" s="12" t="s">
        <v>9905</v>
      </c>
      <c r="B1600" s="12" t="s">
        <v>9904</v>
      </c>
      <c r="C1600" s="12">
        <v>600</v>
      </c>
      <c r="D1600" s="12">
        <v>60</v>
      </c>
    </row>
    <row r="1601" spans="1:4" x14ac:dyDescent="0.2">
      <c r="A1601" s="12" t="s">
        <v>10862</v>
      </c>
      <c r="B1601" s="12" t="s">
        <v>10861</v>
      </c>
      <c r="C1601" s="12">
        <v>14</v>
      </c>
      <c r="D1601" s="12"/>
    </row>
    <row r="1602" spans="1:4" x14ac:dyDescent="0.2">
      <c r="A1602" s="12" t="s">
        <v>10863</v>
      </c>
      <c r="B1602" s="12" t="s">
        <v>10861</v>
      </c>
      <c r="C1602" s="12"/>
      <c r="D1602" s="12">
        <v>0.27</v>
      </c>
    </row>
    <row r="1603" spans="1:4" x14ac:dyDescent="0.2">
      <c r="A1603" s="12" t="s">
        <v>2797</v>
      </c>
      <c r="B1603" s="12" t="s">
        <v>2796</v>
      </c>
      <c r="C1603" s="12">
        <v>20</v>
      </c>
      <c r="D1603" s="12">
        <v>2</v>
      </c>
    </row>
    <row r="1604" spans="1:4" x14ac:dyDescent="0.2">
      <c r="A1604" s="12" t="s">
        <v>5554</v>
      </c>
      <c r="B1604" s="12" t="s">
        <v>5553</v>
      </c>
      <c r="C1604" s="12">
        <v>1500</v>
      </c>
      <c r="D1604" s="12">
        <v>150</v>
      </c>
    </row>
    <row r="1605" spans="1:4" x14ac:dyDescent="0.2">
      <c r="A1605" s="12" t="s">
        <v>5544</v>
      </c>
      <c r="B1605" s="12" t="s">
        <v>5543</v>
      </c>
      <c r="C1605" s="12">
        <v>1500</v>
      </c>
      <c r="D1605" s="12">
        <v>150</v>
      </c>
    </row>
    <row r="1606" spans="1:4" x14ac:dyDescent="0.2">
      <c r="A1606" s="12" t="s">
        <v>838</v>
      </c>
      <c r="B1606" s="12" t="s">
        <v>837</v>
      </c>
      <c r="C1606" s="12">
        <v>250</v>
      </c>
      <c r="D1606" s="12">
        <v>25</v>
      </c>
    </row>
    <row r="1607" spans="1:4" x14ac:dyDescent="0.2">
      <c r="A1607" s="12" t="s">
        <v>5803</v>
      </c>
      <c r="B1607" s="12" t="s">
        <v>5802</v>
      </c>
      <c r="C1607" s="12">
        <v>600</v>
      </c>
      <c r="D1607" s="12">
        <v>60</v>
      </c>
    </row>
    <row r="1608" spans="1:4" x14ac:dyDescent="0.2">
      <c r="A1608" s="12" t="s">
        <v>11667</v>
      </c>
      <c r="B1608" s="12" t="s">
        <v>11666</v>
      </c>
      <c r="C1608" s="12" t="s">
        <v>59</v>
      </c>
      <c r="D1608" s="12" t="s">
        <v>59</v>
      </c>
    </row>
    <row r="1609" spans="1:4" x14ac:dyDescent="0.2">
      <c r="A1609" s="12" t="s">
        <v>11668</v>
      </c>
      <c r="B1609" s="12" t="s">
        <v>11666</v>
      </c>
      <c r="C1609" s="12">
        <v>1000</v>
      </c>
      <c r="D1609" s="12">
        <v>100</v>
      </c>
    </row>
    <row r="1610" spans="1:4" x14ac:dyDescent="0.2">
      <c r="A1610" s="12" t="s">
        <v>6736</v>
      </c>
      <c r="B1610" s="12" t="s">
        <v>6735</v>
      </c>
      <c r="C1610" s="12">
        <v>420</v>
      </c>
      <c r="D1610" s="12">
        <v>42</v>
      </c>
    </row>
    <row r="1611" spans="1:4" x14ac:dyDescent="0.2">
      <c r="A1611" s="12" t="s">
        <v>5940</v>
      </c>
      <c r="B1611" s="12" t="s">
        <v>5939</v>
      </c>
      <c r="C1611" s="12">
        <v>2900</v>
      </c>
      <c r="D1611" s="12">
        <v>3700</v>
      </c>
    </row>
    <row r="1612" spans="1:4" x14ac:dyDescent="0.2">
      <c r="A1612" s="12" t="s">
        <v>12038</v>
      </c>
      <c r="B1612" s="12" t="s">
        <v>12037</v>
      </c>
      <c r="C1612" s="12">
        <v>2900</v>
      </c>
      <c r="D1612" s="12">
        <v>3700</v>
      </c>
    </row>
    <row r="1613" spans="1:4" x14ac:dyDescent="0.2">
      <c r="A1613" s="12" t="s">
        <v>8622</v>
      </c>
      <c r="B1613" s="12" t="s">
        <v>8621</v>
      </c>
      <c r="C1613" s="12">
        <v>500</v>
      </c>
      <c r="D1613" s="12">
        <v>50</v>
      </c>
    </row>
    <row r="1614" spans="1:4" x14ac:dyDescent="0.2">
      <c r="A1614" s="12" t="s">
        <v>8176</v>
      </c>
      <c r="B1614" s="12" t="s">
        <v>8175</v>
      </c>
      <c r="C1614" s="12">
        <v>40</v>
      </c>
      <c r="D1614" s="12">
        <v>4</v>
      </c>
    </row>
    <row r="1615" spans="1:4" x14ac:dyDescent="0.2">
      <c r="A1615" s="12" t="s">
        <v>2333</v>
      </c>
      <c r="B1615" s="12" t="s">
        <v>2332</v>
      </c>
      <c r="C1615" s="12" t="s">
        <v>59</v>
      </c>
      <c r="D1615" s="12" t="s">
        <v>59</v>
      </c>
    </row>
    <row r="1616" spans="1:4" x14ac:dyDescent="0.2">
      <c r="A1616" s="12" t="s">
        <v>2314</v>
      </c>
      <c r="B1616" s="12" t="s">
        <v>2313</v>
      </c>
      <c r="C1616" s="12" t="s">
        <v>59</v>
      </c>
      <c r="D1616" s="12" t="s">
        <v>59</v>
      </c>
    </row>
    <row r="1617" spans="1:4" x14ac:dyDescent="0.2">
      <c r="A1617" s="12" t="s">
        <v>2318</v>
      </c>
      <c r="B1617" s="12" t="s">
        <v>2317</v>
      </c>
      <c r="C1617" s="12">
        <v>3500</v>
      </c>
      <c r="D1617" s="12">
        <v>350</v>
      </c>
    </row>
    <row r="1618" spans="1:4" x14ac:dyDescent="0.2">
      <c r="A1618" s="12" t="s">
        <v>2357</v>
      </c>
      <c r="B1618" s="12" t="s">
        <v>2356</v>
      </c>
      <c r="C1618" s="12">
        <v>3500</v>
      </c>
      <c r="D1618" s="12">
        <v>350</v>
      </c>
    </row>
    <row r="1619" spans="1:4" x14ac:dyDescent="0.2">
      <c r="A1619" s="12" t="s">
        <v>3169</v>
      </c>
      <c r="B1619" s="12" t="s">
        <v>3168</v>
      </c>
      <c r="C1619" s="12">
        <v>50</v>
      </c>
      <c r="D1619" s="12">
        <v>5</v>
      </c>
    </row>
    <row r="1620" spans="1:4" x14ac:dyDescent="0.2">
      <c r="A1620" s="12" t="s">
        <v>261</v>
      </c>
      <c r="B1620" s="12" t="s">
        <v>260</v>
      </c>
      <c r="C1620" s="12" t="s">
        <v>59</v>
      </c>
      <c r="D1620" s="12" t="s">
        <v>59</v>
      </c>
    </row>
    <row r="1621" spans="1:4" x14ac:dyDescent="0.2">
      <c r="A1621" s="12" t="s">
        <v>2144</v>
      </c>
      <c r="B1621" s="12" t="s">
        <v>2143</v>
      </c>
      <c r="C1621" s="12" t="s">
        <v>59</v>
      </c>
      <c r="D1621" s="12" t="s">
        <v>59</v>
      </c>
    </row>
    <row r="1622" spans="1:4" x14ac:dyDescent="0.2">
      <c r="A1622" s="12" t="s">
        <v>12136</v>
      </c>
      <c r="B1622" s="12" t="s">
        <v>12135</v>
      </c>
      <c r="C1622" s="12">
        <v>10</v>
      </c>
      <c r="D1622" s="12">
        <v>1</v>
      </c>
    </row>
    <row r="1623" spans="1:4" x14ac:dyDescent="0.2">
      <c r="A1623" s="12" t="s">
        <v>1587</v>
      </c>
      <c r="B1623" s="12" t="s">
        <v>1586</v>
      </c>
      <c r="C1623" s="12">
        <v>3</v>
      </c>
      <c r="D1623" s="12">
        <v>0.3</v>
      </c>
    </row>
    <row r="1624" spans="1:4" x14ac:dyDescent="0.2">
      <c r="A1624" s="12" t="s">
        <v>4928</v>
      </c>
      <c r="B1624" s="12" t="s">
        <v>4927</v>
      </c>
      <c r="C1624" s="12">
        <v>1</v>
      </c>
      <c r="D1624" s="12">
        <v>0.1</v>
      </c>
    </row>
    <row r="1625" spans="1:4" x14ac:dyDescent="0.2">
      <c r="A1625" s="12" t="s">
        <v>10472</v>
      </c>
      <c r="B1625" s="12" t="s">
        <v>10471</v>
      </c>
      <c r="C1625" s="12">
        <v>150</v>
      </c>
      <c r="D1625" s="12">
        <v>15</v>
      </c>
    </row>
    <row r="1626" spans="1:4" x14ac:dyDescent="0.2">
      <c r="A1626" s="12" t="s">
        <v>5212</v>
      </c>
      <c r="B1626" s="12" t="s">
        <v>5211</v>
      </c>
      <c r="C1626" s="12">
        <v>7900</v>
      </c>
      <c r="D1626" s="12">
        <v>790</v>
      </c>
    </row>
    <row r="1627" spans="1:4" x14ac:dyDescent="0.2">
      <c r="A1627" s="12" t="s">
        <v>11858</v>
      </c>
      <c r="B1627" s="12" t="s">
        <v>11857</v>
      </c>
      <c r="C1627" s="12">
        <v>7900</v>
      </c>
      <c r="D1627" s="12">
        <v>790</v>
      </c>
    </row>
    <row r="1628" spans="1:4" x14ac:dyDescent="0.2">
      <c r="A1628" s="12" t="s">
        <v>4840</v>
      </c>
      <c r="B1628" s="12" t="s">
        <v>4839</v>
      </c>
      <c r="C1628" s="12">
        <v>5</v>
      </c>
      <c r="D1628" s="12">
        <v>0.5</v>
      </c>
    </row>
    <row r="1629" spans="1:4" x14ac:dyDescent="0.2">
      <c r="A1629" s="12" t="s">
        <v>412</v>
      </c>
      <c r="B1629" s="12" t="s">
        <v>411</v>
      </c>
      <c r="C1629" s="12">
        <v>100</v>
      </c>
      <c r="D1629" s="12">
        <v>10</v>
      </c>
    </row>
    <row r="1630" spans="1:4" x14ac:dyDescent="0.2">
      <c r="A1630" s="12" t="s">
        <v>7678</v>
      </c>
      <c r="B1630" s="12" t="s">
        <v>7677</v>
      </c>
      <c r="C1630" s="12">
        <v>50</v>
      </c>
      <c r="D1630" s="12">
        <v>5</v>
      </c>
    </row>
    <row r="1631" spans="1:4" x14ac:dyDescent="0.2">
      <c r="A1631" s="12" t="s">
        <v>1214</v>
      </c>
      <c r="B1631" s="12" t="s">
        <v>1213</v>
      </c>
      <c r="C1631" s="12">
        <v>1000</v>
      </c>
      <c r="D1631" s="12">
        <v>100</v>
      </c>
    </row>
    <row r="1632" spans="1:4" x14ac:dyDescent="0.2">
      <c r="A1632" s="12" t="s">
        <v>10571</v>
      </c>
      <c r="B1632" s="12" t="s">
        <v>10570</v>
      </c>
      <c r="C1632" s="12">
        <v>2200</v>
      </c>
      <c r="D1632" s="12">
        <v>220</v>
      </c>
    </row>
    <row r="1633" spans="1:4" x14ac:dyDescent="0.2">
      <c r="A1633" s="12" t="s">
        <v>5564</v>
      </c>
      <c r="B1633" s="12" t="s">
        <v>5563</v>
      </c>
      <c r="C1633" s="12">
        <v>24</v>
      </c>
      <c r="D1633" s="12">
        <v>2.4</v>
      </c>
    </row>
    <row r="1634" spans="1:4" x14ac:dyDescent="0.2">
      <c r="A1634" s="12" t="s">
        <v>9121</v>
      </c>
      <c r="B1634" s="12" t="s">
        <v>9120</v>
      </c>
      <c r="C1634" s="12">
        <v>190</v>
      </c>
      <c r="D1634" s="12">
        <v>7.9</v>
      </c>
    </row>
    <row r="1635" spans="1:4" x14ac:dyDescent="0.2">
      <c r="A1635" s="12" t="s">
        <v>3028</v>
      </c>
      <c r="B1635" s="12" t="s">
        <v>3027</v>
      </c>
      <c r="C1635" s="12">
        <v>10</v>
      </c>
      <c r="D1635" s="12">
        <v>1</v>
      </c>
    </row>
    <row r="1636" spans="1:4" x14ac:dyDescent="0.2">
      <c r="A1636" s="12" t="s">
        <v>5257</v>
      </c>
      <c r="B1636" s="12" t="s">
        <v>5256</v>
      </c>
      <c r="C1636" s="12">
        <v>2000</v>
      </c>
      <c r="D1636" s="12">
        <v>200</v>
      </c>
    </row>
    <row r="1637" spans="1:4" x14ac:dyDescent="0.2">
      <c r="A1637" s="12" t="s">
        <v>10917</v>
      </c>
      <c r="B1637" s="12" t="s">
        <v>10916</v>
      </c>
      <c r="C1637" s="12" t="s">
        <v>59</v>
      </c>
      <c r="D1637" s="12" t="s">
        <v>59</v>
      </c>
    </row>
    <row r="1638" spans="1:4" x14ac:dyDescent="0.2">
      <c r="A1638" s="12" t="s">
        <v>10918</v>
      </c>
      <c r="B1638" s="12" t="s">
        <v>10916</v>
      </c>
      <c r="C1638" s="12">
        <v>1000</v>
      </c>
      <c r="D1638" s="12">
        <v>100</v>
      </c>
    </row>
    <row r="1639" spans="1:4" x14ac:dyDescent="0.2">
      <c r="A1639" s="12" t="s">
        <v>8985</v>
      </c>
      <c r="B1639" s="12" t="s">
        <v>8984</v>
      </c>
      <c r="C1639" s="12" t="s">
        <v>59</v>
      </c>
      <c r="D1639" s="12" t="s">
        <v>59</v>
      </c>
    </row>
    <row r="1640" spans="1:4" x14ac:dyDescent="0.2">
      <c r="A1640" s="12" t="s">
        <v>8986</v>
      </c>
      <c r="B1640" s="12" t="s">
        <v>8984</v>
      </c>
      <c r="C1640" s="12">
        <v>450</v>
      </c>
      <c r="D1640" s="12">
        <v>45</v>
      </c>
    </row>
    <row r="1641" spans="1:4" x14ac:dyDescent="0.2">
      <c r="A1641" s="12" t="s">
        <v>11849</v>
      </c>
      <c r="B1641" s="12" t="s">
        <v>11848</v>
      </c>
      <c r="C1641" s="12">
        <v>30</v>
      </c>
      <c r="D1641" s="12">
        <v>3</v>
      </c>
    </row>
    <row r="1642" spans="1:4" x14ac:dyDescent="0.2">
      <c r="A1642" s="12" t="s">
        <v>6282</v>
      </c>
      <c r="B1642" s="12" t="s">
        <v>6281</v>
      </c>
      <c r="C1642" s="12">
        <v>2200</v>
      </c>
      <c r="D1642" s="12">
        <v>220</v>
      </c>
    </row>
    <row r="1643" spans="1:4" x14ac:dyDescent="0.2">
      <c r="A1643" s="12" t="s">
        <v>11889</v>
      </c>
      <c r="B1643" s="12" t="s">
        <v>11888</v>
      </c>
      <c r="C1643" s="12">
        <v>100</v>
      </c>
      <c r="D1643" s="12">
        <v>10</v>
      </c>
    </row>
    <row r="1644" spans="1:4" x14ac:dyDescent="0.2">
      <c r="A1644" s="12" t="s">
        <v>3267</v>
      </c>
      <c r="B1644" s="12" t="s">
        <v>3266</v>
      </c>
      <c r="C1644" s="12">
        <v>200</v>
      </c>
      <c r="D1644" s="12">
        <v>48</v>
      </c>
    </row>
    <row r="1645" spans="1:4" x14ac:dyDescent="0.2">
      <c r="A1645" s="12" t="s">
        <v>10932</v>
      </c>
      <c r="B1645" s="12" t="s">
        <v>10931</v>
      </c>
      <c r="C1645" s="12" t="s">
        <v>59</v>
      </c>
      <c r="D1645" s="12" t="s">
        <v>59</v>
      </c>
    </row>
    <row r="1646" spans="1:4" x14ac:dyDescent="0.2">
      <c r="A1646" s="12" t="s">
        <v>10933</v>
      </c>
      <c r="B1646" s="12" t="s">
        <v>10931</v>
      </c>
      <c r="C1646" s="12">
        <v>1000</v>
      </c>
      <c r="D1646" s="12">
        <v>100</v>
      </c>
    </row>
    <row r="1647" spans="1:4" x14ac:dyDescent="0.2">
      <c r="A1647" s="12" t="s">
        <v>4688</v>
      </c>
      <c r="B1647" s="12" t="s">
        <v>4687</v>
      </c>
      <c r="C1647" s="12" t="s">
        <v>59</v>
      </c>
      <c r="D1647" s="12" t="s">
        <v>59</v>
      </c>
    </row>
    <row r="1648" spans="1:4" x14ac:dyDescent="0.2">
      <c r="A1648" s="12" t="s">
        <v>5253</v>
      </c>
      <c r="B1648" s="12" t="s">
        <v>5252</v>
      </c>
      <c r="C1648" s="12">
        <v>8.6</v>
      </c>
      <c r="D1648" s="12">
        <v>2.5</v>
      </c>
    </row>
    <row r="1649" spans="1:4" x14ac:dyDescent="0.2">
      <c r="A1649" s="12" t="s">
        <v>1172</v>
      </c>
      <c r="B1649" s="12" t="s">
        <v>1171</v>
      </c>
      <c r="C1649" s="12">
        <v>3500</v>
      </c>
      <c r="D1649" s="12">
        <v>350</v>
      </c>
    </row>
    <row r="1650" spans="1:4" x14ac:dyDescent="0.2">
      <c r="A1650" s="12" t="s">
        <v>1173</v>
      </c>
      <c r="B1650" s="12" t="s">
        <v>1171</v>
      </c>
      <c r="C1650" s="12" t="s">
        <v>59</v>
      </c>
      <c r="D1650" s="12" t="s">
        <v>59</v>
      </c>
    </row>
    <row r="1651" spans="1:4" x14ac:dyDescent="0.2">
      <c r="A1651" s="12" t="s">
        <v>12064</v>
      </c>
      <c r="B1651" s="12" t="s">
        <v>12063</v>
      </c>
      <c r="C1651" s="12" t="s">
        <v>59</v>
      </c>
      <c r="D1651" s="12" t="s">
        <v>59</v>
      </c>
    </row>
    <row r="1652" spans="1:4" x14ac:dyDescent="0.2">
      <c r="A1652" s="12" t="s">
        <v>1964</v>
      </c>
      <c r="B1652" s="12" t="s">
        <v>1963</v>
      </c>
      <c r="C1652" s="12">
        <v>1000</v>
      </c>
      <c r="D1652" s="12">
        <v>100</v>
      </c>
    </row>
    <row r="1653" spans="1:4" x14ac:dyDescent="0.2">
      <c r="A1653" s="12" t="s">
        <v>200</v>
      </c>
      <c r="B1653" s="12" t="s">
        <v>199</v>
      </c>
      <c r="C1653" s="12">
        <v>100</v>
      </c>
      <c r="D1653" s="12">
        <v>10</v>
      </c>
    </row>
    <row r="1654" spans="1:4" x14ac:dyDescent="0.2">
      <c r="A1654" s="12" t="s">
        <v>2785</v>
      </c>
      <c r="B1654" s="12" t="s">
        <v>2784</v>
      </c>
      <c r="C1654" s="12">
        <v>4800</v>
      </c>
      <c r="D1654" s="12">
        <v>450</v>
      </c>
    </row>
    <row r="1655" spans="1:4" x14ac:dyDescent="0.2">
      <c r="A1655" s="12" t="s">
        <v>3293</v>
      </c>
      <c r="B1655" s="12" t="s">
        <v>3292</v>
      </c>
      <c r="C1655" s="12">
        <v>1700</v>
      </c>
      <c r="D1655" s="12">
        <v>330</v>
      </c>
    </row>
    <row r="1656" spans="1:4" x14ac:dyDescent="0.2">
      <c r="A1656" s="12" t="s">
        <v>3101</v>
      </c>
      <c r="B1656" s="12" t="s">
        <v>3100</v>
      </c>
      <c r="C1656" s="12">
        <v>1700</v>
      </c>
      <c r="D1656" s="12">
        <v>330</v>
      </c>
    </row>
    <row r="1657" spans="1:4" x14ac:dyDescent="0.2">
      <c r="A1657" s="12" t="s">
        <v>1477</v>
      </c>
      <c r="B1657" s="12" t="s">
        <v>1476</v>
      </c>
      <c r="C1657" s="12">
        <v>1700</v>
      </c>
      <c r="D1657" s="12">
        <v>330</v>
      </c>
    </row>
    <row r="1658" spans="1:4" x14ac:dyDescent="0.2">
      <c r="A1658" s="12" t="s">
        <v>1764</v>
      </c>
      <c r="B1658" s="12" t="s">
        <v>1763</v>
      </c>
      <c r="C1658" s="12">
        <v>1700</v>
      </c>
      <c r="D1658" s="12">
        <v>330</v>
      </c>
    </row>
    <row r="1659" spans="1:4" x14ac:dyDescent="0.2">
      <c r="A1659" s="12" t="s">
        <v>2594</v>
      </c>
      <c r="B1659" s="12" t="s">
        <v>2593</v>
      </c>
      <c r="C1659" s="12">
        <v>1700</v>
      </c>
      <c r="D1659" s="12">
        <v>330</v>
      </c>
    </row>
    <row r="1660" spans="1:4" x14ac:dyDescent="0.2">
      <c r="A1660" s="12" t="s">
        <v>2617</v>
      </c>
      <c r="B1660" s="12" t="s">
        <v>2616</v>
      </c>
      <c r="C1660" s="12">
        <v>1700</v>
      </c>
      <c r="D1660" s="12">
        <v>330</v>
      </c>
    </row>
    <row r="1661" spans="1:4" x14ac:dyDescent="0.2">
      <c r="A1661" s="12" t="s">
        <v>2637</v>
      </c>
      <c r="B1661" s="12" t="s">
        <v>2636</v>
      </c>
      <c r="C1661" s="12">
        <v>1700</v>
      </c>
      <c r="D1661" s="12">
        <v>330</v>
      </c>
    </row>
    <row r="1662" spans="1:4" x14ac:dyDescent="0.2">
      <c r="A1662" s="12" t="s">
        <v>2974</v>
      </c>
      <c r="B1662" s="12" t="s">
        <v>2973</v>
      </c>
      <c r="C1662" s="12">
        <v>1700</v>
      </c>
      <c r="D1662" s="12">
        <v>330</v>
      </c>
    </row>
    <row r="1663" spans="1:4" x14ac:dyDescent="0.2">
      <c r="A1663" s="12" t="s">
        <v>3011</v>
      </c>
      <c r="B1663" s="12" t="s">
        <v>3010</v>
      </c>
      <c r="C1663" s="12">
        <v>1700</v>
      </c>
      <c r="D1663" s="12">
        <v>330</v>
      </c>
    </row>
    <row r="1664" spans="1:4" x14ac:dyDescent="0.2">
      <c r="A1664" s="12" t="s">
        <v>1085</v>
      </c>
      <c r="B1664" s="12" t="s">
        <v>1084</v>
      </c>
      <c r="C1664" s="12">
        <v>1250</v>
      </c>
      <c r="D1664" s="12">
        <v>125</v>
      </c>
    </row>
    <row r="1665" spans="1:4" x14ac:dyDescent="0.2">
      <c r="A1665" s="12" t="s">
        <v>663</v>
      </c>
      <c r="B1665" s="12" t="s">
        <v>662</v>
      </c>
      <c r="C1665" s="12" t="s">
        <v>59</v>
      </c>
      <c r="D1665" s="12" t="s">
        <v>59</v>
      </c>
    </row>
    <row r="1666" spans="1:4" x14ac:dyDescent="0.2">
      <c r="A1666" s="12" t="s">
        <v>4096</v>
      </c>
      <c r="B1666" s="12" t="s">
        <v>4095</v>
      </c>
      <c r="C1666" s="12">
        <v>5</v>
      </c>
      <c r="D1666" s="12">
        <v>0.5</v>
      </c>
    </row>
    <row r="1667" spans="1:4" x14ac:dyDescent="0.2">
      <c r="A1667" s="12" t="s">
        <v>78</v>
      </c>
      <c r="B1667" s="12" t="s">
        <v>77</v>
      </c>
      <c r="C1667" s="12">
        <v>3500</v>
      </c>
      <c r="D1667" s="12">
        <v>350</v>
      </c>
    </row>
    <row r="1668" spans="1:4" x14ac:dyDescent="0.2">
      <c r="A1668" s="12" t="s">
        <v>2201</v>
      </c>
      <c r="B1668" s="12" t="s">
        <v>2200</v>
      </c>
      <c r="C1668" s="12">
        <v>190</v>
      </c>
      <c r="D1668" s="12">
        <v>19</v>
      </c>
    </row>
    <row r="1669" spans="1:4" x14ac:dyDescent="0.2">
      <c r="A1669" s="12" t="s">
        <v>6304</v>
      </c>
      <c r="B1669" s="12" t="s">
        <v>6303</v>
      </c>
      <c r="C1669" s="12">
        <v>70</v>
      </c>
      <c r="D1669" s="12">
        <v>7</v>
      </c>
    </row>
    <row r="1670" spans="1:4" x14ac:dyDescent="0.2">
      <c r="A1670" s="12" t="s">
        <v>1752</v>
      </c>
      <c r="B1670" s="12" t="s">
        <v>1751</v>
      </c>
      <c r="C1670" s="12">
        <v>5700</v>
      </c>
      <c r="D1670" s="12">
        <v>570</v>
      </c>
    </row>
    <row r="1671" spans="1:4" x14ac:dyDescent="0.2">
      <c r="A1671" s="12" t="s">
        <v>4886</v>
      </c>
      <c r="B1671" s="12" t="s">
        <v>4885</v>
      </c>
      <c r="C1671" s="12" t="s">
        <v>59</v>
      </c>
      <c r="D1671" s="12" t="s">
        <v>59</v>
      </c>
    </row>
    <row r="1672" spans="1:4" x14ac:dyDescent="0.2">
      <c r="A1672" s="12" t="s">
        <v>1104</v>
      </c>
      <c r="B1672" s="12" t="s">
        <v>1103</v>
      </c>
      <c r="C1672" s="12">
        <v>2450</v>
      </c>
      <c r="D1672" s="12">
        <v>245</v>
      </c>
    </row>
    <row r="1673" spans="1:4" x14ac:dyDescent="0.2">
      <c r="A1673" s="12" t="s">
        <v>1110</v>
      </c>
      <c r="B1673" s="12" t="s">
        <v>1109</v>
      </c>
      <c r="C1673" s="12">
        <v>2450</v>
      </c>
      <c r="D1673" s="12">
        <v>245</v>
      </c>
    </row>
    <row r="1674" spans="1:4" x14ac:dyDescent="0.2">
      <c r="A1674" s="12" t="s">
        <v>1096</v>
      </c>
      <c r="B1674" s="12" t="s">
        <v>1095</v>
      </c>
      <c r="C1674" s="12">
        <v>2450</v>
      </c>
      <c r="D1674" s="12">
        <v>245</v>
      </c>
    </row>
    <row r="1675" spans="1:4" x14ac:dyDescent="0.2">
      <c r="A1675" s="12" t="s">
        <v>8246</v>
      </c>
      <c r="B1675" s="12" t="s">
        <v>8245</v>
      </c>
      <c r="C1675" s="12">
        <v>1</v>
      </c>
      <c r="D1675" s="12">
        <v>0.1</v>
      </c>
    </row>
    <row r="1676" spans="1:4" x14ac:dyDescent="0.2">
      <c r="A1676" s="12" t="s">
        <v>3533</v>
      </c>
      <c r="B1676" s="12" t="s">
        <v>3532</v>
      </c>
      <c r="C1676" s="12">
        <v>10</v>
      </c>
      <c r="D1676" s="12">
        <v>1</v>
      </c>
    </row>
    <row r="1677" spans="1:4" x14ac:dyDescent="0.2">
      <c r="A1677" s="12" t="s">
        <v>981</v>
      </c>
      <c r="B1677" s="12" t="s">
        <v>980</v>
      </c>
      <c r="C1677" s="12">
        <v>5700</v>
      </c>
      <c r="D1677" s="12">
        <v>570</v>
      </c>
    </row>
    <row r="1678" spans="1:4" x14ac:dyDescent="0.2">
      <c r="A1678" s="12" t="s">
        <v>982</v>
      </c>
      <c r="B1678" s="12" t="s">
        <v>980</v>
      </c>
      <c r="C1678" s="12" t="s">
        <v>59</v>
      </c>
      <c r="D1678" s="12" t="s">
        <v>59</v>
      </c>
    </row>
    <row r="1679" spans="1:4" x14ac:dyDescent="0.2">
      <c r="A1679" s="12" t="s">
        <v>1007</v>
      </c>
      <c r="B1679" s="12" t="s">
        <v>1006</v>
      </c>
      <c r="C1679" s="12">
        <v>2450</v>
      </c>
      <c r="D1679" s="12">
        <v>245</v>
      </c>
    </row>
    <row r="1680" spans="1:4" x14ac:dyDescent="0.2">
      <c r="A1680" s="12" t="s">
        <v>6656</v>
      </c>
      <c r="B1680" s="12" t="s">
        <v>6655</v>
      </c>
      <c r="C1680" s="12" t="s">
        <v>59</v>
      </c>
      <c r="D1680" s="12" t="s">
        <v>59</v>
      </c>
    </row>
    <row r="1681" spans="1:4" x14ac:dyDescent="0.2">
      <c r="A1681" s="12" t="s">
        <v>6657</v>
      </c>
      <c r="B1681" s="12" t="s">
        <v>6655</v>
      </c>
      <c r="C1681" s="12">
        <v>500</v>
      </c>
      <c r="D1681" s="12">
        <v>50</v>
      </c>
    </row>
    <row r="1682" spans="1:4" x14ac:dyDescent="0.2">
      <c r="A1682" s="12" t="s">
        <v>1550</v>
      </c>
      <c r="B1682" s="12" t="s">
        <v>1549</v>
      </c>
      <c r="C1682" s="12">
        <v>30</v>
      </c>
      <c r="D1682" s="12">
        <v>3</v>
      </c>
    </row>
    <row r="1683" spans="1:4" x14ac:dyDescent="0.2">
      <c r="A1683" s="12" t="s">
        <v>12216</v>
      </c>
      <c r="B1683" s="12" t="s">
        <v>12215</v>
      </c>
      <c r="C1683" s="12">
        <v>3.6</v>
      </c>
      <c r="D1683" s="12">
        <v>4.1000000000000002E-2</v>
      </c>
    </row>
    <row r="1684" spans="1:4" x14ac:dyDescent="0.2">
      <c r="A1684" s="12" t="s">
        <v>5683</v>
      </c>
      <c r="B1684" s="12" t="s">
        <v>5682</v>
      </c>
      <c r="C1684" s="12" t="s">
        <v>59</v>
      </c>
      <c r="D1684" s="12" t="s">
        <v>59</v>
      </c>
    </row>
    <row r="1685" spans="1:4" x14ac:dyDescent="0.2">
      <c r="A1685" s="12" t="s">
        <v>5684</v>
      </c>
      <c r="B1685" s="12" t="s">
        <v>5682</v>
      </c>
      <c r="C1685" s="12">
        <v>500</v>
      </c>
      <c r="D1685" s="12">
        <v>50</v>
      </c>
    </row>
    <row r="1686" spans="1:4" x14ac:dyDescent="0.2">
      <c r="A1686" s="12" t="s">
        <v>3745</v>
      </c>
      <c r="B1686" s="12" t="s">
        <v>3744</v>
      </c>
      <c r="C1686" s="12" t="s">
        <v>59</v>
      </c>
      <c r="D1686" s="12" t="s">
        <v>59</v>
      </c>
    </row>
    <row r="1687" spans="1:4" x14ac:dyDescent="0.2">
      <c r="A1687" s="12" t="s">
        <v>1419</v>
      </c>
      <c r="B1687" s="12" t="s">
        <v>1418</v>
      </c>
      <c r="C1687" s="12" t="s">
        <v>59</v>
      </c>
      <c r="D1687" s="12" t="s">
        <v>59</v>
      </c>
    </row>
    <row r="1688" spans="1:4" x14ac:dyDescent="0.2">
      <c r="A1688" s="12" t="s">
        <v>1420</v>
      </c>
      <c r="B1688" s="12" t="s">
        <v>1418</v>
      </c>
      <c r="C1688" s="12">
        <v>600</v>
      </c>
      <c r="D1688" s="12">
        <v>60</v>
      </c>
    </row>
    <row r="1689" spans="1:4" x14ac:dyDescent="0.2">
      <c r="A1689" s="12" t="s">
        <v>870</v>
      </c>
      <c r="B1689" s="12" t="s">
        <v>869</v>
      </c>
      <c r="C1689" s="12">
        <v>300</v>
      </c>
      <c r="D1689" s="12">
        <v>30</v>
      </c>
    </row>
    <row r="1690" spans="1:4" x14ac:dyDescent="0.2">
      <c r="A1690" s="12" t="s">
        <v>5675</v>
      </c>
      <c r="B1690" s="12" t="s">
        <v>5674</v>
      </c>
      <c r="C1690" s="12" t="s">
        <v>59</v>
      </c>
      <c r="D1690" s="12" t="s">
        <v>59</v>
      </c>
    </row>
    <row r="1691" spans="1:4" x14ac:dyDescent="0.2">
      <c r="A1691" s="12" t="s">
        <v>3263</v>
      </c>
      <c r="B1691" s="12" t="s">
        <v>3262</v>
      </c>
      <c r="C1691" s="12">
        <v>98</v>
      </c>
      <c r="D1691" s="12">
        <v>25</v>
      </c>
    </row>
    <row r="1692" spans="1:4" x14ac:dyDescent="0.2">
      <c r="A1692" s="12" t="s">
        <v>2825</v>
      </c>
      <c r="B1692" s="12" t="s">
        <v>2824</v>
      </c>
      <c r="C1692" s="12">
        <v>100</v>
      </c>
      <c r="D1692" s="12">
        <v>10</v>
      </c>
    </row>
    <row r="1693" spans="1:4" x14ac:dyDescent="0.2">
      <c r="A1693" s="12" t="s">
        <v>9757</v>
      </c>
      <c r="B1693" s="12" t="s">
        <v>9756</v>
      </c>
      <c r="C1693" s="12">
        <v>10000</v>
      </c>
      <c r="D1693" s="12">
        <v>1000</v>
      </c>
    </row>
    <row r="1694" spans="1:4" x14ac:dyDescent="0.2">
      <c r="A1694" s="12" t="s">
        <v>9758</v>
      </c>
      <c r="B1694" s="12" t="s">
        <v>9756</v>
      </c>
      <c r="C1694" s="12" t="s">
        <v>59</v>
      </c>
      <c r="D1694" s="12" t="s">
        <v>59</v>
      </c>
    </row>
    <row r="1695" spans="1:4" x14ac:dyDescent="0.2">
      <c r="A1695" s="12" t="s">
        <v>4589</v>
      </c>
      <c r="B1695" s="12" t="s">
        <v>4588</v>
      </c>
      <c r="C1695" s="12">
        <v>100</v>
      </c>
      <c r="D1695" s="12">
        <v>10</v>
      </c>
    </row>
    <row r="1696" spans="1:4" x14ac:dyDescent="0.2">
      <c r="A1696" s="12" t="s">
        <v>4472</v>
      </c>
      <c r="B1696" s="12" t="s">
        <v>4471</v>
      </c>
      <c r="C1696" s="12">
        <v>0.39</v>
      </c>
      <c r="D1696" s="12">
        <v>4.3E-3</v>
      </c>
    </row>
    <row r="1697" spans="1:4" x14ac:dyDescent="0.2">
      <c r="A1697" s="12" t="s">
        <v>6920</v>
      </c>
      <c r="B1697" s="12" t="s">
        <v>6919</v>
      </c>
      <c r="C1697" s="12" t="s">
        <v>59</v>
      </c>
      <c r="D1697" s="12" t="s">
        <v>59</v>
      </c>
    </row>
    <row r="1698" spans="1:4" x14ac:dyDescent="0.2">
      <c r="A1698" s="12" t="s">
        <v>6921</v>
      </c>
      <c r="B1698" s="12" t="s">
        <v>6919</v>
      </c>
      <c r="C1698" s="12">
        <v>1000</v>
      </c>
      <c r="D1698" s="12">
        <v>100</v>
      </c>
    </row>
    <row r="1699" spans="1:4" x14ac:dyDescent="0.2">
      <c r="A1699" s="12" t="s">
        <v>11450</v>
      </c>
      <c r="B1699" s="12" t="s">
        <v>11449</v>
      </c>
      <c r="C1699" s="12">
        <v>400</v>
      </c>
      <c r="D1699" s="12">
        <v>40</v>
      </c>
    </row>
    <row r="1700" spans="1:4" x14ac:dyDescent="0.2">
      <c r="A1700" s="12" t="s">
        <v>2073</v>
      </c>
      <c r="B1700" s="12" t="s">
        <v>2072</v>
      </c>
      <c r="C1700" s="12">
        <v>3400</v>
      </c>
      <c r="D1700" s="12">
        <v>340</v>
      </c>
    </row>
    <row r="1701" spans="1:4" x14ac:dyDescent="0.2">
      <c r="A1701" s="12" t="s">
        <v>8516</v>
      </c>
      <c r="B1701" s="12" t="s">
        <v>8515</v>
      </c>
      <c r="C1701" s="12">
        <v>630</v>
      </c>
      <c r="D1701" s="12">
        <v>180</v>
      </c>
    </row>
    <row r="1702" spans="1:4" x14ac:dyDescent="0.2">
      <c r="A1702" s="12" t="s">
        <v>5677</v>
      </c>
      <c r="B1702" s="12" t="s">
        <v>5676</v>
      </c>
      <c r="C1702" s="12">
        <v>100</v>
      </c>
      <c r="D1702" s="12">
        <v>10</v>
      </c>
    </row>
    <row r="1703" spans="1:4" x14ac:dyDescent="0.2">
      <c r="A1703" s="12" t="s">
        <v>6654</v>
      </c>
      <c r="B1703" s="12" t="s">
        <v>6653</v>
      </c>
      <c r="C1703" s="12">
        <v>200</v>
      </c>
      <c r="D1703" s="12">
        <v>20</v>
      </c>
    </row>
    <row r="1704" spans="1:4" x14ac:dyDescent="0.2">
      <c r="A1704" s="12" t="s">
        <v>6652</v>
      </c>
      <c r="B1704" s="12" t="s">
        <v>6651</v>
      </c>
      <c r="C1704" s="12">
        <v>200</v>
      </c>
      <c r="D1704" s="12">
        <v>20</v>
      </c>
    </row>
    <row r="1705" spans="1:4" x14ac:dyDescent="0.2">
      <c r="A1705" s="12" t="s">
        <v>8480</v>
      </c>
      <c r="B1705" s="12" t="s">
        <v>8479</v>
      </c>
      <c r="C1705" s="12">
        <v>10000</v>
      </c>
      <c r="D1705" s="12">
        <v>1000</v>
      </c>
    </row>
    <row r="1706" spans="1:4" x14ac:dyDescent="0.2">
      <c r="A1706" s="12" t="s">
        <v>9755</v>
      </c>
      <c r="B1706" s="12" t="s">
        <v>9754</v>
      </c>
      <c r="C1706" s="12">
        <v>200</v>
      </c>
      <c r="D1706" s="12">
        <v>20</v>
      </c>
    </row>
    <row r="1707" spans="1:4" x14ac:dyDescent="0.2">
      <c r="A1707" s="12" t="s">
        <v>4864</v>
      </c>
      <c r="B1707" s="12" t="s">
        <v>4863</v>
      </c>
      <c r="C1707" s="12" t="s">
        <v>59</v>
      </c>
      <c r="D1707" s="12" t="s">
        <v>59</v>
      </c>
    </row>
    <row r="1708" spans="1:4" x14ac:dyDescent="0.2">
      <c r="A1708" s="12" t="s">
        <v>7416</v>
      </c>
      <c r="B1708" s="12" t="s">
        <v>7415</v>
      </c>
      <c r="C1708" s="12">
        <v>2.7</v>
      </c>
      <c r="D1708" s="12">
        <v>2.7</v>
      </c>
    </row>
    <row r="1709" spans="1:4" x14ac:dyDescent="0.2">
      <c r="A1709" s="12" t="s">
        <v>6844</v>
      </c>
      <c r="B1709" s="12" t="s">
        <v>6843</v>
      </c>
      <c r="C1709" s="12">
        <v>1000</v>
      </c>
      <c r="D1709" s="12">
        <v>100</v>
      </c>
    </row>
    <row r="1710" spans="1:4" x14ac:dyDescent="0.2">
      <c r="A1710" s="12" t="s">
        <v>6695</v>
      </c>
      <c r="B1710" s="12" t="s">
        <v>6694</v>
      </c>
      <c r="C1710" s="12">
        <v>16300</v>
      </c>
      <c r="D1710" s="12">
        <v>1630</v>
      </c>
    </row>
    <row r="1711" spans="1:4" x14ac:dyDescent="0.2">
      <c r="A1711" s="12" t="s">
        <v>11623</v>
      </c>
      <c r="B1711" s="12" t="s">
        <v>11622</v>
      </c>
      <c r="C1711" s="12" t="s">
        <v>59</v>
      </c>
      <c r="D1711" s="12" t="s">
        <v>59</v>
      </c>
    </row>
    <row r="1712" spans="1:4" x14ac:dyDescent="0.2">
      <c r="A1712" s="12" t="s">
        <v>8934</v>
      </c>
      <c r="B1712" s="12" t="s">
        <v>8933</v>
      </c>
      <c r="C1712" s="12" t="s">
        <v>59</v>
      </c>
      <c r="D1712" s="12" t="s">
        <v>59</v>
      </c>
    </row>
    <row r="1713" spans="1:4" x14ac:dyDescent="0.2">
      <c r="A1713" s="12" t="s">
        <v>11864</v>
      </c>
      <c r="B1713" s="12" t="s">
        <v>11863</v>
      </c>
      <c r="C1713" s="12">
        <v>10000</v>
      </c>
      <c r="D1713" s="12">
        <v>1000</v>
      </c>
    </row>
    <row r="1714" spans="1:4" x14ac:dyDescent="0.2">
      <c r="A1714" s="12" t="s">
        <v>12109</v>
      </c>
      <c r="B1714" s="12" t="s">
        <v>12108</v>
      </c>
      <c r="C1714" s="12">
        <v>50</v>
      </c>
      <c r="D1714" s="12">
        <v>5</v>
      </c>
    </row>
    <row r="1715" spans="1:4" x14ac:dyDescent="0.2">
      <c r="A1715" s="12" t="s">
        <v>2271</v>
      </c>
      <c r="B1715" s="12" t="s">
        <v>2270</v>
      </c>
      <c r="C1715" s="12">
        <v>800</v>
      </c>
      <c r="D1715" s="12">
        <v>80</v>
      </c>
    </row>
    <row r="1716" spans="1:4" x14ac:dyDescent="0.2">
      <c r="A1716" s="12" t="s">
        <v>2564</v>
      </c>
      <c r="B1716" s="12" t="s">
        <v>2563</v>
      </c>
      <c r="C1716" s="12">
        <v>140</v>
      </c>
      <c r="D1716" s="12">
        <v>14</v>
      </c>
    </row>
    <row r="1717" spans="1:4" x14ac:dyDescent="0.2">
      <c r="A1717" s="12" t="s">
        <v>2049</v>
      </c>
      <c r="B1717" s="12" t="s">
        <v>2048</v>
      </c>
      <c r="C1717" s="12">
        <v>20</v>
      </c>
      <c r="D1717" s="12">
        <v>2</v>
      </c>
    </row>
    <row r="1718" spans="1:4" x14ac:dyDescent="0.2">
      <c r="A1718" s="12" t="s">
        <v>2051</v>
      </c>
      <c r="B1718" s="12" t="s">
        <v>2050</v>
      </c>
      <c r="C1718" s="12">
        <v>20</v>
      </c>
      <c r="D1718" s="12">
        <v>2</v>
      </c>
    </row>
    <row r="1719" spans="1:4" x14ac:dyDescent="0.2">
      <c r="A1719" s="12" t="s">
        <v>2009</v>
      </c>
      <c r="B1719" s="12" t="s">
        <v>2008</v>
      </c>
      <c r="C1719" s="12">
        <v>7.5</v>
      </c>
      <c r="D1719" s="12">
        <v>0.75</v>
      </c>
    </row>
    <row r="1720" spans="1:4" x14ac:dyDescent="0.2">
      <c r="A1720" s="12" t="s">
        <v>11093</v>
      </c>
      <c r="B1720" s="12" t="s">
        <v>11092</v>
      </c>
      <c r="C1720" s="12" t="s">
        <v>59</v>
      </c>
      <c r="D1720" s="12" t="s">
        <v>59</v>
      </c>
    </row>
    <row r="1721" spans="1:4" x14ac:dyDescent="0.2">
      <c r="A1721" s="12" t="s">
        <v>598</v>
      </c>
      <c r="B1721" s="12" t="s">
        <v>597</v>
      </c>
      <c r="C1721" s="12">
        <v>940</v>
      </c>
      <c r="D1721" s="12">
        <v>94</v>
      </c>
    </row>
    <row r="1722" spans="1:4" x14ac:dyDescent="0.2">
      <c r="A1722" s="12" t="s">
        <v>1599</v>
      </c>
      <c r="B1722" s="12" t="s">
        <v>1598</v>
      </c>
      <c r="C1722" s="12">
        <v>3400</v>
      </c>
      <c r="D1722" s="12">
        <v>340</v>
      </c>
    </row>
    <row r="1723" spans="1:4" x14ac:dyDescent="0.2">
      <c r="A1723" s="12" t="s">
        <v>1370</v>
      </c>
      <c r="B1723" s="12" t="s">
        <v>1369</v>
      </c>
      <c r="C1723" s="12">
        <v>4800</v>
      </c>
      <c r="D1723" s="12">
        <v>450</v>
      </c>
    </row>
    <row r="1724" spans="1:4" x14ac:dyDescent="0.2">
      <c r="A1724" s="12" t="s">
        <v>1396</v>
      </c>
      <c r="B1724" s="12" t="s">
        <v>1395</v>
      </c>
      <c r="C1724" s="12">
        <v>4800</v>
      </c>
      <c r="D1724" s="12">
        <v>450</v>
      </c>
    </row>
    <row r="1725" spans="1:4" x14ac:dyDescent="0.2">
      <c r="A1725" s="12" t="s">
        <v>1530</v>
      </c>
      <c r="B1725" s="12" t="s">
        <v>1529</v>
      </c>
      <c r="C1725" s="12">
        <v>4800</v>
      </c>
      <c r="D1725" s="12">
        <v>450</v>
      </c>
    </row>
    <row r="1726" spans="1:4" x14ac:dyDescent="0.2">
      <c r="A1726" s="12" t="s">
        <v>1635</v>
      </c>
      <c r="B1726" s="12" t="s">
        <v>1634</v>
      </c>
      <c r="C1726" s="12">
        <v>4800</v>
      </c>
      <c r="D1726" s="12">
        <v>450</v>
      </c>
    </row>
    <row r="1727" spans="1:4" x14ac:dyDescent="0.2">
      <c r="A1727" s="12" t="s">
        <v>2520</v>
      </c>
      <c r="B1727" s="12" t="s">
        <v>2519</v>
      </c>
      <c r="C1727" s="12">
        <v>4800</v>
      </c>
      <c r="D1727" s="12">
        <v>450</v>
      </c>
    </row>
    <row r="1728" spans="1:4" x14ac:dyDescent="0.2">
      <c r="A1728" s="12" t="s">
        <v>2749</v>
      </c>
      <c r="B1728" s="12" t="s">
        <v>2748</v>
      </c>
      <c r="C1728" s="12">
        <v>4800</v>
      </c>
      <c r="D1728" s="12">
        <v>450</v>
      </c>
    </row>
    <row r="1729" spans="1:4" x14ac:dyDescent="0.2">
      <c r="A1729" s="12" t="s">
        <v>2755</v>
      </c>
      <c r="B1729" s="12" t="s">
        <v>2754</v>
      </c>
      <c r="C1729" s="12">
        <v>4800</v>
      </c>
      <c r="D1729" s="12">
        <v>450</v>
      </c>
    </row>
    <row r="1730" spans="1:4" x14ac:dyDescent="0.2">
      <c r="A1730" s="12" t="s">
        <v>1522</v>
      </c>
      <c r="B1730" s="12" t="s">
        <v>1521</v>
      </c>
      <c r="C1730" s="12">
        <v>4800</v>
      </c>
      <c r="D1730" s="12">
        <v>450</v>
      </c>
    </row>
    <row r="1731" spans="1:4" x14ac:dyDescent="0.2">
      <c r="A1731" s="12" t="s">
        <v>1384</v>
      </c>
      <c r="B1731" s="12" t="s">
        <v>1383</v>
      </c>
      <c r="C1731" s="12">
        <v>1700</v>
      </c>
      <c r="D1731" s="12">
        <v>330</v>
      </c>
    </row>
    <row r="1732" spans="1:4" x14ac:dyDescent="0.2">
      <c r="A1732" s="12" t="s">
        <v>1348</v>
      </c>
      <c r="B1732" s="12" t="s">
        <v>1347</v>
      </c>
      <c r="C1732" s="12">
        <v>1700</v>
      </c>
      <c r="D1732" s="12">
        <v>330</v>
      </c>
    </row>
    <row r="1733" spans="1:4" x14ac:dyDescent="0.2">
      <c r="A1733" s="12" t="s">
        <v>1356</v>
      </c>
      <c r="B1733" s="12" t="s">
        <v>1355</v>
      </c>
      <c r="C1733" s="12">
        <v>1700</v>
      </c>
      <c r="D1733" s="12">
        <v>330</v>
      </c>
    </row>
    <row r="1734" spans="1:4" x14ac:dyDescent="0.2">
      <c r="A1734" s="12" t="s">
        <v>890</v>
      </c>
      <c r="B1734" s="12" t="s">
        <v>889</v>
      </c>
      <c r="C1734" s="12">
        <v>3500</v>
      </c>
      <c r="D1734" s="12">
        <v>350</v>
      </c>
    </row>
    <row r="1735" spans="1:4" x14ac:dyDescent="0.2">
      <c r="A1735" s="12" t="s">
        <v>11730</v>
      </c>
      <c r="B1735" s="12" t="s">
        <v>11729</v>
      </c>
      <c r="C1735" s="12">
        <v>20</v>
      </c>
      <c r="D1735" s="12">
        <v>2</v>
      </c>
    </row>
    <row r="1736" spans="1:4" x14ac:dyDescent="0.2">
      <c r="A1736" s="12" t="s">
        <v>8351</v>
      </c>
      <c r="B1736" s="12" t="s">
        <v>8350</v>
      </c>
      <c r="C1736" s="12">
        <v>25</v>
      </c>
      <c r="D1736" s="12">
        <v>2.5</v>
      </c>
    </row>
    <row r="1737" spans="1:4" x14ac:dyDescent="0.2">
      <c r="A1737" s="12" t="s">
        <v>5982</v>
      </c>
      <c r="B1737" s="12" t="s">
        <v>5981</v>
      </c>
      <c r="C1737" s="12">
        <v>450</v>
      </c>
      <c r="D1737" s="12">
        <v>45</v>
      </c>
    </row>
    <row r="1738" spans="1:4" x14ac:dyDescent="0.2">
      <c r="A1738" s="12" t="s">
        <v>5983</v>
      </c>
      <c r="B1738" s="12" t="s">
        <v>5981</v>
      </c>
      <c r="C1738" s="12" t="s">
        <v>59</v>
      </c>
      <c r="D1738" s="12" t="s">
        <v>59</v>
      </c>
    </row>
    <row r="1739" spans="1:4" x14ac:dyDescent="0.2">
      <c r="A1739" s="12" t="s">
        <v>3050</v>
      </c>
      <c r="B1739" s="12" t="s">
        <v>3049</v>
      </c>
      <c r="C1739" s="12" t="s">
        <v>59</v>
      </c>
      <c r="D1739" s="12" t="s">
        <v>59</v>
      </c>
    </row>
    <row r="1740" spans="1:4" x14ac:dyDescent="0.2">
      <c r="A1740" s="12" t="s">
        <v>102</v>
      </c>
      <c r="B1740" s="12" t="s">
        <v>101</v>
      </c>
      <c r="C1740" s="12">
        <v>3400</v>
      </c>
      <c r="D1740" s="12">
        <v>340</v>
      </c>
    </row>
    <row r="1741" spans="1:4" x14ac:dyDescent="0.2">
      <c r="A1741" s="12" t="s">
        <v>6691</v>
      </c>
      <c r="B1741" s="12" t="s">
        <v>6690</v>
      </c>
      <c r="C1741" s="12">
        <v>18700</v>
      </c>
      <c r="D1741" s="12">
        <v>1870</v>
      </c>
    </row>
    <row r="1742" spans="1:4" x14ac:dyDescent="0.2">
      <c r="A1742" s="12" t="s">
        <v>10546</v>
      </c>
      <c r="B1742" s="12" t="s">
        <v>10545</v>
      </c>
      <c r="C1742" s="12">
        <v>3500</v>
      </c>
      <c r="D1742" s="12">
        <v>350</v>
      </c>
    </row>
    <row r="1743" spans="1:4" x14ac:dyDescent="0.2">
      <c r="A1743" s="12" t="s">
        <v>4634</v>
      </c>
      <c r="B1743" s="12" t="s">
        <v>4633</v>
      </c>
      <c r="C1743" s="12">
        <v>3500</v>
      </c>
      <c r="D1743" s="12">
        <v>350</v>
      </c>
    </row>
    <row r="1744" spans="1:4" x14ac:dyDescent="0.2">
      <c r="A1744" s="12" t="s">
        <v>2767</v>
      </c>
      <c r="B1744" s="12" t="s">
        <v>2766</v>
      </c>
      <c r="C1744" s="12">
        <v>4800</v>
      </c>
      <c r="D1744" s="12">
        <v>450</v>
      </c>
    </row>
    <row r="1745" spans="1:4" x14ac:dyDescent="0.2">
      <c r="A1745" s="12" t="s">
        <v>2247</v>
      </c>
      <c r="B1745" s="12" t="s">
        <v>2246</v>
      </c>
      <c r="C1745" s="12">
        <v>3.6</v>
      </c>
      <c r="D1745" s="12">
        <v>1.8</v>
      </c>
    </row>
    <row r="1746" spans="1:4" x14ac:dyDescent="0.2">
      <c r="A1746" s="12" t="s">
        <v>2722</v>
      </c>
      <c r="B1746" s="12" t="s">
        <v>2721</v>
      </c>
      <c r="C1746" s="12">
        <v>440</v>
      </c>
      <c r="D1746" s="12">
        <v>44</v>
      </c>
    </row>
    <row r="1747" spans="1:4" x14ac:dyDescent="0.2">
      <c r="A1747" s="12" t="s">
        <v>12030</v>
      </c>
      <c r="B1747" s="12" t="s">
        <v>12029</v>
      </c>
      <c r="C1747" s="12">
        <v>10</v>
      </c>
      <c r="D1747" s="12">
        <v>1</v>
      </c>
    </row>
    <row r="1748" spans="1:4" x14ac:dyDescent="0.2">
      <c r="A1748" s="12" t="s">
        <v>3873</v>
      </c>
      <c r="B1748" s="12" t="s">
        <v>3872</v>
      </c>
      <c r="C1748" s="12">
        <v>50</v>
      </c>
      <c r="D1748" s="12">
        <v>5</v>
      </c>
    </row>
    <row r="1749" spans="1:4" x14ac:dyDescent="0.2">
      <c r="A1749" s="12" t="s">
        <v>5315</v>
      </c>
      <c r="B1749" s="12" t="s">
        <v>5314</v>
      </c>
      <c r="C1749" s="12">
        <v>0.21</v>
      </c>
      <c r="D1749" s="12">
        <v>1.6999999999999999E-3</v>
      </c>
    </row>
    <row r="1750" spans="1:4" x14ac:dyDescent="0.2">
      <c r="A1750" s="12" t="s">
        <v>10635</v>
      </c>
      <c r="B1750" s="12" t="s">
        <v>10634</v>
      </c>
      <c r="C1750" s="12" t="s">
        <v>59</v>
      </c>
      <c r="D1750" s="12" t="s">
        <v>59</v>
      </c>
    </row>
    <row r="1751" spans="1:4" x14ac:dyDescent="0.2">
      <c r="A1751" s="12" t="s">
        <v>2193</v>
      </c>
      <c r="B1751" s="12" t="s">
        <v>2192</v>
      </c>
      <c r="C1751" s="12">
        <v>140</v>
      </c>
      <c r="D1751" s="12">
        <v>14</v>
      </c>
    </row>
    <row r="1752" spans="1:4" x14ac:dyDescent="0.2">
      <c r="A1752" s="12" t="s">
        <v>12566</v>
      </c>
      <c r="B1752" s="12" t="s">
        <v>7176</v>
      </c>
      <c r="C1752" s="12"/>
      <c r="D1752" s="12">
        <v>0.71</v>
      </c>
    </row>
    <row r="1753" spans="1:4" x14ac:dyDescent="0.2">
      <c r="A1753" s="12" t="s">
        <v>12565</v>
      </c>
      <c r="B1753" s="12" t="s">
        <v>7175</v>
      </c>
      <c r="C1753" s="12">
        <v>2.8</v>
      </c>
      <c r="D1753" s="12">
        <v>0.56999999999999995</v>
      </c>
    </row>
    <row r="1754" spans="1:4" x14ac:dyDescent="0.2">
      <c r="A1754" s="12" t="s">
        <v>7174</v>
      </c>
      <c r="B1754" s="12" t="s">
        <v>7173</v>
      </c>
      <c r="C1754" s="12">
        <v>17</v>
      </c>
      <c r="D1754" s="12">
        <v>8.1</v>
      </c>
    </row>
    <row r="1755" spans="1:4" x14ac:dyDescent="0.2">
      <c r="A1755" s="12" t="s">
        <v>80</v>
      </c>
      <c r="B1755" s="12" t="s">
        <v>79</v>
      </c>
      <c r="C1755" s="12">
        <v>3500</v>
      </c>
      <c r="D1755" s="12">
        <v>350</v>
      </c>
    </row>
    <row r="1756" spans="1:4" x14ac:dyDescent="0.2">
      <c r="A1756" s="12" t="s">
        <v>1467</v>
      </c>
      <c r="B1756" s="12" t="s">
        <v>1466</v>
      </c>
      <c r="C1756" s="12">
        <v>50</v>
      </c>
      <c r="D1756" s="12">
        <v>5</v>
      </c>
    </row>
    <row r="1757" spans="1:4" x14ac:dyDescent="0.2">
      <c r="A1757" s="12" t="s">
        <v>5029</v>
      </c>
      <c r="B1757" s="12" t="s">
        <v>5028</v>
      </c>
      <c r="C1757" s="12">
        <v>43</v>
      </c>
      <c r="D1757" s="12">
        <v>2.6</v>
      </c>
    </row>
    <row r="1758" spans="1:4" x14ac:dyDescent="0.2">
      <c r="A1758" s="12" t="s">
        <v>12631</v>
      </c>
      <c r="B1758" s="12" t="s">
        <v>11179</v>
      </c>
      <c r="C1758" s="12"/>
      <c r="D1758" s="12">
        <v>0.71</v>
      </c>
    </row>
    <row r="1759" spans="1:4" x14ac:dyDescent="0.2">
      <c r="A1759" s="12" t="s">
        <v>12630</v>
      </c>
      <c r="B1759" s="12" t="s">
        <v>11178</v>
      </c>
      <c r="C1759" s="12">
        <v>2.8</v>
      </c>
      <c r="D1759" s="12">
        <v>0.56999999999999995</v>
      </c>
    </row>
    <row r="1760" spans="1:4" x14ac:dyDescent="0.2">
      <c r="A1760" s="12" t="s">
        <v>11177</v>
      </c>
      <c r="B1760" s="12" t="s">
        <v>11176</v>
      </c>
      <c r="C1760" s="12">
        <v>17</v>
      </c>
      <c r="D1760" s="12">
        <v>8.1</v>
      </c>
    </row>
    <row r="1761" spans="1:4" x14ac:dyDescent="0.2">
      <c r="A1761" s="12" t="s">
        <v>4565</v>
      </c>
      <c r="B1761" s="12" t="s">
        <v>4564</v>
      </c>
      <c r="C1761" s="12">
        <v>13</v>
      </c>
      <c r="D1761" s="12">
        <v>1.3</v>
      </c>
    </row>
    <row r="1762" spans="1:4" x14ac:dyDescent="0.2">
      <c r="A1762" s="12" t="s">
        <v>4014</v>
      </c>
      <c r="B1762" s="12" t="s">
        <v>4013</v>
      </c>
      <c r="C1762" s="12">
        <v>50</v>
      </c>
      <c r="D1762" s="12">
        <v>5</v>
      </c>
    </row>
    <row r="1763" spans="1:4" x14ac:dyDescent="0.2">
      <c r="A1763" s="12" t="s">
        <v>10420</v>
      </c>
      <c r="B1763" s="12" t="s">
        <v>10419</v>
      </c>
      <c r="C1763" s="12">
        <v>50</v>
      </c>
      <c r="D1763" s="12">
        <v>5</v>
      </c>
    </row>
    <row r="1764" spans="1:4" ht="28.5" x14ac:dyDescent="0.2">
      <c r="A1764" s="12" t="s">
        <v>745</v>
      </c>
      <c r="B1764" s="12" t="s">
        <v>744</v>
      </c>
      <c r="C1764" s="12" t="s">
        <v>59</v>
      </c>
      <c r="D1764" s="12" t="s">
        <v>59</v>
      </c>
    </row>
    <row r="1765" spans="1:4" x14ac:dyDescent="0.2">
      <c r="A1765" s="12" t="s">
        <v>11008</v>
      </c>
      <c r="B1765" s="12" t="s">
        <v>11007</v>
      </c>
      <c r="C1765" s="12">
        <v>1</v>
      </c>
      <c r="D1765" s="12">
        <v>0.1</v>
      </c>
    </row>
    <row r="1766" spans="1:4" x14ac:dyDescent="0.2">
      <c r="A1766" s="12" t="s">
        <v>5104</v>
      </c>
      <c r="B1766" s="12" t="s">
        <v>5103</v>
      </c>
      <c r="C1766" s="12">
        <v>0.02</v>
      </c>
      <c r="D1766" s="12">
        <v>2E-3</v>
      </c>
    </row>
    <row r="1767" spans="1:4" x14ac:dyDescent="0.2">
      <c r="A1767" s="12" t="s">
        <v>12586</v>
      </c>
      <c r="B1767" s="12" t="s">
        <v>8190</v>
      </c>
      <c r="C1767" s="12"/>
      <c r="D1767" s="12">
        <v>0.71</v>
      </c>
    </row>
    <row r="1768" spans="1:4" x14ac:dyDescent="0.2">
      <c r="A1768" s="12" t="s">
        <v>12585</v>
      </c>
      <c r="B1768" s="12" t="s">
        <v>8189</v>
      </c>
      <c r="C1768" s="12">
        <v>2.8</v>
      </c>
      <c r="D1768" s="12">
        <v>0.56999999999999995</v>
      </c>
    </row>
    <row r="1769" spans="1:4" x14ac:dyDescent="0.2">
      <c r="A1769" s="12" t="s">
        <v>8188</v>
      </c>
      <c r="B1769" s="12" t="s">
        <v>8187</v>
      </c>
      <c r="C1769" s="12">
        <v>17</v>
      </c>
      <c r="D1769" s="12">
        <v>8.1</v>
      </c>
    </row>
    <row r="1770" spans="1:4" x14ac:dyDescent="0.2">
      <c r="A1770" s="12" t="s">
        <v>7493</v>
      </c>
      <c r="B1770" s="12" t="s">
        <v>7492</v>
      </c>
      <c r="C1770" s="12">
        <v>4300</v>
      </c>
      <c r="D1770" s="12">
        <v>430</v>
      </c>
    </row>
    <row r="1771" spans="1:4" x14ac:dyDescent="0.2">
      <c r="A1771" s="12" t="s">
        <v>7494</v>
      </c>
      <c r="B1771" s="12" t="s">
        <v>7492</v>
      </c>
      <c r="C1771" s="12" t="s">
        <v>59</v>
      </c>
      <c r="D1771" s="12" t="s">
        <v>59</v>
      </c>
    </row>
    <row r="1772" spans="1:4" x14ac:dyDescent="0.2">
      <c r="A1772" s="12" t="s">
        <v>3409</v>
      </c>
      <c r="B1772" s="12" t="s">
        <v>3408</v>
      </c>
      <c r="C1772" s="12">
        <v>100</v>
      </c>
      <c r="D1772" s="12">
        <v>10</v>
      </c>
    </row>
    <row r="1773" spans="1:4" x14ac:dyDescent="0.2">
      <c r="A1773" s="12" t="s">
        <v>12568</v>
      </c>
      <c r="B1773" s="12" t="s">
        <v>7184</v>
      </c>
      <c r="C1773" s="12"/>
      <c r="D1773" s="12">
        <v>0.71</v>
      </c>
    </row>
    <row r="1774" spans="1:4" x14ac:dyDescent="0.2">
      <c r="A1774" s="12" t="s">
        <v>12567</v>
      </c>
      <c r="B1774" s="12" t="s">
        <v>7183</v>
      </c>
      <c r="C1774" s="12">
        <v>2.8</v>
      </c>
      <c r="D1774" s="12">
        <v>0.56999999999999995</v>
      </c>
    </row>
    <row r="1775" spans="1:4" x14ac:dyDescent="0.2">
      <c r="A1775" s="12" t="s">
        <v>7182</v>
      </c>
      <c r="B1775" s="12" t="s">
        <v>7181</v>
      </c>
      <c r="C1775" s="12">
        <v>17</v>
      </c>
      <c r="D1775" s="12">
        <v>8.1</v>
      </c>
    </row>
    <row r="1776" spans="1:4" x14ac:dyDescent="0.2">
      <c r="A1776" s="12" t="s">
        <v>7448</v>
      </c>
      <c r="B1776" s="12" t="s">
        <v>7447</v>
      </c>
      <c r="C1776" s="12">
        <v>50</v>
      </c>
      <c r="D1776" s="12">
        <v>5</v>
      </c>
    </row>
    <row r="1777" spans="1:4" x14ac:dyDescent="0.2">
      <c r="A1777" s="12" t="s">
        <v>6136</v>
      </c>
      <c r="B1777" s="12" t="s">
        <v>6135</v>
      </c>
      <c r="C1777" s="12">
        <v>130</v>
      </c>
      <c r="D1777" s="12">
        <v>13</v>
      </c>
    </row>
    <row r="1778" spans="1:4" x14ac:dyDescent="0.2">
      <c r="A1778" s="12" t="s">
        <v>4082</v>
      </c>
      <c r="B1778" s="12" t="s">
        <v>4081</v>
      </c>
      <c r="C1778" s="12">
        <v>20</v>
      </c>
      <c r="D1778" s="12">
        <v>2</v>
      </c>
    </row>
    <row r="1779" spans="1:4" x14ac:dyDescent="0.2">
      <c r="A1779" s="12" t="s">
        <v>1738</v>
      </c>
      <c r="B1779" s="12" t="s">
        <v>1737</v>
      </c>
      <c r="C1779" s="12">
        <v>270</v>
      </c>
      <c r="D1779" s="12">
        <v>100</v>
      </c>
    </row>
    <row r="1780" spans="1:4" x14ac:dyDescent="0.2">
      <c r="A1780" s="12" t="s">
        <v>646</v>
      </c>
      <c r="B1780" s="12" t="s">
        <v>645</v>
      </c>
      <c r="C1780" s="12" t="s">
        <v>59</v>
      </c>
      <c r="D1780" s="12" t="s">
        <v>59</v>
      </c>
    </row>
    <row r="1781" spans="1:4" x14ac:dyDescent="0.2">
      <c r="A1781" s="12" t="s">
        <v>2600</v>
      </c>
      <c r="B1781" s="12" t="s">
        <v>2599</v>
      </c>
      <c r="C1781" s="12">
        <v>2000</v>
      </c>
      <c r="D1781" s="12">
        <v>200</v>
      </c>
    </row>
    <row r="1782" spans="1:4" x14ac:dyDescent="0.2">
      <c r="A1782" s="12" t="s">
        <v>6520</v>
      </c>
      <c r="B1782" s="12" t="s">
        <v>6519</v>
      </c>
      <c r="C1782" s="12" t="s">
        <v>59</v>
      </c>
      <c r="D1782" s="12" t="s">
        <v>59</v>
      </c>
    </row>
    <row r="1783" spans="1:4" x14ac:dyDescent="0.2">
      <c r="A1783" s="12" t="s">
        <v>4817</v>
      </c>
      <c r="B1783" s="12" t="s">
        <v>4816</v>
      </c>
      <c r="C1783" s="12" t="s">
        <v>59</v>
      </c>
      <c r="D1783" s="12" t="s">
        <v>59</v>
      </c>
    </row>
    <row r="1784" spans="1:4" x14ac:dyDescent="0.2">
      <c r="A1784" s="12" t="s">
        <v>384</v>
      </c>
      <c r="B1784" s="12" t="s">
        <v>383</v>
      </c>
      <c r="C1784" s="12">
        <v>10000</v>
      </c>
      <c r="D1784" s="12">
        <v>1000</v>
      </c>
    </row>
    <row r="1785" spans="1:4" x14ac:dyDescent="0.2">
      <c r="A1785" s="12" t="s">
        <v>9665</v>
      </c>
      <c r="B1785" s="12" t="s">
        <v>9664</v>
      </c>
      <c r="C1785" s="12">
        <v>1250</v>
      </c>
      <c r="D1785" s="12">
        <v>125</v>
      </c>
    </row>
    <row r="1786" spans="1:4" x14ac:dyDescent="0.2">
      <c r="A1786" s="12" t="s">
        <v>4196</v>
      </c>
      <c r="B1786" s="12" t="s">
        <v>4195</v>
      </c>
      <c r="C1786" s="12">
        <v>5</v>
      </c>
      <c r="D1786" s="12">
        <v>0.5</v>
      </c>
    </row>
    <row r="1787" spans="1:4" x14ac:dyDescent="0.2">
      <c r="A1787" s="12" t="s">
        <v>5517</v>
      </c>
      <c r="B1787" s="12" t="s">
        <v>5516</v>
      </c>
      <c r="C1787" s="12" t="s">
        <v>59</v>
      </c>
      <c r="D1787" s="12" t="s">
        <v>59</v>
      </c>
    </row>
    <row r="1788" spans="1:4" x14ac:dyDescent="0.2">
      <c r="A1788" s="12" t="s">
        <v>2728</v>
      </c>
      <c r="B1788" s="12" t="s">
        <v>2727</v>
      </c>
      <c r="C1788" s="12">
        <v>250</v>
      </c>
      <c r="D1788" s="12">
        <v>25</v>
      </c>
    </row>
    <row r="1789" spans="1:4" x14ac:dyDescent="0.2">
      <c r="A1789" s="12" t="s">
        <v>1843</v>
      </c>
      <c r="B1789" s="12" t="s">
        <v>1842</v>
      </c>
      <c r="C1789" s="12">
        <v>3500</v>
      </c>
      <c r="D1789" s="12">
        <v>350</v>
      </c>
    </row>
    <row r="1790" spans="1:4" x14ac:dyDescent="0.2">
      <c r="A1790" s="12" t="s">
        <v>1860</v>
      </c>
      <c r="B1790" s="12" t="s">
        <v>1859</v>
      </c>
      <c r="C1790" s="12">
        <v>3500</v>
      </c>
      <c r="D1790" s="12">
        <v>350</v>
      </c>
    </row>
    <row r="1791" spans="1:4" x14ac:dyDescent="0.2">
      <c r="A1791" s="12" t="s">
        <v>3175</v>
      </c>
      <c r="B1791" s="12" t="s">
        <v>3174</v>
      </c>
      <c r="C1791" s="12">
        <v>1700</v>
      </c>
      <c r="D1791" s="12">
        <v>330</v>
      </c>
    </row>
    <row r="1792" spans="1:4" x14ac:dyDescent="0.2">
      <c r="A1792" s="12" t="s">
        <v>2773</v>
      </c>
      <c r="B1792" s="12" t="s">
        <v>2772</v>
      </c>
      <c r="C1792" s="12">
        <v>1700</v>
      </c>
      <c r="D1792" s="12">
        <v>330</v>
      </c>
    </row>
    <row r="1793" spans="1:4" x14ac:dyDescent="0.2">
      <c r="A1793" s="12" t="s">
        <v>2542</v>
      </c>
      <c r="B1793" s="12" t="s">
        <v>2541</v>
      </c>
      <c r="C1793" s="12">
        <v>1700</v>
      </c>
      <c r="D1793" s="12">
        <v>330</v>
      </c>
    </row>
    <row r="1794" spans="1:4" x14ac:dyDescent="0.2">
      <c r="A1794" s="12" t="s">
        <v>3095</v>
      </c>
      <c r="B1794" s="12" t="s">
        <v>3094</v>
      </c>
      <c r="C1794" s="12">
        <v>1700</v>
      </c>
      <c r="D1794" s="12">
        <v>330</v>
      </c>
    </row>
    <row r="1795" spans="1:4" x14ac:dyDescent="0.2">
      <c r="A1795" s="12" t="s">
        <v>2791</v>
      </c>
      <c r="B1795" s="12" t="s">
        <v>2790</v>
      </c>
      <c r="C1795" s="12">
        <v>3500</v>
      </c>
      <c r="D1795" s="12">
        <v>350</v>
      </c>
    </row>
    <row r="1796" spans="1:4" x14ac:dyDescent="0.2">
      <c r="A1796" s="12" t="s">
        <v>7968</v>
      </c>
      <c r="B1796" s="12" t="s">
        <v>7967</v>
      </c>
      <c r="C1796" s="12">
        <v>2500</v>
      </c>
      <c r="D1796" s="12">
        <v>250</v>
      </c>
    </row>
    <row r="1797" spans="1:4" x14ac:dyDescent="0.2">
      <c r="A1797" s="12" t="s">
        <v>592</v>
      </c>
      <c r="B1797" s="12" t="s">
        <v>591</v>
      </c>
      <c r="C1797" s="12">
        <v>2000</v>
      </c>
      <c r="D1797" s="12">
        <v>200</v>
      </c>
    </row>
    <row r="1798" spans="1:4" x14ac:dyDescent="0.2">
      <c r="A1798" s="12" t="s">
        <v>5652</v>
      </c>
      <c r="B1798" s="12" t="s">
        <v>5651</v>
      </c>
      <c r="C1798" s="12" t="s">
        <v>59</v>
      </c>
      <c r="D1798" s="12" t="s">
        <v>59</v>
      </c>
    </row>
    <row r="1799" spans="1:4" x14ac:dyDescent="0.2">
      <c r="A1799" s="12" t="s">
        <v>5653</v>
      </c>
      <c r="B1799" s="12" t="s">
        <v>5651</v>
      </c>
      <c r="C1799" s="12">
        <v>1000</v>
      </c>
      <c r="D1799" s="12">
        <v>100</v>
      </c>
    </row>
    <row r="1800" spans="1:4" x14ac:dyDescent="0.2">
      <c r="A1800" s="12" t="s">
        <v>3311</v>
      </c>
      <c r="B1800" s="12" t="s">
        <v>3310</v>
      </c>
      <c r="C1800" s="12" t="s">
        <v>59</v>
      </c>
      <c r="D1800" s="12" t="s">
        <v>59</v>
      </c>
    </row>
    <row r="1801" spans="1:4" x14ac:dyDescent="0.2">
      <c r="A1801" s="12" t="s">
        <v>12572</v>
      </c>
      <c r="B1801" s="12" t="s">
        <v>7193</v>
      </c>
      <c r="C1801" s="12"/>
      <c r="D1801" s="12">
        <v>0.71</v>
      </c>
    </row>
    <row r="1802" spans="1:4" x14ac:dyDescent="0.2">
      <c r="A1802" s="12" t="s">
        <v>12571</v>
      </c>
      <c r="B1802" s="12" t="s">
        <v>7192</v>
      </c>
      <c r="C1802" s="12">
        <v>2.8</v>
      </c>
      <c r="D1802" s="12">
        <v>0.56999999999999995</v>
      </c>
    </row>
    <row r="1803" spans="1:4" x14ac:dyDescent="0.2">
      <c r="A1803" s="12" t="s">
        <v>7191</v>
      </c>
      <c r="B1803" s="12" t="s">
        <v>7190</v>
      </c>
      <c r="C1803" s="12">
        <v>17</v>
      </c>
      <c r="D1803" s="12">
        <v>8.1</v>
      </c>
    </row>
    <row r="1804" spans="1:4" x14ac:dyDescent="0.2">
      <c r="A1804" s="12" t="s">
        <v>1899</v>
      </c>
      <c r="B1804" s="12" t="s">
        <v>1898</v>
      </c>
      <c r="C1804" s="12">
        <v>57</v>
      </c>
      <c r="D1804" s="12">
        <v>5.7</v>
      </c>
    </row>
    <row r="1805" spans="1:4" x14ac:dyDescent="0.2">
      <c r="A1805" s="12" t="s">
        <v>1563</v>
      </c>
      <c r="B1805" s="12" t="s">
        <v>1562</v>
      </c>
      <c r="C1805" s="12"/>
      <c r="D1805" s="12">
        <v>2.9999999999999997E-8</v>
      </c>
    </row>
    <row r="1806" spans="1:4" x14ac:dyDescent="0.2">
      <c r="A1806" s="12" t="s">
        <v>12337</v>
      </c>
      <c r="B1806" s="12" t="s">
        <v>12336</v>
      </c>
      <c r="C1806" s="12">
        <v>50</v>
      </c>
      <c r="D1806" s="12">
        <v>5</v>
      </c>
    </row>
    <row r="1807" spans="1:4" x14ac:dyDescent="0.2">
      <c r="A1807" s="12" t="s">
        <v>10807</v>
      </c>
      <c r="B1807" s="12" t="s">
        <v>10806</v>
      </c>
      <c r="C1807" s="12">
        <v>18</v>
      </c>
      <c r="D1807" s="12">
        <v>1.8</v>
      </c>
    </row>
    <row r="1808" spans="1:4" x14ac:dyDescent="0.2">
      <c r="A1808" s="12" t="s">
        <v>8981</v>
      </c>
      <c r="B1808" s="12" t="s">
        <v>8980</v>
      </c>
      <c r="C1808" s="12">
        <v>1000</v>
      </c>
      <c r="D1808" s="12">
        <v>100</v>
      </c>
    </row>
    <row r="1809" spans="1:4" x14ac:dyDescent="0.2">
      <c r="A1809" s="12" t="s">
        <v>8821</v>
      </c>
      <c r="B1809" s="12" t="s">
        <v>8820</v>
      </c>
      <c r="C1809" s="12">
        <v>50</v>
      </c>
      <c r="D1809" s="12">
        <v>5</v>
      </c>
    </row>
    <row r="1810" spans="1:4" x14ac:dyDescent="0.2">
      <c r="A1810" s="12" t="s">
        <v>1847</v>
      </c>
      <c r="B1810" s="12" t="s">
        <v>1846</v>
      </c>
      <c r="C1810" s="12">
        <v>50</v>
      </c>
      <c r="D1810" s="12">
        <v>5</v>
      </c>
    </row>
    <row r="1811" spans="1:4" x14ac:dyDescent="0.2">
      <c r="A1811" s="12" t="s">
        <v>9130</v>
      </c>
      <c r="B1811" s="12" t="s">
        <v>9129</v>
      </c>
      <c r="C1811" s="12">
        <v>1000</v>
      </c>
      <c r="D1811" s="12">
        <v>100</v>
      </c>
    </row>
    <row r="1812" spans="1:4" x14ac:dyDescent="0.2">
      <c r="A1812" s="12" t="s">
        <v>5851</v>
      </c>
      <c r="B1812" s="12" t="s">
        <v>5850</v>
      </c>
      <c r="C1812" s="12">
        <v>100</v>
      </c>
      <c r="D1812" s="12">
        <v>10</v>
      </c>
    </row>
    <row r="1813" spans="1:4" x14ac:dyDescent="0.2">
      <c r="A1813" s="12" t="s">
        <v>810</v>
      </c>
      <c r="B1813" s="12" t="s">
        <v>809</v>
      </c>
      <c r="C1813" s="12">
        <v>2450</v>
      </c>
      <c r="D1813" s="12">
        <v>245</v>
      </c>
    </row>
    <row r="1814" spans="1:4" x14ac:dyDescent="0.2">
      <c r="A1814" s="12" t="s">
        <v>11871</v>
      </c>
      <c r="B1814" s="12" t="s">
        <v>11870</v>
      </c>
      <c r="C1814" s="12">
        <v>3500</v>
      </c>
      <c r="D1814" s="12">
        <v>350</v>
      </c>
    </row>
    <row r="1815" spans="1:4" x14ac:dyDescent="0.2">
      <c r="A1815" s="12" t="s">
        <v>3165</v>
      </c>
      <c r="B1815" s="12" t="s">
        <v>3164</v>
      </c>
      <c r="C1815" s="12">
        <v>3700</v>
      </c>
      <c r="D1815" s="12">
        <v>370</v>
      </c>
    </row>
    <row r="1816" spans="1:4" x14ac:dyDescent="0.2">
      <c r="A1816" s="12" t="s">
        <v>7035</v>
      </c>
      <c r="B1816" s="12" t="s">
        <v>7034</v>
      </c>
      <c r="C1816" s="12">
        <v>400</v>
      </c>
      <c r="D1816" s="12">
        <v>40</v>
      </c>
    </row>
    <row r="1817" spans="1:4" x14ac:dyDescent="0.2">
      <c r="A1817" s="12" t="s">
        <v>2659</v>
      </c>
      <c r="B1817" s="12" t="s">
        <v>2658</v>
      </c>
      <c r="C1817" s="12">
        <v>2200</v>
      </c>
      <c r="D1817" s="12">
        <v>220</v>
      </c>
    </row>
    <row r="1818" spans="1:4" x14ac:dyDescent="0.2">
      <c r="A1818" s="12" t="s">
        <v>2989</v>
      </c>
      <c r="B1818" s="12" t="s">
        <v>2988</v>
      </c>
      <c r="C1818" s="12">
        <v>100</v>
      </c>
      <c r="D1818" s="12">
        <v>10</v>
      </c>
    </row>
    <row r="1819" spans="1:4" x14ac:dyDescent="0.2">
      <c r="A1819" s="12" t="s">
        <v>5255</v>
      </c>
      <c r="B1819" s="12" t="s">
        <v>5254</v>
      </c>
      <c r="C1819" s="12">
        <v>350</v>
      </c>
      <c r="D1819" s="12">
        <v>35</v>
      </c>
    </row>
    <row r="1820" spans="1:4" x14ac:dyDescent="0.2">
      <c r="A1820" s="12" t="s">
        <v>9764</v>
      </c>
      <c r="B1820" s="12" t="s">
        <v>9763</v>
      </c>
      <c r="C1820" s="12">
        <v>0.1</v>
      </c>
      <c r="D1820" s="12">
        <v>0.01</v>
      </c>
    </row>
    <row r="1821" spans="1:4" x14ac:dyDescent="0.2">
      <c r="A1821" s="12" t="s">
        <v>6770</v>
      </c>
      <c r="B1821" s="12" t="s">
        <v>6769</v>
      </c>
      <c r="C1821" s="12" t="s">
        <v>59</v>
      </c>
      <c r="D1821" s="12" t="s">
        <v>59</v>
      </c>
    </row>
    <row r="1822" spans="1:4" x14ac:dyDescent="0.2">
      <c r="A1822" s="12" t="s">
        <v>6793</v>
      </c>
      <c r="B1822" s="12" t="s">
        <v>6792</v>
      </c>
      <c r="C1822" s="12">
        <v>1000</v>
      </c>
      <c r="D1822" s="12">
        <v>100</v>
      </c>
    </row>
    <row r="1823" spans="1:4" x14ac:dyDescent="0.2">
      <c r="A1823" s="12" t="s">
        <v>5613</v>
      </c>
      <c r="B1823" s="12" t="s">
        <v>5612</v>
      </c>
      <c r="C1823" s="12">
        <v>2.5</v>
      </c>
      <c r="D1823" s="12">
        <v>0.25</v>
      </c>
    </row>
    <row r="1824" spans="1:4" x14ac:dyDescent="0.2">
      <c r="A1824" s="12" t="s">
        <v>672</v>
      </c>
      <c r="B1824" s="12" t="s">
        <v>671</v>
      </c>
      <c r="C1824" s="12">
        <v>50</v>
      </c>
      <c r="D1824" s="12">
        <v>5</v>
      </c>
    </row>
    <row r="1825" spans="1:4" x14ac:dyDescent="0.2">
      <c r="A1825" s="12" t="s">
        <v>4222</v>
      </c>
      <c r="B1825" s="12" t="s">
        <v>4221</v>
      </c>
      <c r="C1825" s="12">
        <v>10</v>
      </c>
      <c r="D1825" s="12">
        <v>1</v>
      </c>
    </row>
    <row r="1826" spans="1:4" x14ac:dyDescent="0.2">
      <c r="A1826" s="12" t="s">
        <v>11665</v>
      </c>
      <c r="B1826" s="12" t="s">
        <v>11664</v>
      </c>
      <c r="C1826" s="12">
        <v>10</v>
      </c>
      <c r="D1826" s="12">
        <v>1</v>
      </c>
    </row>
    <row r="1827" spans="1:4" x14ac:dyDescent="0.2">
      <c r="A1827" s="12" t="s">
        <v>777</v>
      </c>
      <c r="B1827" s="12" t="s">
        <v>776</v>
      </c>
      <c r="C1827" s="12">
        <v>600</v>
      </c>
      <c r="D1827" s="12">
        <v>60</v>
      </c>
    </row>
    <row r="1828" spans="1:4" x14ac:dyDescent="0.2">
      <c r="A1828" s="12" t="s">
        <v>10024</v>
      </c>
      <c r="B1828" s="12" t="s">
        <v>10023</v>
      </c>
      <c r="C1828" s="12" t="s">
        <v>59</v>
      </c>
      <c r="D1828" s="12" t="s">
        <v>59</v>
      </c>
    </row>
    <row r="1829" spans="1:4" x14ac:dyDescent="0.2">
      <c r="A1829" s="12" t="s">
        <v>4247</v>
      </c>
      <c r="B1829" s="12" t="s">
        <v>4246</v>
      </c>
      <c r="C1829" s="12">
        <v>1250</v>
      </c>
      <c r="D1829" s="12">
        <v>125</v>
      </c>
    </row>
    <row r="1830" spans="1:4" x14ac:dyDescent="0.2">
      <c r="A1830" s="12" t="s">
        <v>10596</v>
      </c>
      <c r="B1830" s="12" t="s">
        <v>10595</v>
      </c>
      <c r="C1830" s="12" t="s">
        <v>59</v>
      </c>
      <c r="D1830" s="12" t="s">
        <v>59</v>
      </c>
    </row>
    <row r="1831" spans="1:4" x14ac:dyDescent="0.2">
      <c r="A1831" s="12" t="s">
        <v>300</v>
      </c>
      <c r="B1831" s="12" t="s">
        <v>299</v>
      </c>
      <c r="C1831" s="12" t="s">
        <v>59</v>
      </c>
      <c r="D1831" s="12" t="s">
        <v>59</v>
      </c>
    </row>
    <row r="1832" spans="1:4" x14ac:dyDescent="0.2">
      <c r="A1832" s="12" t="s">
        <v>301</v>
      </c>
      <c r="B1832" s="12" t="s">
        <v>299</v>
      </c>
      <c r="C1832" s="12">
        <v>1000</v>
      </c>
      <c r="D1832" s="12">
        <v>100</v>
      </c>
    </row>
    <row r="1833" spans="1:4" x14ac:dyDescent="0.2">
      <c r="A1833" s="12" t="s">
        <v>6442</v>
      </c>
      <c r="B1833" s="12" t="s">
        <v>6441</v>
      </c>
      <c r="C1833" s="12" t="s">
        <v>59</v>
      </c>
      <c r="D1833" s="12" t="s">
        <v>59</v>
      </c>
    </row>
    <row r="1834" spans="1:4" x14ac:dyDescent="0.2">
      <c r="A1834" s="12" t="s">
        <v>8168</v>
      </c>
      <c r="B1834" s="12" t="s">
        <v>8167</v>
      </c>
      <c r="C1834" s="12">
        <v>2200</v>
      </c>
      <c r="D1834" s="12">
        <v>180</v>
      </c>
    </row>
    <row r="1835" spans="1:4" x14ac:dyDescent="0.2">
      <c r="A1835" s="12" t="s">
        <v>2574</v>
      </c>
      <c r="B1835" s="12" t="s">
        <v>2573</v>
      </c>
      <c r="C1835" s="12">
        <v>8750</v>
      </c>
      <c r="D1835" s="12">
        <v>875</v>
      </c>
    </row>
    <row r="1836" spans="1:4" x14ac:dyDescent="0.2">
      <c r="A1836" s="12" t="s">
        <v>5773</v>
      </c>
      <c r="B1836" s="12" t="s">
        <v>5772</v>
      </c>
      <c r="C1836" s="12">
        <v>61</v>
      </c>
      <c r="D1836" s="12">
        <v>6.1</v>
      </c>
    </row>
    <row r="1837" spans="1:4" x14ac:dyDescent="0.2">
      <c r="A1837" s="12" t="s">
        <v>6046</v>
      </c>
      <c r="B1837" s="12" t="s">
        <v>6045</v>
      </c>
      <c r="C1837" s="12">
        <v>800</v>
      </c>
      <c r="D1837" s="12">
        <v>80</v>
      </c>
    </row>
    <row r="1838" spans="1:4" x14ac:dyDescent="0.2">
      <c r="A1838" s="12" t="s">
        <v>280</v>
      </c>
      <c r="B1838" s="12" t="s">
        <v>279</v>
      </c>
      <c r="C1838" s="12">
        <v>10000</v>
      </c>
      <c r="D1838" s="12">
        <v>1000</v>
      </c>
    </row>
    <row r="1839" spans="1:4" x14ac:dyDescent="0.2">
      <c r="A1839" s="12" t="s">
        <v>2714</v>
      </c>
      <c r="B1839" s="12" t="s">
        <v>2713</v>
      </c>
      <c r="C1839" s="12">
        <v>1000</v>
      </c>
      <c r="D1839" s="12">
        <v>100</v>
      </c>
    </row>
    <row r="1840" spans="1:4" x14ac:dyDescent="0.2">
      <c r="A1840" s="12" t="s">
        <v>11663</v>
      </c>
      <c r="B1840" s="12" t="s">
        <v>11662</v>
      </c>
      <c r="C1840" s="12">
        <v>1000</v>
      </c>
      <c r="D1840" s="12">
        <v>100</v>
      </c>
    </row>
    <row r="1841" spans="1:4" x14ac:dyDescent="0.2">
      <c r="A1841" s="12" t="s">
        <v>11798</v>
      </c>
      <c r="B1841" s="12" t="s">
        <v>11797</v>
      </c>
      <c r="C1841" s="12">
        <v>20</v>
      </c>
      <c r="D1841" s="12">
        <v>2</v>
      </c>
    </row>
    <row r="1842" spans="1:4" x14ac:dyDescent="0.2">
      <c r="A1842" s="12" t="s">
        <v>12470</v>
      </c>
      <c r="B1842" s="12" t="s">
        <v>12469</v>
      </c>
      <c r="C1842" s="12">
        <v>50</v>
      </c>
      <c r="D1842" s="12">
        <v>5</v>
      </c>
    </row>
    <row r="1843" spans="1:4" x14ac:dyDescent="0.2">
      <c r="A1843" s="12" t="s">
        <v>9141</v>
      </c>
      <c r="B1843" s="12" t="s">
        <v>9140</v>
      </c>
      <c r="C1843" s="12">
        <v>14</v>
      </c>
      <c r="D1843" s="12">
        <v>1.4</v>
      </c>
    </row>
    <row r="1844" spans="1:4" x14ac:dyDescent="0.2">
      <c r="A1844" s="12" t="s">
        <v>3720</v>
      </c>
      <c r="B1844" s="12" t="s">
        <v>3719</v>
      </c>
      <c r="C1844" s="12">
        <v>50</v>
      </c>
      <c r="D1844" s="12">
        <v>5</v>
      </c>
    </row>
    <row r="1845" spans="1:4" x14ac:dyDescent="0.2">
      <c r="A1845" s="12" t="s">
        <v>650</v>
      </c>
      <c r="B1845" s="12" t="s">
        <v>649</v>
      </c>
      <c r="C1845" s="12">
        <v>3400</v>
      </c>
      <c r="D1845" s="12">
        <v>340</v>
      </c>
    </row>
    <row r="1846" spans="1:4" x14ac:dyDescent="0.2">
      <c r="A1846" s="12" t="s">
        <v>12468</v>
      </c>
      <c r="B1846" s="12" t="s">
        <v>12467</v>
      </c>
      <c r="C1846" s="12">
        <v>50</v>
      </c>
      <c r="D1846" s="12">
        <v>5</v>
      </c>
    </row>
    <row r="1847" spans="1:4" x14ac:dyDescent="0.2">
      <c r="A1847" s="12" t="s">
        <v>9400</v>
      </c>
      <c r="B1847" s="12" t="s">
        <v>9399</v>
      </c>
      <c r="C1847" s="12" t="s">
        <v>59</v>
      </c>
      <c r="D1847" s="12" t="s">
        <v>59</v>
      </c>
    </row>
    <row r="1848" spans="1:4" x14ac:dyDescent="0.2">
      <c r="A1848" s="12" t="s">
        <v>1145</v>
      </c>
      <c r="B1848" s="12" t="s">
        <v>1144</v>
      </c>
      <c r="C1848" s="12">
        <v>5700</v>
      </c>
      <c r="D1848" s="12">
        <v>570</v>
      </c>
    </row>
    <row r="1849" spans="1:4" x14ac:dyDescent="0.2">
      <c r="A1849" s="12" t="s">
        <v>11919</v>
      </c>
      <c r="B1849" s="12" t="s">
        <v>11918</v>
      </c>
      <c r="C1849" s="12">
        <v>5700</v>
      </c>
      <c r="D1849" s="12">
        <v>570</v>
      </c>
    </row>
    <row r="1850" spans="1:4" x14ac:dyDescent="0.2">
      <c r="A1850" s="12" t="s">
        <v>11920</v>
      </c>
      <c r="B1850" s="12" t="s">
        <v>11918</v>
      </c>
      <c r="C1850" s="12" t="s">
        <v>59</v>
      </c>
      <c r="D1850" s="12" t="s">
        <v>59</v>
      </c>
    </row>
    <row r="1851" spans="1:4" x14ac:dyDescent="0.2">
      <c r="A1851" s="12" t="s">
        <v>8058</v>
      </c>
      <c r="B1851" s="12" t="s">
        <v>8057</v>
      </c>
      <c r="C1851" s="12">
        <v>0.39</v>
      </c>
      <c r="D1851" s="12">
        <v>4.3E-3</v>
      </c>
    </row>
    <row r="1852" spans="1:4" x14ac:dyDescent="0.2">
      <c r="A1852" s="12" t="s">
        <v>5998</v>
      </c>
      <c r="B1852" s="12" t="s">
        <v>5997</v>
      </c>
      <c r="C1852" s="12">
        <v>50</v>
      </c>
      <c r="D1852" s="12">
        <v>5</v>
      </c>
    </row>
    <row r="1853" spans="1:4" x14ac:dyDescent="0.2">
      <c r="A1853" s="12" t="s">
        <v>3021</v>
      </c>
      <c r="B1853" s="12" t="s">
        <v>3020</v>
      </c>
      <c r="C1853" s="12">
        <v>1</v>
      </c>
      <c r="D1853" s="12">
        <v>0.1</v>
      </c>
    </row>
    <row r="1854" spans="1:4" x14ac:dyDescent="0.2">
      <c r="A1854" s="12" t="s">
        <v>10084</v>
      </c>
      <c r="B1854" s="12" t="s">
        <v>10083</v>
      </c>
      <c r="C1854" s="12">
        <v>0.02</v>
      </c>
      <c r="D1854" s="12">
        <v>2E-3</v>
      </c>
    </row>
    <row r="1855" spans="1:4" x14ac:dyDescent="0.2">
      <c r="A1855" s="12" t="s">
        <v>7515</v>
      </c>
      <c r="B1855" s="12" t="s">
        <v>7514</v>
      </c>
      <c r="C1855" s="12">
        <v>0.39</v>
      </c>
      <c r="D1855" s="12">
        <v>4.3E-3</v>
      </c>
    </row>
    <row r="1856" spans="1:4" x14ac:dyDescent="0.2">
      <c r="A1856" s="12" t="s">
        <v>2952</v>
      </c>
      <c r="B1856" s="12" t="s">
        <v>2951</v>
      </c>
      <c r="C1856" s="12">
        <v>200</v>
      </c>
      <c r="D1856" s="12">
        <v>20</v>
      </c>
    </row>
    <row r="1857" spans="1:4" x14ac:dyDescent="0.2">
      <c r="A1857" s="12" t="s">
        <v>10283</v>
      </c>
      <c r="B1857" s="12" t="s">
        <v>10282</v>
      </c>
      <c r="C1857" s="12">
        <v>100</v>
      </c>
      <c r="D1857" s="12">
        <v>10</v>
      </c>
    </row>
    <row r="1858" spans="1:4" x14ac:dyDescent="0.2">
      <c r="A1858" s="12" t="s">
        <v>2482</v>
      </c>
      <c r="B1858" s="12" t="s">
        <v>2481</v>
      </c>
      <c r="C1858" s="12" t="s">
        <v>59</v>
      </c>
      <c r="D1858" s="12" t="s">
        <v>59</v>
      </c>
    </row>
    <row r="1859" spans="1:4" x14ac:dyDescent="0.2">
      <c r="A1859" s="12" t="s">
        <v>2483</v>
      </c>
      <c r="B1859" s="12" t="s">
        <v>2481</v>
      </c>
      <c r="C1859" s="12">
        <v>1000</v>
      </c>
      <c r="D1859" s="12">
        <v>100</v>
      </c>
    </row>
    <row r="1860" spans="1:4" x14ac:dyDescent="0.2">
      <c r="A1860" s="12" t="s">
        <v>3980</v>
      </c>
      <c r="B1860" s="12" t="s">
        <v>3979</v>
      </c>
      <c r="C1860" s="12" t="s">
        <v>59</v>
      </c>
      <c r="D1860" s="12" t="s">
        <v>59</v>
      </c>
    </row>
    <row r="1861" spans="1:4" x14ac:dyDescent="0.2">
      <c r="A1861" s="12" t="s">
        <v>9858</v>
      </c>
      <c r="B1861" s="12" t="s">
        <v>9857</v>
      </c>
      <c r="C1861" s="12">
        <v>500</v>
      </c>
      <c r="D1861" s="12">
        <v>50</v>
      </c>
    </row>
    <row r="1862" spans="1:4" x14ac:dyDescent="0.2">
      <c r="A1862" s="12" t="s">
        <v>1595</v>
      </c>
      <c r="B1862" s="12" t="s">
        <v>1594</v>
      </c>
      <c r="C1862" s="12">
        <v>1800</v>
      </c>
      <c r="D1862" s="12">
        <v>180</v>
      </c>
    </row>
    <row r="1863" spans="1:4" x14ac:dyDescent="0.2">
      <c r="A1863" s="12" t="s">
        <v>2227</v>
      </c>
      <c r="B1863" s="12" t="s">
        <v>2226</v>
      </c>
      <c r="C1863" s="12">
        <v>1500</v>
      </c>
      <c r="D1863" s="12">
        <v>150</v>
      </c>
    </row>
    <row r="1864" spans="1:4" x14ac:dyDescent="0.2">
      <c r="A1864" s="12" t="s">
        <v>8240</v>
      </c>
      <c r="B1864" s="12" t="s">
        <v>8239</v>
      </c>
      <c r="C1864" s="12">
        <v>2.7</v>
      </c>
      <c r="D1864" s="12">
        <v>0.25</v>
      </c>
    </row>
    <row r="1865" spans="1:4" x14ac:dyDescent="0.2">
      <c r="A1865" s="12" t="s">
        <v>10873</v>
      </c>
      <c r="B1865" s="12" t="s">
        <v>10872</v>
      </c>
      <c r="C1865" s="12" t="s">
        <v>59</v>
      </c>
      <c r="D1865" s="12" t="s">
        <v>59</v>
      </c>
    </row>
    <row r="1866" spans="1:4" x14ac:dyDescent="0.2">
      <c r="A1866" s="12" t="s">
        <v>10874</v>
      </c>
      <c r="B1866" s="12" t="s">
        <v>10872</v>
      </c>
      <c r="C1866" s="12">
        <v>1000</v>
      </c>
      <c r="D1866" s="12">
        <v>100</v>
      </c>
    </row>
    <row r="1867" spans="1:4" x14ac:dyDescent="0.2">
      <c r="A1867" s="12" t="s">
        <v>1700</v>
      </c>
      <c r="B1867" s="12" t="s">
        <v>1699</v>
      </c>
      <c r="C1867" s="12">
        <v>1000</v>
      </c>
      <c r="D1867" s="12">
        <v>100</v>
      </c>
    </row>
    <row r="1868" spans="1:4" x14ac:dyDescent="0.2">
      <c r="A1868" s="12" t="s">
        <v>11897</v>
      </c>
      <c r="B1868" s="12" t="s">
        <v>11896</v>
      </c>
      <c r="C1868" s="12">
        <v>340</v>
      </c>
      <c r="D1868" s="12">
        <v>34</v>
      </c>
    </row>
    <row r="1869" spans="1:4" x14ac:dyDescent="0.2">
      <c r="A1869" s="12" t="s">
        <v>1029</v>
      </c>
      <c r="B1869" s="12" t="s">
        <v>1028</v>
      </c>
      <c r="C1869" s="12">
        <v>5700</v>
      </c>
      <c r="D1869" s="12">
        <v>570</v>
      </c>
    </row>
    <row r="1870" spans="1:4" x14ac:dyDescent="0.2">
      <c r="A1870" s="12" t="s">
        <v>1030</v>
      </c>
      <c r="B1870" s="12" t="s">
        <v>1028</v>
      </c>
      <c r="C1870" s="12" t="s">
        <v>59</v>
      </c>
      <c r="D1870" s="12" t="s">
        <v>59</v>
      </c>
    </row>
    <row r="1871" spans="1:4" x14ac:dyDescent="0.2">
      <c r="A1871" s="12" t="s">
        <v>1155</v>
      </c>
      <c r="B1871" s="12" t="s">
        <v>1154</v>
      </c>
      <c r="C1871" s="12">
        <v>5700</v>
      </c>
      <c r="D1871" s="12">
        <v>570</v>
      </c>
    </row>
    <row r="1872" spans="1:4" x14ac:dyDescent="0.2">
      <c r="A1872" s="12" t="s">
        <v>1156</v>
      </c>
      <c r="B1872" s="12" t="s">
        <v>1154</v>
      </c>
      <c r="C1872" s="12" t="s">
        <v>59</v>
      </c>
      <c r="D1872" s="12" t="s">
        <v>59</v>
      </c>
    </row>
    <row r="1873" spans="1:4" x14ac:dyDescent="0.2">
      <c r="A1873" s="12" t="s">
        <v>9856</v>
      </c>
      <c r="B1873" s="12" t="s">
        <v>9855</v>
      </c>
      <c r="C1873" s="12">
        <v>7</v>
      </c>
      <c r="D1873" s="12">
        <v>0.7</v>
      </c>
    </row>
    <row r="1874" spans="1:4" x14ac:dyDescent="0.2">
      <c r="A1874" s="12" t="s">
        <v>9103</v>
      </c>
      <c r="B1874" s="12" t="s">
        <v>9102</v>
      </c>
      <c r="C1874" s="12" t="s">
        <v>59</v>
      </c>
      <c r="D1874" s="12" t="s">
        <v>59</v>
      </c>
    </row>
    <row r="1875" spans="1:4" x14ac:dyDescent="0.2">
      <c r="A1875" s="12" t="s">
        <v>9104</v>
      </c>
      <c r="B1875" s="12" t="s">
        <v>9102</v>
      </c>
      <c r="C1875" s="12">
        <v>600</v>
      </c>
      <c r="D1875" s="12">
        <v>60</v>
      </c>
    </row>
    <row r="1876" spans="1:4" x14ac:dyDescent="0.2">
      <c r="A1876" s="12" t="s">
        <v>11302</v>
      </c>
      <c r="B1876" s="12" t="s">
        <v>11301</v>
      </c>
      <c r="C1876" s="12">
        <v>70</v>
      </c>
      <c r="D1876" s="12">
        <v>7</v>
      </c>
    </row>
    <row r="1877" spans="1:4" x14ac:dyDescent="0.2">
      <c r="A1877" s="12" t="s">
        <v>7428</v>
      </c>
      <c r="B1877" s="12" t="s">
        <v>7427</v>
      </c>
      <c r="C1877" s="12">
        <v>60</v>
      </c>
      <c r="D1877" s="12">
        <v>6</v>
      </c>
    </row>
    <row r="1878" spans="1:4" x14ac:dyDescent="0.2">
      <c r="A1878" s="12" t="s">
        <v>5952</v>
      </c>
      <c r="B1878" s="12" t="s">
        <v>5951</v>
      </c>
      <c r="C1878" s="12">
        <v>1330</v>
      </c>
      <c r="D1878" s="12">
        <v>133</v>
      </c>
    </row>
    <row r="1879" spans="1:4" x14ac:dyDescent="0.2">
      <c r="A1879" s="12" t="s">
        <v>3859</v>
      </c>
      <c r="B1879" s="12" t="s">
        <v>3858</v>
      </c>
      <c r="C1879" s="12">
        <v>20</v>
      </c>
      <c r="D1879" s="12">
        <v>2</v>
      </c>
    </row>
    <row r="1880" spans="1:4" x14ac:dyDescent="0.2">
      <c r="A1880" s="12" t="s">
        <v>1483</v>
      </c>
      <c r="B1880" s="12" t="s">
        <v>1482</v>
      </c>
      <c r="C1880" s="12">
        <v>140</v>
      </c>
      <c r="D1880" s="12">
        <v>14</v>
      </c>
    </row>
    <row r="1881" spans="1:4" x14ac:dyDescent="0.2">
      <c r="A1881" s="12" t="s">
        <v>986</v>
      </c>
      <c r="B1881" s="12" t="s">
        <v>985</v>
      </c>
      <c r="C1881" s="12">
        <v>1500</v>
      </c>
      <c r="D1881" s="12">
        <v>150</v>
      </c>
    </row>
    <row r="1882" spans="1:4" x14ac:dyDescent="0.2">
      <c r="A1882" s="12" t="s">
        <v>1163</v>
      </c>
      <c r="B1882" s="12" t="s">
        <v>1162</v>
      </c>
      <c r="C1882" s="12">
        <v>1500</v>
      </c>
      <c r="D1882" s="12">
        <v>150</v>
      </c>
    </row>
    <row r="1883" spans="1:4" x14ac:dyDescent="0.2">
      <c r="A1883" s="12" t="s">
        <v>1164</v>
      </c>
      <c r="B1883" s="12" t="s">
        <v>1162</v>
      </c>
      <c r="C1883" s="12" t="s">
        <v>59</v>
      </c>
      <c r="D1883" s="12" t="s">
        <v>59</v>
      </c>
    </row>
    <row r="1884" spans="1:4" x14ac:dyDescent="0.2">
      <c r="A1884" s="12" t="s">
        <v>4161</v>
      </c>
      <c r="B1884" s="12" t="s">
        <v>4160</v>
      </c>
      <c r="C1884" s="12" t="s">
        <v>59</v>
      </c>
      <c r="D1884" s="12" t="s">
        <v>59</v>
      </c>
    </row>
    <row r="1885" spans="1:4" x14ac:dyDescent="0.2">
      <c r="A1885" s="12" t="s">
        <v>10935</v>
      </c>
      <c r="B1885" s="12" t="s">
        <v>10934</v>
      </c>
      <c r="C1885" s="12" t="s">
        <v>59</v>
      </c>
      <c r="D1885" s="12" t="s">
        <v>59</v>
      </c>
    </row>
    <row r="1886" spans="1:4" x14ac:dyDescent="0.2">
      <c r="A1886" s="12" t="s">
        <v>10936</v>
      </c>
      <c r="B1886" s="12" t="s">
        <v>10934</v>
      </c>
      <c r="C1886" s="12">
        <v>1000</v>
      </c>
      <c r="D1886" s="12">
        <v>100</v>
      </c>
    </row>
    <row r="1887" spans="1:4" x14ac:dyDescent="0.2">
      <c r="A1887" s="12" t="s">
        <v>2964</v>
      </c>
      <c r="B1887" s="12" t="s">
        <v>2963</v>
      </c>
      <c r="C1887" s="12">
        <v>13</v>
      </c>
      <c r="D1887" s="12">
        <v>1.3</v>
      </c>
    </row>
    <row r="1888" spans="1:4" x14ac:dyDescent="0.2">
      <c r="A1888" s="12" t="s">
        <v>5112</v>
      </c>
      <c r="B1888" s="12" t="s">
        <v>5111</v>
      </c>
      <c r="C1888" s="12">
        <v>25</v>
      </c>
      <c r="D1888" s="12">
        <v>2.5</v>
      </c>
    </row>
    <row r="1889" spans="1:4" x14ac:dyDescent="0.2">
      <c r="A1889" s="12" t="s">
        <v>4200</v>
      </c>
      <c r="B1889" s="12" t="s">
        <v>4199</v>
      </c>
      <c r="C1889" s="12">
        <v>5</v>
      </c>
      <c r="D1889" s="12">
        <v>0.5</v>
      </c>
    </row>
    <row r="1890" spans="1:4" x14ac:dyDescent="0.2">
      <c r="A1890" s="12" t="s">
        <v>8800</v>
      </c>
      <c r="B1890" s="12" t="s">
        <v>8799</v>
      </c>
      <c r="C1890" s="12" t="s">
        <v>59</v>
      </c>
      <c r="D1890" s="12" t="s">
        <v>59</v>
      </c>
    </row>
    <row r="1891" spans="1:4" x14ac:dyDescent="0.2">
      <c r="A1891" s="12" t="s">
        <v>8801</v>
      </c>
      <c r="B1891" s="12" t="s">
        <v>8799</v>
      </c>
      <c r="C1891" s="12">
        <v>1000</v>
      </c>
      <c r="D1891" s="12">
        <v>100</v>
      </c>
    </row>
    <row r="1892" spans="1:4" x14ac:dyDescent="0.2">
      <c r="A1892" s="12" t="s">
        <v>11980</v>
      </c>
      <c r="B1892" s="12" t="s">
        <v>11979</v>
      </c>
      <c r="C1892" s="12">
        <v>3500</v>
      </c>
      <c r="D1892" s="12">
        <v>350</v>
      </c>
    </row>
    <row r="1893" spans="1:4" x14ac:dyDescent="0.2">
      <c r="A1893" s="12" t="s">
        <v>2043</v>
      </c>
      <c r="B1893" s="12" t="s">
        <v>2042</v>
      </c>
      <c r="C1893" s="12">
        <v>1500</v>
      </c>
      <c r="D1893" s="12">
        <v>150</v>
      </c>
    </row>
    <row r="1894" spans="1:4" x14ac:dyDescent="0.2">
      <c r="A1894" s="12" t="s">
        <v>9642</v>
      </c>
      <c r="B1894" s="12" t="s">
        <v>9641</v>
      </c>
      <c r="C1894" s="12">
        <v>1</v>
      </c>
      <c r="D1894" s="12">
        <v>0.1</v>
      </c>
    </row>
    <row r="1895" spans="1:4" x14ac:dyDescent="0.2">
      <c r="A1895" s="12" t="s">
        <v>4146</v>
      </c>
      <c r="B1895" s="12" t="s">
        <v>4145</v>
      </c>
      <c r="C1895" s="12">
        <v>10</v>
      </c>
      <c r="D1895" s="12">
        <v>1</v>
      </c>
    </row>
    <row r="1896" spans="1:4" x14ac:dyDescent="0.2">
      <c r="A1896" s="12" t="s">
        <v>4303</v>
      </c>
      <c r="B1896" s="12" t="s">
        <v>4302</v>
      </c>
      <c r="C1896" s="12">
        <v>0.5</v>
      </c>
      <c r="D1896" s="12">
        <v>0.05</v>
      </c>
    </row>
    <row r="1897" spans="1:4" x14ac:dyDescent="0.2">
      <c r="A1897" s="12" t="s">
        <v>12277</v>
      </c>
      <c r="B1897" s="12" t="s">
        <v>12276</v>
      </c>
      <c r="C1897" s="12">
        <v>0.5</v>
      </c>
      <c r="D1897" s="12">
        <v>0.05</v>
      </c>
    </row>
    <row r="1898" spans="1:4" x14ac:dyDescent="0.2">
      <c r="A1898" s="12" t="s">
        <v>11885</v>
      </c>
      <c r="B1898" s="12" t="s">
        <v>11884</v>
      </c>
      <c r="C1898" s="12">
        <v>5700</v>
      </c>
      <c r="D1898" s="12">
        <v>570</v>
      </c>
    </row>
    <row r="1899" spans="1:4" x14ac:dyDescent="0.2">
      <c r="A1899" s="12" t="s">
        <v>5797</v>
      </c>
      <c r="B1899" s="12" t="s">
        <v>5796</v>
      </c>
      <c r="C1899" s="12" t="s">
        <v>59</v>
      </c>
      <c r="D1899" s="12" t="s">
        <v>59</v>
      </c>
    </row>
    <row r="1900" spans="1:4" x14ac:dyDescent="0.2">
      <c r="A1900" s="12" t="s">
        <v>9982</v>
      </c>
      <c r="B1900" s="12" t="s">
        <v>9981</v>
      </c>
      <c r="C1900" s="12" t="s">
        <v>59</v>
      </c>
      <c r="D1900" s="12" t="s">
        <v>59</v>
      </c>
    </row>
    <row r="1901" spans="1:4" x14ac:dyDescent="0.2">
      <c r="A1901" s="12" t="s">
        <v>10488</v>
      </c>
      <c r="B1901" s="12" t="s">
        <v>10487</v>
      </c>
      <c r="C1901" s="12" t="s">
        <v>59</v>
      </c>
      <c r="D1901" s="12" t="s">
        <v>59</v>
      </c>
    </row>
    <row r="1902" spans="1:4" x14ac:dyDescent="0.2">
      <c r="A1902" s="12" t="s">
        <v>11901</v>
      </c>
      <c r="B1902" s="12" t="s">
        <v>11900</v>
      </c>
      <c r="C1902" s="12">
        <v>10</v>
      </c>
      <c r="D1902" s="12">
        <v>1</v>
      </c>
    </row>
    <row r="1903" spans="1:4" x14ac:dyDescent="0.2">
      <c r="A1903" s="12" t="s">
        <v>12433</v>
      </c>
      <c r="B1903" s="12" t="s">
        <v>12432</v>
      </c>
      <c r="C1903" s="12">
        <v>20</v>
      </c>
      <c r="D1903" s="12">
        <v>2</v>
      </c>
    </row>
    <row r="1904" spans="1:4" x14ac:dyDescent="0.2">
      <c r="A1904" s="12" t="s">
        <v>1789</v>
      </c>
      <c r="B1904" s="12" t="s">
        <v>1788</v>
      </c>
      <c r="C1904" s="12">
        <v>3500</v>
      </c>
      <c r="D1904" s="12">
        <v>350</v>
      </c>
    </row>
    <row r="1905" spans="1:4" x14ac:dyDescent="0.2">
      <c r="A1905" s="12" t="s">
        <v>72</v>
      </c>
      <c r="B1905" s="12" t="s">
        <v>71</v>
      </c>
      <c r="C1905" s="12">
        <v>1250</v>
      </c>
      <c r="D1905" s="12">
        <v>125</v>
      </c>
    </row>
    <row r="1906" spans="1:4" x14ac:dyDescent="0.2">
      <c r="A1906" s="12" t="s">
        <v>10563</v>
      </c>
      <c r="B1906" s="12" t="s">
        <v>10562</v>
      </c>
      <c r="C1906" s="12">
        <v>220</v>
      </c>
      <c r="D1906" s="12">
        <v>22</v>
      </c>
    </row>
    <row r="1907" spans="1:4" x14ac:dyDescent="0.2">
      <c r="A1907" s="12" t="s">
        <v>11496</v>
      </c>
      <c r="B1907" s="12" t="s">
        <v>11495</v>
      </c>
      <c r="C1907" s="12">
        <v>5</v>
      </c>
      <c r="D1907" s="12">
        <v>0.5</v>
      </c>
    </row>
    <row r="1908" spans="1:4" x14ac:dyDescent="0.2">
      <c r="A1908" s="12" t="s">
        <v>110</v>
      </c>
      <c r="B1908" s="12" t="s">
        <v>109</v>
      </c>
      <c r="C1908" s="12">
        <v>20</v>
      </c>
      <c r="D1908" s="12">
        <v>2</v>
      </c>
    </row>
    <row r="1909" spans="1:4" x14ac:dyDescent="0.2">
      <c r="A1909" s="12" t="s">
        <v>5753</v>
      </c>
      <c r="B1909" s="12" t="s">
        <v>5752</v>
      </c>
      <c r="C1909" s="12">
        <v>1.1000000000000001</v>
      </c>
      <c r="D1909" s="12">
        <v>0.11</v>
      </c>
    </row>
    <row r="1910" spans="1:4" x14ac:dyDescent="0.2">
      <c r="A1910" s="12" t="s">
        <v>4301</v>
      </c>
      <c r="B1910" s="12" t="s">
        <v>4300</v>
      </c>
      <c r="C1910" s="12">
        <v>0.5</v>
      </c>
      <c r="D1910" s="12">
        <v>0.05</v>
      </c>
    </row>
    <row r="1911" spans="1:4" x14ac:dyDescent="0.2">
      <c r="A1911" s="12" t="s">
        <v>2001</v>
      </c>
      <c r="B1911" s="12" t="s">
        <v>2000</v>
      </c>
      <c r="C1911" s="12">
        <v>50</v>
      </c>
      <c r="D1911" s="12">
        <v>5</v>
      </c>
    </row>
    <row r="1912" spans="1:4" x14ac:dyDescent="0.2">
      <c r="A1912" s="12" t="s">
        <v>8874</v>
      </c>
      <c r="B1912" s="12" t="s">
        <v>8873</v>
      </c>
      <c r="C1912" s="12">
        <v>100</v>
      </c>
      <c r="D1912" s="12">
        <v>10</v>
      </c>
    </row>
    <row r="1913" spans="1:4" x14ac:dyDescent="0.2">
      <c r="A1913" s="12" t="s">
        <v>11565</v>
      </c>
      <c r="B1913" s="12" t="s">
        <v>11564</v>
      </c>
      <c r="C1913" s="12">
        <v>100</v>
      </c>
      <c r="D1913" s="12">
        <v>10</v>
      </c>
    </row>
    <row r="1914" spans="1:4" x14ac:dyDescent="0.2">
      <c r="A1914" s="12" t="s">
        <v>10424</v>
      </c>
      <c r="B1914" s="12" t="s">
        <v>10423</v>
      </c>
      <c r="C1914" s="12" t="s">
        <v>59</v>
      </c>
      <c r="D1914" s="12" t="s">
        <v>59</v>
      </c>
    </row>
    <row r="1915" spans="1:4" x14ac:dyDescent="0.2">
      <c r="A1915" s="12" t="s">
        <v>7692</v>
      </c>
      <c r="B1915" s="12" t="s">
        <v>7691</v>
      </c>
      <c r="C1915" s="12">
        <v>0.5</v>
      </c>
      <c r="D1915" s="12">
        <v>0.05</v>
      </c>
    </row>
    <row r="1916" spans="1:4" x14ac:dyDescent="0.2">
      <c r="A1916" s="12" t="s">
        <v>1736</v>
      </c>
      <c r="B1916" s="12" t="s">
        <v>1735</v>
      </c>
      <c r="C1916" s="12" t="s">
        <v>59</v>
      </c>
      <c r="D1916" s="12" t="s">
        <v>59</v>
      </c>
    </row>
    <row r="1917" spans="1:4" x14ac:dyDescent="0.2">
      <c r="A1917" s="12" t="s">
        <v>1481</v>
      </c>
      <c r="B1917" s="12" t="s">
        <v>1480</v>
      </c>
      <c r="C1917" s="12">
        <v>125</v>
      </c>
      <c r="D1917" s="12">
        <v>12.5</v>
      </c>
    </row>
    <row r="1918" spans="1:4" x14ac:dyDescent="0.2">
      <c r="A1918" s="12" t="s">
        <v>2586</v>
      </c>
      <c r="B1918" s="12" t="s">
        <v>2585</v>
      </c>
      <c r="C1918" s="12">
        <v>1700</v>
      </c>
      <c r="D1918" s="12">
        <v>330</v>
      </c>
    </row>
    <row r="1919" spans="1:4" x14ac:dyDescent="0.2">
      <c r="A1919" s="12" t="s">
        <v>5237</v>
      </c>
      <c r="B1919" s="12" t="s">
        <v>5236</v>
      </c>
      <c r="C1919" s="12">
        <v>5700</v>
      </c>
      <c r="D1919" s="12">
        <v>570</v>
      </c>
    </row>
    <row r="1920" spans="1:4" x14ac:dyDescent="0.2">
      <c r="A1920" s="12" t="s">
        <v>5245</v>
      </c>
      <c r="B1920" s="12" t="s">
        <v>5244</v>
      </c>
      <c r="C1920" s="12">
        <v>5700</v>
      </c>
      <c r="D1920" s="12">
        <v>570</v>
      </c>
    </row>
    <row r="1921" spans="1:4" x14ac:dyDescent="0.2">
      <c r="A1921" s="12" t="s">
        <v>11891</v>
      </c>
      <c r="B1921" s="12" t="s">
        <v>11890</v>
      </c>
      <c r="C1921" s="12">
        <v>5700</v>
      </c>
      <c r="D1921" s="12">
        <v>570</v>
      </c>
    </row>
    <row r="1922" spans="1:4" x14ac:dyDescent="0.2">
      <c r="A1922" s="12" t="s">
        <v>11734</v>
      </c>
      <c r="B1922" s="12" t="s">
        <v>11733</v>
      </c>
      <c r="C1922" s="12" t="s">
        <v>59</v>
      </c>
      <c r="D1922" s="12" t="s">
        <v>59</v>
      </c>
    </row>
    <row r="1923" spans="1:4" x14ac:dyDescent="0.2">
      <c r="A1923" s="12" t="s">
        <v>2694</v>
      </c>
      <c r="B1923" s="12" t="s">
        <v>2693</v>
      </c>
      <c r="C1923" s="12">
        <v>50</v>
      </c>
      <c r="D1923" s="12">
        <v>5</v>
      </c>
    </row>
    <row r="1924" spans="1:4" x14ac:dyDescent="0.2">
      <c r="A1924" s="12" t="s">
        <v>9760</v>
      </c>
      <c r="B1924" s="12" t="s">
        <v>9759</v>
      </c>
      <c r="C1924" s="12">
        <v>10230</v>
      </c>
      <c r="D1924" s="12">
        <v>1023</v>
      </c>
    </row>
    <row r="1925" spans="1:4" x14ac:dyDescent="0.2">
      <c r="A1925" s="12" t="s">
        <v>11563</v>
      </c>
      <c r="B1925" s="12" t="s">
        <v>11562</v>
      </c>
      <c r="C1925" s="12">
        <v>60</v>
      </c>
      <c r="D1925" s="12">
        <v>6</v>
      </c>
    </row>
    <row r="1926" spans="1:4" x14ac:dyDescent="0.2">
      <c r="A1926" s="12" t="s">
        <v>3015</v>
      </c>
      <c r="B1926" s="12" t="s">
        <v>3014</v>
      </c>
      <c r="C1926" s="12">
        <v>1450</v>
      </c>
      <c r="D1926" s="12">
        <v>145</v>
      </c>
    </row>
    <row r="1927" spans="1:4" x14ac:dyDescent="0.2">
      <c r="A1927" s="12" t="s">
        <v>1698</v>
      </c>
      <c r="B1927" s="12" t="s">
        <v>1697</v>
      </c>
      <c r="C1927" s="12">
        <v>5700</v>
      </c>
      <c r="D1927" s="12">
        <v>570</v>
      </c>
    </row>
    <row r="1928" spans="1:4" x14ac:dyDescent="0.2">
      <c r="A1928" s="12" t="s">
        <v>7812</v>
      </c>
      <c r="B1928" s="12" t="s">
        <v>7811</v>
      </c>
      <c r="C1928" s="12">
        <v>3750</v>
      </c>
      <c r="D1928" s="12">
        <v>375</v>
      </c>
    </row>
    <row r="1929" spans="1:4" x14ac:dyDescent="0.2">
      <c r="A1929" s="12" t="s">
        <v>9671</v>
      </c>
      <c r="B1929" s="12" t="s">
        <v>9670</v>
      </c>
      <c r="C1929" s="12">
        <v>0.13</v>
      </c>
      <c r="D1929" s="12">
        <v>1.2999999999999999E-2</v>
      </c>
    </row>
    <row r="1930" spans="1:4" x14ac:dyDescent="0.2">
      <c r="A1930" s="12" t="s">
        <v>5781</v>
      </c>
      <c r="B1930" s="12" t="s">
        <v>5780</v>
      </c>
      <c r="C1930" s="12">
        <v>50</v>
      </c>
      <c r="D1930" s="12">
        <v>5</v>
      </c>
    </row>
    <row r="1931" spans="1:4" x14ac:dyDescent="0.2">
      <c r="A1931" s="12" t="s">
        <v>9579</v>
      </c>
      <c r="B1931" s="12" t="s">
        <v>9578</v>
      </c>
      <c r="C1931" s="12" t="s">
        <v>59</v>
      </c>
      <c r="D1931" s="12" t="s">
        <v>59</v>
      </c>
    </row>
    <row r="1932" spans="1:4" x14ac:dyDescent="0.2">
      <c r="A1932" s="12" t="s">
        <v>10507</v>
      </c>
      <c r="B1932" s="12" t="s">
        <v>10506</v>
      </c>
      <c r="C1932" s="12">
        <v>220</v>
      </c>
      <c r="D1932" s="12">
        <v>22</v>
      </c>
    </row>
    <row r="1933" spans="1:4" x14ac:dyDescent="0.2">
      <c r="A1933" s="12" t="s">
        <v>10973</v>
      </c>
      <c r="B1933" s="12" t="s">
        <v>10972</v>
      </c>
      <c r="C1933" s="12" t="s">
        <v>59</v>
      </c>
      <c r="D1933" s="12" t="s">
        <v>59</v>
      </c>
    </row>
    <row r="1934" spans="1:4" x14ac:dyDescent="0.2">
      <c r="A1934" s="12" t="s">
        <v>2079</v>
      </c>
      <c r="B1934" s="12" t="s">
        <v>2078</v>
      </c>
      <c r="C1934" s="12">
        <v>650</v>
      </c>
      <c r="D1934" s="12">
        <v>65</v>
      </c>
    </row>
    <row r="1935" spans="1:4" x14ac:dyDescent="0.2">
      <c r="A1935" s="12" t="s">
        <v>5560</v>
      </c>
      <c r="B1935" s="12" t="s">
        <v>5559</v>
      </c>
      <c r="C1935" s="12">
        <v>80</v>
      </c>
      <c r="D1935" s="12">
        <v>8</v>
      </c>
    </row>
    <row r="1936" spans="1:4" x14ac:dyDescent="0.2">
      <c r="A1936" s="12" t="s">
        <v>1815</v>
      </c>
      <c r="B1936" s="12" t="s">
        <v>1814</v>
      </c>
      <c r="C1936" s="12">
        <v>46</v>
      </c>
      <c r="D1936" s="12">
        <v>4.5999999999999996</v>
      </c>
    </row>
    <row r="1937" spans="1:4" x14ac:dyDescent="0.2">
      <c r="A1937" s="12" t="s">
        <v>9783</v>
      </c>
      <c r="B1937" s="12" t="s">
        <v>9782</v>
      </c>
      <c r="C1937" s="12">
        <v>0.5</v>
      </c>
      <c r="D1937" s="12">
        <v>0.05</v>
      </c>
    </row>
    <row r="1938" spans="1:4" ht="28.5" x14ac:dyDescent="0.2">
      <c r="A1938" s="12" t="s">
        <v>11804</v>
      </c>
      <c r="B1938" s="12" t="s">
        <v>11803</v>
      </c>
      <c r="C1938" s="12">
        <v>50</v>
      </c>
      <c r="D1938" s="12">
        <v>5</v>
      </c>
    </row>
    <row r="1939" spans="1:4" x14ac:dyDescent="0.2">
      <c r="A1939" s="12" t="s">
        <v>2987</v>
      </c>
      <c r="B1939" s="12" t="s">
        <v>2986</v>
      </c>
      <c r="C1939" s="12">
        <v>100</v>
      </c>
      <c r="D1939" s="12">
        <v>10</v>
      </c>
    </row>
    <row r="1940" spans="1:4" x14ac:dyDescent="0.2">
      <c r="A1940" s="12" t="s">
        <v>1424</v>
      </c>
      <c r="B1940" s="12" t="s">
        <v>1423</v>
      </c>
      <c r="C1940" s="12" t="s">
        <v>59</v>
      </c>
      <c r="D1940" s="12" t="s">
        <v>59</v>
      </c>
    </row>
    <row r="1941" spans="1:4" x14ac:dyDescent="0.2">
      <c r="A1941" s="12" t="s">
        <v>1425</v>
      </c>
      <c r="B1941" s="12" t="s">
        <v>1423</v>
      </c>
      <c r="C1941" s="12">
        <v>500</v>
      </c>
      <c r="D1941" s="12">
        <v>50</v>
      </c>
    </row>
    <row r="1942" spans="1:4" x14ac:dyDescent="0.2">
      <c r="A1942" s="12" t="s">
        <v>6539</v>
      </c>
      <c r="B1942" s="12" t="s">
        <v>6538</v>
      </c>
      <c r="C1942" s="12">
        <v>97</v>
      </c>
      <c r="D1942" s="12">
        <v>7</v>
      </c>
    </row>
    <row r="1943" spans="1:4" x14ac:dyDescent="0.2">
      <c r="A1943" s="12" t="s">
        <v>11905</v>
      </c>
      <c r="B1943" s="12" t="s">
        <v>11904</v>
      </c>
      <c r="C1943" s="12">
        <v>1800</v>
      </c>
      <c r="D1943" s="12">
        <v>180</v>
      </c>
    </row>
    <row r="1944" spans="1:4" x14ac:dyDescent="0.2">
      <c r="A1944" s="12" t="s">
        <v>7507</v>
      </c>
      <c r="B1944" s="12" t="s">
        <v>7506</v>
      </c>
      <c r="C1944" s="12">
        <v>20</v>
      </c>
      <c r="D1944" s="12">
        <v>2</v>
      </c>
    </row>
    <row r="1945" spans="1:4" x14ac:dyDescent="0.2">
      <c r="A1945" s="12" t="s">
        <v>1676</v>
      </c>
      <c r="B1945" s="12" t="s">
        <v>1675</v>
      </c>
      <c r="C1945" s="12">
        <v>20</v>
      </c>
      <c r="D1945" s="12">
        <v>2</v>
      </c>
    </row>
    <row r="1946" spans="1:4" x14ac:dyDescent="0.2">
      <c r="A1946" s="12" t="s">
        <v>12001</v>
      </c>
      <c r="B1946" s="12" t="s">
        <v>12000</v>
      </c>
      <c r="C1946" s="12">
        <v>51</v>
      </c>
      <c r="D1946" s="12">
        <v>7.5</v>
      </c>
    </row>
    <row r="1947" spans="1:4" x14ac:dyDescent="0.2">
      <c r="A1947" s="12" t="s">
        <v>1641</v>
      </c>
      <c r="B1947" s="12" t="s">
        <v>1640</v>
      </c>
      <c r="C1947" s="12">
        <v>1700</v>
      </c>
      <c r="D1947" s="12">
        <v>330</v>
      </c>
    </row>
    <row r="1948" spans="1:4" x14ac:dyDescent="0.2">
      <c r="A1948" s="12" t="s">
        <v>1552</v>
      </c>
      <c r="B1948" s="12" t="s">
        <v>1551</v>
      </c>
      <c r="C1948" s="12">
        <v>1700</v>
      </c>
      <c r="D1948" s="12">
        <v>330</v>
      </c>
    </row>
    <row r="1949" spans="1:4" x14ac:dyDescent="0.2">
      <c r="A1949" s="12" t="s">
        <v>2518</v>
      </c>
      <c r="B1949" s="12" t="s">
        <v>2517</v>
      </c>
      <c r="C1949" s="12">
        <v>1700</v>
      </c>
      <c r="D1949" s="12">
        <v>330</v>
      </c>
    </row>
    <row r="1950" spans="1:4" x14ac:dyDescent="0.2">
      <c r="A1950" s="12" t="s">
        <v>2566</v>
      </c>
      <c r="B1950" s="12" t="s">
        <v>2565</v>
      </c>
      <c r="C1950" s="12">
        <v>1700</v>
      </c>
      <c r="D1950" s="12">
        <v>330</v>
      </c>
    </row>
    <row r="1951" spans="1:4" x14ac:dyDescent="0.2">
      <c r="A1951" s="12" t="s">
        <v>2572</v>
      </c>
      <c r="B1951" s="12" t="s">
        <v>2571</v>
      </c>
      <c r="C1951" s="12">
        <v>1700</v>
      </c>
      <c r="D1951" s="12">
        <v>330</v>
      </c>
    </row>
    <row r="1952" spans="1:4" x14ac:dyDescent="0.2">
      <c r="A1952" s="12" t="s">
        <v>2747</v>
      </c>
      <c r="B1952" s="12" t="s">
        <v>2746</v>
      </c>
      <c r="C1952" s="12">
        <v>1700</v>
      </c>
      <c r="D1952" s="12">
        <v>330</v>
      </c>
    </row>
    <row r="1953" spans="1:4" x14ac:dyDescent="0.2">
      <c r="A1953" s="12" t="s">
        <v>1407</v>
      </c>
      <c r="B1953" s="12" t="s">
        <v>1406</v>
      </c>
      <c r="C1953" s="12">
        <v>1700</v>
      </c>
      <c r="D1953" s="12">
        <v>330</v>
      </c>
    </row>
    <row r="1954" spans="1:4" x14ac:dyDescent="0.2">
      <c r="A1954" s="12" t="s">
        <v>2732</v>
      </c>
      <c r="B1954" s="12" t="s">
        <v>2731</v>
      </c>
      <c r="C1954" s="12">
        <v>5700</v>
      </c>
      <c r="D1954" s="12">
        <v>570</v>
      </c>
    </row>
    <row r="1955" spans="1:4" x14ac:dyDescent="0.2">
      <c r="A1955" s="12" t="s">
        <v>8559</v>
      </c>
      <c r="B1955" s="12" t="s">
        <v>8558</v>
      </c>
      <c r="C1955" s="12">
        <v>1000</v>
      </c>
      <c r="D1955" s="12">
        <v>100</v>
      </c>
    </row>
    <row r="1956" spans="1:4" x14ac:dyDescent="0.2">
      <c r="A1956" s="12" t="s">
        <v>8634</v>
      </c>
      <c r="B1956" s="12" t="s">
        <v>8633</v>
      </c>
      <c r="C1956" s="12">
        <v>1000</v>
      </c>
      <c r="D1956" s="12">
        <v>100</v>
      </c>
    </row>
    <row r="1957" spans="1:4" x14ac:dyDescent="0.2">
      <c r="A1957" s="12" t="s">
        <v>8355</v>
      </c>
      <c r="B1957" s="12" t="s">
        <v>8354</v>
      </c>
      <c r="C1957" s="12">
        <v>1000</v>
      </c>
      <c r="D1957" s="12">
        <v>100</v>
      </c>
    </row>
    <row r="1958" spans="1:4" x14ac:dyDescent="0.2">
      <c r="A1958" s="12" t="s">
        <v>8349</v>
      </c>
      <c r="B1958" s="12" t="s">
        <v>8348</v>
      </c>
      <c r="C1958" s="12">
        <v>20</v>
      </c>
      <c r="D1958" s="12">
        <v>2</v>
      </c>
    </row>
    <row r="1959" spans="1:4" x14ac:dyDescent="0.2">
      <c r="A1959" s="12" t="s">
        <v>11275</v>
      </c>
      <c r="B1959" s="12" t="s">
        <v>11274</v>
      </c>
      <c r="C1959" s="12">
        <v>50</v>
      </c>
      <c r="D1959" s="12">
        <v>5</v>
      </c>
    </row>
    <row r="1960" spans="1:4" x14ac:dyDescent="0.2">
      <c r="A1960" s="12" t="s">
        <v>6643</v>
      </c>
      <c r="B1960" s="12" t="s">
        <v>6642</v>
      </c>
      <c r="C1960" s="12">
        <v>62</v>
      </c>
      <c r="D1960" s="12">
        <v>14</v>
      </c>
    </row>
    <row r="1961" spans="1:4" x14ac:dyDescent="0.2">
      <c r="A1961" s="12" t="s">
        <v>7553</v>
      </c>
      <c r="B1961" s="12" t="s">
        <v>7552</v>
      </c>
      <c r="C1961" s="12" t="s">
        <v>59</v>
      </c>
      <c r="D1961" s="12" t="s">
        <v>59</v>
      </c>
    </row>
    <row r="1962" spans="1:4" x14ac:dyDescent="0.2">
      <c r="A1962" s="12" t="s">
        <v>5226</v>
      </c>
      <c r="B1962" s="12" t="s">
        <v>5225</v>
      </c>
      <c r="C1962" s="12">
        <v>5700</v>
      </c>
      <c r="D1962" s="12">
        <v>570</v>
      </c>
    </row>
    <row r="1963" spans="1:4" x14ac:dyDescent="0.2">
      <c r="A1963" s="12" t="s">
        <v>1280</v>
      </c>
      <c r="B1963" s="12" t="s">
        <v>1279</v>
      </c>
      <c r="C1963" s="12">
        <v>35</v>
      </c>
      <c r="D1963" s="12">
        <v>3.5</v>
      </c>
    </row>
    <row r="1964" spans="1:4" x14ac:dyDescent="0.2">
      <c r="A1964" s="12" t="s">
        <v>1209</v>
      </c>
      <c r="B1964" s="12" t="s">
        <v>1208</v>
      </c>
      <c r="C1964" s="12">
        <v>1400</v>
      </c>
      <c r="D1964" s="12">
        <v>140</v>
      </c>
    </row>
    <row r="1965" spans="1:4" x14ac:dyDescent="0.2">
      <c r="A1965" s="12" t="s">
        <v>5576</v>
      </c>
      <c r="B1965" s="12" t="s">
        <v>5575</v>
      </c>
      <c r="C1965" s="12">
        <v>8</v>
      </c>
      <c r="D1965" s="12">
        <v>0.8</v>
      </c>
    </row>
    <row r="1966" spans="1:4" x14ac:dyDescent="0.2">
      <c r="A1966" s="12" t="s">
        <v>2932</v>
      </c>
      <c r="B1966" s="12" t="s">
        <v>2931</v>
      </c>
      <c r="C1966" s="12">
        <v>100</v>
      </c>
      <c r="D1966" s="12">
        <v>10</v>
      </c>
    </row>
    <row r="1967" spans="1:4" x14ac:dyDescent="0.2">
      <c r="A1967" s="12" t="s">
        <v>9828</v>
      </c>
      <c r="B1967" s="12" t="s">
        <v>9827</v>
      </c>
      <c r="C1967" s="12">
        <v>0.5</v>
      </c>
      <c r="D1967" s="12">
        <v>0.05</v>
      </c>
    </row>
    <row r="1968" spans="1:4" x14ac:dyDescent="0.2">
      <c r="A1968" s="12" t="s">
        <v>9394</v>
      </c>
      <c r="B1968" s="12" t="s">
        <v>9393</v>
      </c>
      <c r="C1968" s="12">
        <v>2850</v>
      </c>
      <c r="D1968" s="12">
        <v>285</v>
      </c>
    </row>
    <row r="1969" spans="1:4" x14ac:dyDescent="0.2">
      <c r="A1969" s="12" t="s">
        <v>4636</v>
      </c>
      <c r="B1969" s="12" t="s">
        <v>4635</v>
      </c>
      <c r="C1969" s="12">
        <v>3500</v>
      </c>
      <c r="D1969" s="12">
        <v>350</v>
      </c>
    </row>
    <row r="1970" spans="1:4" x14ac:dyDescent="0.2">
      <c r="A1970" s="12" t="s">
        <v>10548</v>
      </c>
      <c r="B1970" s="12" t="s">
        <v>10547</v>
      </c>
      <c r="C1970" s="12">
        <v>3500</v>
      </c>
      <c r="D1970" s="12">
        <v>350</v>
      </c>
    </row>
    <row r="1971" spans="1:4" x14ac:dyDescent="0.2">
      <c r="A1971" s="12" t="s">
        <v>12437</v>
      </c>
      <c r="B1971" s="12" t="s">
        <v>12436</v>
      </c>
      <c r="C1971" s="12">
        <v>20</v>
      </c>
      <c r="D1971" s="12">
        <v>2</v>
      </c>
    </row>
    <row r="1972" spans="1:4" x14ac:dyDescent="0.2">
      <c r="A1972" s="12" t="s">
        <v>6073</v>
      </c>
      <c r="B1972" s="12" t="s">
        <v>6072</v>
      </c>
      <c r="C1972" s="12">
        <v>360</v>
      </c>
      <c r="D1972" s="12">
        <v>36</v>
      </c>
    </row>
    <row r="1973" spans="1:4" x14ac:dyDescent="0.2">
      <c r="A1973" s="12" t="s">
        <v>4069</v>
      </c>
      <c r="B1973" s="12" t="s">
        <v>4068</v>
      </c>
      <c r="C1973" s="12">
        <v>400</v>
      </c>
      <c r="D1973" s="12">
        <v>40</v>
      </c>
    </row>
    <row r="1974" spans="1:4" x14ac:dyDescent="0.2">
      <c r="A1974" s="12" t="s">
        <v>5713</v>
      </c>
      <c r="B1974" s="12" t="s">
        <v>5712</v>
      </c>
      <c r="C1974" s="12">
        <v>1.3</v>
      </c>
      <c r="D1974" s="12">
        <v>14</v>
      </c>
    </row>
    <row r="1975" spans="1:4" x14ac:dyDescent="0.2">
      <c r="A1975" s="12" t="s">
        <v>1841</v>
      </c>
      <c r="B1975" s="12" t="s">
        <v>1840</v>
      </c>
      <c r="C1975" s="12">
        <v>1700</v>
      </c>
      <c r="D1975" s="12">
        <v>330</v>
      </c>
    </row>
    <row r="1976" spans="1:4" x14ac:dyDescent="0.2">
      <c r="A1976" s="12" t="s">
        <v>9065</v>
      </c>
      <c r="B1976" s="12" t="s">
        <v>9064</v>
      </c>
      <c r="C1976" s="12">
        <v>1750</v>
      </c>
      <c r="D1976" s="12">
        <v>175</v>
      </c>
    </row>
    <row r="1977" spans="1:4" x14ac:dyDescent="0.2">
      <c r="A1977" s="12" t="s">
        <v>11625</v>
      </c>
      <c r="B1977" s="12" t="s">
        <v>11624</v>
      </c>
      <c r="C1977" s="12">
        <v>180</v>
      </c>
      <c r="D1977" s="12">
        <v>92</v>
      </c>
    </row>
    <row r="1978" spans="1:4" x14ac:dyDescent="0.2">
      <c r="A1978" s="12" t="s">
        <v>4305</v>
      </c>
      <c r="B1978" s="12" t="s">
        <v>4304</v>
      </c>
      <c r="C1978" s="12">
        <v>0.5</v>
      </c>
      <c r="D1978" s="12">
        <v>0.05</v>
      </c>
    </row>
    <row r="1979" spans="1:4" x14ac:dyDescent="0.2">
      <c r="A1979" s="12" t="s">
        <v>230</v>
      </c>
      <c r="B1979" s="12" t="s">
        <v>229</v>
      </c>
      <c r="C1979" s="12" t="s">
        <v>59</v>
      </c>
      <c r="D1979" s="12" t="s">
        <v>59</v>
      </c>
    </row>
    <row r="1980" spans="1:4" x14ac:dyDescent="0.2">
      <c r="A1980" s="12" t="s">
        <v>4299</v>
      </c>
      <c r="B1980" s="12" t="s">
        <v>4298</v>
      </c>
      <c r="C1980" s="12">
        <v>0.5</v>
      </c>
      <c r="D1980" s="12">
        <v>0.05</v>
      </c>
    </row>
    <row r="1981" spans="1:4" x14ac:dyDescent="0.2">
      <c r="A1981" s="12" t="s">
        <v>11612</v>
      </c>
      <c r="B1981" s="12" t="s">
        <v>11611</v>
      </c>
      <c r="C1981" s="12">
        <v>0.02</v>
      </c>
      <c r="D1981" s="12">
        <v>2E-3</v>
      </c>
    </row>
    <row r="1982" spans="1:4" x14ac:dyDescent="0.2">
      <c r="A1982" s="12" t="s">
        <v>7160</v>
      </c>
      <c r="B1982" s="12" t="s">
        <v>7159</v>
      </c>
      <c r="C1982" s="12">
        <v>0.5</v>
      </c>
      <c r="D1982" s="12">
        <v>0.05</v>
      </c>
    </row>
    <row r="1983" spans="1:4" x14ac:dyDescent="0.2">
      <c r="A1983" s="12" t="s">
        <v>6748</v>
      </c>
      <c r="B1983" s="12" t="s">
        <v>6747</v>
      </c>
      <c r="C1983" s="12">
        <v>1200</v>
      </c>
      <c r="D1983" s="12">
        <v>120</v>
      </c>
    </row>
    <row r="1984" spans="1:4" x14ac:dyDescent="0.2">
      <c r="A1984" s="12" t="s">
        <v>4307</v>
      </c>
      <c r="B1984" s="12" t="s">
        <v>4306</v>
      </c>
      <c r="C1984" s="12">
        <v>0.5</v>
      </c>
      <c r="D1984" s="12">
        <v>0.05</v>
      </c>
    </row>
    <row r="1985" spans="1:4" x14ac:dyDescent="0.2">
      <c r="A1985" s="12" t="s">
        <v>9145</v>
      </c>
      <c r="B1985" s="12" t="s">
        <v>9144</v>
      </c>
      <c r="C1985" s="12" t="s">
        <v>59</v>
      </c>
      <c r="D1985" s="12" t="s">
        <v>59</v>
      </c>
    </row>
    <row r="1986" spans="1:4" x14ac:dyDescent="0.2">
      <c r="A1986" s="12" t="s">
        <v>7940</v>
      </c>
      <c r="B1986" s="12" t="s">
        <v>7939</v>
      </c>
      <c r="C1986" s="12">
        <v>100</v>
      </c>
      <c r="D1986" s="12">
        <v>10</v>
      </c>
    </row>
    <row r="1987" spans="1:4" x14ac:dyDescent="0.2">
      <c r="A1987" s="12" t="s">
        <v>8126</v>
      </c>
      <c r="B1987" s="12" t="s">
        <v>8125</v>
      </c>
      <c r="C1987" s="12">
        <v>1000</v>
      </c>
      <c r="D1987" s="12">
        <v>100</v>
      </c>
    </row>
    <row r="1988" spans="1:4" x14ac:dyDescent="0.2">
      <c r="A1988" s="12" t="s">
        <v>1825</v>
      </c>
      <c r="B1988" s="12" t="s">
        <v>1824</v>
      </c>
      <c r="C1988" s="12">
        <v>700</v>
      </c>
      <c r="D1988" s="12">
        <v>70</v>
      </c>
    </row>
    <row r="1989" spans="1:4" x14ac:dyDescent="0.2">
      <c r="A1989" s="12" t="s">
        <v>10384</v>
      </c>
      <c r="B1989" s="12" t="s">
        <v>10383</v>
      </c>
      <c r="C1989" s="12">
        <v>20</v>
      </c>
      <c r="D1989" s="12">
        <v>2</v>
      </c>
    </row>
    <row r="1990" spans="1:4" x14ac:dyDescent="0.2">
      <c r="A1990" s="12" t="s">
        <v>11641</v>
      </c>
      <c r="B1990" s="12" t="s">
        <v>11640</v>
      </c>
      <c r="C1990" s="12">
        <v>18</v>
      </c>
      <c r="D1990" s="12">
        <v>1.8</v>
      </c>
    </row>
    <row r="1991" spans="1:4" x14ac:dyDescent="0.2">
      <c r="A1991" s="12" t="s">
        <v>9532</v>
      </c>
      <c r="B1991" s="12" t="s">
        <v>9531</v>
      </c>
      <c r="C1991" s="12">
        <v>0.02</v>
      </c>
      <c r="D1991" s="12">
        <v>2E-3</v>
      </c>
    </row>
    <row r="1992" spans="1:4" x14ac:dyDescent="0.2">
      <c r="A1992" s="12" t="s">
        <v>5719</v>
      </c>
      <c r="B1992" s="12" t="s">
        <v>5718</v>
      </c>
      <c r="C1992" s="12" t="s">
        <v>59</v>
      </c>
      <c r="D1992" s="12" t="s">
        <v>59</v>
      </c>
    </row>
    <row r="1993" spans="1:4" x14ac:dyDescent="0.2">
      <c r="A1993" s="12" t="s">
        <v>9417</v>
      </c>
      <c r="B1993" s="12" t="s">
        <v>9416</v>
      </c>
      <c r="C1993" s="12" t="s">
        <v>59</v>
      </c>
      <c r="D1993" s="12" t="s">
        <v>59</v>
      </c>
    </row>
    <row r="1994" spans="1:4" x14ac:dyDescent="0.2">
      <c r="A1994" s="12" t="s">
        <v>5611</v>
      </c>
      <c r="B1994" s="12" t="s">
        <v>5610</v>
      </c>
      <c r="C1994" s="12">
        <v>1.4</v>
      </c>
      <c r="D1994" s="12">
        <v>0.14000000000000001</v>
      </c>
    </row>
    <row r="1995" spans="1:4" x14ac:dyDescent="0.2">
      <c r="A1995" s="12" t="s">
        <v>7210</v>
      </c>
      <c r="B1995" s="12" t="s">
        <v>7209</v>
      </c>
      <c r="C1995" s="12" t="s">
        <v>59</v>
      </c>
      <c r="D1995" s="12" t="s">
        <v>59</v>
      </c>
    </row>
    <row r="1996" spans="1:4" x14ac:dyDescent="0.2">
      <c r="A1996" s="12" t="s">
        <v>3391</v>
      </c>
      <c r="B1996" s="12" t="s">
        <v>3390</v>
      </c>
      <c r="C1996" s="12">
        <v>100</v>
      </c>
      <c r="D1996" s="12">
        <v>10</v>
      </c>
    </row>
    <row r="1997" spans="1:4" x14ac:dyDescent="0.2">
      <c r="A1997" s="12" t="s">
        <v>11502</v>
      </c>
      <c r="B1997" s="12" t="s">
        <v>11501</v>
      </c>
      <c r="C1997" s="12">
        <v>1</v>
      </c>
      <c r="D1997" s="12">
        <v>0.1</v>
      </c>
    </row>
    <row r="1998" spans="1:4" x14ac:dyDescent="0.2">
      <c r="A1998" s="12" t="s">
        <v>8912</v>
      </c>
      <c r="B1998" s="12" t="s">
        <v>8911</v>
      </c>
      <c r="C1998" s="12">
        <v>500</v>
      </c>
      <c r="D1998" s="12">
        <v>50</v>
      </c>
    </row>
    <row r="1999" spans="1:4" x14ac:dyDescent="0.2">
      <c r="A1999" s="12" t="s">
        <v>5330</v>
      </c>
      <c r="B1999" s="12" t="s">
        <v>5329</v>
      </c>
      <c r="C1999" s="12">
        <v>0.21</v>
      </c>
      <c r="D1999" s="12">
        <v>1.6999999999999999E-3</v>
      </c>
    </row>
    <row r="2000" spans="1:4" x14ac:dyDescent="0.2">
      <c r="A2000" s="12" t="s">
        <v>9457</v>
      </c>
      <c r="B2000" s="12" t="s">
        <v>9456</v>
      </c>
      <c r="C2000" s="12">
        <v>1</v>
      </c>
      <c r="D2000" s="12">
        <v>0.1</v>
      </c>
    </row>
    <row r="2001" spans="1:4" x14ac:dyDescent="0.2">
      <c r="A2001" s="12" t="s">
        <v>9615</v>
      </c>
      <c r="B2001" s="12" t="s">
        <v>9614</v>
      </c>
      <c r="C2001" s="12">
        <v>170</v>
      </c>
      <c r="D2001" s="12">
        <v>17</v>
      </c>
    </row>
    <row r="2002" spans="1:4" x14ac:dyDescent="0.2">
      <c r="A2002" s="12" t="s">
        <v>1258</v>
      </c>
      <c r="B2002" s="12" t="s">
        <v>1257</v>
      </c>
      <c r="C2002" s="12">
        <v>600</v>
      </c>
      <c r="D2002" s="12">
        <v>60</v>
      </c>
    </row>
    <row r="2003" spans="1:4" x14ac:dyDescent="0.2">
      <c r="A2003" s="12" t="s">
        <v>8648</v>
      </c>
      <c r="B2003" s="12" t="s">
        <v>8647</v>
      </c>
      <c r="C2003" s="12">
        <v>50</v>
      </c>
      <c r="D2003" s="12">
        <v>5</v>
      </c>
    </row>
    <row r="2004" spans="1:4" x14ac:dyDescent="0.2">
      <c r="A2004" s="12" t="s">
        <v>8527</v>
      </c>
      <c r="B2004" s="12" t="s">
        <v>8526</v>
      </c>
      <c r="C2004" s="12">
        <v>300</v>
      </c>
      <c r="D2004" s="12">
        <v>30</v>
      </c>
    </row>
    <row r="2005" spans="1:4" x14ac:dyDescent="0.2">
      <c r="A2005" s="12" t="s">
        <v>4208</v>
      </c>
      <c r="B2005" s="12" t="s">
        <v>4207</v>
      </c>
      <c r="C2005" s="12">
        <v>5</v>
      </c>
      <c r="D2005" s="12">
        <v>0.5</v>
      </c>
    </row>
    <row r="2006" spans="1:4" x14ac:dyDescent="0.2">
      <c r="A2006" s="12" t="s">
        <v>5968</v>
      </c>
      <c r="B2006" s="12" t="s">
        <v>5967</v>
      </c>
      <c r="C2006" s="12">
        <v>42</v>
      </c>
      <c r="D2006" s="12">
        <v>4.2</v>
      </c>
    </row>
    <row r="2007" spans="1:4" x14ac:dyDescent="0.2">
      <c r="A2007" s="12" t="s">
        <v>1108</v>
      </c>
      <c r="B2007" s="12" t="s">
        <v>1107</v>
      </c>
      <c r="C2007" s="12">
        <v>2340</v>
      </c>
      <c r="D2007" s="12">
        <v>234</v>
      </c>
    </row>
    <row r="2008" spans="1:4" x14ac:dyDescent="0.2">
      <c r="A2008" s="12" t="s">
        <v>5346</v>
      </c>
      <c r="B2008" s="12" t="s">
        <v>5345</v>
      </c>
      <c r="C2008" s="12">
        <v>0.21</v>
      </c>
      <c r="D2008" s="12">
        <v>1.6999999999999999E-3</v>
      </c>
    </row>
    <row r="2009" spans="1:4" x14ac:dyDescent="0.2">
      <c r="A2009" s="12" t="s">
        <v>7385</v>
      </c>
      <c r="B2009" s="12" t="s">
        <v>7384</v>
      </c>
      <c r="C2009" s="12">
        <v>2450</v>
      </c>
      <c r="D2009" s="12">
        <v>245</v>
      </c>
    </row>
    <row r="2010" spans="1:4" x14ac:dyDescent="0.2">
      <c r="A2010" s="12" t="s">
        <v>7120</v>
      </c>
      <c r="B2010" s="12" t="s">
        <v>7119</v>
      </c>
      <c r="C2010" s="12">
        <v>10</v>
      </c>
      <c r="D2010" s="12">
        <v>1</v>
      </c>
    </row>
    <row r="2011" spans="1:4" x14ac:dyDescent="0.2">
      <c r="A2011" s="12" t="s">
        <v>1887</v>
      </c>
      <c r="B2011" s="12" t="s">
        <v>1886</v>
      </c>
      <c r="C2011" s="12">
        <v>2000</v>
      </c>
      <c r="D2011" s="12">
        <v>200</v>
      </c>
    </row>
    <row r="2012" spans="1:4" x14ac:dyDescent="0.2">
      <c r="A2012" s="12" t="s">
        <v>8143</v>
      </c>
      <c r="B2012" s="12" t="s">
        <v>8142</v>
      </c>
      <c r="C2012" s="12">
        <v>2</v>
      </c>
      <c r="D2012" s="12">
        <v>0.2</v>
      </c>
    </row>
    <row r="2013" spans="1:4" x14ac:dyDescent="0.2">
      <c r="A2013" s="12" t="s">
        <v>920</v>
      </c>
      <c r="B2013" s="12" t="s">
        <v>919</v>
      </c>
      <c r="C2013" s="12">
        <v>50</v>
      </c>
      <c r="D2013" s="12">
        <v>5</v>
      </c>
    </row>
    <row r="2014" spans="1:4" x14ac:dyDescent="0.2">
      <c r="A2014" s="12" t="s">
        <v>5009</v>
      </c>
      <c r="B2014" s="12" t="s">
        <v>5008</v>
      </c>
      <c r="C2014" s="12">
        <v>20</v>
      </c>
      <c r="D2014" s="12">
        <v>2</v>
      </c>
    </row>
    <row r="2015" spans="1:4" x14ac:dyDescent="0.2">
      <c r="A2015" s="12" t="s">
        <v>330</v>
      </c>
      <c r="B2015" s="12" t="s">
        <v>329</v>
      </c>
      <c r="C2015" s="12">
        <v>2</v>
      </c>
      <c r="D2015" s="12">
        <v>0.2</v>
      </c>
    </row>
    <row r="2016" spans="1:4" x14ac:dyDescent="0.2">
      <c r="A2016" s="12" t="s">
        <v>955</v>
      </c>
      <c r="B2016" s="12" t="s">
        <v>954</v>
      </c>
      <c r="C2016" s="12">
        <v>8200</v>
      </c>
      <c r="D2016" s="12">
        <v>820</v>
      </c>
    </row>
    <row r="2017" spans="1:4" x14ac:dyDescent="0.2">
      <c r="A2017" s="12" t="s">
        <v>1924</v>
      </c>
      <c r="B2017" s="12" t="s">
        <v>1923</v>
      </c>
      <c r="C2017" s="12">
        <v>100</v>
      </c>
      <c r="D2017" s="12">
        <v>10</v>
      </c>
    </row>
    <row r="2018" spans="1:4" x14ac:dyDescent="0.2">
      <c r="A2018" s="12" t="s">
        <v>848</v>
      </c>
      <c r="B2018" s="12" t="s">
        <v>847</v>
      </c>
      <c r="C2018" s="12">
        <v>500</v>
      </c>
      <c r="D2018" s="12">
        <v>50</v>
      </c>
    </row>
    <row r="2019" spans="1:4" x14ac:dyDescent="0.2">
      <c r="A2019" s="12" t="s">
        <v>11697</v>
      </c>
      <c r="B2019" s="12" t="s">
        <v>11696</v>
      </c>
      <c r="C2019" s="12" t="s">
        <v>59</v>
      </c>
      <c r="D2019" s="12" t="s">
        <v>59</v>
      </c>
    </row>
    <row r="2020" spans="1:4" x14ac:dyDescent="0.2">
      <c r="A2020" s="12" t="s">
        <v>11698</v>
      </c>
      <c r="B2020" s="12" t="s">
        <v>11696</v>
      </c>
      <c r="C2020" s="12">
        <v>1000</v>
      </c>
      <c r="D2020" s="12">
        <v>100</v>
      </c>
    </row>
    <row r="2021" spans="1:4" x14ac:dyDescent="0.2">
      <c r="A2021" s="12" t="s">
        <v>862</v>
      </c>
      <c r="B2021" s="12" t="s">
        <v>861</v>
      </c>
      <c r="C2021" s="12">
        <v>3600</v>
      </c>
      <c r="D2021" s="12">
        <v>350</v>
      </c>
    </row>
    <row r="2022" spans="1:4" x14ac:dyDescent="0.2">
      <c r="A2022" s="12" t="s">
        <v>8500</v>
      </c>
      <c r="B2022" s="12" t="s">
        <v>8499</v>
      </c>
      <c r="C2022" s="12">
        <v>500</v>
      </c>
      <c r="D2022" s="12">
        <v>50</v>
      </c>
    </row>
    <row r="2023" spans="1:4" x14ac:dyDescent="0.2">
      <c r="A2023" s="12" t="s">
        <v>3855</v>
      </c>
      <c r="B2023" s="12" t="s">
        <v>3854</v>
      </c>
      <c r="C2023" s="12">
        <v>50</v>
      </c>
      <c r="D2023" s="12">
        <v>5</v>
      </c>
    </row>
    <row r="2024" spans="1:4" x14ac:dyDescent="0.2">
      <c r="A2024" s="12" t="s">
        <v>1869</v>
      </c>
      <c r="B2024" s="12" t="s">
        <v>1868</v>
      </c>
      <c r="C2024" s="12" t="s">
        <v>59</v>
      </c>
      <c r="D2024" s="12" t="s">
        <v>59</v>
      </c>
    </row>
    <row r="2025" spans="1:4" x14ac:dyDescent="0.2">
      <c r="A2025" s="12" t="s">
        <v>142</v>
      </c>
      <c r="B2025" s="12" t="s">
        <v>141</v>
      </c>
      <c r="C2025" s="12">
        <v>8200</v>
      </c>
      <c r="D2025" s="12">
        <v>820</v>
      </c>
    </row>
    <row r="2026" spans="1:4" x14ac:dyDescent="0.2">
      <c r="A2026" s="12" t="s">
        <v>9683</v>
      </c>
      <c r="B2026" s="12" t="s">
        <v>9682</v>
      </c>
      <c r="C2026" s="12">
        <v>80</v>
      </c>
      <c r="D2026" s="12">
        <v>8</v>
      </c>
    </row>
    <row r="2027" spans="1:4" x14ac:dyDescent="0.2">
      <c r="A2027" s="12" t="s">
        <v>2217</v>
      </c>
      <c r="B2027" s="12" t="s">
        <v>2216</v>
      </c>
      <c r="C2027" s="12">
        <v>470</v>
      </c>
      <c r="D2027" s="12">
        <v>47</v>
      </c>
    </row>
    <row r="2028" spans="1:4" x14ac:dyDescent="0.2">
      <c r="A2028" s="12" t="s">
        <v>3716</v>
      </c>
      <c r="B2028" s="12" t="s">
        <v>3715</v>
      </c>
      <c r="C2028" s="12">
        <v>1.3</v>
      </c>
      <c r="D2028" s="12">
        <v>5</v>
      </c>
    </row>
    <row r="2029" spans="1:4" x14ac:dyDescent="0.2">
      <c r="A2029" s="12" t="s">
        <v>3728</v>
      </c>
      <c r="B2029" s="12" t="s">
        <v>3727</v>
      </c>
      <c r="C2029" s="12">
        <v>30</v>
      </c>
      <c r="D2029" s="12">
        <v>3</v>
      </c>
    </row>
    <row r="2030" spans="1:4" x14ac:dyDescent="0.2">
      <c r="A2030" s="12" t="s">
        <v>5200</v>
      </c>
      <c r="B2030" s="12" t="s">
        <v>5199</v>
      </c>
      <c r="C2030" s="12">
        <v>0.5</v>
      </c>
      <c r="D2030" s="12">
        <v>0.05</v>
      </c>
    </row>
    <row r="2031" spans="1:4" x14ac:dyDescent="0.2">
      <c r="A2031" s="12" t="s">
        <v>9278</v>
      </c>
      <c r="B2031" s="12" t="s">
        <v>9277</v>
      </c>
      <c r="C2031" s="12">
        <v>2450</v>
      </c>
      <c r="D2031" s="12">
        <v>245</v>
      </c>
    </row>
    <row r="2032" spans="1:4" x14ac:dyDescent="0.2">
      <c r="A2032" s="12" t="s">
        <v>372</v>
      </c>
      <c r="B2032" s="12" t="s">
        <v>371</v>
      </c>
      <c r="C2032" s="12">
        <v>100</v>
      </c>
      <c r="D2032" s="12">
        <v>10</v>
      </c>
    </row>
    <row r="2033" spans="1:4" x14ac:dyDescent="0.2">
      <c r="A2033" s="12" t="s">
        <v>11994</v>
      </c>
      <c r="B2033" s="12" t="s">
        <v>11993</v>
      </c>
      <c r="C2033" s="12">
        <v>100</v>
      </c>
      <c r="D2033" s="12">
        <v>10</v>
      </c>
    </row>
    <row r="2034" spans="1:4" x14ac:dyDescent="0.2">
      <c r="A2034" s="12" t="s">
        <v>3048</v>
      </c>
      <c r="B2034" s="12" t="s">
        <v>3047</v>
      </c>
      <c r="C2034" s="12">
        <v>40</v>
      </c>
      <c r="D2034" s="12">
        <v>4</v>
      </c>
    </row>
    <row r="2035" spans="1:4" x14ac:dyDescent="0.2">
      <c r="A2035" s="12" t="s">
        <v>10969</v>
      </c>
      <c r="B2035" s="12" t="s">
        <v>10968</v>
      </c>
      <c r="C2035" s="12" t="s">
        <v>59</v>
      </c>
      <c r="D2035" s="12" t="s">
        <v>59</v>
      </c>
    </row>
    <row r="2036" spans="1:4" x14ac:dyDescent="0.2">
      <c r="A2036" s="12" t="s">
        <v>146</v>
      </c>
      <c r="B2036" s="12" t="s">
        <v>145</v>
      </c>
      <c r="C2036" s="12">
        <v>340</v>
      </c>
      <c r="D2036" s="12">
        <v>34</v>
      </c>
    </row>
    <row r="2037" spans="1:4" x14ac:dyDescent="0.2">
      <c r="A2037" s="12" t="s">
        <v>5970</v>
      </c>
      <c r="B2037" s="12" t="s">
        <v>5969</v>
      </c>
      <c r="C2037" s="12" t="s">
        <v>59</v>
      </c>
      <c r="D2037" s="12" t="s">
        <v>59</v>
      </c>
    </row>
    <row r="2038" spans="1:4" x14ac:dyDescent="0.2">
      <c r="A2038" s="12" t="s">
        <v>5214</v>
      </c>
      <c r="B2038" s="12" t="s">
        <v>5213</v>
      </c>
      <c r="C2038" s="12">
        <v>3400</v>
      </c>
      <c r="D2038" s="12">
        <v>340</v>
      </c>
    </row>
    <row r="2039" spans="1:4" x14ac:dyDescent="0.2">
      <c r="A2039" s="12" t="s">
        <v>11869</v>
      </c>
      <c r="B2039" s="12" t="s">
        <v>11868</v>
      </c>
      <c r="C2039" s="12">
        <v>3400</v>
      </c>
      <c r="D2039" s="12">
        <v>340</v>
      </c>
    </row>
    <row r="2040" spans="1:4" x14ac:dyDescent="0.2">
      <c r="A2040" s="12" t="s">
        <v>2916</v>
      </c>
      <c r="B2040" s="12" t="s">
        <v>2915</v>
      </c>
      <c r="C2040" s="12">
        <v>1000</v>
      </c>
      <c r="D2040" s="12">
        <v>100</v>
      </c>
    </row>
    <row r="2041" spans="1:4" x14ac:dyDescent="0.2">
      <c r="A2041" s="12" t="s">
        <v>11191</v>
      </c>
      <c r="B2041" s="12" t="s">
        <v>11190</v>
      </c>
      <c r="C2041" s="12" t="s">
        <v>59</v>
      </c>
      <c r="D2041" s="12" t="s">
        <v>59</v>
      </c>
    </row>
    <row r="2042" spans="1:4" x14ac:dyDescent="0.2">
      <c r="A2042" s="12" t="s">
        <v>11091</v>
      </c>
      <c r="B2042" s="12" t="s">
        <v>11090</v>
      </c>
      <c r="C2042" s="12" t="s">
        <v>59</v>
      </c>
      <c r="D2042" s="12" t="s">
        <v>59</v>
      </c>
    </row>
    <row r="2043" spans="1:4" x14ac:dyDescent="0.2">
      <c r="A2043" s="12" t="s">
        <v>8367</v>
      </c>
      <c r="B2043" s="12" t="s">
        <v>8366</v>
      </c>
      <c r="C2043" s="12" t="s">
        <v>59</v>
      </c>
      <c r="D2043" s="12" t="s">
        <v>59</v>
      </c>
    </row>
    <row r="2044" spans="1:4" x14ac:dyDescent="0.2">
      <c r="A2044" s="12" t="s">
        <v>8368</v>
      </c>
      <c r="B2044" s="12" t="s">
        <v>8366</v>
      </c>
      <c r="C2044" s="12">
        <v>1000</v>
      </c>
      <c r="D2044" s="12">
        <v>100</v>
      </c>
    </row>
    <row r="2045" spans="1:4" x14ac:dyDescent="0.2">
      <c r="A2045" s="12" t="s">
        <v>9526</v>
      </c>
      <c r="B2045" s="12" t="s">
        <v>9525</v>
      </c>
      <c r="C2045" s="12">
        <v>50</v>
      </c>
      <c r="D2045" s="12">
        <v>5</v>
      </c>
    </row>
    <row r="2046" spans="1:4" x14ac:dyDescent="0.2">
      <c r="A2046" s="12" t="s">
        <v>1240</v>
      </c>
      <c r="B2046" s="12" t="s">
        <v>1239</v>
      </c>
      <c r="C2046" s="12">
        <v>50</v>
      </c>
      <c r="D2046" s="12">
        <v>5</v>
      </c>
    </row>
    <row r="2047" spans="1:4" x14ac:dyDescent="0.2">
      <c r="A2047" s="12" t="s">
        <v>1702</v>
      </c>
      <c r="B2047" s="12" t="s">
        <v>1701</v>
      </c>
      <c r="C2047" s="12">
        <v>4800</v>
      </c>
      <c r="D2047" s="12">
        <v>450</v>
      </c>
    </row>
    <row r="2048" spans="1:4" x14ac:dyDescent="0.2">
      <c r="A2048" s="12" t="s">
        <v>12404</v>
      </c>
      <c r="B2048" s="12" t="s">
        <v>12403</v>
      </c>
      <c r="C2048" s="12" t="s">
        <v>59</v>
      </c>
      <c r="D2048" s="12" t="s">
        <v>59</v>
      </c>
    </row>
    <row r="2049" spans="1:4" x14ac:dyDescent="0.2">
      <c r="A2049" s="12" t="s">
        <v>12405</v>
      </c>
      <c r="B2049" s="12" t="s">
        <v>12403</v>
      </c>
      <c r="C2049" s="12">
        <v>1500</v>
      </c>
      <c r="D2049" s="12">
        <v>150</v>
      </c>
    </row>
    <row r="2050" spans="1:4" x14ac:dyDescent="0.2">
      <c r="A2050" s="12" t="s">
        <v>1758</v>
      </c>
      <c r="B2050" s="12" t="s">
        <v>1757</v>
      </c>
      <c r="C2050" s="12">
        <v>4800</v>
      </c>
      <c r="D2050" s="12">
        <v>450</v>
      </c>
    </row>
    <row r="2051" spans="1:4" x14ac:dyDescent="0.2">
      <c r="A2051" s="12" t="s">
        <v>3097</v>
      </c>
      <c r="B2051" s="12" t="s">
        <v>3096</v>
      </c>
      <c r="C2051" s="12">
        <v>4800</v>
      </c>
      <c r="D2051" s="12">
        <v>450</v>
      </c>
    </row>
    <row r="2052" spans="1:4" x14ac:dyDescent="0.2">
      <c r="A2052" s="12" t="s">
        <v>2894</v>
      </c>
      <c r="B2052" s="12" t="s">
        <v>2893</v>
      </c>
      <c r="C2052" s="12">
        <v>4800</v>
      </c>
      <c r="D2052" s="12">
        <v>450</v>
      </c>
    </row>
    <row r="2053" spans="1:4" x14ac:dyDescent="0.2">
      <c r="A2053" s="12" t="s">
        <v>3177</v>
      </c>
      <c r="B2053" s="12" t="s">
        <v>3176</v>
      </c>
      <c r="C2053" s="12">
        <v>4800</v>
      </c>
      <c r="D2053" s="12">
        <v>450</v>
      </c>
    </row>
    <row r="2054" spans="1:4" x14ac:dyDescent="0.2">
      <c r="A2054" s="12" t="s">
        <v>8074</v>
      </c>
      <c r="B2054" s="12" t="s">
        <v>8073</v>
      </c>
      <c r="C2054" s="12" t="s">
        <v>59</v>
      </c>
      <c r="D2054" s="12" t="s">
        <v>59</v>
      </c>
    </row>
    <row r="2055" spans="1:4" x14ac:dyDescent="0.2">
      <c r="A2055" s="12" t="s">
        <v>8075</v>
      </c>
      <c r="B2055" s="12" t="s">
        <v>8073</v>
      </c>
      <c r="C2055" s="12">
        <v>1000</v>
      </c>
      <c r="D2055" s="12">
        <v>100</v>
      </c>
    </row>
    <row r="2056" spans="1:4" x14ac:dyDescent="0.2">
      <c r="A2056" s="12" t="s">
        <v>7106</v>
      </c>
      <c r="B2056" s="12" t="s">
        <v>7105</v>
      </c>
      <c r="C2056" s="12">
        <v>0.5</v>
      </c>
      <c r="D2056" s="12">
        <v>0.05</v>
      </c>
    </row>
    <row r="2057" spans="1:4" x14ac:dyDescent="0.2">
      <c r="A2057" s="12" t="s">
        <v>9128</v>
      </c>
      <c r="B2057" s="12" t="s">
        <v>9127</v>
      </c>
      <c r="C2057" s="12">
        <v>10</v>
      </c>
      <c r="D2057" s="12">
        <v>1</v>
      </c>
    </row>
    <row r="2058" spans="1:4" x14ac:dyDescent="0.2">
      <c r="A2058" s="12" t="s">
        <v>2434</v>
      </c>
      <c r="B2058" s="12" t="s">
        <v>2433</v>
      </c>
      <c r="C2058" s="12" t="s">
        <v>59</v>
      </c>
      <c r="D2058" s="12" t="s">
        <v>59</v>
      </c>
    </row>
    <row r="2059" spans="1:4" x14ac:dyDescent="0.2">
      <c r="A2059" s="12" t="s">
        <v>2942</v>
      </c>
      <c r="B2059" s="12" t="s">
        <v>2941</v>
      </c>
      <c r="C2059" s="12">
        <v>200</v>
      </c>
      <c r="D2059" s="12">
        <v>20</v>
      </c>
    </row>
    <row r="2060" spans="1:4" x14ac:dyDescent="0.2">
      <c r="A2060" s="12" t="s">
        <v>3110</v>
      </c>
      <c r="B2060" s="12" t="s">
        <v>3109</v>
      </c>
      <c r="C2060" s="12">
        <v>370</v>
      </c>
      <c r="D2060" s="12">
        <v>37</v>
      </c>
    </row>
    <row r="2061" spans="1:4" x14ac:dyDescent="0.2">
      <c r="A2061" s="12" t="s">
        <v>5869</v>
      </c>
      <c r="B2061" s="12" t="s">
        <v>5868</v>
      </c>
      <c r="C2061" s="12">
        <v>8</v>
      </c>
      <c r="D2061" s="12">
        <v>0.8</v>
      </c>
    </row>
    <row r="2062" spans="1:4" x14ac:dyDescent="0.2">
      <c r="A2062" s="12" t="s">
        <v>1629</v>
      </c>
      <c r="B2062" s="12" t="s">
        <v>1628</v>
      </c>
      <c r="C2062" s="12">
        <v>500</v>
      </c>
      <c r="D2062" s="12">
        <v>50</v>
      </c>
    </row>
    <row r="2063" spans="1:4" x14ac:dyDescent="0.2">
      <c r="A2063" s="12" t="s">
        <v>11576</v>
      </c>
      <c r="B2063" s="12" t="s">
        <v>11575</v>
      </c>
      <c r="C2063" s="12">
        <v>100</v>
      </c>
      <c r="D2063" s="12">
        <v>10</v>
      </c>
    </row>
    <row r="2064" spans="1:4" x14ac:dyDescent="0.2">
      <c r="A2064" s="12" t="s">
        <v>11766</v>
      </c>
      <c r="B2064" s="12" t="s">
        <v>11765</v>
      </c>
      <c r="C2064" s="12">
        <v>5</v>
      </c>
      <c r="D2064" s="12">
        <v>0.5</v>
      </c>
    </row>
    <row r="2065" spans="1:4" x14ac:dyDescent="0.2">
      <c r="A2065" s="12" t="s">
        <v>9402</v>
      </c>
      <c r="B2065" s="12" t="s">
        <v>9401</v>
      </c>
      <c r="C2065" s="12">
        <v>1</v>
      </c>
      <c r="D2065" s="12">
        <v>0.1</v>
      </c>
    </row>
    <row r="2066" spans="1:4" x14ac:dyDescent="0.2">
      <c r="A2066" s="12" t="s">
        <v>12306</v>
      </c>
      <c r="B2066" s="12" t="s">
        <v>12305</v>
      </c>
      <c r="C2066" s="12">
        <v>10</v>
      </c>
      <c r="D2066" s="12">
        <v>1</v>
      </c>
    </row>
    <row r="2067" spans="1:4" x14ac:dyDescent="0.2">
      <c r="A2067" s="12" t="s">
        <v>4323</v>
      </c>
      <c r="B2067" s="12" t="s">
        <v>4322</v>
      </c>
      <c r="C2067" s="12" t="s">
        <v>59</v>
      </c>
      <c r="D2067" s="12" t="s">
        <v>59</v>
      </c>
    </row>
    <row r="2068" spans="1:4" x14ac:dyDescent="0.2">
      <c r="A2068" s="12" t="s">
        <v>11156</v>
      </c>
      <c r="B2068" s="12" t="s">
        <v>11155</v>
      </c>
      <c r="C2068" s="12" t="s">
        <v>59</v>
      </c>
      <c r="D2068" s="12" t="s">
        <v>59</v>
      </c>
    </row>
    <row r="2069" spans="1:4" x14ac:dyDescent="0.2">
      <c r="A2069" s="12" t="s">
        <v>228</v>
      </c>
      <c r="B2069" s="12" t="s">
        <v>227</v>
      </c>
      <c r="C2069" s="12" t="s">
        <v>59</v>
      </c>
      <c r="D2069" s="12" t="s">
        <v>59</v>
      </c>
    </row>
    <row r="2070" spans="1:4" x14ac:dyDescent="0.2">
      <c r="A2070" s="12" t="s">
        <v>4025</v>
      </c>
      <c r="B2070" s="12" t="s">
        <v>4024</v>
      </c>
      <c r="C2070" s="12" t="s">
        <v>59</v>
      </c>
      <c r="D2070" s="12" t="s">
        <v>59</v>
      </c>
    </row>
    <row r="2071" spans="1:4" x14ac:dyDescent="0.2">
      <c r="A2071" s="12" t="s">
        <v>4026</v>
      </c>
      <c r="B2071" s="12" t="s">
        <v>4024</v>
      </c>
      <c r="C2071" s="12">
        <v>600</v>
      </c>
      <c r="D2071" s="12">
        <v>60</v>
      </c>
    </row>
    <row r="2072" spans="1:4" x14ac:dyDescent="0.2">
      <c r="A2072" s="12" t="s">
        <v>3992</v>
      </c>
      <c r="B2072" s="12" t="s">
        <v>3991</v>
      </c>
      <c r="C2072" s="12" t="s">
        <v>59</v>
      </c>
      <c r="D2072" s="12" t="s">
        <v>59</v>
      </c>
    </row>
    <row r="2073" spans="1:4" x14ac:dyDescent="0.2">
      <c r="A2073" s="12" t="s">
        <v>3993</v>
      </c>
      <c r="B2073" s="12" t="s">
        <v>3991</v>
      </c>
      <c r="C2073" s="12">
        <v>600</v>
      </c>
      <c r="D2073" s="12">
        <v>60</v>
      </c>
    </row>
    <row r="2074" spans="1:4" x14ac:dyDescent="0.2">
      <c r="A2074" s="12" t="s">
        <v>5985</v>
      </c>
      <c r="B2074" s="12" t="s">
        <v>5984</v>
      </c>
      <c r="C2074" s="12">
        <v>5</v>
      </c>
      <c r="D2074" s="12">
        <v>0.5</v>
      </c>
    </row>
    <row r="2075" spans="1:4" x14ac:dyDescent="0.2">
      <c r="A2075" s="12" t="s">
        <v>2528</v>
      </c>
      <c r="B2075" s="12" t="s">
        <v>2527</v>
      </c>
      <c r="C2075" s="12">
        <v>720</v>
      </c>
      <c r="D2075" s="12">
        <v>72</v>
      </c>
    </row>
    <row r="2076" spans="1:4" x14ac:dyDescent="0.2">
      <c r="A2076" s="12" t="s">
        <v>10721</v>
      </c>
      <c r="B2076" s="12" t="s">
        <v>10720</v>
      </c>
      <c r="C2076" s="12" t="s">
        <v>59</v>
      </c>
      <c r="D2076" s="12" t="s">
        <v>59</v>
      </c>
    </row>
    <row r="2077" spans="1:4" x14ac:dyDescent="0.2">
      <c r="A2077" s="12" t="s">
        <v>2096</v>
      </c>
      <c r="B2077" s="12" t="s">
        <v>2095</v>
      </c>
      <c r="C2077" s="12">
        <v>50</v>
      </c>
      <c r="D2077" s="12">
        <v>5</v>
      </c>
    </row>
    <row r="2078" spans="1:4" x14ac:dyDescent="0.2">
      <c r="A2078" s="12" t="s">
        <v>11614</v>
      </c>
      <c r="B2078" s="12" t="s">
        <v>11613</v>
      </c>
      <c r="C2078" s="12" t="s">
        <v>59</v>
      </c>
      <c r="D2078" s="12" t="s">
        <v>59</v>
      </c>
    </row>
    <row r="2079" spans="1:4" x14ac:dyDescent="0.2">
      <c r="A2079" s="12" t="s">
        <v>11615</v>
      </c>
      <c r="B2079" s="12" t="s">
        <v>11613</v>
      </c>
      <c r="C2079" s="12">
        <v>1000</v>
      </c>
      <c r="D2079" s="12">
        <v>100</v>
      </c>
    </row>
    <row r="2080" spans="1:4" x14ac:dyDescent="0.2">
      <c r="A2080" s="12" t="s">
        <v>4317</v>
      </c>
      <c r="B2080" s="12" t="s">
        <v>4316</v>
      </c>
      <c r="C2080" s="12">
        <v>100</v>
      </c>
      <c r="D2080" s="12">
        <v>10</v>
      </c>
    </row>
    <row r="2081" spans="1:4" x14ac:dyDescent="0.2">
      <c r="A2081" s="12" t="s">
        <v>3431</v>
      </c>
      <c r="B2081" s="12" t="s">
        <v>3430</v>
      </c>
      <c r="C2081" s="12">
        <v>3000</v>
      </c>
      <c r="D2081" s="12">
        <v>300</v>
      </c>
    </row>
    <row r="2082" spans="1:4" x14ac:dyDescent="0.2">
      <c r="A2082" s="12" t="s">
        <v>2954</v>
      </c>
      <c r="B2082" s="12" t="s">
        <v>2953</v>
      </c>
      <c r="C2082" s="12">
        <v>20</v>
      </c>
      <c r="D2082" s="12">
        <v>2</v>
      </c>
    </row>
    <row r="2083" spans="1:4" x14ac:dyDescent="0.2">
      <c r="A2083" s="12" t="s">
        <v>1811</v>
      </c>
      <c r="B2083" s="12" t="s">
        <v>1810</v>
      </c>
      <c r="C2083" s="12">
        <v>50</v>
      </c>
      <c r="D2083" s="12">
        <v>5</v>
      </c>
    </row>
    <row r="2084" spans="1:4" x14ac:dyDescent="0.2">
      <c r="A2084" s="12" t="s">
        <v>5789</v>
      </c>
      <c r="B2084" s="12" t="s">
        <v>5788</v>
      </c>
      <c r="C2084" s="12">
        <v>1</v>
      </c>
      <c r="D2084" s="12">
        <v>0.1</v>
      </c>
    </row>
    <row r="2085" spans="1:4" x14ac:dyDescent="0.2">
      <c r="A2085" s="12" t="s">
        <v>2789</v>
      </c>
      <c r="B2085" s="12" t="s">
        <v>2788</v>
      </c>
      <c r="C2085" s="12">
        <v>1700</v>
      </c>
      <c r="D2085" s="12">
        <v>97</v>
      </c>
    </row>
    <row r="2086" spans="1:4" x14ac:dyDescent="0.2">
      <c r="A2086" s="12" t="s">
        <v>11000</v>
      </c>
      <c r="B2086" s="12" t="s">
        <v>10999</v>
      </c>
      <c r="C2086" s="12">
        <v>20</v>
      </c>
      <c r="D2086" s="12">
        <v>2</v>
      </c>
    </row>
    <row r="2087" spans="1:4" x14ac:dyDescent="0.2">
      <c r="A2087" s="12" t="s">
        <v>4578</v>
      </c>
      <c r="B2087" s="12" t="s">
        <v>4577</v>
      </c>
      <c r="C2087" s="12">
        <v>1</v>
      </c>
      <c r="D2087" s="12">
        <v>0.1</v>
      </c>
    </row>
    <row r="2088" spans="1:4" x14ac:dyDescent="0.2">
      <c r="A2088" s="12" t="s">
        <v>92</v>
      </c>
      <c r="B2088" s="12" t="s">
        <v>91</v>
      </c>
      <c r="C2088" s="12">
        <v>530</v>
      </c>
      <c r="D2088" s="12">
        <v>53</v>
      </c>
    </row>
    <row r="2089" spans="1:4" x14ac:dyDescent="0.2">
      <c r="A2089" s="12" t="s">
        <v>8628</v>
      </c>
      <c r="B2089" s="12" t="s">
        <v>8627</v>
      </c>
      <c r="C2089" s="12">
        <v>1000</v>
      </c>
      <c r="D2089" s="12">
        <v>100</v>
      </c>
    </row>
    <row r="2090" spans="1:4" x14ac:dyDescent="0.2">
      <c r="A2090" s="12" t="s">
        <v>5801</v>
      </c>
      <c r="B2090" s="12" t="s">
        <v>5800</v>
      </c>
      <c r="C2090" s="12" t="s">
        <v>59</v>
      </c>
      <c r="D2090" s="12" t="s">
        <v>59</v>
      </c>
    </row>
    <row r="2091" spans="1:4" x14ac:dyDescent="0.2">
      <c r="A2091" s="12" t="s">
        <v>5707</v>
      </c>
      <c r="B2091" s="12" t="s">
        <v>5706</v>
      </c>
      <c r="C2091" s="12">
        <v>10</v>
      </c>
      <c r="D2091" s="12">
        <v>1</v>
      </c>
    </row>
    <row r="2092" spans="1:4" x14ac:dyDescent="0.2">
      <c r="A2092" s="12" t="s">
        <v>6813</v>
      </c>
      <c r="B2092" s="12" t="s">
        <v>6812</v>
      </c>
      <c r="C2092" s="12" t="s">
        <v>59</v>
      </c>
      <c r="D2092" s="12" t="s">
        <v>59</v>
      </c>
    </row>
    <row r="2093" spans="1:4" x14ac:dyDescent="0.2">
      <c r="A2093" s="12" t="s">
        <v>7266</v>
      </c>
      <c r="B2093" s="12" t="s">
        <v>7265</v>
      </c>
      <c r="C2093" s="12">
        <v>720</v>
      </c>
      <c r="D2093" s="12">
        <v>72</v>
      </c>
    </row>
    <row r="2094" spans="1:4" x14ac:dyDescent="0.2">
      <c r="A2094" s="12" t="s">
        <v>9898</v>
      </c>
      <c r="B2094" s="12" t="s">
        <v>9897</v>
      </c>
      <c r="C2094" s="12">
        <v>25</v>
      </c>
      <c r="D2094" s="12">
        <v>2.5</v>
      </c>
    </row>
    <row r="2095" spans="1:4" x14ac:dyDescent="0.2">
      <c r="A2095" s="12" t="s">
        <v>9558</v>
      </c>
      <c r="B2095" s="12" t="s">
        <v>9557</v>
      </c>
      <c r="C2095" s="12">
        <v>15</v>
      </c>
      <c r="D2095" s="12">
        <v>1.5</v>
      </c>
    </row>
    <row r="2096" spans="1:4" x14ac:dyDescent="0.2">
      <c r="A2096" s="12" t="s">
        <v>6296</v>
      </c>
      <c r="B2096" s="12" t="s">
        <v>6295</v>
      </c>
      <c r="C2096" s="12">
        <v>1</v>
      </c>
      <c r="D2096" s="12">
        <v>0.1</v>
      </c>
    </row>
    <row r="2097" spans="1:4" x14ac:dyDescent="0.2">
      <c r="A2097" s="12" t="s">
        <v>1429</v>
      </c>
      <c r="B2097" s="12" t="s">
        <v>1428</v>
      </c>
      <c r="C2097" s="12">
        <v>1000</v>
      </c>
      <c r="D2097" s="12">
        <v>100</v>
      </c>
    </row>
    <row r="2098" spans="1:4" x14ac:dyDescent="0.2">
      <c r="A2098" s="12" t="s">
        <v>8242</v>
      </c>
      <c r="B2098" s="12" t="s">
        <v>8241</v>
      </c>
      <c r="C2098" s="12">
        <v>1</v>
      </c>
      <c r="D2098" s="12">
        <v>0.1</v>
      </c>
    </row>
    <row r="2099" spans="1:4" x14ac:dyDescent="0.2">
      <c r="A2099" s="12" t="s">
        <v>2162</v>
      </c>
      <c r="B2099" s="12" t="s">
        <v>2161</v>
      </c>
      <c r="C2099" s="12" t="s">
        <v>59</v>
      </c>
      <c r="D2099" s="12" t="s">
        <v>59</v>
      </c>
    </row>
    <row r="2100" spans="1:4" x14ac:dyDescent="0.2">
      <c r="A2100" s="12" t="s">
        <v>2163</v>
      </c>
      <c r="B2100" s="12" t="s">
        <v>2161</v>
      </c>
      <c r="C2100" s="12">
        <v>1000</v>
      </c>
      <c r="D2100" s="12">
        <v>100</v>
      </c>
    </row>
    <row r="2101" spans="1:4" x14ac:dyDescent="0.2">
      <c r="A2101" s="12" t="s">
        <v>10567</v>
      </c>
      <c r="B2101" s="12" t="s">
        <v>10566</v>
      </c>
      <c r="C2101" s="12">
        <v>2500</v>
      </c>
      <c r="D2101" s="12">
        <v>250</v>
      </c>
    </row>
    <row r="2102" spans="1:4" x14ac:dyDescent="0.2">
      <c r="A2102" s="12" t="s">
        <v>11732</v>
      </c>
      <c r="B2102" s="12" t="s">
        <v>11731</v>
      </c>
      <c r="C2102" s="12">
        <v>50</v>
      </c>
      <c r="D2102" s="12">
        <v>5</v>
      </c>
    </row>
    <row r="2103" spans="1:4" x14ac:dyDescent="0.2">
      <c r="A2103" s="12" t="s">
        <v>11780</v>
      </c>
      <c r="B2103" s="12" t="s">
        <v>11779</v>
      </c>
      <c r="C2103" s="12">
        <v>140</v>
      </c>
      <c r="D2103" s="12">
        <v>14</v>
      </c>
    </row>
    <row r="2104" spans="1:4" x14ac:dyDescent="0.2">
      <c r="A2104" s="12" t="s">
        <v>9711</v>
      </c>
      <c r="B2104" s="12" t="s">
        <v>9710</v>
      </c>
      <c r="C2104" s="12" t="s">
        <v>59</v>
      </c>
      <c r="D2104" s="12" t="s">
        <v>59</v>
      </c>
    </row>
    <row r="2105" spans="1:4" x14ac:dyDescent="0.2">
      <c r="A2105" s="12" t="s">
        <v>9712</v>
      </c>
      <c r="B2105" s="12" t="s">
        <v>9710</v>
      </c>
      <c r="C2105" s="12">
        <v>10000</v>
      </c>
      <c r="D2105" s="12">
        <v>1000</v>
      </c>
    </row>
    <row r="2106" spans="1:4" x14ac:dyDescent="0.2">
      <c r="A2106" s="12" t="s">
        <v>8380</v>
      </c>
      <c r="B2106" s="12" t="s">
        <v>8379</v>
      </c>
      <c r="C2106" s="12">
        <v>500</v>
      </c>
      <c r="D2106" s="12">
        <v>50</v>
      </c>
    </row>
    <row r="2107" spans="1:4" x14ac:dyDescent="0.2">
      <c r="A2107" s="12" t="s">
        <v>6591</v>
      </c>
      <c r="B2107" s="12" t="s">
        <v>6590</v>
      </c>
      <c r="C2107" s="12">
        <v>500</v>
      </c>
      <c r="D2107" s="12">
        <v>50</v>
      </c>
    </row>
    <row r="2108" spans="1:4" x14ac:dyDescent="0.2">
      <c r="A2108" s="12" t="s">
        <v>11571</v>
      </c>
      <c r="B2108" s="12" t="s">
        <v>11570</v>
      </c>
      <c r="C2108" s="12" t="s">
        <v>59</v>
      </c>
      <c r="D2108" s="12" t="s">
        <v>59</v>
      </c>
    </row>
    <row r="2109" spans="1:4" x14ac:dyDescent="0.2">
      <c r="A2109" s="12" t="s">
        <v>11572</v>
      </c>
      <c r="B2109" s="12" t="s">
        <v>11570</v>
      </c>
      <c r="C2109" s="12">
        <v>500</v>
      </c>
      <c r="D2109" s="12">
        <v>50</v>
      </c>
    </row>
    <row r="2110" spans="1:4" x14ac:dyDescent="0.2">
      <c r="A2110" s="12" t="s">
        <v>661</v>
      </c>
      <c r="B2110" s="12" t="s">
        <v>660</v>
      </c>
      <c r="C2110" s="12" t="s">
        <v>59</v>
      </c>
      <c r="D2110" s="12" t="s">
        <v>59</v>
      </c>
    </row>
    <row r="2111" spans="1:4" x14ac:dyDescent="0.2">
      <c r="A2111" s="12" t="s">
        <v>9709</v>
      </c>
      <c r="B2111" s="12" t="s">
        <v>9708</v>
      </c>
      <c r="C2111" s="12">
        <v>1000</v>
      </c>
      <c r="D2111" s="12">
        <v>100</v>
      </c>
    </row>
    <row r="2112" spans="1:4" x14ac:dyDescent="0.2">
      <c r="A2112" s="12" t="s">
        <v>7656</v>
      </c>
      <c r="B2112" s="12" t="s">
        <v>7655</v>
      </c>
      <c r="C2112" s="12">
        <v>20</v>
      </c>
      <c r="D2112" s="12">
        <v>2</v>
      </c>
    </row>
    <row r="2113" spans="1:4" x14ac:dyDescent="0.2">
      <c r="A2113" s="12" t="s">
        <v>11670</v>
      </c>
      <c r="B2113" s="12" t="s">
        <v>11669</v>
      </c>
      <c r="C2113" s="12" t="s">
        <v>59</v>
      </c>
      <c r="D2113" s="12" t="s">
        <v>59</v>
      </c>
    </row>
    <row r="2114" spans="1:4" x14ac:dyDescent="0.2">
      <c r="A2114" s="12" t="s">
        <v>11671</v>
      </c>
      <c r="B2114" s="12" t="s">
        <v>11669</v>
      </c>
      <c r="C2114" s="12">
        <v>1000</v>
      </c>
      <c r="D2114" s="12">
        <v>100</v>
      </c>
    </row>
    <row r="2115" spans="1:4" x14ac:dyDescent="0.2">
      <c r="A2115" s="12" t="s">
        <v>9738</v>
      </c>
      <c r="B2115" s="12" t="s">
        <v>9737</v>
      </c>
      <c r="C2115" s="12">
        <v>100</v>
      </c>
      <c r="D2115" s="12">
        <v>10</v>
      </c>
    </row>
    <row r="2116" spans="1:4" x14ac:dyDescent="0.2">
      <c r="A2116" s="12" t="s">
        <v>676</v>
      </c>
      <c r="B2116" s="12" t="s">
        <v>675</v>
      </c>
      <c r="C2116" s="12">
        <v>1000</v>
      </c>
      <c r="D2116" s="12">
        <v>100</v>
      </c>
    </row>
    <row r="2117" spans="1:4" x14ac:dyDescent="0.2">
      <c r="A2117" s="12" t="s">
        <v>8664</v>
      </c>
      <c r="B2117" s="12" t="s">
        <v>8663</v>
      </c>
      <c r="C2117" s="12">
        <v>0.1</v>
      </c>
      <c r="D2117" s="12">
        <v>0.01</v>
      </c>
    </row>
    <row r="2118" spans="1:4" x14ac:dyDescent="0.2">
      <c r="A2118" s="12" t="s">
        <v>6518</v>
      </c>
      <c r="B2118" s="12" t="s">
        <v>6517</v>
      </c>
      <c r="C2118" s="12">
        <v>1000</v>
      </c>
      <c r="D2118" s="12">
        <v>100</v>
      </c>
    </row>
    <row r="2119" spans="1:4" x14ac:dyDescent="0.2">
      <c r="A2119" s="12" t="s">
        <v>8774</v>
      </c>
      <c r="B2119" s="12" t="s">
        <v>8773</v>
      </c>
      <c r="C2119" s="12" t="s">
        <v>59</v>
      </c>
      <c r="D2119" s="12" t="s">
        <v>59</v>
      </c>
    </row>
    <row r="2120" spans="1:4" x14ac:dyDescent="0.2">
      <c r="A2120" s="12" t="s">
        <v>8775</v>
      </c>
      <c r="B2120" s="12" t="s">
        <v>8773</v>
      </c>
      <c r="C2120" s="12">
        <v>1000</v>
      </c>
      <c r="D2120" s="12">
        <v>100</v>
      </c>
    </row>
    <row r="2121" spans="1:4" x14ac:dyDescent="0.2">
      <c r="A2121" s="12" t="s">
        <v>10486</v>
      </c>
      <c r="B2121" s="12" t="s">
        <v>10485</v>
      </c>
      <c r="C2121" s="12" t="s">
        <v>59</v>
      </c>
      <c r="D2121" s="12" t="s">
        <v>59</v>
      </c>
    </row>
    <row r="2122" spans="1:4" x14ac:dyDescent="0.2">
      <c r="A2122" s="12" t="s">
        <v>1579</v>
      </c>
      <c r="B2122" s="12" t="s">
        <v>1578</v>
      </c>
      <c r="C2122" s="12">
        <v>50</v>
      </c>
      <c r="D2122" s="12">
        <v>5</v>
      </c>
    </row>
    <row r="2123" spans="1:4" x14ac:dyDescent="0.2">
      <c r="A2123" s="12" t="s">
        <v>1807</v>
      </c>
      <c r="B2123" s="12" t="s">
        <v>1806</v>
      </c>
      <c r="C2123" s="12">
        <v>50</v>
      </c>
      <c r="D2123" s="12">
        <v>5</v>
      </c>
    </row>
    <row r="2124" spans="1:4" x14ac:dyDescent="0.2">
      <c r="A2124" s="12" t="s">
        <v>1548</v>
      </c>
      <c r="B2124" s="12" t="s">
        <v>1547</v>
      </c>
      <c r="C2124" s="12">
        <v>50</v>
      </c>
      <c r="D2124" s="12">
        <v>5</v>
      </c>
    </row>
    <row r="2125" spans="1:4" x14ac:dyDescent="0.2">
      <c r="A2125" s="12" t="s">
        <v>433</v>
      </c>
      <c r="B2125" s="12" t="s">
        <v>432</v>
      </c>
      <c r="C2125" s="12">
        <v>35</v>
      </c>
      <c r="D2125" s="12">
        <v>3.5</v>
      </c>
    </row>
    <row r="2126" spans="1:4" x14ac:dyDescent="0.2">
      <c r="A2126" s="12" t="s">
        <v>10643</v>
      </c>
      <c r="B2126" s="12" t="s">
        <v>10642</v>
      </c>
      <c r="C2126" s="12">
        <v>30</v>
      </c>
      <c r="D2126" s="12">
        <v>3</v>
      </c>
    </row>
    <row r="2127" spans="1:4" x14ac:dyDescent="0.2">
      <c r="A2127" s="12" t="s">
        <v>4606</v>
      </c>
      <c r="B2127" s="12" t="s">
        <v>4605</v>
      </c>
      <c r="C2127" s="12">
        <v>2900</v>
      </c>
      <c r="D2127" s="12">
        <v>3700</v>
      </c>
    </row>
    <row r="2128" spans="1:4" x14ac:dyDescent="0.2">
      <c r="A2128" s="12" t="s">
        <v>1560</v>
      </c>
      <c r="B2128" s="12" t="s">
        <v>1559</v>
      </c>
      <c r="C2128" s="12" t="s">
        <v>59</v>
      </c>
      <c r="D2128" s="12" t="s">
        <v>59</v>
      </c>
    </row>
    <row r="2129" spans="1:4" x14ac:dyDescent="0.2">
      <c r="A2129" s="12" t="s">
        <v>1561</v>
      </c>
      <c r="B2129" s="12" t="s">
        <v>1559</v>
      </c>
      <c r="C2129" s="12">
        <v>1000</v>
      </c>
      <c r="D2129" s="12">
        <v>100</v>
      </c>
    </row>
    <row r="2130" spans="1:4" x14ac:dyDescent="0.2">
      <c r="A2130" s="12" t="s">
        <v>4325</v>
      </c>
      <c r="B2130" s="12" t="s">
        <v>4324</v>
      </c>
      <c r="C2130" s="12" t="s">
        <v>59</v>
      </c>
      <c r="D2130" s="12" t="s">
        <v>59</v>
      </c>
    </row>
    <row r="2131" spans="1:4" x14ac:dyDescent="0.2">
      <c r="A2131" s="12" t="s">
        <v>4916</v>
      </c>
      <c r="B2131" s="12" t="s">
        <v>4915</v>
      </c>
      <c r="C2131" s="12">
        <v>1</v>
      </c>
      <c r="D2131" s="12">
        <v>0.1</v>
      </c>
    </row>
    <row r="2132" spans="1:4" x14ac:dyDescent="0.2">
      <c r="A2132" s="12" t="s">
        <v>975</v>
      </c>
      <c r="B2132" s="12" t="s">
        <v>974</v>
      </c>
      <c r="C2132" s="12">
        <v>2700</v>
      </c>
      <c r="D2132" s="12">
        <v>270</v>
      </c>
    </row>
    <row r="2133" spans="1:4" x14ac:dyDescent="0.2">
      <c r="A2133" s="12" t="s">
        <v>2136</v>
      </c>
      <c r="B2133" s="12" t="s">
        <v>2135</v>
      </c>
      <c r="C2133" s="12">
        <v>1500</v>
      </c>
      <c r="D2133" s="12">
        <v>150</v>
      </c>
    </row>
    <row r="2134" spans="1:4" x14ac:dyDescent="0.2">
      <c r="A2134" s="12" t="s">
        <v>804</v>
      </c>
      <c r="B2134" s="12" t="s">
        <v>803</v>
      </c>
      <c r="C2134" s="12">
        <v>125</v>
      </c>
      <c r="D2134" s="12">
        <v>12.5</v>
      </c>
    </row>
    <row r="2135" spans="1:4" x14ac:dyDescent="0.2">
      <c r="A2135" s="12" t="s">
        <v>10725</v>
      </c>
      <c r="B2135" s="12" t="s">
        <v>10724</v>
      </c>
      <c r="C2135" s="12" t="s">
        <v>59</v>
      </c>
      <c r="D2135" s="12" t="s">
        <v>59</v>
      </c>
    </row>
    <row r="2136" spans="1:4" x14ac:dyDescent="0.2">
      <c r="A2136" s="12" t="s">
        <v>4610</v>
      </c>
      <c r="B2136" s="12" t="s">
        <v>4609</v>
      </c>
      <c r="C2136" s="12">
        <v>160</v>
      </c>
      <c r="D2136" s="12">
        <v>16</v>
      </c>
    </row>
    <row r="2137" spans="1:4" x14ac:dyDescent="0.2">
      <c r="A2137" s="12" t="s">
        <v>8299</v>
      </c>
      <c r="B2137" s="12" t="s">
        <v>8298</v>
      </c>
      <c r="C2137" s="12" t="s">
        <v>59</v>
      </c>
      <c r="D2137" s="12" t="s">
        <v>59</v>
      </c>
    </row>
    <row r="2138" spans="1:4" x14ac:dyDescent="0.2">
      <c r="A2138" s="12" t="s">
        <v>1567</v>
      </c>
      <c r="B2138" s="12" t="s">
        <v>1566</v>
      </c>
      <c r="C2138" s="12">
        <v>0.5</v>
      </c>
      <c r="D2138" s="12">
        <v>0.05</v>
      </c>
    </row>
    <row r="2139" spans="1:4" x14ac:dyDescent="0.2">
      <c r="A2139" s="12" t="s">
        <v>3954</v>
      </c>
      <c r="B2139" s="12" t="s">
        <v>3953</v>
      </c>
      <c r="C2139" s="12">
        <v>140</v>
      </c>
      <c r="D2139" s="12">
        <v>14</v>
      </c>
    </row>
    <row r="2140" spans="1:4" x14ac:dyDescent="0.2">
      <c r="A2140" s="12" t="s">
        <v>3105</v>
      </c>
      <c r="B2140" s="12" t="s">
        <v>3104</v>
      </c>
      <c r="C2140" s="12">
        <v>190</v>
      </c>
      <c r="D2140" s="12">
        <v>19</v>
      </c>
    </row>
    <row r="2141" spans="1:4" x14ac:dyDescent="0.2">
      <c r="A2141" s="12" t="s">
        <v>8036</v>
      </c>
      <c r="B2141" s="12" t="s">
        <v>8035</v>
      </c>
      <c r="C2141" s="12">
        <v>580</v>
      </c>
      <c r="D2141" s="12">
        <v>58</v>
      </c>
    </row>
    <row r="2142" spans="1:4" x14ac:dyDescent="0.2">
      <c r="A2142" s="12" t="s">
        <v>1228</v>
      </c>
      <c r="B2142" s="12" t="s">
        <v>1227</v>
      </c>
      <c r="C2142" s="12">
        <v>5700</v>
      </c>
      <c r="D2142" s="12">
        <v>570</v>
      </c>
    </row>
    <row r="2143" spans="1:4" x14ac:dyDescent="0.2">
      <c r="A2143" s="12" t="s">
        <v>1238</v>
      </c>
      <c r="B2143" s="12" t="s">
        <v>1237</v>
      </c>
      <c r="C2143" s="12">
        <v>120</v>
      </c>
      <c r="D2143" s="12">
        <v>12</v>
      </c>
    </row>
    <row r="2144" spans="1:4" x14ac:dyDescent="0.2">
      <c r="A2144" s="12" t="s">
        <v>5695</v>
      </c>
      <c r="B2144" s="12" t="s">
        <v>5694</v>
      </c>
      <c r="C2144" s="12">
        <v>5</v>
      </c>
      <c r="D2144" s="12">
        <v>0.5</v>
      </c>
    </row>
    <row r="2145" spans="1:4" x14ac:dyDescent="0.2">
      <c r="A2145" s="12" t="s">
        <v>4501</v>
      </c>
      <c r="B2145" s="12" t="s">
        <v>4500</v>
      </c>
      <c r="C2145" s="12">
        <v>90</v>
      </c>
      <c r="D2145" s="12">
        <v>9</v>
      </c>
    </row>
    <row r="2146" spans="1:4" x14ac:dyDescent="0.2">
      <c r="A2146" s="12" t="s">
        <v>2065</v>
      </c>
      <c r="B2146" s="12" t="s">
        <v>2064</v>
      </c>
      <c r="C2146" s="12">
        <v>5</v>
      </c>
      <c r="D2146" s="12">
        <v>0.5</v>
      </c>
    </row>
    <row r="2147" spans="1:4" x14ac:dyDescent="0.2">
      <c r="A2147" s="12" t="s">
        <v>12066</v>
      </c>
      <c r="B2147" s="12" t="s">
        <v>12065</v>
      </c>
      <c r="C2147" s="12">
        <v>0.5</v>
      </c>
      <c r="D2147" s="12">
        <v>0.05</v>
      </c>
    </row>
    <row r="2148" spans="1:4" x14ac:dyDescent="0.2">
      <c r="A2148" s="12" t="s">
        <v>8425</v>
      </c>
      <c r="B2148" s="12" t="s">
        <v>8424</v>
      </c>
      <c r="C2148" s="12">
        <v>100</v>
      </c>
      <c r="D2148" s="12">
        <v>10</v>
      </c>
    </row>
    <row r="2149" spans="1:4" x14ac:dyDescent="0.2">
      <c r="A2149" s="12" t="s">
        <v>1768</v>
      </c>
      <c r="B2149" s="12" t="s">
        <v>1767</v>
      </c>
      <c r="C2149" s="12">
        <v>4</v>
      </c>
      <c r="D2149" s="12">
        <v>0.4</v>
      </c>
    </row>
    <row r="2150" spans="1:4" x14ac:dyDescent="0.2">
      <c r="A2150" s="12" t="s">
        <v>4383</v>
      </c>
      <c r="B2150" s="12" t="s">
        <v>4382</v>
      </c>
      <c r="C2150" s="12">
        <v>10</v>
      </c>
      <c r="D2150" s="12">
        <v>1</v>
      </c>
    </row>
    <row r="2151" spans="1:4" x14ac:dyDescent="0.2">
      <c r="A2151" s="12" t="s">
        <v>10454</v>
      </c>
      <c r="B2151" s="12" t="s">
        <v>10453</v>
      </c>
      <c r="C2151" s="12" t="s">
        <v>59</v>
      </c>
      <c r="D2151" s="12" t="s">
        <v>59</v>
      </c>
    </row>
    <row r="2152" spans="1:4" x14ac:dyDescent="0.2">
      <c r="A2152" s="12" t="s">
        <v>1463</v>
      </c>
      <c r="B2152" s="12" t="s">
        <v>1462</v>
      </c>
      <c r="C2152" s="12">
        <v>3440</v>
      </c>
      <c r="D2152" s="12">
        <v>344</v>
      </c>
    </row>
    <row r="2153" spans="1:4" x14ac:dyDescent="0.2">
      <c r="A2153" s="12" t="s">
        <v>5990</v>
      </c>
      <c r="B2153" s="12" t="s">
        <v>5989</v>
      </c>
      <c r="C2153" s="12">
        <v>4.2</v>
      </c>
      <c r="D2153" s="12">
        <v>0.42</v>
      </c>
    </row>
    <row r="2154" spans="1:4" x14ac:dyDescent="0.2">
      <c r="A2154" s="12" t="s">
        <v>1017</v>
      </c>
      <c r="B2154" s="12" t="s">
        <v>1016</v>
      </c>
      <c r="C2154" s="12">
        <v>120</v>
      </c>
      <c r="D2154" s="12">
        <v>12</v>
      </c>
    </row>
    <row r="2155" spans="1:4" x14ac:dyDescent="0.2">
      <c r="A2155" s="12" t="s">
        <v>6446</v>
      </c>
      <c r="B2155" s="12" t="s">
        <v>6445</v>
      </c>
      <c r="C2155" s="12">
        <v>140</v>
      </c>
      <c r="D2155" s="12">
        <v>14</v>
      </c>
    </row>
    <row r="2156" spans="1:4" x14ac:dyDescent="0.2">
      <c r="A2156" s="12" t="s">
        <v>2633</v>
      </c>
      <c r="B2156" s="12" t="s">
        <v>2632</v>
      </c>
      <c r="C2156" s="12">
        <v>100</v>
      </c>
      <c r="D2156" s="12">
        <v>10</v>
      </c>
    </row>
    <row r="2157" spans="1:4" x14ac:dyDescent="0.2">
      <c r="A2157" s="12" t="s">
        <v>4666</v>
      </c>
      <c r="B2157" s="12" t="s">
        <v>4665</v>
      </c>
      <c r="C2157" s="12" t="s">
        <v>59</v>
      </c>
      <c r="D2157" s="12" t="s">
        <v>59</v>
      </c>
    </row>
    <row r="2158" spans="1:4" x14ac:dyDescent="0.2">
      <c r="A2158" s="12" t="s">
        <v>11738</v>
      </c>
      <c r="B2158" s="12" t="s">
        <v>11737</v>
      </c>
      <c r="C2158" s="12">
        <v>1560</v>
      </c>
      <c r="D2158" s="12">
        <v>156</v>
      </c>
    </row>
    <row r="2159" spans="1:4" x14ac:dyDescent="0.2">
      <c r="A2159" s="12" t="s">
        <v>12172</v>
      </c>
      <c r="B2159" s="12" t="s">
        <v>12171</v>
      </c>
      <c r="C2159" s="12">
        <v>25</v>
      </c>
      <c r="D2159" s="12">
        <v>2.5</v>
      </c>
    </row>
    <row r="2160" spans="1:4" x14ac:dyDescent="0.2">
      <c r="A2160" s="12" t="s">
        <v>12173</v>
      </c>
      <c r="B2160" s="12" t="s">
        <v>12171</v>
      </c>
      <c r="C2160" s="12">
        <v>400</v>
      </c>
      <c r="D2160" s="12">
        <v>40</v>
      </c>
    </row>
    <row r="2161" spans="1:4" x14ac:dyDescent="0.2">
      <c r="A2161" s="12" t="s">
        <v>2832</v>
      </c>
      <c r="B2161" s="12" t="s">
        <v>2831</v>
      </c>
      <c r="C2161" s="12">
        <v>30</v>
      </c>
      <c r="D2161" s="12">
        <v>3</v>
      </c>
    </row>
    <row r="2162" spans="1:4" x14ac:dyDescent="0.2">
      <c r="A2162" s="12" t="s">
        <v>12091</v>
      </c>
      <c r="B2162" s="12" t="s">
        <v>12090</v>
      </c>
      <c r="C2162" s="12">
        <v>360</v>
      </c>
      <c r="D2162" s="12">
        <v>13</v>
      </c>
    </row>
    <row r="2163" spans="1:4" x14ac:dyDescent="0.2">
      <c r="A2163" s="12" t="s">
        <v>916</v>
      </c>
      <c r="B2163" s="12" t="s">
        <v>915</v>
      </c>
      <c r="C2163" s="12">
        <v>200</v>
      </c>
      <c r="D2163" s="12">
        <v>20</v>
      </c>
    </row>
    <row r="2164" spans="1:4" x14ac:dyDescent="0.2">
      <c r="A2164" s="12" t="s">
        <v>2320</v>
      </c>
      <c r="B2164" s="12" t="s">
        <v>2319</v>
      </c>
      <c r="C2164" s="12">
        <v>1500</v>
      </c>
      <c r="D2164" s="12">
        <v>150</v>
      </c>
    </row>
    <row r="2165" spans="1:4" x14ac:dyDescent="0.2">
      <c r="A2165" s="12" t="s">
        <v>2321</v>
      </c>
      <c r="B2165" s="12" t="s">
        <v>2319</v>
      </c>
      <c r="C2165" s="12" t="s">
        <v>59</v>
      </c>
      <c r="D2165" s="12" t="s">
        <v>59</v>
      </c>
    </row>
    <row r="2166" spans="1:4" x14ac:dyDescent="0.2">
      <c r="A2166" s="12" t="s">
        <v>10975</v>
      </c>
      <c r="B2166" s="12" t="s">
        <v>10974</v>
      </c>
      <c r="C2166" s="12">
        <v>35</v>
      </c>
      <c r="D2166" s="12">
        <v>3.5</v>
      </c>
    </row>
    <row r="2167" spans="1:4" x14ac:dyDescent="0.2">
      <c r="A2167" s="12" t="s">
        <v>6569</v>
      </c>
      <c r="B2167" s="12" t="s">
        <v>6568</v>
      </c>
      <c r="C2167" s="12">
        <v>600</v>
      </c>
      <c r="D2167" s="12">
        <v>60</v>
      </c>
    </row>
    <row r="2168" spans="1:4" x14ac:dyDescent="0.2">
      <c r="A2168" s="12" t="s">
        <v>11990</v>
      </c>
      <c r="B2168" s="12" t="s">
        <v>11989</v>
      </c>
      <c r="C2168" s="12">
        <v>1000</v>
      </c>
      <c r="D2168" s="12">
        <v>100</v>
      </c>
    </row>
    <row r="2169" spans="1:4" x14ac:dyDescent="0.2">
      <c r="A2169" s="12" t="s">
        <v>5016</v>
      </c>
      <c r="B2169" s="12" t="s">
        <v>5015</v>
      </c>
      <c r="C2169" s="12">
        <v>1000</v>
      </c>
      <c r="D2169" s="12">
        <v>100</v>
      </c>
    </row>
    <row r="2170" spans="1:4" x14ac:dyDescent="0.2">
      <c r="A2170" s="12" t="s">
        <v>10191</v>
      </c>
      <c r="B2170" s="12" t="s">
        <v>10190</v>
      </c>
      <c r="C2170" s="12" t="s">
        <v>59</v>
      </c>
      <c r="D2170" s="12" t="s">
        <v>59</v>
      </c>
    </row>
    <row r="2171" spans="1:4" x14ac:dyDescent="0.2">
      <c r="A2171" s="12" t="s">
        <v>7526</v>
      </c>
      <c r="B2171" s="12" t="s">
        <v>7525</v>
      </c>
      <c r="C2171" s="12">
        <v>110</v>
      </c>
      <c r="D2171" s="12">
        <v>11</v>
      </c>
    </row>
    <row r="2172" spans="1:4" x14ac:dyDescent="0.2">
      <c r="A2172" s="12" t="s">
        <v>12327</v>
      </c>
      <c r="B2172" s="12" t="s">
        <v>12326</v>
      </c>
      <c r="C2172" s="12">
        <v>2420</v>
      </c>
      <c r="D2172" s="12">
        <v>242</v>
      </c>
    </row>
    <row r="2173" spans="1:4" x14ac:dyDescent="0.2">
      <c r="A2173" s="12" t="s">
        <v>4630</v>
      </c>
      <c r="B2173" s="12" t="s">
        <v>4629</v>
      </c>
      <c r="C2173" s="12" t="s">
        <v>59</v>
      </c>
      <c r="D2173" s="12" t="s">
        <v>59</v>
      </c>
    </row>
    <row r="2174" spans="1:4" x14ac:dyDescent="0.2">
      <c r="A2174" s="12" t="s">
        <v>5140</v>
      </c>
      <c r="B2174" s="12" t="s">
        <v>5139</v>
      </c>
      <c r="C2174" s="12">
        <v>3.6</v>
      </c>
      <c r="D2174" s="12">
        <v>4.1000000000000002E-2</v>
      </c>
    </row>
    <row r="2175" spans="1:4" x14ac:dyDescent="0.2">
      <c r="A2175" s="12" t="s">
        <v>10114</v>
      </c>
      <c r="B2175" s="12" t="s">
        <v>10113</v>
      </c>
      <c r="C2175" s="12" t="s">
        <v>59</v>
      </c>
      <c r="D2175" s="12" t="s">
        <v>59</v>
      </c>
    </row>
    <row r="2176" spans="1:4" x14ac:dyDescent="0.2">
      <c r="A2176" s="12" t="s">
        <v>10119</v>
      </c>
      <c r="B2176" s="12" t="s">
        <v>10118</v>
      </c>
      <c r="C2176" s="12" t="s">
        <v>59</v>
      </c>
      <c r="D2176" s="12" t="s">
        <v>59</v>
      </c>
    </row>
    <row r="2177" spans="1:4" x14ac:dyDescent="0.2">
      <c r="A2177" s="12" t="s">
        <v>10120</v>
      </c>
      <c r="B2177" s="12" t="s">
        <v>10118</v>
      </c>
      <c r="C2177" s="12">
        <v>1000</v>
      </c>
      <c r="D2177" s="12">
        <v>100</v>
      </c>
    </row>
    <row r="2178" spans="1:4" x14ac:dyDescent="0.2">
      <c r="A2178" s="12" t="s">
        <v>465</v>
      </c>
      <c r="B2178" s="12" t="s">
        <v>464</v>
      </c>
      <c r="C2178" s="12" t="s">
        <v>59</v>
      </c>
      <c r="D2178" s="12" t="s">
        <v>59</v>
      </c>
    </row>
    <row r="2179" spans="1:4" x14ac:dyDescent="0.2">
      <c r="A2179" s="12" t="s">
        <v>10505</v>
      </c>
      <c r="B2179" s="12" t="s">
        <v>10504</v>
      </c>
      <c r="C2179" s="12" t="s">
        <v>59</v>
      </c>
      <c r="D2179" s="12" t="s">
        <v>59</v>
      </c>
    </row>
    <row r="2180" spans="1:4" x14ac:dyDescent="0.2">
      <c r="A2180" s="12" t="s">
        <v>9374</v>
      </c>
      <c r="B2180" s="12" t="s">
        <v>9373</v>
      </c>
      <c r="C2180" s="12" t="s">
        <v>59</v>
      </c>
      <c r="D2180" s="12" t="s">
        <v>59</v>
      </c>
    </row>
    <row r="2181" spans="1:4" x14ac:dyDescent="0.2">
      <c r="A2181" s="12" t="s">
        <v>10261</v>
      </c>
      <c r="B2181" s="12" t="s">
        <v>10260</v>
      </c>
      <c r="C2181" s="12">
        <v>50</v>
      </c>
      <c r="D2181" s="12">
        <v>5</v>
      </c>
    </row>
    <row r="2182" spans="1:4" x14ac:dyDescent="0.2">
      <c r="A2182" s="12" t="s">
        <v>9372</v>
      </c>
      <c r="B2182" s="12" t="s">
        <v>9371</v>
      </c>
      <c r="C2182" s="12" t="s">
        <v>59</v>
      </c>
      <c r="D2182" s="12" t="s">
        <v>59</v>
      </c>
    </row>
    <row r="2183" spans="1:4" x14ac:dyDescent="0.2">
      <c r="A2183" s="12" t="s">
        <v>4214</v>
      </c>
      <c r="B2183" s="12" t="s">
        <v>4213</v>
      </c>
      <c r="C2183" s="12" t="s">
        <v>59</v>
      </c>
      <c r="D2183" s="12" t="s">
        <v>59</v>
      </c>
    </row>
    <row r="2184" spans="1:4" x14ac:dyDescent="0.2">
      <c r="A2184" s="12" t="s">
        <v>7458</v>
      </c>
      <c r="B2184" s="12" t="s">
        <v>7457</v>
      </c>
      <c r="C2184" s="12" t="s">
        <v>59</v>
      </c>
      <c r="D2184" s="12" t="s">
        <v>59</v>
      </c>
    </row>
    <row r="2185" spans="1:4" x14ac:dyDescent="0.2">
      <c r="A2185" s="12" t="s">
        <v>6677</v>
      </c>
      <c r="B2185" s="12" t="s">
        <v>6676</v>
      </c>
      <c r="C2185" s="12" t="s">
        <v>59</v>
      </c>
      <c r="D2185" s="12" t="s">
        <v>59</v>
      </c>
    </row>
    <row r="2186" spans="1:4" x14ac:dyDescent="0.2">
      <c r="A2186" s="12" t="s">
        <v>10112</v>
      </c>
      <c r="B2186" s="12" t="s">
        <v>10111</v>
      </c>
      <c r="C2186" s="12" t="s">
        <v>59</v>
      </c>
      <c r="D2186" s="12" t="s">
        <v>59</v>
      </c>
    </row>
    <row r="2187" spans="1:4" x14ac:dyDescent="0.2">
      <c r="A2187" s="12" t="s">
        <v>11341</v>
      </c>
      <c r="B2187" s="12" t="s">
        <v>11340</v>
      </c>
      <c r="C2187" s="12" t="s">
        <v>59</v>
      </c>
      <c r="D2187" s="12" t="s">
        <v>59</v>
      </c>
    </row>
    <row r="2188" spans="1:4" x14ac:dyDescent="0.2">
      <c r="A2188" s="12" t="s">
        <v>3415</v>
      </c>
      <c r="B2188" s="12" t="s">
        <v>3414</v>
      </c>
      <c r="C2188" s="12" t="s">
        <v>59</v>
      </c>
      <c r="D2188" s="12" t="s">
        <v>59</v>
      </c>
    </row>
    <row r="2189" spans="1:4" x14ac:dyDescent="0.2">
      <c r="A2189" s="12" t="s">
        <v>1413</v>
      </c>
      <c r="B2189" s="12" t="s">
        <v>1412</v>
      </c>
      <c r="C2189" s="12" t="s">
        <v>59</v>
      </c>
      <c r="D2189" s="12" t="s">
        <v>59</v>
      </c>
    </row>
    <row r="2190" spans="1:4" x14ac:dyDescent="0.2">
      <c r="A2190" s="12" t="s">
        <v>1414</v>
      </c>
      <c r="B2190" s="12" t="s">
        <v>1412</v>
      </c>
      <c r="C2190" s="12">
        <v>1000</v>
      </c>
      <c r="D2190" s="12">
        <v>100</v>
      </c>
    </row>
    <row r="2191" spans="1:4" x14ac:dyDescent="0.2">
      <c r="A2191" s="12" t="s">
        <v>10189</v>
      </c>
      <c r="B2191" s="12" t="s">
        <v>10188</v>
      </c>
      <c r="C2191" s="12" t="s">
        <v>59</v>
      </c>
      <c r="D2191" s="12" t="s">
        <v>59</v>
      </c>
    </row>
    <row r="2192" spans="1:4" x14ac:dyDescent="0.2">
      <c r="A2192" s="12" t="s">
        <v>10142</v>
      </c>
      <c r="B2192" s="12" t="s">
        <v>10141</v>
      </c>
      <c r="C2192" s="12" t="s">
        <v>59</v>
      </c>
      <c r="D2192" s="12" t="s">
        <v>59</v>
      </c>
    </row>
    <row r="2193" spans="1:4" x14ac:dyDescent="0.2">
      <c r="A2193" s="12" t="s">
        <v>7895</v>
      </c>
      <c r="B2193" s="12" t="s">
        <v>7894</v>
      </c>
      <c r="C2193" s="12">
        <v>30</v>
      </c>
      <c r="D2193" s="12">
        <v>3</v>
      </c>
    </row>
    <row r="2194" spans="1:4" x14ac:dyDescent="0.2">
      <c r="A2194" s="12" t="s">
        <v>12080</v>
      </c>
      <c r="B2194" s="12" t="s">
        <v>12079</v>
      </c>
      <c r="C2194" s="12" t="s">
        <v>59</v>
      </c>
      <c r="D2194" s="12" t="s">
        <v>59</v>
      </c>
    </row>
    <row r="2195" spans="1:4" x14ac:dyDescent="0.2">
      <c r="A2195" s="12" t="s">
        <v>11602</v>
      </c>
      <c r="B2195" s="12" t="s">
        <v>11601</v>
      </c>
      <c r="C2195" s="12">
        <v>8</v>
      </c>
      <c r="D2195" s="12">
        <v>0.8</v>
      </c>
    </row>
    <row r="2196" spans="1:4" x14ac:dyDescent="0.2">
      <c r="A2196" s="12" t="s">
        <v>3508</v>
      </c>
      <c r="B2196" s="12" t="s">
        <v>3507</v>
      </c>
      <c r="C2196" s="12">
        <v>10</v>
      </c>
      <c r="D2196" s="12">
        <v>1</v>
      </c>
    </row>
    <row r="2197" spans="1:4" x14ac:dyDescent="0.2">
      <c r="A2197" s="12" t="s">
        <v>8713</v>
      </c>
      <c r="B2197" s="12" t="s">
        <v>8712</v>
      </c>
      <c r="C2197" s="12" t="s">
        <v>59</v>
      </c>
      <c r="D2197" s="12" t="s">
        <v>59</v>
      </c>
    </row>
    <row r="2198" spans="1:4" x14ac:dyDescent="0.2">
      <c r="A2198" s="12" t="s">
        <v>8533</v>
      </c>
      <c r="B2198" s="12" t="s">
        <v>8532</v>
      </c>
      <c r="C2198" s="12">
        <v>300</v>
      </c>
      <c r="D2198" s="12">
        <v>30</v>
      </c>
    </row>
    <row r="2199" spans="1:4" x14ac:dyDescent="0.2">
      <c r="A2199" s="12" t="s">
        <v>9304</v>
      </c>
      <c r="B2199" s="12" t="s">
        <v>9303</v>
      </c>
      <c r="C2199" s="12">
        <v>170</v>
      </c>
      <c r="D2199" s="12">
        <v>17</v>
      </c>
    </row>
    <row r="2200" spans="1:4" x14ac:dyDescent="0.2">
      <c r="A2200" s="12" t="s">
        <v>10185</v>
      </c>
      <c r="B2200" s="12" t="s">
        <v>10184</v>
      </c>
      <c r="C2200" s="12" t="s">
        <v>59</v>
      </c>
      <c r="D2200" s="12" t="s">
        <v>59</v>
      </c>
    </row>
    <row r="2201" spans="1:4" x14ac:dyDescent="0.2">
      <c r="A2201" s="12" t="s">
        <v>10126</v>
      </c>
      <c r="B2201" s="12" t="s">
        <v>10125</v>
      </c>
      <c r="C2201" s="12" t="s">
        <v>59</v>
      </c>
      <c r="D2201" s="12" t="s">
        <v>59</v>
      </c>
    </row>
    <row r="2202" spans="1:4" x14ac:dyDescent="0.2">
      <c r="A2202" s="12" t="s">
        <v>10127</v>
      </c>
      <c r="B2202" s="12" t="s">
        <v>10125</v>
      </c>
      <c r="C2202" s="12">
        <v>500</v>
      </c>
      <c r="D2202" s="12">
        <v>50</v>
      </c>
    </row>
    <row r="2203" spans="1:4" x14ac:dyDescent="0.2">
      <c r="A2203" s="12" t="s">
        <v>12218</v>
      </c>
      <c r="B2203" s="12" t="s">
        <v>12217</v>
      </c>
      <c r="C2203" s="12" t="s">
        <v>59</v>
      </c>
      <c r="D2203" s="12" t="s">
        <v>59</v>
      </c>
    </row>
    <row r="2204" spans="1:4" x14ac:dyDescent="0.2">
      <c r="A2204" s="12" t="s">
        <v>4468</v>
      </c>
      <c r="B2204" s="12" t="s">
        <v>4467</v>
      </c>
      <c r="C2204" s="12">
        <v>100</v>
      </c>
      <c r="D2204" s="12">
        <v>10</v>
      </c>
    </row>
    <row r="2205" spans="1:4" x14ac:dyDescent="0.2">
      <c r="A2205" s="12" t="s">
        <v>11064</v>
      </c>
      <c r="B2205" s="12" t="s">
        <v>11063</v>
      </c>
      <c r="C2205" s="12">
        <v>30</v>
      </c>
      <c r="D2205" s="12">
        <v>3</v>
      </c>
    </row>
    <row r="2206" spans="1:4" x14ac:dyDescent="0.2">
      <c r="A2206" s="12" t="s">
        <v>6166</v>
      </c>
      <c r="B2206" s="12" t="s">
        <v>6165</v>
      </c>
      <c r="C2206" s="12">
        <v>610</v>
      </c>
      <c r="D2206" s="12">
        <v>61</v>
      </c>
    </row>
    <row r="2207" spans="1:4" x14ac:dyDescent="0.2">
      <c r="A2207" s="12" t="s">
        <v>3542</v>
      </c>
      <c r="B2207" s="12" t="s">
        <v>3541</v>
      </c>
      <c r="C2207" s="12">
        <v>600</v>
      </c>
      <c r="D2207" s="12">
        <v>60</v>
      </c>
    </row>
    <row r="2208" spans="1:4" x14ac:dyDescent="0.2">
      <c r="A2208" s="12" t="s">
        <v>5594</v>
      </c>
      <c r="B2208" s="12" t="s">
        <v>5593</v>
      </c>
      <c r="C2208" s="12">
        <v>500</v>
      </c>
      <c r="D2208" s="12">
        <v>50</v>
      </c>
    </row>
    <row r="2209" spans="1:4" x14ac:dyDescent="0.2">
      <c r="A2209" s="12" t="s">
        <v>9576</v>
      </c>
      <c r="B2209" s="12" t="s">
        <v>9575</v>
      </c>
      <c r="C2209" s="12" t="s">
        <v>59</v>
      </c>
      <c r="D2209" s="12" t="s">
        <v>59</v>
      </c>
    </row>
    <row r="2210" spans="1:4" x14ac:dyDescent="0.2">
      <c r="A2210" s="12" t="s">
        <v>9577</v>
      </c>
      <c r="B2210" s="12" t="s">
        <v>9575</v>
      </c>
      <c r="C2210" s="12">
        <v>600</v>
      </c>
      <c r="D2210" s="12">
        <v>60</v>
      </c>
    </row>
    <row r="2211" spans="1:4" x14ac:dyDescent="0.2">
      <c r="A2211" s="12" t="s">
        <v>6019</v>
      </c>
      <c r="B2211" s="12" t="s">
        <v>6018</v>
      </c>
      <c r="C2211" s="12">
        <v>3400</v>
      </c>
      <c r="D2211" s="12">
        <v>340</v>
      </c>
    </row>
    <row r="2212" spans="1:4" x14ac:dyDescent="0.2">
      <c r="A2212" s="12" t="s">
        <v>9230</v>
      </c>
      <c r="B2212" s="12" t="s">
        <v>9229</v>
      </c>
      <c r="C2212" s="12">
        <v>110</v>
      </c>
      <c r="D2212" s="12">
        <v>11</v>
      </c>
    </row>
    <row r="2213" spans="1:4" x14ac:dyDescent="0.2">
      <c r="A2213" s="12" t="s">
        <v>1092</v>
      </c>
      <c r="B2213" s="12" t="s">
        <v>1091</v>
      </c>
      <c r="C2213" s="12">
        <v>460</v>
      </c>
      <c r="D2213" s="12">
        <v>46</v>
      </c>
    </row>
    <row r="2214" spans="1:4" x14ac:dyDescent="0.2">
      <c r="A2214" s="12" t="s">
        <v>2842</v>
      </c>
      <c r="B2214" s="12" t="s">
        <v>2841</v>
      </c>
      <c r="C2214" s="12">
        <v>1300</v>
      </c>
      <c r="D2214" s="12">
        <v>130</v>
      </c>
    </row>
    <row r="2215" spans="1:4" x14ac:dyDescent="0.2">
      <c r="A2215" s="12" t="s">
        <v>10361</v>
      </c>
      <c r="B2215" s="12" t="s">
        <v>10360</v>
      </c>
      <c r="C2215" s="12" t="s">
        <v>59</v>
      </c>
      <c r="D2215" s="12" t="s">
        <v>59</v>
      </c>
    </row>
    <row r="2216" spans="1:4" x14ac:dyDescent="0.2">
      <c r="A2216" s="12" t="s">
        <v>10362</v>
      </c>
      <c r="B2216" s="12" t="s">
        <v>10360</v>
      </c>
      <c r="C2216" s="12">
        <v>1000</v>
      </c>
      <c r="D2216" s="12">
        <v>100</v>
      </c>
    </row>
    <row r="2217" spans="1:4" x14ac:dyDescent="0.2">
      <c r="A2217" s="12" t="s">
        <v>9376</v>
      </c>
      <c r="B2217" s="12" t="s">
        <v>9375</v>
      </c>
      <c r="C2217" s="12" t="s">
        <v>59</v>
      </c>
      <c r="D2217" s="12" t="s">
        <v>59</v>
      </c>
    </row>
    <row r="2218" spans="1:4" x14ac:dyDescent="0.2">
      <c r="A2218" s="12" t="s">
        <v>8328</v>
      </c>
      <c r="B2218" s="12" t="s">
        <v>8327</v>
      </c>
      <c r="C2218" s="12" t="s">
        <v>59</v>
      </c>
      <c r="D2218" s="12" t="s">
        <v>59</v>
      </c>
    </row>
    <row r="2219" spans="1:4" x14ac:dyDescent="0.2">
      <c r="A2219" s="12" t="s">
        <v>3413</v>
      </c>
      <c r="B2219" s="12" t="s">
        <v>3412</v>
      </c>
      <c r="C2219" s="12" t="s">
        <v>59</v>
      </c>
      <c r="D2219" s="12" t="s">
        <v>59</v>
      </c>
    </row>
    <row r="2220" spans="1:4" x14ac:dyDescent="0.2">
      <c r="A2220" s="12" t="s">
        <v>11334</v>
      </c>
      <c r="B2220" s="12" t="s">
        <v>11333</v>
      </c>
      <c r="C2220" s="12" t="s">
        <v>59</v>
      </c>
      <c r="D2220" s="12" t="s">
        <v>59</v>
      </c>
    </row>
    <row r="2221" spans="1:4" x14ac:dyDescent="0.2">
      <c r="A2221" s="12" t="s">
        <v>619</v>
      </c>
      <c r="B2221" s="12" t="s">
        <v>618</v>
      </c>
      <c r="C2221" s="12" t="s">
        <v>59</v>
      </c>
      <c r="D2221" s="12" t="s">
        <v>59</v>
      </c>
    </row>
    <row r="2222" spans="1:4" x14ac:dyDescent="0.2">
      <c r="A2222" s="12" t="s">
        <v>6382</v>
      </c>
      <c r="B2222" s="12" t="s">
        <v>6381</v>
      </c>
      <c r="C2222" s="12">
        <v>700</v>
      </c>
      <c r="D2222" s="12">
        <v>70</v>
      </c>
    </row>
    <row r="2223" spans="1:4" x14ac:dyDescent="0.2">
      <c r="A2223" s="12" t="s">
        <v>9384</v>
      </c>
      <c r="B2223" s="12" t="s">
        <v>9383</v>
      </c>
      <c r="C2223" s="12">
        <v>30</v>
      </c>
      <c r="D2223" s="12">
        <v>3</v>
      </c>
    </row>
    <row r="2224" spans="1:4" x14ac:dyDescent="0.2">
      <c r="A2224" s="12" t="s">
        <v>5901</v>
      </c>
      <c r="B2224" s="12" t="s">
        <v>5900</v>
      </c>
      <c r="C2224" s="12">
        <v>70</v>
      </c>
      <c r="D2224" s="12">
        <v>7</v>
      </c>
    </row>
    <row r="2225" spans="1:4" x14ac:dyDescent="0.2">
      <c r="A2225" s="12" t="s">
        <v>7522</v>
      </c>
      <c r="B2225" s="12" t="s">
        <v>7521</v>
      </c>
      <c r="C2225" s="12">
        <v>1700</v>
      </c>
      <c r="D2225" s="12">
        <v>170</v>
      </c>
    </row>
    <row r="2226" spans="1:4" x14ac:dyDescent="0.2">
      <c r="A2226" s="12" t="s">
        <v>6269</v>
      </c>
      <c r="B2226" s="12" t="s">
        <v>6268</v>
      </c>
      <c r="C2226" s="12">
        <v>1200</v>
      </c>
      <c r="D2226" s="12">
        <v>120</v>
      </c>
    </row>
    <row r="2227" spans="1:4" x14ac:dyDescent="0.2">
      <c r="A2227" s="12" t="s">
        <v>11748</v>
      </c>
      <c r="B2227" s="12" t="s">
        <v>11747</v>
      </c>
      <c r="C2227" s="12" t="s">
        <v>59</v>
      </c>
      <c r="D2227" s="12" t="s">
        <v>59</v>
      </c>
    </row>
    <row r="2228" spans="1:4" x14ac:dyDescent="0.2">
      <c r="A2228" s="12" t="s">
        <v>11749</v>
      </c>
      <c r="B2228" s="12" t="s">
        <v>11747</v>
      </c>
      <c r="C2228" s="12">
        <v>1000</v>
      </c>
      <c r="D2228" s="12">
        <v>390</v>
      </c>
    </row>
    <row r="2229" spans="1:4" x14ac:dyDescent="0.2">
      <c r="A2229" s="12" t="s">
        <v>11740</v>
      </c>
      <c r="B2229" s="12" t="s">
        <v>11739</v>
      </c>
      <c r="C2229" s="12">
        <v>2450</v>
      </c>
      <c r="D2229" s="12">
        <v>245</v>
      </c>
    </row>
    <row r="2230" spans="1:4" x14ac:dyDescent="0.2">
      <c r="A2230" s="12" t="s">
        <v>4447</v>
      </c>
      <c r="B2230" s="12" t="s">
        <v>4446</v>
      </c>
      <c r="C2230" s="12" t="s">
        <v>59</v>
      </c>
      <c r="D2230" s="12" t="s">
        <v>59</v>
      </c>
    </row>
    <row r="2231" spans="1:4" x14ac:dyDescent="0.2">
      <c r="A2231" s="12" t="s">
        <v>5769</v>
      </c>
      <c r="B2231" s="12" t="s">
        <v>5768</v>
      </c>
      <c r="C2231" s="12">
        <v>40</v>
      </c>
      <c r="D2231" s="12">
        <v>4</v>
      </c>
    </row>
    <row r="2232" spans="1:4" x14ac:dyDescent="0.2">
      <c r="A2232" s="12" t="s">
        <v>3114</v>
      </c>
      <c r="B2232" s="12" t="s">
        <v>3113</v>
      </c>
      <c r="C2232" s="12">
        <v>960</v>
      </c>
      <c r="D2232" s="12">
        <v>96</v>
      </c>
    </row>
    <row r="2233" spans="1:4" x14ac:dyDescent="0.2">
      <c r="A2233" s="12" t="s">
        <v>4443</v>
      </c>
      <c r="B2233" s="12" t="s">
        <v>4442</v>
      </c>
      <c r="C2233" s="12">
        <v>100</v>
      </c>
      <c r="D2233" s="12">
        <v>10</v>
      </c>
    </row>
    <row r="2234" spans="1:4" x14ac:dyDescent="0.2">
      <c r="A2234" s="12" t="s">
        <v>2801</v>
      </c>
      <c r="B2234" s="12" t="s">
        <v>2800</v>
      </c>
      <c r="C2234" s="12">
        <v>1000</v>
      </c>
      <c r="D2234" s="12">
        <v>100</v>
      </c>
    </row>
    <row r="2235" spans="1:4" x14ac:dyDescent="0.2">
      <c r="A2235" s="12" t="s">
        <v>2510</v>
      </c>
      <c r="B2235" s="12" t="s">
        <v>2509</v>
      </c>
      <c r="C2235" s="12">
        <v>1000</v>
      </c>
      <c r="D2235" s="12">
        <v>100</v>
      </c>
    </row>
    <row r="2236" spans="1:4" x14ac:dyDescent="0.2">
      <c r="A2236" s="12" t="s">
        <v>2718</v>
      </c>
      <c r="B2236" s="12" t="s">
        <v>2717</v>
      </c>
      <c r="C2236" s="12">
        <v>2700</v>
      </c>
      <c r="D2236" s="12">
        <v>12</v>
      </c>
    </row>
    <row r="2237" spans="1:4" x14ac:dyDescent="0.2">
      <c r="A2237" s="12" t="s">
        <v>6055</v>
      </c>
      <c r="B2237" s="12" t="s">
        <v>6054</v>
      </c>
      <c r="C2237" s="12">
        <v>2450</v>
      </c>
      <c r="D2237" s="12">
        <v>245</v>
      </c>
    </row>
    <row r="2238" spans="1:4" x14ac:dyDescent="0.2">
      <c r="A2238" s="12" t="s">
        <v>6186</v>
      </c>
      <c r="B2238" s="12" t="s">
        <v>6185</v>
      </c>
      <c r="C2238" s="12">
        <v>2</v>
      </c>
      <c r="D2238" s="12">
        <v>0.2</v>
      </c>
    </row>
    <row r="2239" spans="1:4" x14ac:dyDescent="0.2">
      <c r="A2239" s="12" t="s">
        <v>5817</v>
      </c>
      <c r="B2239" s="12" t="s">
        <v>5816</v>
      </c>
      <c r="C2239" s="12">
        <v>900</v>
      </c>
      <c r="D2239" s="12">
        <v>160</v>
      </c>
    </row>
    <row r="2240" spans="1:4" x14ac:dyDescent="0.2">
      <c r="A2240" s="12" t="s">
        <v>12365</v>
      </c>
      <c r="B2240" s="12" t="s">
        <v>12364</v>
      </c>
      <c r="C2240" s="12">
        <v>24</v>
      </c>
      <c r="D2240" s="12">
        <v>2.4</v>
      </c>
    </row>
    <row r="2241" spans="1:4" x14ac:dyDescent="0.2">
      <c r="A2241" s="12" t="s">
        <v>6194</v>
      </c>
      <c r="B2241" s="12" t="s">
        <v>6193</v>
      </c>
      <c r="C2241" s="12">
        <v>700</v>
      </c>
      <c r="D2241" s="12">
        <v>70</v>
      </c>
    </row>
    <row r="2242" spans="1:4" x14ac:dyDescent="0.2">
      <c r="A2242" s="12" t="s">
        <v>6195</v>
      </c>
      <c r="B2242" s="12" t="s">
        <v>6193</v>
      </c>
      <c r="C2242" s="12" t="s">
        <v>59</v>
      </c>
      <c r="D2242" s="12" t="s">
        <v>59</v>
      </c>
    </row>
    <row r="2243" spans="1:4" x14ac:dyDescent="0.2">
      <c r="A2243" s="12" t="s">
        <v>11627</v>
      </c>
      <c r="B2243" s="12" t="s">
        <v>11626</v>
      </c>
      <c r="C2243" s="12">
        <v>70</v>
      </c>
      <c r="D2243" s="12">
        <v>7</v>
      </c>
    </row>
    <row r="2244" spans="1:4" x14ac:dyDescent="0.2">
      <c r="A2244" s="12" t="s">
        <v>10181</v>
      </c>
      <c r="B2244" s="12" t="s">
        <v>10180</v>
      </c>
      <c r="C2244" s="12">
        <v>1000</v>
      </c>
      <c r="D2244" s="12">
        <v>100</v>
      </c>
    </row>
    <row r="2245" spans="1:4" x14ac:dyDescent="0.2">
      <c r="A2245" s="12" t="s">
        <v>10133</v>
      </c>
      <c r="B2245" s="12" t="s">
        <v>10132</v>
      </c>
      <c r="C2245" s="12" t="s">
        <v>59</v>
      </c>
      <c r="D2245" s="12" t="s">
        <v>59</v>
      </c>
    </row>
    <row r="2246" spans="1:4" x14ac:dyDescent="0.2">
      <c r="A2246" s="12" t="s">
        <v>10134</v>
      </c>
      <c r="B2246" s="12" t="s">
        <v>10132</v>
      </c>
      <c r="C2246" s="12">
        <v>1000</v>
      </c>
      <c r="D2246" s="12">
        <v>100</v>
      </c>
    </row>
    <row r="2247" spans="1:4" x14ac:dyDescent="0.2">
      <c r="A2247" s="12" t="s">
        <v>10171</v>
      </c>
      <c r="B2247" s="12" t="s">
        <v>10170</v>
      </c>
      <c r="C2247" s="12" t="s">
        <v>59</v>
      </c>
      <c r="D2247" s="12" t="s">
        <v>59</v>
      </c>
    </row>
    <row r="2248" spans="1:4" x14ac:dyDescent="0.2">
      <c r="A2248" s="12" t="s">
        <v>10172</v>
      </c>
      <c r="B2248" s="12" t="s">
        <v>10170</v>
      </c>
      <c r="C2248" s="12">
        <v>1000</v>
      </c>
      <c r="D2248" s="12">
        <v>100</v>
      </c>
    </row>
    <row r="2249" spans="1:4" x14ac:dyDescent="0.2">
      <c r="A2249" s="12" t="s">
        <v>5220</v>
      </c>
      <c r="B2249" s="12" t="s">
        <v>5219</v>
      </c>
      <c r="C2249" s="12">
        <v>3500</v>
      </c>
      <c r="D2249" s="12">
        <v>350</v>
      </c>
    </row>
    <row r="2250" spans="1:4" x14ac:dyDescent="0.2">
      <c r="A2250" s="12" t="s">
        <v>11600</v>
      </c>
      <c r="B2250" s="12" t="s">
        <v>11599</v>
      </c>
      <c r="C2250" s="12">
        <v>250</v>
      </c>
      <c r="D2250" s="12">
        <v>48</v>
      </c>
    </row>
    <row r="2251" spans="1:4" x14ac:dyDescent="0.2">
      <c r="A2251" s="12" t="s">
        <v>2930</v>
      </c>
      <c r="B2251" s="12" t="s">
        <v>2929</v>
      </c>
      <c r="C2251" s="12">
        <v>420</v>
      </c>
      <c r="D2251" s="12">
        <v>42</v>
      </c>
    </row>
    <row r="2252" spans="1:4" x14ac:dyDescent="0.2">
      <c r="A2252" s="12" t="s">
        <v>7850</v>
      </c>
      <c r="B2252" s="12" t="s">
        <v>7849</v>
      </c>
      <c r="C2252" s="12">
        <v>1500</v>
      </c>
      <c r="D2252" s="12">
        <v>150</v>
      </c>
    </row>
    <row r="2253" spans="1:4" x14ac:dyDescent="0.2">
      <c r="A2253" s="12" t="s">
        <v>5632</v>
      </c>
      <c r="B2253" s="12" t="s">
        <v>5631</v>
      </c>
      <c r="C2253" s="12">
        <v>5700</v>
      </c>
      <c r="D2253" s="12">
        <v>570</v>
      </c>
    </row>
    <row r="2254" spans="1:4" x14ac:dyDescent="0.2">
      <c r="A2254" s="12" t="s">
        <v>5920</v>
      </c>
      <c r="B2254" s="12" t="s">
        <v>5919</v>
      </c>
      <c r="C2254" s="12">
        <v>2500</v>
      </c>
      <c r="D2254" s="12">
        <v>250</v>
      </c>
    </row>
    <row r="2255" spans="1:4" x14ac:dyDescent="0.2">
      <c r="A2255" s="12" t="s">
        <v>11606</v>
      </c>
      <c r="B2255" s="12" t="s">
        <v>11605</v>
      </c>
      <c r="C2255" s="12">
        <v>33</v>
      </c>
      <c r="D2255" s="12">
        <v>3.3</v>
      </c>
    </row>
    <row r="2256" spans="1:4" x14ac:dyDescent="0.2">
      <c r="A2256" s="12" t="s">
        <v>12498</v>
      </c>
      <c r="B2256" s="12" t="s">
        <v>12499</v>
      </c>
      <c r="C2256" s="12">
        <v>8.1</v>
      </c>
      <c r="D2256" s="12">
        <v>0.55000000000000004</v>
      </c>
    </row>
    <row r="2257" spans="1:4" x14ac:dyDescent="0.2">
      <c r="A2257" s="12" t="s">
        <v>12500</v>
      </c>
      <c r="B2257" s="12" t="s">
        <v>12499</v>
      </c>
      <c r="C2257" s="12">
        <v>3.3</v>
      </c>
      <c r="D2257" s="12">
        <v>6.3E-2</v>
      </c>
    </row>
    <row r="2258" spans="1:4" x14ac:dyDescent="0.2">
      <c r="A2258" s="12" t="s">
        <v>11843</v>
      </c>
      <c r="B2258" s="12" t="s">
        <v>11842</v>
      </c>
      <c r="C2258" s="12">
        <v>2.5</v>
      </c>
      <c r="D2258" s="12">
        <v>0.25</v>
      </c>
    </row>
    <row r="2259" spans="1:4" x14ac:dyDescent="0.2">
      <c r="A2259" s="12" t="s">
        <v>6429</v>
      </c>
      <c r="B2259" s="12" t="s">
        <v>6428</v>
      </c>
      <c r="C2259" s="12">
        <v>40</v>
      </c>
      <c r="D2259" s="12">
        <v>4</v>
      </c>
    </row>
    <row r="2260" spans="1:4" x14ac:dyDescent="0.2">
      <c r="A2260" s="12" t="s">
        <v>9440</v>
      </c>
      <c r="B2260" s="12" t="s">
        <v>9439</v>
      </c>
      <c r="C2260" s="12">
        <v>3400</v>
      </c>
      <c r="D2260" s="12">
        <v>340</v>
      </c>
    </row>
    <row r="2261" spans="1:4" x14ac:dyDescent="0.2">
      <c r="A2261" s="12" t="s">
        <v>6425</v>
      </c>
      <c r="B2261" s="12" t="s">
        <v>6424</v>
      </c>
      <c r="C2261" s="12">
        <v>5700</v>
      </c>
      <c r="D2261" s="12">
        <v>570</v>
      </c>
    </row>
    <row r="2262" spans="1:4" x14ac:dyDescent="0.2">
      <c r="A2262" s="12" t="s">
        <v>6789</v>
      </c>
      <c r="B2262" s="12" t="s">
        <v>6788</v>
      </c>
      <c r="C2262" s="12">
        <v>290</v>
      </c>
      <c r="D2262" s="12">
        <v>3.3</v>
      </c>
    </row>
    <row r="2263" spans="1:4" x14ac:dyDescent="0.2">
      <c r="A2263" s="12" t="s">
        <v>551</v>
      </c>
      <c r="B2263" s="12" t="s">
        <v>550</v>
      </c>
      <c r="C2263" s="12">
        <v>2340</v>
      </c>
      <c r="D2263" s="12">
        <v>234</v>
      </c>
    </row>
    <row r="2264" spans="1:4" x14ac:dyDescent="0.2">
      <c r="A2264" s="12" t="s">
        <v>11643</v>
      </c>
      <c r="B2264" s="12" t="s">
        <v>11642</v>
      </c>
      <c r="C2264" s="12">
        <v>1000</v>
      </c>
      <c r="D2264" s="12">
        <v>100</v>
      </c>
    </row>
    <row r="2265" spans="1:4" x14ac:dyDescent="0.2">
      <c r="A2265" s="12" t="s">
        <v>11644</v>
      </c>
      <c r="B2265" s="12" t="s">
        <v>11642</v>
      </c>
      <c r="C2265" s="12" t="s">
        <v>59</v>
      </c>
      <c r="D2265" s="12" t="s">
        <v>59</v>
      </c>
    </row>
    <row r="2266" spans="1:4" x14ac:dyDescent="0.2">
      <c r="A2266" s="12" t="s">
        <v>7319</v>
      </c>
      <c r="B2266" s="12" t="s">
        <v>7318</v>
      </c>
      <c r="C2266" s="12">
        <v>1000</v>
      </c>
      <c r="D2266" s="12">
        <v>100</v>
      </c>
    </row>
    <row r="2267" spans="1:4" x14ac:dyDescent="0.2">
      <c r="A2267" s="12" t="s">
        <v>12179</v>
      </c>
      <c r="B2267" s="12" t="s">
        <v>12178</v>
      </c>
      <c r="C2267" s="12">
        <v>1000</v>
      </c>
      <c r="D2267" s="12">
        <v>100</v>
      </c>
    </row>
    <row r="2268" spans="1:4" x14ac:dyDescent="0.2">
      <c r="A2268" s="12" t="s">
        <v>10586</v>
      </c>
      <c r="B2268" s="12" t="s">
        <v>10585</v>
      </c>
      <c r="C2268" s="12">
        <v>1000</v>
      </c>
      <c r="D2268" s="12">
        <v>100</v>
      </c>
    </row>
    <row r="2269" spans="1:4" x14ac:dyDescent="0.2">
      <c r="A2269" s="12" t="s">
        <v>3201</v>
      </c>
      <c r="B2269" s="12" t="s">
        <v>3200</v>
      </c>
      <c r="C2269" s="12">
        <v>500</v>
      </c>
      <c r="D2269" s="12">
        <v>50</v>
      </c>
    </row>
    <row r="2270" spans="1:4" x14ac:dyDescent="0.2">
      <c r="A2270" s="12" t="s">
        <v>11392</v>
      </c>
      <c r="B2270" s="12" t="s">
        <v>11391</v>
      </c>
      <c r="C2270" s="12">
        <v>60000</v>
      </c>
      <c r="D2270" s="12">
        <v>6000</v>
      </c>
    </row>
    <row r="2271" spans="1:4" x14ac:dyDescent="0.2">
      <c r="A2271" s="12" t="s">
        <v>6791</v>
      </c>
      <c r="B2271" s="12" t="s">
        <v>6790</v>
      </c>
      <c r="C2271" s="12">
        <v>1250</v>
      </c>
      <c r="D2271" s="12">
        <v>125</v>
      </c>
    </row>
    <row r="2272" spans="1:4" x14ac:dyDescent="0.2">
      <c r="A2272" s="12" t="s">
        <v>8444</v>
      </c>
      <c r="B2272" s="12" t="s">
        <v>8443</v>
      </c>
      <c r="C2272" s="12">
        <v>0.05</v>
      </c>
      <c r="D2272" s="12">
        <v>5.0000000000000001E-3</v>
      </c>
    </row>
    <row r="2273" spans="1:4" x14ac:dyDescent="0.2">
      <c r="A2273" s="12" t="s">
        <v>12117</v>
      </c>
      <c r="B2273" s="12" t="s">
        <v>12116</v>
      </c>
      <c r="C2273" s="12">
        <v>4400</v>
      </c>
      <c r="D2273" s="12">
        <v>54</v>
      </c>
    </row>
    <row r="2274" spans="1:4" x14ac:dyDescent="0.2">
      <c r="A2274" s="12" t="s">
        <v>9028</v>
      </c>
      <c r="B2274" s="12" t="s">
        <v>9027</v>
      </c>
      <c r="C2274" s="12">
        <v>0.7</v>
      </c>
      <c r="D2274" s="12">
        <v>0.1</v>
      </c>
    </row>
    <row r="2275" spans="1:4" x14ac:dyDescent="0.2">
      <c r="A2275" s="12" t="s">
        <v>11812</v>
      </c>
      <c r="B2275" s="12" t="s">
        <v>11811</v>
      </c>
      <c r="C2275" s="12">
        <v>50</v>
      </c>
      <c r="D2275" s="12">
        <v>5</v>
      </c>
    </row>
    <row r="2276" spans="1:4" x14ac:dyDescent="0.2">
      <c r="A2276" s="12" t="s">
        <v>7665</v>
      </c>
      <c r="B2276" s="12" t="s">
        <v>7664</v>
      </c>
      <c r="C2276" s="12">
        <v>30</v>
      </c>
      <c r="D2276" s="12">
        <v>3</v>
      </c>
    </row>
    <row r="2277" spans="1:4" x14ac:dyDescent="0.2">
      <c r="A2277" s="12" t="s">
        <v>2444</v>
      </c>
      <c r="B2277" s="12" t="s">
        <v>2443</v>
      </c>
      <c r="C2277" s="12" t="s">
        <v>59</v>
      </c>
      <c r="D2277" s="12" t="s">
        <v>59</v>
      </c>
    </row>
    <row r="2278" spans="1:4" x14ac:dyDescent="0.2">
      <c r="A2278" s="12" t="s">
        <v>12152</v>
      </c>
      <c r="B2278" s="12" t="s">
        <v>12151</v>
      </c>
      <c r="C2278" s="12">
        <v>100</v>
      </c>
      <c r="D2278" s="12">
        <v>10</v>
      </c>
    </row>
    <row r="2279" spans="1:4" x14ac:dyDescent="0.2">
      <c r="A2279" s="12" t="s">
        <v>9370</v>
      </c>
      <c r="B2279" s="12" t="s">
        <v>9369</v>
      </c>
      <c r="C2279" s="12" t="s">
        <v>59</v>
      </c>
      <c r="D2279" s="12" t="s">
        <v>59</v>
      </c>
    </row>
    <row r="2280" spans="1:4" x14ac:dyDescent="0.2">
      <c r="A2280" s="12" t="s">
        <v>8384</v>
      </c>
      <c r="B2280" s="12" t="s">
        <v>8383</v>
      </c>
      <c r="C2280" s="12" t="s">
        <v>59</v>
      </c>
      <c r="D2280" s="12" t="s">
        <v>59</v>
      </c>
    </row>
    <row r="2281" spans="1:4" x14ac:dyDescent="0.2">
      <c r="A2281" s="12" t="s">
        <v>8385</v>
      </c>
      <c r="B2281" s="12" t="s">
        <v>8383</v>
      </c>
      <c r="C2281" s="12">
        <v>1000</v>
      </c>
      <c r="D2281" s="12">
        <v>100</v>
      </c>
    </row>
    <row r="2282" spans="1:4" x14ac:dyDescent="0.2">
      <c r="A2282" s="12" t="s">
        <v>10490</v>
      </c>
      <c r="B2282" s="12" t="s">
        <v>10489</v>
      </c>
      <c r="C2282" s="12">
        <v>50</v>
      </c>
      <c r="D2282" s="12">
        <v>5</v>
      </c>
    </row>
    <row r="2283" spans="1:4" x14ac:dyDescent="0.2">
      <c r="A2283" s="12" t="s">
        <v>2438</v>
      </c>
      <c r="B2283" s="12" t="s">
        <v>2437</v>
      </c>
      <c r="C2283" s="12" t="s">
        <v>59</v>
      </c>
      <c r="D2283" s="12" t="s">
        <v>59</v>
      </c>
    </row>
    <row r="2284" spans="1:4" x14ac:dyDescent="0.2">
      <c r="A2284" s="12" t="s">
        <v>10152</v>
      </c>
      <c r="B2284" s="12" t="s">
        <v>10151</v>
      </c>
      <c r="C2284" s="12" t="s">
        <v>59</v>
      </c>
      <c r="D2284" s="12" t="s">
        <v>59</v>
      </c>
    </row>
    <row r="2285" spans="1:4" x14ac:dyDescent="0.2">
      <c r="A2285" s="12" t="s">
        <v>10280</v>
      </c>
      <c r="B2285" s="12" t="s">
        <v>10279</v>
      </c>
      <c r="C2285" s="12">
        <v>1000</v>
      </c>
      <c r="D2285" s="12">
        <v>100</v>
      </c>
    </row>
    <row r="2286" spans="1:4" x14ac:dyDescent="0.2">
      <c r="A2286" s="12" t="s">
        <v>4192</v>
      </c>
      <c r="B2286" s="12" t="s">
        <v>4191</v>
      </c>
      <c r="C2286" s="12">
        <v>5</v>
      </c>
      <c r="D2286" s="12">
        <v>0.5</v>
      </c>
    </row>
    <row r="2287" spans="1:4" x14ac:dyDescent="0.2">
      <c r="A2287" s="12" t="s">
        <v>1374</v>
      </c>
      <c r="B2287" s="12" t="s">
        <v>1373</v>
      </c>
      <c r="C2287" s="12">
        <v>16</v>
      </c>
      <c r="D2287" s="12">
        <v>0.54</v>
      </c>
    </row>
    <row r="2288" spans="1:4" x14ac:dyDescent="0.2">
      <c r="A2288" s="12" t="s">
        <v>8549</v>
      </c>
      <c r="B2288" s="12" t="s">
        <v>8548</v>
      </c>
      <c r="C2288" s="12">
        <v>2340</v>
      </c>
      <c r="D2288" s="12">
        <v>234</v>
      </c>
    </row>
    <row r="2289" spans="1:4" x14ac:dyDescent="0.2">
      <c r="A2289" s="12" t="s">
        <v>94</v>
      </c>
      <c r="B2289" s="12" t="s">
        <v>93</v>
      </c>
      <c r="C2289" s="12">
        <v>20</v>
      </c>
      <c r="D2289" s="12">
        <v>2</v>
      </c>
    </row>
    <row r="2290" spans="1:4" x14ac:dyDescent="0.2">
      <c r="A2290" s="12" t="s">
        <v>10205</v>
      </c>
      <c r="B2290" s="12" t="s">
        <v>10204</v>
      </c>
      <c r="C2290" s="12" t="s">
        <v>59</v>
      </c>
      <c r="D2290" s="12" t="s">
        <v>59</v>
      </c>
    </row>
    <row r="2291" spans="1:4" x14ac:dyDescent="0.2">
      <c r="A2291" s="12" t="s">
        <v>10206</v>
      </c>
      <c r="B2291" s="12" t="s">
        <v>10204</v>
      </c>
      <c r="C2291" s="12">
        <v>500</v>
      </c>
      <c r="D2291" s="12">
        <v>50</v>
      </c>
    </row>
    <row r="2292" spans="1:4" x14ac:dyDescent="0.2">
      <c r="A2292" s="12" t="s">
        <v>491</v>
      </c>
      <c r="B2292" s="12" t="s">
        <v>490</v>
      </c>
      <c r="C2292" s="12">
        <v>18</v>
      </c>
      <c r="D2292" s="12">
        <v>1.8</v>
      </c>
    </row>
    <row r="2293" spans="1:4" x14ac:dyDescent="0.2">
      <c r="A2293" s="12" t="s">
        <v>350</v>
      </c>
      <c r="B2293" s="12" t="s">
        <v>349</v>
      </c>
      <c r="C2293" s="12">
        <v>10000</v>
      </c>
      <c r="D2293" s="12">
        <v>1000</v>
      </c>
    </row>
    <row r="2294" spans="1:4" x14ac:dyDescent="0.2">
      <c r="A2294" s="12" t="s">
        <v>8091</v>
      </c>
      <c r="B2294" s="12" t="s">
        <v>8090</v>
      </c>
      <c r="C2294" s="12">
        <v>50</v>
      </c>
      <c r="D2294" s="12">
        <v>5</v>
      </c>
    </row>
    <row r="2295" spans="1:4" x14ac:dyDescent="0.2">
      <c r="A2295" s="12" t="s">
        <v>8870</v>
      </c>
      <c r="B2295" s="12" t="s">
        <v>8869</v>
      </c>
      <c r="C2295" s="12" t="s">
        <v>59</v>
      </c>
      <c r="D2295" s="12" t="s">
        <v>59</v>
      </c>
    </row>
    <row r="2296" spans="1:4" x14ac:dyDescent="0.2">
      <c r="A2296" s="12" t="s">
        <v>12133</v>
      </c>
      <c r="B2296" s="12" t="s">
        <v>12132</v>
      </c>
      <c r="C2296" s="12" t="s">
        <v>59</v>
      </c>
      <c r="D2296" s="12" t="s">
        <v>59</v>
      </c>
    </row>
    <row r="2297" spans="1:4" x14ac:dyDescent="0.2">
      <c r="A2297" s="12" t="s">
        <v>12134</v>
      </c>
      <c r="B2297" s="12" t="s">
        <v>12132</v>
      </c>
      <c r="C2297" s="12">
        <v>1000</v>
      </c>
      <c r="D2297" s="12">
        <v>100</v>
      </c>
    </row>
    <row r="2298" spans="1:4" x14ac:dyDescent="0.2">
      <c r="A2298" s="12" t="s">
        <v>11968</v>
      </c>
      <c r="B2298" s="12" t="s">
        <v>11967</v>
      </c>
      <c r="C2298" s="12">
        <v>600</v>
      </c>
      <c r="D2298" s="12">
        <v>60</v>
      </c>
    </row>
    <row r="2299" spans="1:4" x14ac:dyDescent="0.2">
      <c r="A2299" s="12" t="s">
        <v>3366</v>
      </c>
      <c r="B2299" s="12" t="s">
        <v>3365</v>
      </c>
      <c r="C2299" s="12" t="s">
        <v>59</v>
      </c>
      <c r="D2299" s="12" t="s">
        <v>59</v>
      </c>
    </row>
    <row r="2300" spans="1:4" x14ac:dyDescent="0.2">
      <c r="A2300" s="12" t="s">
        <v>3367</v>
      </c>
      <c r="B2300" s="12" t="s">
        <v>3365</v>
      </c>
      <c r="C2300" s="12">
        <v>1000</v>
      </c>
      <c r="D2300" s="12">
        <v>100</v>
      </c>
    </row>
    <row r="2301" spans="1:4" x14ac:dyDescent="0.2">
      <c r="A2301" s="12" t="s">
        <v>4018</v>
      </c>
      <c r="B2301" s="12" t="s">
        <v>4017</v>
      </c>
      <c r="C2301" s="12" t="s">
        <v>59</v>
      </c>
      <c r="D2301" s="12" t="s">
        <v>59</v>
      </c>
    </row>
    <row r="2302" spans="1:4" x14ac:dyDescent="0.2">
      <c r="A2302" s="12" t="s">
        <v>12068</v>
      </c>
      <c r="B2302" s="12" t="s">
        <v>12067</v>
      </c>
      <c r="C2302" s="12">
        <v>150</v>
      </c>
      <c r="D2302" s="12">
        <v>15</v>
      </c>
    </row>
    <row r="2303" spans="1:4" x14ac:dyDescent="0.2">
      <c r="A2303" s="12" t="s">
        <v>5232</v>
      </c>
      <c r="B2303" s="12" t="s">
        <v>5231</v>
      </c>
      <c r="C2303" s="12">
        <v>700</v>
      </c>
      <c r="D2303" s="12">
        <v>70</v>
      </c>
    </row>
    <row r="2304" spans="1:4" x14ac:dyDescent="0.2">
      <c r="A2304" s="12" t="s">
        <v>10432</v>
      </c>
      <c r="B2304" s="12" t="s">
        <v>10431</v>
      </c>
      <c r="C2304" s="12" t="s">
        <v>59</v>
      </c>
      <c r="D2304" s="12" t="s">
        <v>59</v>
      </c>
    </row>
    <row r="2305" spans="1:4" x14ac:dyDescent="0.2">
      <c r="A2305" s="12" t="s">
        <v>7511</v>
      </c>
      <c r="B2305" s="12" t="s">
        <v>7510</v>
      </c>
      <c r="C2305" s="12">
        <v>2000</v>
      </c>
      <c r="D2305" s="12">
        <v>200</v>
      </c>
    </row>
    <row r="2306" spans="1:4" x14ac:dyDescent="0.2">
      <c r="A2306" s="12" t="s">
        <v>7217</v>
      </c>
      <c r="B2306" s="12" t="s">
        <v>7216</v>
      </c>
      <c r="C2306" s="12" t="s">
        <v>59</v>
      </c>
      <c r="D2306" s="12" t="s">
        <v>59</v>
      </c>
    </row>
    <row r="2307" spans="1:4" x14ac:dyDescent="0.2">
      <c r="A2307" s="12" t="s">
        <v>3706</v>
      </c>
      <c r="B2307" s="12" t="s">
        <v>3705</v>
      </c>
      <c r="C2307" s="12" t="s">
        <v>59</v>
      </c>
      <c r="D2307" s="12" t="s">
        <v>59</v>
      </c>
    </row>
    <row r="2308" spans="1:4" x14ac:dyDescent="0.2">
      <c r="A2308" s="12" t="s">
        <v>4953</v>
      </c>
      <c r="B2308" s="12" t="s">
        <v>4952</v>
      </c>
      <c r="C2308" s="12" t="s">
        <v>59</v>
      </c>
      <c r="D2308" s="12" t="s">
        <v>59</v>
      </c>
    </row>
    <row r="2309" spans="1:4" x14ac:dyDescent="0.2">
      <c r="A2309" s="12" t="s">
        <v>1267</v>
      </c>
      <c r="B2309" s="12" t="s">
        <v>1266</v>
      </c>
      <c r="C2309" s="12">
        <v>120</v>
      </c>
      <c r="D2309" s="12">
        <v>12</v>
      </c>
    </row>
    <row r="2310" spans="1:4" x14ac:dyDescent="0.2">
      <c r="A2310" s="12" t="s">
        <v>3466</v>
      </c>
      <c r="B2310" s="12" t="s">
        <v>3465</v>
      </c>
      <c r="C2310" s="12" t="s">
        <v>59</v>
      </c>
      <c r="D2310" s="12" t="s">
        <v>59</v>
      </c>
    </row>
    <row r="2311" spans="1:4" x14ac:dyDescent="0.2">
      <c r="A2311" s="12" t="s">
        <v>623</v>
      </c>
      <c r="B2311" s="12" t="s">
        <v>622</v>
      </c>
      <c r="C2311" s="12">
        <v>410</v>
      </c>
      <c r="D2311" s="12">
        <v>41</v>
      </c>
    </row>
    <row r="2312" spans="1:4" x14ac:dyDescent="0.2">
      <c r="A2312" s="12" t="s">
        <v>9244</v>
      </c>
      <c r="B2312" s="12" t="s">
        <v>9243</v>
      </c>
      <c r="C2312" s="12" t="s">
        <v>59</v>
      </c>
      <c r="D2312" s="12" t="s">
        <v>59</v>
      </c>
    </row>
    <row r="2313" spans="1:4" x14ac:dyDescent="0.2">
      <c r="A2313" s="12" t="s">
        <v>10249</v>
      </c>
      <c r="B2313" s="12" t="s">
        <v>10248</v>
      </c>
      <c r="C2313" s="12">
        <v>600</v>
      </c>
      <c r="D2313" s="12">
        <v>60</v>
      </c>
    </row>
    <row r="2314" spans="1:4" x14ac:dyDescent="0.2">
      <c r="A2314" s="12" t="s">
        <v>8946</v>
      </c>
      <c r="B2314" s="12" t="s">
        <v>8945</v>
      </c>
      <c r="C2314" s="12">
        <v>100</v>
      </c>
      <c r="D2314" s="12">
        <v>10</v>
      </c>
    </row>
    <row r="2315" spans="1:4" x14ac:dyDescent="0.2">
      <c r="A2315" s="12" t="s">
        <v>5649</v>
      </c>
      <c r="B2315" s="12" t="s">
        <v>5648</v>
      </c>
      <c r="C2315" s="12">
        <v>100</v>
      </c>
      <c r="D2315" s="12">
        <v>10</v>
      </c>
    </row>
    <row r="2316" spans="1:4" x14ac:dyDescent="0.2">
      <c r="A2316" s="12" t="s">
        <v>2906</v>
      </c>
      <c r="B2316" s="12" t="s">
        <v>2905</v>
      </c>
      <c r="C2316" s="12">
        <v>3500</v>
      </c>
      <c r="D2316" s="12">
        <v>350</v>
      </c>
    </row>
    <row r="2317" spans="1:4" x14ac:dyDescent="0.2">
      <c r="A2317" s="12" t="s">
        <v>3497</v>
      </c>
      <c r="B2317" s="12" t="s">
        <v>3496</v>
      </c>
      <c r="C2317" s="12">
        <v>0.5</v>
      </c>
      <c r="D2317" s="12">
        <v>0.05</v>
      </c>
    </row>
    <row r="2318" spans="1:4" x14ac:dyDescent="0.2">
      <c r="A2318" s="12" t="s">
        <v>10146</v>
      </c>
      <c r="B2318" s="12" t="s">
        <v>10145</v>
      </c>
      <c r="C2318" s="12" t="s">
        <v>59</v>
      </c>
      <c r="D2318" s="12" t="s">
        <v>59</v>
      </c>
    </row>
    <row r="2319" spans="1:4" x14ac:dyDescent="0.2">
      <c r="A2319" s="12" t="s">
        <v>10147</v>
      </c>
      <c r="B2319" s="12" t="s">
        <v>10145</v>
      </c>
      <c r="C2319" s="12">
        <v>500</v>
      </c>
      <c r="D2319" s="12">
        <v>50</v>
      </c>
    </row>
    <row r="2320" spans="1:4" x14ac:dyDescent="0.2">
      <c r="A2320" s="12" t="s">
        <v>1991</v>
      </c>
      <c r="B2320" s="12" t="s">
        <v>1990</v>
      </c>
      <c r="C2320" s="12">
        <v>40</v>
      </c>
      <c r="D2320" s="12">
        <v>4</v>
      </c>
    </row>
    <row r="2321" spans="1:4" x14ac:dyDescent="0.2">
      <c r="A2321" s="12" t="s">
        <v>667</v>
      </c>
      <c r="B2321" s="12" t="s">
        <v>666</v>
      </c>
      <c r="C2321" s="12" t="s">
        <v>59</v>
      </c>
      <c r="D2321" s="12" t="s">
        <v>59</v>
      </c>
    </row>
    <row r="2322" spans="1:4" x14ac:dyDescent="0.2">
      <c r="A2322" s="12" t="s">
        <v>668</v>
      </c>
      <c r="B2322" s="12" t="s">
        <v>666</v>
      </c>
      <c r="C2322" s="12">
        <v>1000</v>
      </c>
      <c r="D2322" s="12">
        <v>100</v>
      </c>
    </row>
    <row r="2323" spans="1:4" x14ac:dyDescent="0.2">
      <c r="A2323" s="12" t="s">
        <v>747</v>
      </c>
      <c r="B2323" s="12" t="s">
        <v>746</v>
      </c>
      <c r="C2323" s="12" t="s">
        <v>59</v>
      </c>
      <c r="D2323" s="12" t="s">
        <v>59</v>
      </c>
    </row>
    <row r="2324" spans="1:4" x14ac:dyDescent="0.2">
      <c r="A2324" s="12" t="s">
        <v>800</v>
      </c>
      <c r="B2324" s="12" t="s">
        <v>799</v>
      </c>
      <c r="C2324" s="12" t="s">
        <v>59</v>
      </c>
      <c r="D2324" s="12" t="s">
        <v>59</v>
      </c>
    </row>
    <row r="2325" spans="1:4" x14ac:dyDescent="0.2">
      <c r="A2325" s="12" t="s">
        <v>1649</v>
      </c>
      <c r="B2325" s="12" t="s">
        <v>1648</v>
      </c>
      <c r="C2325" s="12">
        <v>1700</v>
      </c>
      <c r="D2325" s="12">
        <v>330</v>
      </c>
    </row>
    <row r="2326" spans="1:4" x14ac:dyDescent="0.2">
      <c r="A2326" s="12" t="s">
        <v>1128</v>
      </c>
      <c r="B2326" s="12" t="s">
        <v>1127</v>
      </c>
      <c r="C2326" s="12">
        <v>3500</v>
      </c>
      <c r="D2326" s="12">
        <v>350</v>
      </c>
    </row>
    <row r="2327" spans="1:4" x14ac:dyDescent="0.2">
      <c r="A2327" s="12" t="s">
        <v>633</v>
      </c>
      <c r="B2327" s="12" t="s">
        <v>632</v>
      </c>
      <c r="C2327" s="12">
        <v>3500</v>
      </c>
      <c r="D2327" s="12">
        <v>350</v>
      </c>
    </row>
    <row r="2328" spans="1:4" x14ac:dyDescent="0.2">
      <c r="A2328" s="12" t="s">
        <v>11524</v>
      </c>
      <c r="B2328" s="12" t="s">
        <v>11523</v>
      </c>
      <c r="C2328" s="12" t="s">
        <v>59</v>
      </c>
      <c r="D2328" s="12" t="s">
        <v>59</v>
      </c>
    </row>
    <row r="2329" spans="1:4" x14ac:dyDescent="0.2">
      <c r="A2329" s="12" t="s">
        <v>10174</v>
      </c>
      <c r="B2329" s="12" t="s">
        <v>10173</v>
      </c>
      <c r="C2329" s="12" t="s">
        <v>59</v>
      </c>
      <c r="D2329" s="12" t="s">
        <v>59</v>
      </c>
    </row>
    <row r="2330" spans="1:4" x14ac:dyDescent="0.2">
      <c r="A2330" s="12" t="s">
        <v>3253</v>
      </c>
      <c r="B2330" s="12" t="s">
        <v>3252</v>
      </c>
      <c r="C2330" s="12">
        <v>100</v>
      </c>
      <c r="D2330" s="12">
        <v>10</v>
      </c>
    </row>
    <row r="2331" spans="1:4" x14ac:dyDescent="0.2">
      <c r="A2331" s="12" t="s">
        <v>749</v>
      </c>
      <c r="B2331" s="12" t="s">
        <v>748</v>
      </c>
      <c r="C2331" s="12" t="s">
        <v>59</v>
      </c>
      <c r="D2331" s="12" t="s">
        <v>59</v>
      </c>
    </row>
    <row r="2332" spans="1:4" x14ac:dyDescent="0.2">
      <c r="A2332" s="12" t="s">
        <v>3804</v>
      </c>
      <c r="B2332" s="12" t="s">
        <v>3803</v>
      </c>
      <c r="C2332" s="12" t="s">
        <v>59</v>
      </c>
      <c r="D2332" s="12" t="s">
        <v>59</v>
      </c>
    </row>
    <row r="2333" spans="1:4" x14ac:dyDescent="0.2">
      <c r="A2333" s="12" t="s">
        <v>3805</v>
      </c>
      <c r="B2333" s="12" t="s">
        <v>3803</v>
      </c>
      <c r="C2333" s="12">
        <v>1000</v>
      </c>
      <c r="D2333" s="12">
        <v>100</v>
      </c>
    </row>
    <row r="2334" spans="1:4" x14ac:dyDescent="0.2">
      <c r="A2334" s="12" t="s">
        <v>360</v>
      </c>
      <c r="B2334" s="12" t="s">
        <v>359</v>
      </c>
      <c r="C2334" s="12">
        <v>100</v>
      </c>
      <c r="D2334" s="12">
        <v>10</v>
      </c>
    </row>
    <row r="2335" spans="1:4" x14ac:dyDescent="0.2">
      <c r="A2335" s="12" t="s">
        <v>6505</v>
      </c>
      <c r="B2335" s="12" t="s">
        <v>6504</v>
      </c>
      <c r="C2335" s="12" t="s">
        <v>59</v>
      </c>
      <c r="D2335" s="12" t="s">
        <v>59</v>
      </c>
    </row>
    <row r="2336" spans="1:4" x14ac:dyDescent="0.2">
      <c r="A2336" s="12" t="s">
        <v>5882</v>
      </c>
      <c r="B2336" s="12" t="s">
        <v>5881</v>
      </c>
      <c r="C2336" s="12">
        <v>100</v>
      </c>
      <c r="D2336" s="12">
        <v>10</v>
      </c>
    </row>
    <row r="2337" spans="1:4" x14ac:dyDescent="0.2">
      <c r="A2337" s="12" t="s">
        <v>6484</v>
      </c>
      <c r="B2337" s="12" t="s">
        <v>6483</v>
      </c>
      <c r="C2337" s="12" t="s">
        <v>59</v>
      </c>
      <c r="D2337" s="12" t="s">
        <v>59</v>
      </c>
    </row>
    <row r="2338" spans="1:4" x14ac:dyDescent="0.2">
      <c r="A2338" s="12" t="s">
        <v>6485</v>
      </c>
      <c r="B2338" s="12" t="s">
        <v>6483</v>
      </c>
      <c r="C2338" s="12">
        <v>600</v>
      </c>
      <c r="D2338" s="12">
        <v>60</v>
      </c>
    </row>
    <row r="2339" spans="1:4" x14ac:dyDescent="0.2">
      <c r="A2339" s="12" t="s">
        <v>6475</v>
      </c>
      <c r="B2339" s="12" t="s">
        <v>6474</v>
      </c>
      <c r="C2339" s="12" t="s">
        <v>59</v>
      </c>
      <c r="D2339" s="12" t="s">
        <v>59</v>
      </c>
    </row>
    <row r="2340" spans="1:4" x14ac:dyDescent="0.2">
      <c r="A2340" s="12" t="s">
        <v>6476</v>
      </c>
      <c r="B2340" s="12" t="s">
        <v>6474</v>
      </c>
      <c r="C2340" s="12">
        <v>600</v>
      </c>
      <c r="D2340" s="12">
        <v>60</v>
      </c>
    </row>
    <row r="2341" spans="1:4" x14ac:dyDescent="0.2">
      <c r="A2341" s="12" t="s">
        <v>11238</v>
      </c>
      <c r="B2341" s="12" t="s">
        <v>11237</v>
      </c>
      <c r="C2341" s="12">
        <v>1000</v>
      </c>
      <c r="D2341" s="12">
        <v>100</v>
      </c>
    </row>
    <row r="2342" spans="1:4" x14ac:dyDescent="0.2">
      <c r="A2342" s="12" t="s">
        <v>2098</v>
      </c>
      <c r="B2342" s="12" t="s">
        <v>2097</v>
      </c>
      <c r="C2342" s="12">
        <v>110</v>
      </c>
      <c r="D2342" s="12">
        <v>11</v>
      </c>
    </row>
    <row r="2343" spans="1:4" x14ac:dyDescent="0.2">
      <c r="A2343" s="12" t="s">
        <v>6764</v>
      </c>
      <c r="B2343" s="12" t="s">
        <v>6763</v>
      </c>
      <c r="C2343" s="12">
        <v>400</v>
      </c>
      <c r="D2343" s="12">
        <v>40</v>
      </c>
    </row>
    <row r="2344" spans="1:4" x14ac:dyDescent="0.2">
      <c r="A2344" s="12" t="s">
        <v>537</v>
      </c>
      <c r="B2344" s="12" t="s">
        <v>536</v>
      </c>
      <c r="C2344" s="12">
        <v>350</v>
      </c>
      <c r="D2344" s="12">
        <v>35</v>
      </c>
    </row>
    <row r="2345" spans="1:4" x14ac:dyDescent="0.2">
      <c r="A2345" s="12" t="s">
        <v>6664</v>
      </c>
      <c r="B2345" s="12" t="s">
        <v>6663</v>
      </c>
      <c r="C2345" s="12" t="s">
        <v>59</v>
      </c>
      <c r="D2345" s="12" t="s">
        <v>59</v>
      </c>
    </row>
    <row r="2346" spans="1:4" x14ac:dyDescent="0.2">
      <c r="A2346" s="12" t="s">
        <v>6665</v>
      </c>
      <c r="B2346" s="12" t="s">
        <v>6663</v>
      </c>
      <c r="C2346" s="12">
        <v>850</v>
      </c>
      <c r="D2346" s="12">
        <v>85</v>
      </c>
    </row>
    <row r="2347" spans="1:4" x14ac:dyDescent="0.2">
      <c r="A2347" s="12" t="s">
        <v>7503</v>
      </c>
      <c r="B2347" s="12" t="s">
        <v>7502</v>
      </c>
      <c r="C2347" s="12">
        <v>8.1</v>
      </c>
      <c r="D2347" s="12">
        <v>0.55000000000000004</v>
      </c>
    </row>
    <row r="2348" spans="1:4" x14ac:dyDescent="0.2">
      <c r="A2348" s="12" t="s">
        <v>9932</v>
      </c>
      <c r="B2348" s="12" t="s">
        <v>9931</v>
      </c>
      <c r="C2348" s="12" t="s">
        <v>59</v>
      </c>
      <c r="D2348" s="12" t="s">
        <v>59</v>
      </c>
    </row>
    <row r="2349" spans="1:4" x14ac:dyDescent="0.2">
      <c r="A2349" s="12" t="s">
        <v>5455</v>
      </c>
      <c r="B2349" s="12" t="s">
        <v>5454</v>
      </c>
      <c r="C2349" s="12">
        <v>100</v>
      </c>
      <c r="D2349" s="12">
        <v>10</v>
      </c>
    </row>
    <row r="2350" spans="1:4" x14ac:dyDescent="0.2">
      <c r="A2350" s="12" t="s">
        <v>4063</v>
      </c>
      <c r="B2350" s="12" t="s">
        <v>4062</v>
      </c>
      <c r="C2350" s="12">
        <v>530</v>
      </c>
      <c r="D2350" s="12">
        <v>53</v>
      </c>
    </row>
    <row r="2351" spans="1:4" x14ac:dyDescent="0.2">
      <c r="A2351" s="12" t="s">
        <v>5457</v>
      </c>
      <c r="B2351" s="12" t="s">
        <v>5456</v>
      </c>
      <c r="C2351" s="12">
        <v>50</v>
      </c>
      <c r="D2351" s="12">
        <v>5</v>
      </c>
    </row>
    <row r="2352" spans="1:4" x14ac:dyDescent="0.2">
      <c r="A2352" s="12" t="s">
        <v>12590</v>
      </c>
      <c r="B2352" s="12" t="s">
        <v>8569</v>
      </c>
      <c r="C2352" s="12">
        <v>8.1</v>
      </c>
      <c r="D2352" s="12">
        <v>0.55000000000000004</v>
      </c>
    </row>
    <row r="2353" spans="1:4" x14ac:dyDescent="0.2">
      <c r="A2353" s="12" t="s">
        <v>12591</v>
      </c>
      <c r="B2353" s="12" t="s">
        <v>8569</v>
      </c>
      <c r="C2353" s="12">
        <v>3.3</v>
      </c>
      <c r="D2353" s="12">
        <v>6.3E-2</v>
      </c>
    </row>
    <row r="2354" spans="1:4" x14ac:dyDescent="0.2">
      <c r="A2354" s="12" t="s">
        <v>9419</v>
      </c>
      <c r="B2354" s="12" t="s">
        <v>9418</v>
      </c>
      <c r="C2354" s="12">
        <v>1000</v>
      </c>
      <c r="D2354" s="12">
        <v>100</v>
      </c>
    </row>
    <row r="2355" spans="1:4" x14ac:dyDescent="0.2">
      <c r="A2355" s="12" t="s">
        <v>11833</v>
      </c>
      <c r="B2355" s="12" t="s">
        <v>11832</v>
      </c>
      <c r="C2355" s="12">
        <v>0.7</v>
      </c>
      <c r="D2355" s="12">
        <v>0.1</v>
      </c>
    </row>
    <row r="2356" spans="1:4" x14ac:dyDescent="0.2">
      <c r="A2356" s="12" t="s">
        <v>8551</v>
      </c>
      <c r="B2356" s="12" t="s">
        <v>8550</v>
      </c>
      <c r="C2356" s="12">
        <v>2000</v>
      </c>
      <c r="D2356" s="12">
        <v>200</v>
      </c>
    </row>
    <row r="2357" spans="1:4" x14ac:dyDescent="0.2">
      <c r="A2357" s="12" t="s">
        <v>7734</v>
      </c>
      <c r="B2357" s="12" t="s">
        <v>7733</v>
      </c>
      <c r="C2357" s="12">
        <v>10</v>
      </c>
      <c r="D2357" s="12">
        <v>1</v>
      </c>
    </row>
    <row r="2358" spans="1:4" x14ac:dyDescent="0.2">
      <c r="A2358" s="12" t="s">
        <v>1114</v>
      </c>
      <c r="B2358" s="12" t="s">
        <v>1113</v>
      </c>
      <c r="C2358" s="12">
        <v>1000</v>
      </c>
      <c r="D2358" s="12">
        <v>100</v>
      </c>
    </row>
    <row r="2359" spans="1:4" x14ac:dyDescent="0.2">
      <c r="A2359" s="12" t="s">
        <v>12201</v>
      </c>
      <c r="B2359" s="12" t="s">
        <v>12200</v>
      </c>
      <c r="C2359" s="12">
        <v>100</v>
      </c>
      <c r="D2359" s="12">
        <v>10</v>
      </c>
    </row>
    <row r="2360" spans="1:4" x14ac:dyDescent="0.2">
      <c r="A2360" s="12" t="s">
        <v>3303</v>
      </c>
      <c r="B2360" s="12" t="s">
        <v>3302</v>
      </c>
      <c r="C2360" s="12">
        <v>720</v>
      </c>
      <c r="D2360" s="12">
        <v>72</v>
      </c>
    </row>
    <row r="2361" spans="1:4" x14ac:dyDescent="0.2">
      <c r="A2361" s="12" t="s">
        <v>2387</v>
      </c>
      <c r="B2361" s="12" t="s">
        <v>2386</v>
      </c>
      <c r="C2361" s="12">
        <v>170</v>
      </c>
      <c r="D2361" s="12">
        <v>17</v>
      </c>
    </row>
    <row r="2362" spans="1:4" x14ac:dyDescent="0.2">
      <c r="A2362" s="12" t="s">
        <v>9949</v>
      </c>
      <c r="B2362" s="12" t="s">
        <v>9948</v>
      </c>
      <c r="C2362" s="12">
        <v>50</v>
      </c>
      <c r="D2362" s="12">
        <v>5</v>
      </c>
    </row>
    <row r="2363" spans="1:4" x14ac:dyDescent="0.2">
      <c r="A2363" s="12" t="s">
        <v>6431</v>
      </c>
      <c r="B2363" s="12" t="s">
        <v>6430</v>
      </c>
      <c r="C2363" s="12">
        <v>40</v>
      </c>
      <c r="D2363" s="12">
        <v>4</v>
      </c>
    </row>
    <row r="2364" spans="1:4" x14ac:dyDescent="0.2">
      <c r="A2364" s="12" t="s">
        <v>6481</v>
      </c>
      <c r="B2364" s="12" t="s">
        <v>6480</v>
      </c>
      <c r="C2364" s="12" t="s">
        <v>59</v>
      </c>
      <c r="D2364" s="12" t="s">
        <v>59</v>
      </c>
    </row>
    <row r="2365" spans="1:4" x14ac:dyDescent="0.2">
      <c r="A2365" s="12" t="s">
        <v>6482</v>
      </c>
      <c r="B2365" s="12" t="s">
        <v>6480</v>
      </c>
      <c r="C2365" s="12">
        <v>600</v>
      </c>
      <c r="D2365" s="12">
        <v>60</v>
      </c>
    </row>
    <row r="2366" spans="1:4" x14ac:dyDescent="0.2">
      <c r="A2366" s="12" t="s">
        <v>394</v>
      </c>
      <c r="B2366" s="12" t="s">
        <v>393</v>
      </c>
      <c r="C2366" s="12">
        <v>130</v>
      </c>
      <c r="D2366" s="12">
        <v>13</v>
      </c>
    </row>
    <row r="2367" spans="1:4" x14ac:dyDescent="0.2">
      <c r="A2367" s="12" t="s">
        <v>635</v>
      </c>
      <c r="B2367" s="12" t="s">
        <v>634</v>
      </c>
      <c r="C2367" s="12">
        <v>45</v>
      </c>
      <c r="D2367" s="12">
        <v>4.5</v>
      </c>
    </row>
    <row r="2368" spans="1:4" x14ac:dyDescent="0.2">
      <c r="A2368" s="12" t="s">
        <v>3279</v>
      </c>
      <c r="B2368" s="12" t="s">
        <v>3278</v>
      </c>
      <c r="C2368" s="12">
        <v>0.05</v>
      </c>
      <c r="D2368" s="12">
        <v>5.0000000000000001E-3</v>
      </c>
    </row>
    <row r="2369" spans="1:4" x14ac:dyDescent="0.2">
      <c r="A2369" s="12" t="s">
        <v>10990</v>
      </c>
      <c r="B2369" s="12" t="s">
        <v>10989</v>
      </c>
      <c r="C2369" s="12">
        <v>2</v>
      </c>
      <c r="D2369" s="12">
        <v>0.2</v>
      </c>
    </row>
    <row r="2370" spans="1:4" x14ac:dyDescent="0.2">
      <c r="A2370" s="12" t="s">
        <v>7889</v>
      </c>
      <c r="B2370" s="12" t="s">
        <v>7888</v>
      </c>
      <c r="C2370" s="12">
        <v>5600</v>
      </c>
      <c r="D2370" s="12">
        <v>540</v>
      </c>
    </row>
    <row r="2371" spans="1:4" x14ac:dyDescent="0.2">
      <c r="A2371" s="12" t="s">
        <v>6561</v>
      </c>
      <c r="B2371" s="12" t="s">
        <v>6560</v>
      </c>
      <c r="C2371" s="12">
        <v>1000</v>
      </c>
      <c r="D2371" s="12">
        <v>100</v>
      </c>
    </row>
    <row r="2372" spans="1:4" x14ac:dyDescent="0.2">
      <c r="A2372" s="12" t="s">
        <v>5835</v>
      </c>
      <c r="B2372" s="12" t="s">
        <v>5834</v>
      </c>
      <c r="C2372" s="12">
        <v>460</v>
      </c>
      <c r="D2372" s="12">
        <v>46</v>
      </c>
    </row>
    <row r="2373" spans="1:4" x14ac:dyDescent="0.2">
      <c r="A2373" s="12" t="s">
        <v>6084</v>
      </c>
      <c r="B2373" s="12" t="s">
        <v>6083</v>
      </c>
      <c r="C2373" s="12">
        <v>100</v>
      </c>
      <c r="D2373" s="12">
        <v>10</v>
      </c>
    </row>
    <row r="2374" spans="1:4" x14ac:dyDescent="0.2">
      <c r="A2374" s="12" t="s">
        <v>3001</v>
      </c>
      <c r="B2374" s="12" t="s">
        <v>3000</v>
      </c>
      <c r="C2374" s="12" t="s">
        <v>59</v>
      </c>
      <c r="D2374" s="12" t="s">
        <v>59</v>
      </c>
    </row>
    <row r="2375" spans="1:4" x14ac:dyDescent="0.2">
      <c r="A2375" s="12" t="s">
        <v>2966</v>
      </c>
      <c r="B2375" s="12" t="s">
        <v>2965</v>
      </c>
      <c r="C2375" s="12">
        <v>2500</v>
      </c>
      <c r="D2375" s="12">
        <v>250</v>
      </c>
    </row>
    <row r="2376" spans="1:4" x14ac:dyDescent="0.2">
      <c r="A2376" s="12" t="s">
        <v>7867</v>
      </c>
      <c r="B2376" s="12" t="s">
        <v>7866</v>
      </c>
      <c r="C2376" s="12">
        <v>5000</v>
      </c>
      <c r="D2376" s="12">
        <v>500</v>
      </c>
    </row>
    <row r="2377" spans="1:4" x14ac:dyDescent="0.2">
      <c r="A2377" s="12" t="s">
        <v>11582</v>
      </c>
      <c r="B2377" s="12" t="s">
        <v>11581</v>
      </c>
      <c r="C2377" s="12">
        <v>100</v>
      </c>
      <c r="D2377" s="12">
        <v>10</v>
      </c>
    </row>
    <row r="2378" spans="1:4" x14ac:dyDescent="0.2">
      <c r="A2378" s="12" t="s">
        <v>5477</v>
      </c>
      <c r="B2378" s="12" t="s">
        <v>5476</v>
      </c>
      <c r="C2378" s="12">
        <v>100</v>
      </c>
      <c r="D2378" s="12">
        <v>10</v>
      </c>
    </row>
    <row r="2379" spans="1:4" x14ac:dyDescent="0.2">
      <c r="A2379" s="12" t="s">
        <v>5094</v>
      </c>
      <c r="B2379" s="12" t="s">
        <v>5093</v>
      </c>
      <c r="C2379" s="12" t="s">
        <v>59</v>
      </c>
      <c r="D2379" s="12" t="s">
        <v>59</v>
      </c>
    </row>
    <row r="2380" spans="1:4" x14ac:dyDescent="0.2">
      <c r="A2380" s="12" t="s">
        <v>8545</v>
      </c>
      <c r="B2380" s="12" t="s">
        <v>8544</v>
      </c>
      <c r="C2380" s="12">
        <v>290</v>
      </c>
      <c r="D2380" s="12">
        <v>480</v>
      </c>
    </row>
    <row r="2381" spans="1:4" x14ac:dyDescent="0.2">
      <c r="A2381" s="12" t="s">
        <v>6027</v>
      </c>
      <c r="B2381" s="12" t="s">
        <v>6026</v>
      </c>
      <c r="C2381" s="12">
        <v>50</v>
      </c>
      <c r="D2381" s="12">
        <v>5</v>
      </c>
    </row>
    <row r="2382" spans="1:4" x14ac:dyDescent="0.2">
      <c r="A2382" s="12" t="s">
        <v>1623</v>
      </c>
      <c r="B2382" s="12" t="s">
        <v>1622</v>
      </c>
      <c r="C2382" s="12">
        <v>50</v>
      </c>
      <c r="D2382" s="12">
        <v>5</v>
      </c>
    </row>
    <row r="2383" spans="1:4" x14ac:dyDescent="0.2">
      <c r="A2383" s="12" t="s">
        <v>6126</v>
      </c>
      <c r="B2383" s="12" t="s">
        <v>6125</v>
      </c>
      <c r="C2383" s="12" t="s">
        <v>59</v>
      </c>
      <c r="D2383" s="12" t="s">
        <v>59</v>
      </c>
    </row>
    <row r="2384" spans="1:4" x14ac:dyDescent="0.2">
      <c r="A2384" s="12" t="s">
        <v>6124</v>
      </c>
      <c r="B2384" s="12" t="s">
        <v>6123</v>
      </c>
      <c r="C2384" s="12">
        <v>10</v>
      </c>
      <c r="D2384" s="12">
        <v>1</v>
      </c>
    </row>
    <row r="2385" spans="1:4" x14ac:dyDescent="0.2">
      <c r="A2385" s="12" t="s">
        <v>753</v>
      </c>
      <c r="B2385" s="12" t="s">
        <v>752</v>
      </c>
      <c r="C2385" s="12" t="s">
        <v>59</v>
      </c>
      <c r="D2385" s="12" t="s">
        <v>59</v>
      </c>
    </row>
    <row r="2386" spans="1:4" x14ac:dyDescent="0.2">
      <c r="A2386" s="12" t="s">
        <v>2283</v>
      </c>
      <c r="B2386" s="12" t="s">
        <v>2282</v>
      </c>
      <c r="C2386" s="12">
        <v>170</v>
      </c>
      <c r="D2386" s="12">
        <v>17</v>
      </c>
    </row>
    <row r="2387" spans="1:4" x14ac:dyDescent="0.2">
      <c r="A2387" s="12" t="s">
        <v>10971</v>
      </c>
      <c r="B2387" s="12" t="s">
        <v>10970</v>
      </c>
      <c r="C2387" s="12" t="s">
        <v>59</v>
      </c>
      <c r="D2387" s="12" t="s">
        <v>59</v>
      </c>
    </row>
    <row r="2388" spans="1:4" x14ac:dyDescent="0.2">
      <c r="A2388" s="12" t="s">
        <v>6462</v>
      </c>
      <c r="B2388" s="12" t="s">
        <v>6461</v>
      </c>
      <c r="C2388" s="12" t="s">
        <v>59</v>
      </c>
      <c r="D2388" s="12" t="s">
        <v>59</v>
      </c>
    </row>
    <row r="2389" spans="1:4" x14ac:dyDescent="0.2">
      <c r="A2389" s="12" t="s">
        <v>6463</v>
      </c>
      <c r="B2389" s="12" t="s">
        <v>6461</v>
      </c>
      <c r="C2389" s="12">
        <v>600</v>
      </c>
      <c r="D2389" s="12">
        <v>60</v>
      </c>
    </row>
    <row r="2390" spans="1:4" x14ac:dyDescent="0.2">
      <c r="A2390" s="12" t="s">
        <v>1571</v>
      </c>
      <c r="B2390" s="12" t="s">
        <v>1570</v>
      </c>
      <c r="C2390" s="12">
        <v>90</v>
      </c>
      <c r="D2390" s="12">
        <v>9</v>
      </c>
    </row>
    <row r="2391" spans="1:4" x14ac:dyDescent="0.2">
      <c r="A2391" s="12" t="s">
        <v>1009</v>
      </c>
      <c r="B2391" s="12" t="s">
        <v>1008</v>
      </c>
      <c r="C2391" s="12">
        <v>420</v>
      </c>
      <c r="D2391" s="12">
        <v>42</v>
      </c>
    </row>
    <row r="2392" spans="1:4" x14ac:dyDescent="0.2">
      <c r="A2392" s="12" t="s">
        <v>9280</v>
      </c>
      <c r="B2392" s="12" t="s">
        <v>9279</v>
      </c>
      <c r="C2392" s="12">
        <v>420</v>
      </c>
      <c r="D2392" s="12">
        <v>42</v>
      </c>
    </row>
    <row r="2393" spans="1:4" x14ac:dyDescent="0.2">
      <c r="A2393" s="12" t="s">
        <v>9108</v>
      </c>
      <c r="B2393" s="12" t="s">
        <v>9107</v>
      </c>
      <c r="C2393" s="12" t="s">
        <v>59</v>
      </c>
      <c r="D2393" s="12" t="s">
        <v>59</v>
      </c>
    </row>
    <row r="2394" spans="1:4" x14ac:dyDescent="0.2">
      <c r="A2394" s="12" t="s">
        <v>9109</v>
      </c>
      <c r="B2394" s="12" t="s">
        <v>9107</v>
      </c>
      <c r="C2394" s="12">
        <v>1000</v>
      </c>
      <c r="D2394" s="12">
        <v>100</v>
      </c>
    </row>
    <row r="2395" spans="1:4" x14ac:dyDescent="0.2">
      <c r="A2395" s="12" t="s">
        <v>3019</v>
      </c>
      <c r="B2395" s="12" t="s">
        <v>3018</v>
      </c>
      <c r="C2395" s="12">
        <v>440</v>
      </c>
      <c r="D2395" s="12">
        <v>44</v>
      </c>
    </row>
    <row r="2396" spans="1:4" x14ac:dyDescent="0.2">
      <c r="A2396" s="12" t="s">
        <v>8543</v>
      </c>
      <c r="B2396" s="12" t="s">
        <v>8542</v>
      </c>
      <c r="C2396" s="12">
        <v>700</v>
      </c>
      <c r="D2396" s="12">
        <v>70</v>
      </c>
    </row>
    <row r="2397" spans="1:4" x14ac:dyDescent="0.2">
      <c r="A2397" s="12" t="s">
        <v>9446</v>
      </c>
      <c r="B2397" s="12" t="s">
        <v>9445</v>
      </c>
      <c r="C2397" s="12">
        <v>110</v>
      </c>
      <c r="D2397" s="12">
        <v>14</v>
      </c>
    </row>
    <row r="2398" spans="1:4" x14ac:dyDescent="0.2">
      <c r="A2398" s="12" t="s">
        <v>10263</v>
      </c>
      <c r="B2398" s="12" t="s">
        <v>10262</v>
      </c>
      <c r="C2398" s="12">
        <v>125</v>
      </c>
      <c r="D2398" s="12">
        <v>12.5</v>
      </c>
    </row>
    <row r="2399" spans="1:4" x14ac:dyDescent="0.2">
      <c r="A2399" s="12" t="s">
        <v>5599</v>
      </c>
      <c r="B2399" s="12" t="s">
        <v>5598</v>
      </c>
      <c r="C2399" s="12">
        <v>30</v>
      </c>
      <c r="D2399" s="12">
        <v>3</v>
      </c>
    </row>
    <row r="2400" spans="1:4" x14ac:dyDescent="0.2">
      <c r="A2400" s="12" t="s">
        <v>8876</v>
      </c>
      <c r="B2400" s="12" t="s">
        <v>8875</v>
      </c>
      <c r="C2400" s="12" t="s">
        <v>59</v>
      </c>
      <c r="D2400" s="12" t="s">
        <v>59</v>
      </c>
    </row>
    <row r="2401" spans="1:4" x14ac:dyDescent="0.2">
      <c r="A2401" s="12" t="s">
        <v>7893</v>
      </c>
      <c r="B2401" s="12" t="s">
        <v>7892</v>
      </c>
      <c r="C2401" s="12">
        <v>2700</v>
      </c>
      <c r="D2401" s="12">
        <v>270</v>
      </c>
    </row>
    <row r="2402" spans="1:4" x14ac:dyDescent="0.2">
      <c r="A2402" s="12" t="s">
        <v>582</v>
      </c>
      <c r="B2402" s="12" t="s">
        <v>581</v>
      </c>
      <c r="C2402" s="12">
        <v>45</v>
      </c>
      <c r="D2402" s="12">
        <v>4.5</v>
      </c>
    </row>
    <row r="2403" spans="1:4" x14ac:dyDescent="0.2">
      <c r="A2403" s="12" t="s">
        <v>9390</v>
      </c>
      <c r="B2403" s="12" t="s">
        <v>9389</v>
      </c>
      <c r="C2403" s="12">
        <v>4</v>
      </c>
      <c r="D2403" s="12">
        <v>0.4</v>
      </c>
    </row>
    <row r="2404" spans="1:4" x14ac:dyDescent="0.2">
      <c r="A2404" s="12" t="s">
        <v>11423</v>
      </c>
      <c r="B2404" s="12" t="s">
        <v>11422</v>
      </c>
      <c r="C2404" s="12">
        <v>210</v>
      </c>
      <c r="D2404" s="12">
        <v>21</v>
      </c>
    </row>
    <row r="2405" spans="1:4" x14ac:dyDescent="0.2">
      <c r="A2405" s="12" t="s">
        <v>6760</v>
      </c>
      <c r="B2405" s="12" t="s">
        <v>6759</v>
      </c>
      <c r="C2405" s="12" t="s">
        <v>59</v>
      </c>
      <c r="D2405" s="12" t="s">
        <v>59</v>
      </c>
    </row>
    <row r="2406" spans="1:4" x14ac:dyDescent="0.2">
      <c r="A2406" s="12" t="s">
        <v>832</v>
      </c>
      <c r="B2406" s="12" t="s">
        <v>831</v>
      </c>
      <c r="C2406" s="12">
        <v>490</v>
      </c>
      <c r="D2406" s="12">
        <v>49</v>
      </c>
    </row>
    <row r="2407" spans="1:4" x14ac:dyDescent="0.2">
      <c r="A2407" s="12" t="s">
        <v>1881</v>
      </c>
      <c r="B2407" s="12" t="s">
        <v>1880</v>
      </c>
      <c r="C2407" s="12">
        <v>50</v>
      </c>
      <c r="D2407" s="12">
        <v>5</v>
      </c>
    </row>
    <row r="2408" spans="1:4" x14ac:dyDescent="0.2">
      <c r="A2408" s="12" t="s">
        <v>1102</v>
      </c>
      <c r="B2408" s="12" t="s">
        <v>1101</v>
      </c>
      <c r="C2408" s="12">
        <v>2450</v>
      </c>
      <c r="D2408" s="12">
        <v>245</v>
      </c>
    </row>
    <row r="2409" spans="1:4" x14ac:dyDescent="0.2">
      <c r="A2409" s="12" t="s">
        <v>5686</v>
      </c>
      <c r="B2409" s="12" t="s">
        <v>5685</v>
      </c>
      <c r="C2409" s="12">
        <v>1000</v>
      </c>
      <c r="D2409" s="12">
        <v>100</v>
      </c>
    </row>
    <row r="2410" spans="1:4" x14ac:dyDescent="0.2">
      <c r="A2410" s="12" t="s">
        <v>6465</v>
      </c>
      <c r="B2410" s="12" t="s">
        <v>6464</v>
      </c>
      <c r="C2410" s="12" t="s">
        <v>59</v>
      </c>
      <c r="D2410" s="12" t="s">
        <v>59</v>
      </c>
    </row>
    <row r="2411" spans="1:4" x14ac:dyDescent="0.2">
      <c r="A2411" s="12" t="s">
        <v>6466</v>
      </c>
      <c r="B2411" s="12" t="s">
        <v>6464</v>
      </c>
      <c r="C2411" s="12">
        <v>600</v>
      </c>
      <c r="D2411" s="12">
        <v>60</v>
      </c>
    </row>
    <row r="2412" spans="1:4" x14ac:dyDescent="0.2">
      <c r="A2412" s="12" t="s">
        <v>10406</v>
      </c>
      <c r="B2412" s="12" t="s">
        <v>10405</v>
      </c>
      <c r="C2412" s="12">
        <v>30</v>
      </c>
      <c r="D2412" s="12">
        <v>3</v>
      </c>
    </row>
    <row r="2413" spans="1:4" x14ac:dyDescent="0.2">
      <c r="A2413" s="12" t="s">
        <v>6021</v>
      </c>
      <c r="B2413" s="12" t="s">
        <v>6020</v>
      </c>
      <c r="C2413" s="12">
        <v>4300</v>
      </c>
      <c r="D2413" s="12">
        <v>430</v>
      </c>
    </row>
    <row r="2414" spans="1:4" x14ac:dyDescent="0.2">
      <c r="A2414" s="12" t="s">
        <v>6022</v>
      </c>
      <c r="B2414" s="12" t="s">
        <v>6020</v>
      </c>
      <c r="C2414" s="12" t="s">
        <v>59</v>
      </c>
      <c r="D2414" s="12" t="s">
        <v>59</v>
      </c>
    </row>
    <row r="2415" spans="1:4" x14ac:dyDescent="0.2">
      <c r="A2415" s="12" t="s">
        <v>9453</v>
      </c>
      <c r="B2415" s="12" t="s">
        <v>9452</v>
      </c>
      <c r="C2415" s="12">
        <v>290</v>
      </c>
      <c r="D2415" s="12">
        <v>3.3</v>
      </c>
    </row>
    <row r="2416" spans="1:4" x14ac:dyDescent="0.2">
      <c r="A2416" s="12" t="s">
        <v>3071</v>
      </c>
      <c r="B2416" s="12" t="s">
        <v>3070</v>
      </c>
      <c r="C2416" s="12">
        <v>1200</v>
      </c>
      <c r="D2416" s="12">
        <v>120</v>
      </c>
    </row>
    <row r="2417" spans="1:4" x14ac:dyDescent="0.2">
      <c r="A2417" s="12" t="s">
        <v>11724</v>
      </c>
      <c r="B2417" s="12" t="s">
        <v>11723</v>
      </c>
      <c r="C2417" s="12">
        <v>180</v>
      </c>
      <c r="D2417" s="12">
        <v>18</v>
      </c>
    </row>
    <row r="2418" spans="1:4" x14ac:dyDescent="0.2">
      <c r="A2418" s="12" t="s">
        <v>3315</v>
      </c>
      <c r="B2418" s="12" t="s">
        <v>3314</v>
      </c>
      <c r="C2418" s="12">
        <v>100</v>
      </c>
      <c r="D2418" s="12">
        <v>10</v>
      </c>
    </row>
    <row r="2419" spans="1:4" x14ac:dyDescent="0.2">
      <c r="A2419" s="12" t="s">
        <v>4445</v>
      </c>
      <c r="B2419" s="12" t="s">
        <v>4444</v>
      </c>
      <c r="C2419" s="12" t="s">
        <v>59</v>
      </c>
      <c r="D2419" s="12" t="s">
        <v>59</v>
      </c>
    </row>
    <row r="2420" spans="1:4" x14ac:dyDescent="0.2">
      <c r="A2420" s="12" t="s">
        <v>9922</v>
      </c>
      <c r="B2420" s="12" t="s">
        <v>9921</v>
      </c>
      <c r="C2420" s="12" t="s">
        <v>59</v>
      </c>
      <c r="D2420" s="12" t="s">
        <v>59</v>
      </c>
    </row>
    <row r="2421" spans="1:4" x14ac:dyDescent="0.2">
      <c r="A2421" s="12" t="s">
        <v>9272</v>
      </c>
      <c r="B2421" s="12" t="s">
        <v>9271</v>
      </c>
      <c r="C2421" s="12">
        <v>5700</v>
      </c>
      <c r="D2421" s="12">
        <v>570</v>
      </c>
    </row>
    <row r="2422" spans="1:4" x14ac:dyDescent="0.2">
      <c r="A2422" s="12" t="s">
        <v>7887</v>
      </c>
      <c r="B2422" s="12" t="s">
        <v>7886</v>
      </c>
      <c r="C2422" s="12">
        <v>580</v>
      </c>
      <c r="D2422" s="12">
        <v>58</v>
      </c>
    </row>
    <row r="2423" spans="1:4" x14ac:dyDescent="0.2">
      <c r="A2423" s="12" t="s">
        <v>2112</v>
      </c>
      <c r="B2423" s="12" t="s">
        <v>2111</v>
      </c>
      <c r="C2423" s="12">
        <v>340</v>
      </c>
      <c r="D2423" s="12">
        <v>34</v>
      </c>
    </row>
    <row r="2424" spans="1:4" x14ac:dyDescent="0.2">
      <c r="A2424" s="12" t="s">
        <v>3793</v>
      </c>
      <c r="B2424" s="12" t="s">
        <v>3792</v>
      </c>
      <c r="C2424" s="12" t="s">
        <v>59</v>
      </c>
      <c r="D2424" s="12" t="s">
        <v>59</v>
      </c>
    </row>
    <row r="2425" spans="1:4" x14ac:dyDescent="0.2">
      <c r="A2425" s="12" t="s">
        <v>5319</v>
      </c>
      <c r="B2425" s="12" t="s">
        <v>5318</v>
      </c>
      <c r="C2425" s="12">
        <v>0.21</v>
      </c>
      <c r="D2425" s="12">
        <v>1.6999999999999999E-3</v>
      </c>
    </row>
    <row r="2426" spans="1:4" x14ac:dyDescent="0.2">
      <c r="A2426" s="12" t="s">
        <v>8236</v>
      </c>
      <c r="B2426" s="12" t="s">
        <v>8235</v>
      </c>
      <c r="C2426" s="12">
        <v>1</v>
      </c>
      <c r="D2426" s="12">
        <v>0.1</v>
      </c>
    </row>
    <row r="2427" spans="1:4" x14ac:dyDescent="0.2">
      <c r="A2427" s="12" t="s">
        <v>4872</v>
      </c>
      <c r="B2427" s="12" t="s">
        <v>4871</v>
      </c>
      <c r="C2427" s="12" t="s">
        <v>59</v>
      </c>
      <c r="D2427" s="12" t="s">
        <v>59</v>
      </c>
    </row>
    <row r="2428" spans="1:4" x14ac:dyDescent="0.2">
      <c r="A2428" s="12" t="s">
        <v>3734</v>
      </c>
      <c r="B2428" s="12" t="s">
        <v>3733</v>
      </c>
      <c r="C2428" s="12" t="s">
        <v>59</v>
      </c>
      <c r="D2428" s="12" t="s">
        <v>59</v>
      </c>
    </row>
    <row r="2429" spans="1:4" x14ac:dyDescent="0.2">
      <c r="A2429" s="12" t="s">
        <v>3735</v>
      </c>
      <c r="B2429" s="12" t="s">
        <v>3733</v>
      </c>
      <c r="C2429" s="12">
        <v>600</v>
      </c>
      <c r="D2429" s="12">
        <v>60</v>
      </c>
    </row>
    <row r="2430" spans="1:4" x14ac:dyDescent="0.2">
      <c r="A2430" s="12" t="s">
        <v>963</v>
      </c>
      <c r="B2430" s="12" t="s">
        <v>962</v>
      </c>
      <c r="C2430" s="12">
        <v>10000</v>
      </c>
      <c r="D2430" s="12">
        <v>1000</v>
      </c>
    </row>
    <row r="2431" spans="1:4" x14ac:dyDescent="0.2">
      <c r="A2431" s="12" t="s">
        <v>1999</v>
      </c>
      <c r="B2431" s="12" t="s">
        <v>1998</v>
      </c>
      <c r="C2431" s="12">
        <v>10000</v>
      </c>
      <c r="D2431" s="12">
        <v>1000</v>
      </c>
    </row>
    <row r="2432" spans="1:4" x14ac:dyDescent="0.2">
      <c r="A2432" s="12" t="s">
        <v>10244</v>
      </c>
      <c r="B2432" s="12" t="s">
        <v>10243</v>
      </c>
      <c r="C2432" s="12" t="s">
        <v>59</v>
      </c>
      <c r="D2432" s="12" t="s">
        <v>59</v>
      </c>
    </row>
    <row r="2433" spans="1:4" x14ac:dyDescent="0.2">
      <c r="A2433" s="12" t="s">
        <v>10245</v>
      </c>
      <c r="B2433" s="12" t="s">
        <v>10243</v>
      </c>
      <c r="C2433" s="12">
        <v>1000</v>
      </c>
      <c r="D2433" s="12">
        <v>100</v>
      </c>
    </row>
    <row r="2434" spans="1:4" x14ac:dyDescent="0.2">
      <c r="A2434" s="12" t="s">
        <v>3835</v>
      </c>
      <c r="B2434" s="12" t="s">
        <v>3834</v>
      </c>
      <c r="C2434" s="12" t="s">
        <v>59</v>
      </c>
      <c r="D2434" s="12" t="s">
        <v>59</v>
      </c>
    </row>
    <row r="2435" spans="1:4" x14ac:dyDescent="0.2">
      <c r="A2435" s="12" t="s">
        <v>3836</v>
      </c>
      <c r="B2435" s="12" t="s">
        <v>3834</v>
      </c>
      <c r="C2435" s="12">
        <v>1000</v>
      </c>
      <c r="D2435" s="12">
        <v>100</v>
      </c>
    </row>
    <row r="2436" spans="1:4" x14ac:dyDescent="0.2">
      <c r="A2436" s="12" t="s">
        <v>621</v>
      </c>
      <c r="B2436" s="12" t="s">
        <v>620</v>
      </c>
      <c r="C2436" s="12" t="s">
        <v>59</v>
      </c>
      <c r="D2436" s="12" t="s">
        <v>59</v>
      </c>
    </row>
    <row r="2437" spans="1:4" x14ac:dyDescent="0.2">
      <c r="A2437" s="12" t="s">
        <v>9309</v>
      </c>
      <c r="B2437" s="12" t="s">
        <v>9308</v>
      </c>
      <c r="C2437" s="12" t="s">
        <v>59</v>
      </c>
      <c r="D2437" s="12" t="s">
        <v>59</v>
      </c>
    </row>
    <row r="2438" spans="1:4" x14ac:dyDescent="0.2">
      <c r="A2438" s="12" t="s">
        <v>2734</v>
      </c>
      <c r="B2438" s="12" t="s">
        <v>2733</v>
      </c>
      <c r="C2438" s="12" t="s">
        <v>59</v>
      </c>
      <c r="D2438" s="12" t="s">
        <v>59</v>
      </c>
    </row>
    <row r="2439" spans="1:4" x14ac:dyDescent="0.2">
      <c r="A2439" s="12" t="s">
        <v>2735</v>
      </c>
      <c r="B2439" s="12" t="s">
        <v>2733</v>
      </c>
      <c r="C2439" s="12">
        <v>600</v>
      </c>
      <c r="D2439" s="12">
        <v>60</v>
      </c>
    </row>
    <row r="2440" spans="1:4" x14ac:dyDescent="0.2">
      <c r="A2440" s="12" t="s">
        <v>6316</v>
      </c>
      <c r="B2440" s="12" t="s">
        <v>6315</v>
      </c>
      <c r="C2440" s="12">
        <v>50</v>
      </c>
      <c r="D2440" s="12">
        <v>5</v>
      </c>
    </row>
    <row r="2441" spans="1:4" x14ac:dyDescent="0.2">
      <c r="A2441" s="12" t="s">
        <v>6697</v>
      </c>
      <c r="B2441" s="12" t="s">
        <v>6696</v>
      </c>
      <c r="C2441" s="12">
        <v>200</v>
      </c>
      <c r="D2441" s="12">
        <v>20</v>
      </c>
    </row>
    <row r="2442" spans="1:4" x14ac:dyDescent="0.2">
      <c r="A2442" s="12" t="s">
        <v>1833</v>
      </c>
      <c r="B2442" s="12" t="s">
        <v>1832</v>
      </c>
      <c r="C2442" s="12">
        <v>5700</v>
      </c>
      <c r="D2442" s="12">
        <v>570</v>
      </c>
    </row>
    <row r="2443" spans="1:4" x14ac:dyDescent="0.2">
      <c r="A2443" s="12" t="s">
        <v>7977</v>
      </c>
      <c r="B2443" s="12" t="s">
        <v>7976</v>
      </c>
      <c r="C2443" s="12">
        <v>1500</v>
      </c>
      <c r="D2443" s="12">
        <v>150</v>
      </c>
    </row>
    <row r="2444" spans="1:4" x14ac:dyDescent="0.2">
      <c r="A2444" s="12" t="s">
        <v>7881</v>
      </c>
      <c r="B2444" s="12" t="s">
        <v>7880</v>
      </c>
      <c r="C2444" s="12">
        <v>2700</v>
      </c>
      <c r="D2444" s="12">
        <v>270</v>
      </c>
    </row>
    <row r="2445" spans="1:4" x14ac:dyDescent="0.2">
      <c r="A2445" s="12" t="s">
        <v>8174</v>
      </c>
      <c r="B2445" s="12" t="s">
        <v>8173</v>
      </c>
      <c r="C2445" s="12">
        <v>40</v>
      </c>
      <c r="D2445" s="12">
        <v>4</v>
      </c>
    </row>
    <row r="2446" spans="1:4" x14ac:dyDescent="0.2">
      <c r="A2446" s="12" t="s">
        <v>8571</v>
      </c>
      <c r="B2446" s="12" t="s">
        <v>8570</v>
      </c>
      <c r="C2446" s="12" t="s">
        <v>59</v>
      </c>
      <c r="D2446" s="12" t="s">
        <v>59</v>
      </c>
    </row>
    <row r="2447" spans="1:4" x14ac:dyDescent="0.2">
      <c r="A2447" s="12" t="s">
        <v>1502</v>
      </c>
      <c r="B2447" s="12" t="s">
        <v>1501</v>
      </c>
      <c r="C2447" s="12">
        <v>280</v>
      </c>
      <c r="D2447" s="12">
        <v>28</v>
      </c>
    </row>
    <row r="2448" spans="1:4" x14ac:dyDescent="0.2">
      <c r="A2448" s="12" t="s">
        <v>3997</v>
      </c>
      <c r="B2448" s="12" t="s">
        <v>3996</v>
      </c>
      <c r="C2448" s="12">
        <v>5</v>
      </c>
      <c r="D2448" s="12">
        <v>0.5</v>
      </c>
    </row>
    <row r="2449" spans="1:4" x14ac:dyDescent="0.2">
      <c r="A2449" s="12" t="s">
        <v>3960</v>
      </c>
      <c r="B2449" s="12" t="s">
        <v>3959</v>
      </c>
      <c r="C2449" s="12" t="s">
        <v>59</v>
      </c>
      <c r="D2449" s="12" t="s">
        <v>59</v>
      </c>
    </row>
    <row r="2450" spans="1:4" x14ac:dyDescent="0.2">
      <c r="A2450" s="12" t="s">
        <v>8618</v>
      </c>
      <c r="B2450" s="12" t="s">
        <v>8617</v>
      </c>
      <c r="C2450" s="12">
        <v>260</v>
      </c>
      <c r="D2450" s="12">
        <v>26</v>
      </c>
    </row>
    <row r="2451" spans="1:4" x14ac:dyDescent="0.2">
      <c r="A2451" s="12" t="s">
        <v>3227</v>
      </c>
      <c r="B2451" s="12" t="s">
        <v>3226</v>
      </c>
      <c r="C2451" s="12">
        <v>160</v>
      </c>
      <c r="D2451" s="12">
        <v>16</v>
      </c>
    </row>
    <row r="2452" spans="1:4" x14ac:dyDescent="0.2">
      <c r="A2452" s="12" t="s">
        <v>654</v>
      </c>
      <c r="B2452" s="12" t="s">
        <v>653</v>
      </c>
      <c r="C2452" s="12">
        <v>40</v>
      </c>
      <c r="D2452" s="12">
        <v>4</v>
      </c>
    </row>
    <row r="2453" spans="1:4" x14ac:dyDescent="0.2">
      <c r="A2453" s="12" t="s">
        <v>2243</v>
      </c>
      <c r="B2453" s="12" t="s">
        <v>2242</v>
      </c>
      <c r="C2453" s="12">
        <v>400</v>
      </c>
      <c r="D2453" s="12">
        <v>40</v>
      </c>
    </row>
    <row r="2454" spans="1:4" x14ac:dyDescent="0.2">
      <c r="A2454" s="12" t="s">
        <v>12343</v>
      </c>
      <c r="B2454" s="12" t="s">
        <v>12342</v>
      </c>
      <c r="C2454" s="12">
        <v>910</v>
      </c>
      <c r="D2454" s="12">
        <v>180</v>
      </c>
    </row>
    <row r="2455" spans="1:4" x14ac:dyDescent="0.2">
      <c r="A2455" s="12" t="s">
        <v>7885</v>
      </c>
      <c r="B2455" s="12" t="s">
        <v>7884</v>
      </c>
      <c r="C2455" s="12">
        <v>100</v>
      </c>
      <c r="D2455" s="12">
        <v>10</v>
      </c>
    </row>
    <row r="2456" spans="1:4" x14ac:dyDescent="0.2">
      <c r="A2456" s="12" t="s">
        <v>7667</v>
      </c>
      <c r="B2456" s="12" t="s">
        <v>7666</v>
      </c>
      <c r="C2456" s="12">
        <v>90</v>
      </c>
      <c r="D2456" s="12">
        <v>9</v>
      </c>
    </row>
    <row r="2457" spans="1:4" x14ac:dyDescent="0.2">
      <c r="A2457" s="12" t="s">
        <v>3073</v>
      </c>
      <c r="B2457" s="12" t="s">
        <v>3072</v>
      </c>
      <c r="C2457" s="12">
        <v>530</v>
      </c>
      <c r="D2457" s="12">
        <v>53</v>
      </c>
    </row>
    <row r="2458" spans="1:4" x14ac:dyDescent="0.2">
      <c r="A2458" s="12" t="s">
        <v>11431</v>
      </c>
      <c r="B2458" s="12" t="s">
        <v>11430</v>
      </c>
      <c r="C2458" s="12" t="s">
        <v>59</v>
      </c>
      <c r="D2458" s="12" t="s">
        <v>59</v>
      </c>
    </row>
    <row r="2459" spans="1:4" x14ac:dyDescent="0.2">
      <c r="A2459" s="12" t="s">
        <v>6038</v>
      </c>
      <c r="B2459" s="12" t="s">
        <v>6037</v>
      </c>
      <c r="C2459" s="12">
        <v>50</v>
      </c>
      <c r="D2459" s="12">
        <v>5</v>
      </c>
    </row>
    <row r="2460" spans="1:4" x14ac:dyDescent="0.2">
      <c r="A2460" s="12" t="s">
        <v>188</v>
      </c>
      <c r="B2460" s="12" t="s">
        <v>187</v>
      </c>
      <c r="C2460" s="12">
        <v>100</v>
      </c>
      <c r="D2460" s="12">
        <v>10</v>
      </c>
    </row>
    <row r="2461" spans="1:4" x14ac:dyDescent="0.2">
      <c r="A2461" s="12" t="s">
        <v>4696</v>
      </c>
      <c r="B2461" s="12" t="s">
        <v>4695</v>
      </c>
      <c r="C2461" s="12" t="s">
        <v>59</v>
      </c>
      <c r="D2461" s="12" t="s">
        <v>59</v>
      </c>
    </row>
    <row r="2462" spans="1:4" x14ac:dyDescent="0.2">
      <c r="A2462" s="12" t="s">
        <v>156</v>
      </c>
      <c r="B2462" s="12" t="s">
        <v>155</v>
      </c>
      <c r="C2462" s="12" t="s">
        <v>59</v>
      </c>
      <c r="D2462" s="12" t="s">
        <v>59</v>
      </c>
    </row>
    <row r="2463" spans="1:4" x14ac:dyDescent="0.2">
      <c r="A2463" s="12" t="s">
        <v>10160</v>
      </c>
      <c r="B2463" s="12" t="s">
        <v>10159</v>
      </c>
      <c r="C2463" s="12">
        <v>4300</v>
      </c>
      <c r="D2463" s="12">
        <v>430</v>
      </c>
    </row>
    <row r="2464" spans="1:4" x14ac:dyDescent="0.2">
      <c r="A2464" s="12" t="s">
        <v>10161</v>
      </c>
      <c r="B2464" s="12" t="s">
        <v>10159</v>
      </c>
      <c r="C2464" s="12" t="s">
        <v>59</v>
      </c>
      <c r="D2464" s="12" t="s">
        <v>59</v>
      </c>
    </row>
    <row r="2465" spans="1:4" x14ac:dyDescent="0.2">
      <c r="A2465" s="12" t="s">
        <v>1286</v>
      </c>
      <c r="B2465" s="12" t="s">
        <v>1285</v>
      </c>
      <c r="C2465" s="12">
        <v>170</v>
      </c>
      <c r="D2465" s="12">
        <v>17</v>
      </c>
    </row>
    <row r="2466" spans="1:4" x14ac:dyDescent="0.2">
      <c r="A2466" s="12" t="s">
        <v>12199</v>
      </c>
      <c r="B2466" s="12" t="s">
        <v>12198</v>
      </c>
      <c r="C2466" s="12">
        <v>60</v>
      </c>
      <c r="D2466" s="12">
        <v>6</v>
      </c>
    </row>
    <row r="2467" spans="1:4" x14ac:dyDescent="0.2">
      <c r="A2467" s="12" t="s">
        <v>2858</v>
      </c>
      <c r="B2467" s="12" t="s">
        <v>2857</v>
      </c>
      <c r="C2467" s="12">
        <v>970</v>
      </c>
      <c r="D2467" s="12">
        <v>97</v>
      </c>
    </row>
    <row r="2468" spans="1:4" x14ac:dyDescent="0.2">
      <c r="A2468" s="12" t="s">
        <v>1310</v>
      </c>
      <c r="B2468" s="12" t="s">
        <v>1309</v>
      </c>
      <c r="C2468" s="12" t="s">
        <v>59</v>
      </c>
      <c r="D2468" s="12" t="s">
        <v>59</v>
      </c>
    </row>
    <row r="2469" spans="1:4" x14ac:dyDescent="0.2">
      <c r="A2469" s="12" t="s">
        <v>12429</v>
      </c>
      <c r="B2469" s="12" t="s">
        <v>12428</v>
      </c>
      <c r="C2469" s="12">
        <v>20</v>
      </c>
      <c r="D2469" s="12">
        <v>2</v>
      </c>
    </row>
    <row r="2470" spans="1:4" x14ac:dyDescent="0.2">
      <c r="A2470" s="12" t="s">
        <v>6492</v>
      </c>
      <c r="B2470" s="12" t="s">
        <v>6491</v>
      </c>
      <c r="C2470" s="12">
        <v>50</v>
      </c>
      <c r="D2470" s="12">
        <v>5</v>
      </c>
    </row>
    <row r="2471" spans="1:4" x14ac:dyDescent="0.2">
      <c r="A2471" s="12" t="s">
        <v>12024</v>
      </c>
      <c r="B2471" s="12" t="s">
        <v>12023</v>
      </c>
      <c r="C2471" s="12">
        <v>170</v>
      </c>
      <c r="D2471" s="12">
        <v>6.6</v>
      </c>
    </row>
    <row r="2472" spans="1:4" x14ac:dyDescent="0.2">
      <c r="A2472" s="12" t="s">
        <v>6096</v>
      </c>
      <c r="B2472" s="12" t="s">
        <v>6095</v>
      </c>
      <c r="C2472" s="12">
        <v>100</v>
      </c>
      <c r="D2472" s="12">
        <v>10</v>
      </c>
    </row>
    <row r="2473" spans="1:4" x14ac:dyDescent="0.2">
      <c r="A2473" s="12" t="s">
        <v>6746</v>
      </c>
      <c r="B2473" s="12" t="s">
        <v>6745</v>
      </c>
      <c r="C2473" s="12">
        <v>860</v>
      </c>
      <c r="D2473" s="12">
        <v>86</v>
      </c>
    </row>
    <row r="2474" spans="1:4" x14ac:dyDescent="0.2">
      <c r="A2474" s="12" t="s">
        <v>1094</v>
      </c>
      <c r="B2474" s="12" t="s">
        <v>1093</v>
      </c>
      <c r="C2474" s="12">
        <v>1200</v>
      </c>
      <c r="D2474" s="12">
        <v>120</v>
      </c>
    </row>
    <row r="2475" spans="1:4" x14ac:dyDescent="0.2">
      <c r="A2475" s="12" t="s">
        <v>1065</v>
      </c>
      <c r="B2475" s="12" t="s">
        <v>1064</v>
      </c>
      <c r="C2475" s="12" t="s">
        <v>59</v>
      </c>
      <c r="D2475" s="12" t="s">
        <v>59</v>
      </c>
    </row>
    <row r="2476" spans="1:4" x14ac:dyDescent="0.2">
      <c r="A2476" s="12" t="s">
        <v>3521</v>
      </c>
      <c r="B2476" s="12" t="s">
        <v>3520</v>
      </c>
      <c r="C2476" s="12">
        <v>2900</v>
      </c>
      <c r="D2476" s="12">
        <v>290</v>
      </c>
    </row>
    <row r="2477" spans="1:4" x14ac:dyDescent="0.2">
      <c r="A2477" s="12" t="s">
        <v>7479</v>
      </c>
      <c r="B2477" s="12" t="s">
        <v>7478</v>
      </c>
      <c r="C2477" s="12">
        <v>8.1</v>
      </c>
      <c r="D2477" s="12">
        <v>0.55000000000000004</v>
      </c>
    </row>
    <row r="2478" spans="1:4" x14ac:dyDescent="0.2">
      <c r="A2478" s="12" t="s">
        <v>6421</v>
      </c>
      <c r="B2478" s="12" t="s">
        <v>6420</v>
      </c>
      <c r="C2478" s="12" t="s">
        <v>59</v>
      </c>
      <c r="D2478" s="12" t="s">
        <v>59</v>
      </c>
    </row>
    <row r="2479" spans="1:4" x14ac:dyDescent="0.2">
      <c r="A2479" s="12" t="s">
        <v>6673</v>
      </c>
      <c r="B2479" s="12" t="s">
        <v>6672</v>
      </c>
      <c r="C2479" s="12">
        <v>2000</v>
      </c>
      <c r="D2479" s="12">
        <v>200</v>
      </c>
    </row>
    <row r="2480" spans="1:4" x14ac:dyDescent="0.2">
      <c r="A2480" s="12" t="s">
        <v>11764</v>
      </c>
      <c r="B2480" s="12" t="s">
        <v>11763</v>
      </c>
      <c r="C2480" s="12">
        <v>100</v>
      </c>
      <c r="D2480" s="12">
        <v>10</v>
      </c>
    </row>
    <row r="2481" spans="1:4" x14ac:dyDescent="0.2">
      <c r="A2481" s="12" t="s">
        <v>11685</v>
      </c>
      <c r="B2481" s="12" t="s">
        <v>11684</v>
      </c>
      <c r="C2481" s="12">
        <v>270</v>
      </c>
      <c r="D2481" s="12">
        <v>27</v>
      </c>
    </row>
    <row r="2482" spans="1:4" x14ac:dyDescent="0.2">
      <c r="A2482" s="12" t="s">
        <v>9067</v>
      </c>
      <c r="B2482" s="12" t="s">
        <v>9066</v>
      </c>
      <c r="C2482" s="12" t="s">
        <v>59</v>
      </c>
      <c r="D2482" s="12" t="s">
        <v>59</v>
      </c>
    </row>
    <row r="2483" spans="1:4" x14ac:dyDescent="0.2">
      <c r="A2483" s="12" t="s">
        <v>3285</v>
      </c>
      <c r="B2483" s="12" t="s">
        <v>3284</v>
      </c>
      <c r="C2483" s="12">
        <v>190</v>
      </c>
      <c r="D2483" s="12">
        <v>19</v>
      </c>
    </row>
    <row r="2484" spans="1:4" x14ac:dyDescent="0.2">
      <c r="A2484" s="12" t="s">
        <v>11087</v>
      </c>
      <c r="B2484" s="12" t="s">
        <v>11086</v>
      </c>
      <c r="C2484" s="12" t="s">
        <v>59</v>
      </c>
      <c r="D2484" s="12" t="s">
        <v>59</v>
      </c>
    </row>
    <row r="2485" spans="1:4" x14ac:dyDescent="0.2">
      <c r="A2485" s="12" t="s">
        <v>1985</v>
      </c>
      <c r="B2485" s="12" t="s">
        <v>1984</v>
      </c>
      <c r="C2485" s="12">
        <v>10000</v>
      </c>
      <c r="D2485" s="12">
        <v>1000</v>
      </c>
    </row>
    <row r="2486" spans="1:4" x14ac:dyDescent="0.2">
      <c r="A2486" s="12" t="s">
        <v>4664</v>
      </c>
      <c r="B2486" s="12" t="s">
        <v>4663</v>
      </c>
      <c r="C2486" s="12" t="s">
        <v>59</v>
      </c>
      <c r="D2486" s="12" t="s">
        <v>59</v>
      </c>
    </row>
    <row r="2487" spans="1:4" x14ac:dyDescent="0.2">
      <c r="A2487" s="12" t="s">
        <v>6448</v>
      </c>
      <c r="B2487" s="12" t="s">
        <v>6447</v>
      </c>
      <c r="C2487" s="12" t="s">
        <v>59</v>
      </c>
      <c r="D2487" s="12" t="s">
        <v>59</v>
      </c>
    </row>
    <row r="2488" spans="1:4" x14ac:dyDescent="0.2">
      <c r="A2488" s="12" t="s">
        <v>6449</v>
      </c>
      <c r="B2488" s="12" t="s">
        <v>6447</v>
      </c>
      <c r="C2488" s="12">
        <v>600</v>
      </c>
      <c r="D2488" s="12">
        <v>60</v>
      </c>
    </row>
    <row r="2489" spans="1:4" x14ac:dyDescent="0.2">
      <c r="A2489" s="12" t="s">
        <v>3245</v>
      </c>
      <c r="B2489" s="12" t="s">
        <v>3244</v>
      </c>
      <c r="C2489" s="12">
        <v>380</v>
      </c>
      <c r="D2489" s="12">
        <v>38</v>
      </c>
    </row>
    <row r="2490" spans="1:4" x14ac:dyDescent="0.2">
      <c r="A2490" s="12" t="s">
        <v>499</v>
      </c>
      <c r="B2490" s="12" t="s">
        <v>498</v>
      </c>
      <c r="C2490" s="12">
        <v>2000</v>
      </c>
      <c r="D2490" s="12">
        <v>200</v>
      </c>
    </row>
    <row r="2491" spans="1:4" x14ac:dyDescent="0.2">
      <c r="A2491" s="12" t="s">
        <v>6031</v>
      </c>
      <c r="B2491" s="12" t="s">
        <v>6030</v>
      </c>
      <c r="C2491" s="12">
        <v>50</v>
      </c>
      <c r="D2491" s="12">
        <v>5</v>
      </c>
    </row>
    <row r="2492" spans="1:4" x14ac:dyDescent="0.2">
      <c r="A2492" s="12" t="s">
        <v>5538</v>
      </c>
      <c r="B2492" s="12" t="s">
        <v>5537</v>
      </c>
      <c r="C2492" s="12">
        <v>680</v>
      </c>
      <c r="D2492" s="12">
        <v>68</v>
      </c>
    </row>
    <row r="2493" spans="1:4" x14ac:dyDescent="0.2">
      <c r="A2493" s="12" t="s">
        <v>8541</v>
      </c>
      <c r="B2493" s="12" t="s">
        <v>8540</v>
      </c>
      <c r="C2493" s="12">
        <v>13</v>
      </c>
      <c r="D2493" s="12">
        <v>1.3</v>
      </c>
    </row>
    <row r="2494" spans="1:4" x14ac:dyDescent="0.2">
      <c r="A2494" s="12" t="s">
        <v>182</v>
      </c>
      <c r="B2494" s="12" t="s">
        <v>181</v>
      </c>
      <c r="C2494" s="12" t="s">
        <v>59</v>
      </c>
      <c r="D2494" s="12" t="s">
        <v>59</v>
      </c>
    </row>
    <row r="2495" spans="1:4" x14ac:dyDescent="0.2">
      <c r="A2495" s="12" t="s">
        <v>6138</v>
      </c>
      <c r="B2495" s="12" t="s">
        <v>6137</v>
      </c>
      <c r="C2495" s="12">
        <v>200</v>
      </c>
      <c r="D2495" s="12">
        <v>20</v>
      </c>
    </row>
    <row r="2496" spans="1:4" x14ac:dyDescent="0.2">
      <c r="A2496" s="12" t="s">
        <v>2067</v>
      </c>
      <c r="B2496" s="12" t="s">
        <v>2066</v>
      </c>
      <c r="C2496" s="12">
        <v>2560</v>
      </c>
      <c r="D2496" s="12">
        <v>256</v>
      </c>
    </row>
    <row r="2497" spans="1:4" x14ac:dyDescent="0.2">
      <c r="A2497" s="12" t="s">
        <v>5507</v>
      </c>
      <c r="B2497" s="12" t="s">
        <v>5506</v>
      </c>
      <c r="C2497" s="12">
        <v>17000</v>
      </c>
      <c r="D2497" s="12">
        <v>1700</v>
      </c>
    </row>
    <row r="2498" spans="1:4" x14ac:dyDescent="0.2">
      <c r="A2498" s="12" t="s">
        <v>3013</v>
      </c>
      <c r="B2498" s="12" t="s">
        <v>3012</v>
      </c>
      <c r="C2498" s="12" t="s">
        <v>59</v>
      </c>
      <c r="D2498" s="12" t="s">
        <v>59</v>
      </c>
    </row>
    <row r="2499" spans="1:4" x14ac:dyDescent="0.2">
      <c r="A2499" s="12" t="s">
        <v>11677</v>
      </c>
      <c r="B2499" s="12" t="s">
        <v>11676</v>
      </c>
      <c r="C2499" s="12">
        <v>350</v>
      </c>
      <c r="D2499" s="12">
        <v>35</v>
      </c>
    </row>
    <row r="2500" spans="1:4" x14ac:dyDescent="0.2">
      <c r="A2500" s="12" t="s">
        <v>9415</v>
      </c>
      <c r="B2500" s="12" t="s">
        <v>9414</v>
      </c>
      <c r="C2500" s="12">
        <v>240</v>
      </c>
      <c r="D2500" s="12">
        <v>24</v>
      </c>
    </row>
    <row r="2501" spans="1:4" x14ac:dyDescent="0.2">
      <c r="A2501" s="12" t="s">
        <v>5582</v>
      </c>
      <c r="B2501" s="12" t="s">
        <v>5581</v>
      </c>
      <c r="C2501" s="12">
        <v>17000</v>
      </c>
      <c r="D2501" s="12">
        <v>1700</v>
      </c>
    </row>
    <row r="2502" spans="1:4" x14ac:dyDescent="0.2">
      <c r="A2502" s="12" t="s">
        <v>6158</v>
      </c>
      <c r="B2502" s="12" t="s">
        <v>6157</v>
      </c>
      <c r="C2502" s="12">
        <v>200</v>
      </c>
      <c r="D2502" s="12">
        <v>20</v>
      </c>
    </row>
    <row r="2503" spans="1:4" x14ac:dyDescent="0.2">
      <c r="A2503" s="12" t="s">
        <v>1052</v>
      </c>
      <c r="B2503" s="12" t="s">
        <v>1051</v>
      </c>
      <c r="C2503" s="12">
        <v>50</v>
      </c>
      <c r="D2503" s="12">
        <v>5</v>
      </c>
    </row>
    <row r="2504" spans="1:4" x14ac:dyDescent="0.2">
      <c r="A2504" s="12" t="s">
        <v>1053</v>
      </c>
      <c r="B2504" s="12" t="s">
        <v>1051</v>
      </c>
      <c r="C2504" s="12">
        <v>100</v>
      </c>
      <c r="D2504" s="12">
        <v>10</v>
      </c>
    </row>
    <row r="2505" spans="1:4" x14ac:dyDescent="0.2">
      <c r="A2505" s="12" t="s">
        <v>3107</v>
      </c>
      <c r="B2505" s="12" t="s">
        <v>3106</v>
      </c>
      <c r="C2505" s="12" t="s">
        <v>59</v>
      </c>
      <c r="D2505" s="12" t="s">
        <v>59</v>
      </c>
    </row>
    <row r="2506" spans="1:4" x14ac:dyDescent="0.2">
      <c r="A2506" s="12" t="s">
        <v>3108</v>
      </c>
      <c r="B2506" s="12" t="s">
        <v>3106</v>
      </c>
      <c r="C2506" s="12">
        <v>100</v>
      </c>
      <c r="D2506" s="12">
        <v>10</v>
      </c>
    </row>
    <row r="2507" spans="1:4" x14ac:dyDescent="0.2">
      <c r="A2507" s="12" t="s">
        <v>1047</v>
      </c>
      <c r="B2507" s="12" t="s">
        <v>1046</v>
      </c>
      <c r="C2507" s="12">
        <v>50</v>
      </c>
      <c r="D2507" s="12">
        <v>5</v>
      </c>
    </row>
    <row r="2508" spans="1:4" x14ac:dyDescent="0.2">
      <c r="A2508" s="12" t="s">
        <v>1048</v>
      </c>
      <c r="B2508" s="12" t="s">
        <v>1046</v>
      </c>
      <c r="C2508" s="12">
        <v>100</v>
      </c>
      <c r="D2508" s="12">
        <v>10</v>
      </c>
    </row>
    <row r="2509" spans="1:4" x14ac:dyDescent="0.2">
      <c r="A2509" s="12" t="s">
        <v>9560</v>
      </c>
      <c r="B2509" s="12" t="s">
        <v>9559</v>
      </c>
      <c r="C2509" s="12">
        <v>100</v>
      </c>
      <c r="D2509" s="12">
        <v>10</v>
      </c>
    </row>
    <row r="2510" spans="1:4" x14ac:dyDescent="0.2">
      <c r="A2510" s="12" t="s">
        <v>11759</v>
      </c>
      <c r="B2510" s="12" t="s">
        <v>11758</v>
      </c>
      <c r="C2510" s="12">
        <v>125</v>
      </c>
      <c r="D2510" s="12">
        <v>12.5</v>
      </c>
    </row>
    <row r="2511" spans="1:4" x14ac:dyDescent="0.2">
      <c r="A2511" s="12" t="s">
        <v>1158</v>
      </c>
      <c r="B2511" s="12" t="s">
        <v>1157</v>
      </c>
      <c r="C2511" s="12">
        <v>60</v>
      </c>
      <c r="D2511" s="12">
        <v>6</v>
      </c>
    </row>
    <row r="2512" spans="1:4" x14ac:dyDescent="0.2">
      <c r="A2512" s="12" t="s">
        <v>12101</v>
      </c>
      <c r="B2512" s="12" t="s">
        <v>12100</v>
      </c>
      <c r="C2512" s="12">
        <v>1000</v>
      </c>
      <c r="D2512" s="12">
        <v>100</v>
      </c>
    </row>
    <row r="2513" spans="1:4" x14ac:dyDescent="0.2">
      <c r="A2513" s="12" t="s">
        <v>493</v>
      </c>
      <c r="B2513" s="12" t="s">
        <v>492</v>
      </c>
      <c r="C2513" s="12">
        <v>50</v>
      </c>
      <c r="D2513" s="12">
        <v>5</v>
      </c>
    </row>
    <row r="2514" spans="1:4" x14ac:dyDescent="0.2">
      <c r="A2514" s="12" t="s">
        <v>5427</v>
      </c>
      <c r="B2514" s="12" t="s">
        <v>5426</v>
      </c>
      <c r="C2514" s="12" t="s">
        <v>59</v>
      </c>
      <c r="D2514" s="12" t="s">
        <v>59</v>
      </c>
    </row>
    <row r="2515" spans="1:4" x14ac:dyDescent="0.2">
      <c r="A2515" s="12" t="s">
        <v>12131</v>
      </c>
      <c r="B2515" s="12" t="s">
        <v>12130</v>
      </c>
      <c r="C2515" s="12">
        <v>10</v>
      </c>
      <c r="D2515" s="12">
        <v>1</v>
      </c>
    </row>
    <row r="2516" spans="1:4" x14ac:dyDescent="0.2">
      <c r="A2516" s="12" t="s">
        <v>106</v>
      </c>
      <c r="B2516" s="12" t="s">
        <v>105</v>
      </c>
      <c r="C2516" s="12">
        <v>260</v>
      </c>
      <c r="D2516" s="12">
        <v>26</v>
      </c>
    </row>
    <row r="2517" spans="1:4" x14ac:dyDescent="0.2">
      <c r="A2517" s="12" t="s">
        <v>3633</v>
      </c>
      <c r="B2517" s="12" t="s">
        <v>3632</v>
      </c>
      <c r="C2517" s="12">
        <v>3500</v>
      </c>
      <c r="D2517" s="12">
        <v>350</v>
      </c>
    </row>
    <row r="2518" spans="1:4" x14ac:dyDescent="0.2">
      <c r="A2518" s="12" t="s">
        <v>3631</v>
      </c>
      <c r="B2518" s="12" t="s">
        <v>3630</v>
      </c>
      <c r="C2518" s="12">
        <v>3500</v>
      </c>
      <c r="D2518" s="12">
        <v>350</v>
      </c>
    </row>
    <row r="2519" spans="1:4" x14ac:dyDescent="0.2">
      <c r="A2519" s="12" t="s">
        <v>2495</v>
      </c>
      <c r="B2519" s="12" t="s">
        <v>2494</v>
      </c>
      <c r="C2519" s="12" t="s">
        <v>59</v>
      </c>
      <c r="D2519" s="12" t="s">
        <v>59</v>
      </c>
    </row>
    <row r="2520" spans="1:4" x14ac:dyDescent="0.2">
      <c r="A2520" s="12" t="s">
        <v>2496</v>
      </c>
      <c r="B2520" s="12" t="s">
        <v>2494</v>
      </c>
      <c r="C2520" s="12">
        <v>1000</v>
      </c>
      <c r="D2520" s="12">
        <v>100</v>
      </c>
    </row>
    <row r="2521" spans="1:4" x14ac:dyDescent="0.2">
      <c r="A2521" s="12" t="s">
        <v>1304</v>
      </c>
      <c r="B2521" s="12" t="s">
        <v>1303</v>
      </c>
      <c r="C2521" s="12">
        <v>600</v>
      </c>
      <c r="D2521" s="12">
        <v>60</v>
      </c>
    </row>
    <row r="2522" spans="1:4" x14ac:dyDescent="0.2">
      <c r="A2522" s="12" t="s">
        <v>4413</v>
      </c>
      <c r="B2522" s="12" t="s">
        <v>4412</v>
      </c>
      <c r="C2522" s="12">
        <v>100</v>
      </c>
      <c r="D2522" s="12">
        <v>10</v>
      </c>
    </row>
    <row r="2523" spans="1:4" x14ac:dyDescent="0.2">
      <c r="A2523" s="12" t="s">
        <v>1083</v>
      </c>
      <c r="B2523" s="12" t="s">
        <v>1082</v>
      </c>
      <c r="C2523" s="12">
        <v>470</v>
      </c>
      <c r="D2523" s="12">
        <v>47</v>
      </c>
    </row>
    <row r="2524" spans="1:4" x14ac:dyDescent="0.2">
      <c r="A2524" s="12" t="s">
        <v>380</v>
      </c>
      <c r="B2524" s="12" t="s">
        <v>379</v>
      </c>
      <c r="C2524" s="12">
        <v>100</v>
      </c>
      <c r="D2524" s="12">
        <v>10</v>
      </c>
    </row>
    <row r="2525" spans="1:4" x14ac:dyDescent="0.2">
      <c r="A2525" s="12" t="s">
        <v>6453</v>
      </c>
      <c r="B2525" s="12" t="s">
        <v>6452</v>
      </c>
      <c r="C2525" s="12" t="s">
        <v>59</v>
      </c>
      <c r="D2525" s="12" t="s">
        <v>59</v>
      </c>
    </row>
    <row r="2526" spans="1:4" x14ac:dyDescent="0.2">
      <c r="A2526" s="12" t="s">
        <v>6454</v>
      </c>
      <c r="B2526" s="12" t="s">
        <v>6452</v>
      </c>
      <c r="C2526" s="12">
        <v>600</v>
      </c>
      <c r="D2526" s="12">
        <v>60</v>
      </c>
    </row>
    <row r="2527" spans="1:4" x14ac:dyDescent="0.2">
      <c r="A2527" s="12" t="s">
        <v>4011</v>
      </c>
      <c r="B2527" s="12" t="s">
        <v>4010</v>
      </c>
      <c r="C2527" s="12" t="s">
        <v>59</v>
      </c>
      <c r="D2527" s="12" t="s">
        <v>59</v>
      </c>
    </row>
    <row r="2528" spans="1:4" x14ac:dyDescent="0.2">
      <c r="A2528" s="12" t="s">
        <v>4012</v>
      </c>
      <c r="B2528" s="12" t="s">
        <v>4010</v>
      </c>
      <c r="C2528" s="12">
        <v>1000</v>
      </c>
      <c r="D2528" s="12">
        <v>100</v>
      </c>
    </row>
    <row r="2529" spans="1:4" x14ac:dyDescent="0.2">
      <c r="A2529" s="12" t="s">
        <v>11865</v>
      </c>
      <c r="B2529" s="12" t="s">
        <v>11863</v>
      </c>
      <c r="C2529" s="12">
        <v>10000</v>
      </c>
      <c r="D2529" s="12">
        <v>1000</v>
      </c>
    </row>
    <row r="2530" spans="1:4" x14ac:dyDescent="0.2">
      <c r="A2530" s="12" t="s">
        <v>9106</v>
      </c>
      <c r="B2530" s="12" t="s">
        <v>9105</v>
      </c>
      <c r="C2530" s="12">
        <v>100</v>
      </c>
      <c r="D2530" s="12">
        <v>10</v>
      </c>
    </row>
    <row r="2531" spans="1:4" x14ac:dyDescent="0.2">
      <c r="A2531" s="12" t="s">
        <v>5519</v>
      </c>
      <c r="B2531" s="12" t="s">
        <v>5518</v>
      </c>
      <c r="C2531" s="12">
        <v>10000</v>
      </c>
      <c r="D2531" s="12">
        <v>2700</v>
      </c>
    </row>
    <row r="2532" spans="1:4" x14ac:dyDescent="0.2">
      <c r="A2532" s="12" t="s">
        <v>2033</v>
      </c>
      <c r="B2532" s="12" t="s">
        <v>2032</v>
      </c>
      <c r="C2532" s="12">
        <v>125</v>
      </c>
      <c r="D2532" s="12">
        <v>12.5</v>
      </c>
    </row>
    <row r="2533" spans="1:4" x14ac:dyDescent="0.2">
      <c r="A2533" s="12" t="s">
        <v>1032</v>
      </c>
      <c r="B2533" s="12" t="s">
        <v>1031</v>
      </c>
      <c r="C2533" s="12">
        <v>50</v>
      </c>
      <c r="D2533" s="12">
        <v>5</v>
      </c>
    </row>
    <row r="2534" spans="1:4" x14ac:dyDescent="0.2">
      <c r="A2534" s="12" t="s">
        <v>1670</v>
      </c>
      <c r="B2534" s="12" t="s">
        <v>1669</v>
      </c>
      <c r="C2534" s="12" t="s">
        <v>59</v>
      </c>
      <c r="D2534" s="12" t="s">
        <v>59</v>
      </c>
    </row>
    <row r="2535" spans="1:4" x14ac:dyDescent="0.2">
      <c r="A2535" s="12" t="s">
        <v>5126</v>
      </c>
      <c r="B2535" s="12" t="s">
        <v>5125</v>
      </c>
      <c r="C2535" s="12">
        <v>1</v>
      </c>
      <c r="D2535" s="12">
        <v>0.1</v>
      </c>
    </row>
    <row r="2536" spans="1:4" x14ac:dyDescent="0.2">
      <c r="A2536" s="12" t="s">
        <v>2126</v>
      </c>
      <c r="B2536" s="12" t="s">
        <v>2125</v>
      </c>
      <c r="C2536" s="12">
        <v>500</v>
      </c>
      <c r="D2536" s="12">
        <v>50</v>
      </c>
    </row>
    <row r="2537" spans="1:4" x14ac:dyDescent="0.2">
      <c r="A2537" s="12" t="s">
        <v>1364</v>
      </c>
      <c r="B2537" s="12" t="s">
        <v>1363</v>
      </c>
      <c r="C2537" s="12">
        <v>13</v>
      </c>
      <c r="D2537" s="12">
        <v>1.3</v>
      </c>
    </row>
    <row r="2538" spans="1:4" x14ac:dyDescent="0.2">
      <c r="A2538" s="12" t="s">
        <v>11544</v>
      </c>
      <c r="B2538" s="12" t="s">
        <v>11543</v>
      </c>
      <c r="C2538" s="12" t="s">
        <v>59</v>
      </c>
      <c r="D2538" s="12" t="s">
        <v>59</v>
      </c>
    </row>
    <row r="2539" spans="1:4" x14ac:dyDescent="0.2">
      <c r="A2539" s="12" t="s">
        <v>11545</v>
      </c>
      <c r="B2539" s="12" t="s">
        <v>11543</v>
      </c>
      <c r="C2539" s="12">
        <v>500</v>
      </c>
      <c r="D2539" s="12">
        <v>50</v>
      </c>
    </row>
    <row r="2540" spans="1:4" x14ac:dyDescent="0.2">
      <c r="A2540" s="12" t="s">
        <v>5572</v>
      </c>
      <c r="B2540" s="12" t="s">
        <v>5571</v>
      </c>
      <c r="C2540" s="12">
        <v>3500</v>
      </c>
      <c r="D2540" s="12">
        <v>350</v>
      </c>
    </row>
    <row r="2541" spans="1:4" x14ac:dyDescent="0.2">
      <c r="A2541" s="12" t="s">
        <v>9942</v>
      </c>
      <c r="B2541" s="12" t="s">
        <v>9941</v>
      </c>
      <c r="C2541" s="12" t="s">
        <v>59</v>
      </c>
      <c r="D2541" s="12" t="s">
        <v>59</v>
      </c>
    </row>
    <row r="2542" spans="1:4" x14ac:dyDescent="0.2">
      <c r="A2542" s="12" t="s">
        <v>9943</v>
      </c>
      <c r="B2542" s="12" t="s">
        <v>9941</v>
      </c>
      <c r="C2542" s="12">
        <v>1500</v>
      </c>
      <c r="D2542" s="12">
        <v>150</v>
      </c>
    </row>
    <row r="2543" spans="1:4" x14ac:dyDescent="0.2">
      <c r="A2543" s="12" t="s">
        <v>576</v>
      </c>
      <c r="B2543" s="12" t="s">
        <v>575</v>
      </c>
      <c r="C2543" s="12" t="s">
        <v>59</v>
      </c>
      <c r="D2543" s="12" t="s">
        <v>59</v>
      </c>
    </row>
    <row r="2544" spans="1:4" x14ac:dyDescent="0.2">
      <c r="A2544" s="12" t="s">
        <v>8529</v>
      </c>
      <c r="B2544" s="12" t="s">
        <v>8528</v>
      </c>
      <c r="C2544" s="12">
        <v>140</v>
      </c>
      <c r="D2544" s="12">
        <v>14</v>
      </c>
    </row>
    <row r="2545" spans="1:4" x14ac:dyDescent="0.2">
      <c r="A2545" s="12" t="s">
        <v>1203</v>
      </c>
      <c r="B2545" s="12" t="s">
        <v>1202</v>
      </c>
      <c r="C2545" s="12">
        <v>40</v>
      </c>
      <c r="D2545" s="12">
        <v>4</v>
      </c>
    </row>
    <row r="2546" spans="1:4" x14ac:dyDescent="0.2">
      <c r="A2546" s="12" t="s">
        <v>11851</v>
      </c>
      <c r="B2546" s="12" t="s">
        <v>11850</v>
      </c>
      <c r="C2546" s="12">
        <v>50</v>
      </c>
      <c r="D2546" s="12">
        <v>5</v>
      </c>
    </row>
    <row r="2547" spans="1:4" x14ac:dyDescent="0.2">
      <c r="A2547" s="12" t="s">
        <v>10561</v>
      </c>
      <c r="B2547" s="12" t="s">
        <v>10560</v>
      </c>
      <c r="C2547" s="12">
        <v>1000</v>
      </c>
      <c r="D2547" s="12">
        <v>100</v>
      </c>
    </row>
    <row r="2548" spans="1:4" x14ac:dyDescent="0.2">
      <c r="A2548" s="12" t="s">
        <v>5509</v>
      </c>
      <c r="B2548" s="12" t="s">
        <v>5508</v>
      </c>
      <c r="C2548" s="12">
        <v>3500</v>
      </c>
      <c r="D2548" s="12">
        <v>350</v>
      </c>
    </row>
    <row r="2549" spans="1:4" x14ac:dyDescent="0.2">
      <c r="A2549" s="12" t="s">
        <v>10494</v>
      </c>
      <c r="B2549" s="12" t="s">
        <v>10493</v>
      </c>
      <c r="C2549" s="12" t="s">
        <v>59</v>
      </c>
      <c r="D2549" s="12" t="s">
        <v>59</v>
      </c>
    </row>
    <row r="2550" spans="1:4" x14ac:dyDescent="0.2">
      <c r="A2550" s="12" t="s">
        <v>10495</v>
      </c>
      <c r="B2550" s="12" t="s">
        <v>10493</v>
      </c>
      <c r="C2550" s="12">
        <v>600</v>
      </c>
      <c r="D2550" s="12">
        <v>60</v>
      </c>
    </row>
    <row r="2551" spans="1:4" x14ac:dyDescent="0.2">
      <c r="A2551" s="12" t="s">
        <v>12003</v>
      </c>
      <c r="B2551" s="12" t="s">
        <v>12002</v>
      </c>
      <c r="C2551" s="12">
        <v>1000</v>
      </c>
      <c r="D2551" s="12">
        <v>100</v>
      </c>
    </row>
    <row r="2552" spans="1:4" x14ac:dyDescent="0.2">
      <c r="A2552" s="12" t="s">
        <v>5511</v>
      </c>
      <c r="B2552" s="12" t="s">
        <v>5510</v>
      </c>
      <c r="C2552" s="12">
        <v>3500</v>
      </c>
      <c r="D2552" s="12">
        <v>350</v>
      </c>
    </row>
    <row r="2553" spans="1:4" x14ac:dyDescent="0.2">
      <c r="A2553" s="12" t="s">
        <v>894</v>
      </c>
      <c r="B2553" s="12" t="s">
        <v>893</v>
      </c>
      <c r="C2553" s="12">
        <v>20</v>
      </c>
      <c r="D2553" s="12">
        <v>2</v>
      </c>
    </row>
    <row r="2554" spans="1:4" x14ac:dyDescent="0.2">
      <c r="A2554" s="12" t="s">
        <v>10791</v>
      </c>
      <c r="B2554" s="12" t="s">
        <v>10790</v>
      </c>
      <c r="C2554" s="12">
        <v>170</v>
      </c>
      <c r="D2554" s="12">
        <v>17</v>
      </c>
    </row>
    <row r="2555" spans="1:4" x14ac:dyDescent="0.2">
      <c r="A2555" s="12" t="s">
        <v>7891</v>
      </c>
      <c r="B2555" s="12" t="s">
        <v>7890</v>
      </c>
      <c r="C2555" s="12">
        <v>375</v>
      </c>
      <c r="D2555" s="12">
        <v>38</v>
      </c>
    </row>
    <row r="2556" spans="1:4" x14ac:dyDescent="0.2">
      <c r="A2556" s="12" t="s">
        <v>10234</v>
      </c>
      <c r="B2556" s="12" t="s">
        <v>10233</v>
      </c>
      <c r="C2556" s="12" t="s">
        <v>59</v>
      </c>
      <c r="D2556" s="12" t="s">
        <v>59</v>
      </c>
    </row>
    <row r="2557" spans="1:4" x14ac:dyDescent="0.2">
      <c r="A2557" s="12" t="s">
        <v>5148</v>
      </c>
      <c r="B2557" s="12" t="s">
        <v>5147</v>
      </c>
      <c r="C2557" s="12">
        <v>3.6</v>
      </c>
      <c r="D2557" s="12">
        <v>4.1000000000000002E-2</v>
      </c>
    </row>
    <row r="2558" spans="1:4" x14ac:dyDescent="0.2">
      <c r="A2558" s="12" t="s">
        <v>5274</v>
      </c>
      <c r="B2558" s="12" t="s">
        <v>5273</v>
      </c>
      <c r="C2558" s="12" t="s">
        <v>59</v>
      </c>
      <c r="D2558" s="12" t="s">
        <v>59</v>
      </c>
    </row>
    <row r="2559" spans="1:4" x14ac:dyDescent="0.2">
      <c r="A2559" s="12" t="s">
        <v>7855</v>
      </c>
      <c r="B2559" s="12" t="s">
        <v>7854</v>
      </c>
      <c r="C2559" s="12" t="s">
        <v>59</v>
      </c>
      <c r="D2559" s="12" t="s">
        <v>59</v>
      </c>
    </row>
    <row r="2560" spans="1:4" x14ac:dyDescent="0.2">
      <c r="A2560" s="12" t="s">
        <v>2485</v>
      </c>
      <c r="B2560" s="12" t="s">
        <v>2484</v>
      </c>
      <c r="C2560" s="12">
        <v>200</v>
      </c>
      <c r="D2560" s="12">
        <v>20</v>
      </c>
    </row>
    <row r="2561" spans="1:4" x14ac:dyDescent="0.2">
      <c r="A2561" s="12" t="s">
        <v>6080</v>
      </c>
      <c r="B2561" s="12" t="s">
        <v>6079</v>
      </c>
      <c r="C2561" s="12">
        <v>14</v>
      </c>
      <c r="D2561" s="12">
        <v>1.4</v>
      </c>
    </row>
    <row r="2562" spans="1:4" x14ac:dyDescent="0.2">
      <c r="A2562" s="12" t="s">
        <v>8492</v>
      </c>
      <c r="B2562" s="12" t="s">
        <v>8491</v>
      </c>
      <c r="C2562" s="12">
        <v>2</v>
      </c>
      <c r="D2562" s="12">
        <v>0.2</v>
      </c>
    </row>
    <row r="2563" spans="1:4" x14ac:dyDescent="0.2">
      <c r="A2563" s="12" t="s">
        <v>9896</v>
      </c>
      <c r="B2563" s="12" t="s">
        <v>9895</v>
      </c>
      <c r="C2563" s="12">
        <v>0.5</v>
      </c>
      <c r="D2563" s="12">
        <v>0.05</v>
      </c>
    </row>
    <row r="2564" spans="1:4" x14ac:dyDescent="0.2">
      <c r="A2564" s="12" t="s">
        <v>6378</v>
      </c>
      <c r="B2564" s="12" t="s">
        <v>6377</v>
      </c>
      <c r="C2564" s="12">
        <v>0.5</v>
      </c>
      <c r="D2564" s="12">
        <v>0.05</v>
      </c>
    </row>
    <row r="2565" spans="1:4" x14ac:dyDescent="0.2">
      <c r="A2565" s="12" t="s">
        <v>9380</v>
      </c>
      <c r="B2565" s="12" t="s">
        <v>9379</v>
      </c>
      <c r="C2565" s="12">
        <v>140</v>
      </c>
      <c r="D2565" s="12">
        <v>14</v>
      </c>
    </row>
    <row r="2566" spans="1:4" x14ac:dyDescent="0.2">
      <c r="A2566" s="12" t="s">
        <v>2231</v>
      </c>
      <c r="B2566" s="12" t="s">
        <v>2230</v>
      </c>
      <c r="C2566" s="12">
        <v>5700</v>
      </c>
      <c r="D2566" s="12">
        <v>570</v>
      </c>
    </row>
    <row r="2567" spans="1:4" x14ac:dyDescent="0.2">
      <c r="A2567" s="12" t="s">
        <v>4437</v>
      </c>
      <c r="B2567" s="12" t="s">
        <v>4436</v>
      </c>
      <c r="C2567" s="12">
        <v>100</v>
      </c>
      <c r="D2567" s="12">
        <v>10</v>
      </c>
    </row>
    <row r="2568" spans="1:4" x14ac:dyDescent="0.2">
      <c r="A2568" s="12" t="s">
        <v>7347</v>
      </c>
      <c r="B2568" s="12" t="s">
        <v>7346</v>
      </c>
      <c r="C2568" s="12">
        <v>75</v>
      </c>
      <c r="D2568" s="12">
        <v>7.5</v>
      </c>
    </row>
    <row r="2569" spans="1:4" x14ac:dyDescent="0.2">
      <c r="A2569" s="12" t="s">
        <v>2075</v>
      </c>
      <c r="B2569" s="12" t="s">
        <v>2074</v>
      </c>
      <c r="C2569" s="12" t="s">
        <v>59</v>
      </c>
      <c r="D2569" s="12" t="s">
        <v>59</v>
      </c>
    </row>
    <row r="2570" spans="1:4" x14ac:dyDescent="0.2">
      <c r="A2570" s="12" t="s">
        <v>1936</v>
      </c>
      <c r="B2570" s="12" t="s">
        <v>1935</v>
      </c>
      <c r="C2570" s="12">
        <v>97</v>
      </c>
      <c r="D2570" s="12">
        <v>7</v>
      </c>
    </row>
    <row r="2571" spans="1:4" x14ac:dyDescent="0.2">
      <c r="A2571" s="12" t="s">
        <v>6288</v>
      </c>
      <c r="B2571" s="12" t="s">
        <v>6287</v>
      </c>
      <c r="C2571" s="12">
        <v>1000</v>
      </c>
      <c r="D2571" s="12">
        <v>100</v>
      </c>
    </row>
    <row r="2572" spans="1:4" x14ac:dyDescent="0.2">
      <c r="A2572" s="12" t="s">
        <v>6290</v>
      </c>
      <c r="B2572" s="12" t="s">
        <v>6289</v>
      </c>
      <c r="C2572" s="12">
        <v>1000</v>
      </c>
      <c r="D2572" s="12">
        <v>100</v>
      </c>
    </row>
    <row r="2573" spans="1:4" x14ac:dyDescent="0.2">
      <c r="A2573" s="12" t="s">
        <v>12611</v>
      </c>
      <c r="B2573" s="12" t="s">
        <v>10418</v>
      </c>
      <c r="C2573" s="12"/>
      <c r="D2573" s="12">
        <v>0.71</v>
      </c>
    </row>
    <row r="2574" spans="1:4" x14ac:dyDescent="0.2">
      <c r="A2574" s="12" t="s">
        <v>12610</v>
      </c>
      <c r="B2574" s="12" t="s">
        <v>10417</v>
      </c>
      <c r="C2574" s="12">
        <v>2.8</v>
      </c>
      <c r="D2574" s="12">
        <v>0.56999999999999995</v>
      </c>
    </row>
    <row r="2575" spans="1:4" x14ac:dyDescent="0.2">
      <c r="A2575" s="12" t="s">
        <v>10416</v>
      </c>
      <c r="B2575" s="12" t="s">
        <v>10415</v>
      </c>
      <c r="C2575" s="12">
        <v>17</v>
      </c>
      <c r="D2575" s="12">
        <v>8.1</v>
      </c>
    </row>
    <row r="2576" spans="1:4" x14ac:dyDescent="0.2">
      <c r="A2576" s="12" t="s">
        <v>7304</v>
      </c>
      <c r="B2576" s="12" t="s">
        <v>7303</v>
      </c>
      <c r="C2576" s="12" t="s">
        <v>59</v>
      </c>
      <c r="D2576" s="12" t="s">
        <v>59</v>
      </c>
    </row>
    <row r="2577" spans="1:4" x14ac:dyDescent="0.2">
      <c r="A2577" s="12" t="s">
        <v>7857</v>
      </c>
      <c r="B2577" s="12" t="s">
        <v>7856</v>
      </c>
      <c r="C2577" s="12">
        <v>8000</v>
      </c>
      <c r="D2577" s="12">
        <v>800</v>
      </c>
    </row>
    <row r="2578" spans="1:4" x14ac:dyDescent="0.2">
      <c r="A2578" s="12" t="s">
        <v>5570</v>
      </c>
      <c r="B2578" s="12" t="s">
        <v>5569</v>
      </c>
      <c r="C2578" s="12">
        <v>2000</v>
      </c>
      <c r="D2578" s="12">
        <v>200</v>
      </c>
    </row>
    <row r="2579" spans="1:4" x14ac:dyDescent="0.2">
      <c r="A2579" s="12" t="s">
        <v>9894</v>
      </c>
      <c r="B2579" s="12" t="s">
        <v>9893</v>
      </c>
      <c r="C2579" s="12">
        <v>1000</v>
      </c>
      <c r="D2579" s="12">
        <v>100</v>
      </c>
    </row>
    <row r="2580" spans="1:4" x14ac:dyDescent="0.2">
      <c r="A2580" s="12" t="s">
        <v>10756</v>
      </c>
      <c r="B2580" s="12" t="s">
        <v>10755</v>
      </c>
      <c r="C2580" s="12">
        <v>50</v>
      </c>
      <c r="D2580" s="12">
        <v>5</v>
      </c>
    </row>
    <row r="2581" spans="1:4" x14ac:dyDescent="0.2">
      <c r="A2581" s="12" t="s">
        <v>5469</v>
      </c>
      <c r="B2581" s="12" t="s">
        <v>5468</v>
      </c>
      <c r="C2581" s="12">
        <v>50</v>
      </c>
      <c r="D2581" s="12">
        <v>5</v>
      </c>
    </row>
    <row r="2582" spans="1:4" x14ac:dyDescent="0.2">
      <c r="A2582" s="12" t="s">
        <v>1714</v>
      </c>
      <c r="B2582" s="12" t="s">
        <v>1713</v>
      </c>
      <c r="C2582" s="12">
        <v>830</v>
      </c>
      <c r="D2582" s="12">
        <v>83</v>
      </c>
    </row>
    <row r="2583" spans="1:4" x14ac:dyDescent="0.2">
      <c r="A2583" s="12" t="s">
        <v>11171</v>
      </c>
      <c r="B2583" s="12" t="s">
        <v>11170</v>
      </c>
      <c r="C2583" s="12" t="s">
        <v>59</v>
      </c>
      <c r="D2583" s="12" t="s">
        <v>59</v>
      </c>
    </row>
    <row r="2584" spans="1:4" x14ac:dyDescent="0.2">
      <c r="A2584" s="12" t="s">
        <v>2219</v>
      </c>
      <c r="B2584" s="12" t="s">
        <v>2218</v>
      </c>
      <c r="C2584" s="12">
        <v>600</v>
      </c>
      <c r="D2584" s="12">
        <v>90</v>
      </c>
    </row>
    <row r="2585" spans="1:4" x14ac:dyDescent="0.2">
      <c r="A2585" s="12" t="s">
        <v>11574</v>
      </c>
      <c r="B2585" s="12" t="s">
        <v>11573</v>
      </c>
      <c r="C2585" s="12">
        <v>100</v>
      </c>
      <c r="D2585" s="12">
        <v>10</v>
      </c>
    </row>
    <row r="2586" spans="1:4" x14ac:dyDescent="0.2">
      <c r="A2586" s="12" t="s">
        <v>414</v>
      </c>
      <c r="B2586" s="12" t="s">
        <v>413</v>
      </c>
      <c r="C2586" s="12">
        <v>100</v>
      </c>
      <c r="D2586" s="12">
        <v>10</v>
      </c>
    </row>
    <row r="2587" spans="1:4" x14ac:dyDescent="0.2">
      <c r="A2587" s="12" t="s">
        <v>8827</v>
      </c>
      <c r="B2587" s="12" t="s">
        <v>8826</v>
      </c>
      <c r="C2587" s="12">
        <v>10</v>
      </c>
      <c r="D2587" s="12">
        <v>1</v>
      </c>
    </row>
    <row r="2588" spans="1:4" x14ac:dyDescent="0.2">
      <c r="A2588" s="12" t="s">
        <v>9099</v>
      </c>
      <c r="B2588" s="12" t="s">
        <v>9098</v>
      </c>
      <c r="C2588" s="12">
        <v>100</v>
      </c>
      <c r="D2588" s="12">
        <v>10</v>
      </c>
    </row>
    <row r="2589" spans="1:4" x14ac:dyDescent="0.2">
      <c r="A2589" s="12" t="s">
        <v>556</v>
      </c>
      <c r="B2589" s="12" t="s">
        <v>555</v>
      </c>
      <c r="C2589" s="12">
        <v>1</v>
      </c>
      <c r="D2589" s="12">
        <v>0.1</v>
      </c>
    </row>
    <row r="2590" spans="1:4" x14ac:dyDescent="0.2">
      <c r="A2590" s="12" t="s">
        <v>7644</v>
      </c>
      <c r="B2590" s="12" t="s">
        <v>7643</v>
      </c>
      <c r="C2590" s="12">
        <v>50</v>
      </c>
      <c r="D2590" s="12">
        <v>5</v>
      </c>
    </row>
    <row r="2591" spans="1:4" x14ac:dyDescent="0.2">
      <c r="A2591" s="12" t="s">
        <v>9469</v>
      </c>
      <c r="B2591" s="12" t="s">
        <v>9468</v>
      </c>
      <c r="C2591" s="12" t="s">
        <v>59</v>
      </c>
      <c r="D2591" s="12" t="s">
        <v>59</v>
      </c>
    </row>
    <row r="2592" spans="1:4" x14ac:dyDescent="0.2">
      <c r="A2592" s="12" t="s">
        <v>11281</v>
      </c>
      <c r="B2592" s="12" t="s">
        <v>11280</v>
      </c>
      <c r="C2592" s="12">
        <v>1</v>
      </c>
      <c r="D2592" s="12">
        <v>0.1</v>
      </c>
    </row>
    <row r="2593" spans="1:4" x14ac:dyDescent="0.2">
      <c r="A2593" s="12" t="s">
        <v>10038</v>
      </c>
      <c r="B2593" s="12" t="s">
        <v>10037</v>
      </c>
      <c r="C2593" s="12" t="s">
        <v>59</v>
      </c>
      <c r="D2593" s="12" t="s">
        <v>59</v>
      </c>
    </row>
    <row r="2594" spans="1:4" x14ac:dyDescent="0.2">
      <c r="A2594" s="12" t="s">
        <v>10575</v>
      </c>
      <c r="B2594" s="12" t="s">
        <v>10574</v>
      </c>
      <c r="C2594" s="12">
        <v>1000</v>
      </c>
      <c r="D2594" s="12">
        <v>100</v>
      </c>
    </row>
    <row r="2595" spans="1:4" x14ac:dyDescent="0.2">
      <c r="A2595" s="12" t="s">
        <v>931</v>
      </c>
      <c r="B2595" s="12" t="s">
        <v>930</v>
      </c>
      <c r="C2595" s="12">
        <v>540</v>
      </c>
      <c r="D2595" s="12">
        <v>54</v>
      </c>
    </row>
    <row r="2596" spans="1:4" x14ac:dyDescent="0.2">
      <c r="A2596" s="12" t="s">
        <v>5811</v>
      </c>
      <c r="B2596" s="12" t="s">
        <v>5810</v>
      </c>
      <c r="C2596" s="12">
        <v>33</v>
      </c>
      <c r="D2596" s="12">
        <v>3.3</v>
      </c>
    </row>
    <row r="2597" spans="1:4" x14ac:dyDescent="0.2">
      <c r="A2597" s="12" t="s">
        <v>7556</v>
      </c>
      <c r="B2597" s="12" t="s">
        <v>7555</v>
      </c>
      <c r="C2597" s="12">
        <v>0.13</v>
      </c>
      <c r="D2597" s="12">
        <v>1.2999999999999999E-2</v>
      </c>
    </row>
    <row r="2598" spans="1:4" x14ac:dyDescent="0.2">
      <c r="A2598" s="12" t="s">
        <v>12245</v>
      </c>
      <c r="B2598" s="12" t="s">
        <v>12244</v>
      </c>
      <c r="C2598" s="12">
        <v>1500</v>
      </c>
      <c r="D2598" s="12">
        <v>150</v>
      </c>
    </row>
    <row r="2599" spans="1:4" x14ac:dyDescent="0.2">
      <c r="A2599" s="12" t="s">
        <v>5021</v>
      </c>
      <c r="B2599" s="12" t="s">
        <v>5020</v>
      </c>
      <c r="C2599" s="12">
        <v>50</v>
      </c>
      <c r="D2599" s="12">
        <v>5</v>
      </c>
    </row>
    <row r="2600" spans="1:4" x14ac:dyDescent="0.2">
      <c r="A2600" s="12" t="s">
        <v>688</v>
      </c>
      <c r="B2600" s="12" t="s">
        <v>687</v>
      </c>
      <c r="C2600" s="12">
        <v>8.1</v>
      </c>
      <c r="D2600" s="12">
        <v>0.55000000000000004</v>
      </c>
    </row>
    <row r="2601" spans="1:4" x14ac:dyDescent="0.2">
      <c r="A2601" s="12" t="s">
        <v>1762</v>
      </c>
      <c r="B2601" s="12" t="s">
        <v>1761</v>
      </c>
      <c r="C2601" s="12">
        <v>100</v>
      </c>
      <c r="D2601" s="12">
        <v>10</v>
      </c>
    </row>
    <row r="2602" spans="1:4" x14ac:dyDescent="0.2">
      <c r="A2602" s="12" t="s">
        <v>4949</v>
      </c>
      <c r="B2602" s="12" t="s">
        <v>4948</v>
      </c>
      <c r="C2602" s="12" t="s">
        <v>59</v>
      </c>
      <c r="D2602" s="12" t="s">
        <v>59</v>
      </c>
    </row>
    <row r="2603" spans="1:4" x14ac:dyDescent="0.2">
      <c r="A2603" s="12" t="s">
        <v>364</v>
      </c>
      <c r="B2603" s="12" t="s">
        <v>363</v>
      </c>
      <c r="C2603" s="12">
        <v>42</v>
      </c>
      <c r="D2603" s="12">
        <v>4.2</v>
      </c>
    </row>
    <row r="2604" spans="1:4" x14ac:dyDescent="0.2">
      <c r="A2604" s="12" t="s">
        <v>454</v>
      </c>
      <c r="B2604" s="12" t="s">
        <v>453</v>
      </c>
      <c r="C2604" s="12">
        <v>200</v>
      </c>
      <c r="D2604" s="12">
        <v>20</v>
      </c>
    </row>
    <row r="2605" spans="1:4" x14ac:dyDescent="0.2">
      <c r="A2605" s="12" t="s">
        <v>8030</v>
      </c>
      <c r="B2605" s="12" t="s">
        <v>8029</v>
      </c>
      <c r="C2605" s="12">
        <v>30</v>
      </c>
      <c r="D2605" s="12">
        <v>3</v>
      </c>
    </row>
    <row r="2606" spans="1:4" x14ac:dyDescent="0.2">
      <c r="A2606" s="12" t="s">
        <v>1885</v>
      </c>
      <c r="B2606" s="12" t="s">
        <v>1884</v>
      </c>
      <c r="C2606" s="12">
        <v>3.3</v>
      </c>
      <c r="D2606" s="12">
        <v>0.33</v>
      </c>
    </row>
    <row r="2607" spans="1:4" x14ac:dyDescent="0.2">
      <c r="A2607" s="12" t="s">
        <v>12339</v>
      </c>
      <c r="B2607" s="12" t="s">
        <v>12338</v>
      </c>
      <c r="C2607" s="12" t="s">
        <v>59</v>
      </c>
      <c r="D2607" s="12" t="s">
        <v>59</v>
      </c>
    </row>
    <row r="2608" spans="1:4" x14ac:dyDescent="0.2">
      <c r="A2608" s="12" t="s">
        <v>7974</v>
      </c>
      <c r="B2608" s="12" t="s">
        <v>7973</v>
      </c>
      <c r="C2608" s="12">
        <v>580</v>
      </c>
      <c r="D2608" s="12">
        <v>58</v>
      </c>
    </row>
    <row r="2609" spans="1:4" x14ac:dyDescent="0.2">
      <c r="A2609" s="12" t="s">
        <v>3305</v>
      </c>
      <c r="B2609" s="12" t="s">
        <v>3304</v>
      </c>
      <c r="C2609" s="12">
        <v>430</v>
      </c>
      <c r="D2609" s="12">
        <v>43</v>
      </c>
    </row>
    <row r="2610" spans="1:4" x14ac:dyDescent="0.2">
      <c r="A2610" s="12" t="s">
        <v>2667</v>
      </c>
      <c r="B2610" s="12" t="s">
        <v>2666</v>
      </c>
      <c r="C2610" s="12">
        <v>2000</v>
      </c>
      <c r="D2610" s="12">
        <v>200</v>
      </c>
    </row>
    <row r="2611" spans="1:4" x14ac:dyDescent="0.2">
      <c r="A2611" s="12" t="s">
        <v>4698</v>
      </c>
      <c r="B2611" s="12" t="s">
        <v>4697</v>
      </c>
      <c r="C2611" s="12" t="s">
        <v>59</v>
      </c>
      <c r="D2611" s="12" t="s">
        <v>59</v>
      </c>
    </row>
    <row r="2612" spans="1:4" x14ac:dyDescent="0.2">
      <c r="A2612" s="12" t="s">
        <v>12138</v>
      </c>
      <c r="B2612" s="12" t="s">
        <v>12137</v>
      </c>
      <c r="C2612" s="12">
        <v>50</v>
      </c>
      <c r="D2612" s="12">
        <v>5</v>
      </c>
    </row>
    <row r="2613" spans="1:4" x14ac:dyDescent="0.2">
      <c r="A2613" s="12" t="s">
        <v>5063</v>
      </c>
      <c r="B2613" s="12" t="s">
        <v>5062</v>
      </c>
      <c r="C2613" s="12">
        <v>5</v>
      </c>
      <c r="D2613" s="12">
        <v>0.5</v>
      </c>
    </row>
    <row r="2614" spans="1:4" x14ac:dyDescent="0.2">
      <c r="A2614" s="12" t="s">
        <v>9636</v>
      </c>
      <c r="B2614" s="12" t="s">
        <v>9635</v>
      </c>
      <c r="C2614" s="12">
        <v>60</v>
      </c>
      <c r="D2614" s="12">
        <v>6</v>
      </c>
    </row>
    <row r="2615" spans="1:4" x14ac:dyDescent="0.2">
      <c r="A2615" s="12" t="s">
        <v>9522</v>
      </c>
      <c r="B2615" s="12" t="s">
        <v>9521</v>
      </c>
      <c r="C2615" s="12" t="s">
        <v>59</v>
      </c>
      <c r="D2615" s="12" t="s">
        <v>59</v>
      </c>
    </row>
    <row r="2616" spans="1:4" x14ac:dyDescent="0.2">
      <c r="A2616" s="12" t="s">
        <v>7602</v>
      </c>
      <c r="B2616" s="12" t="s">
        <v>7601</v>
      </c>
      <c r="C2616" s="12">
        <v>50</v>
      </c>
      <c r="D2616" s="12">
        <v>5</v>
      </c>
    </row>
    <row r="2617" spans="1:4" x14ac:dyDescent="0.2">
      <c r="A2617" s="12" t="s">
        <v>11932</v>
      </c>
      <c r="B2617" s="12" t="s">
        <v>11931</v>
      </c>
      <c r="C2617" s="12">
        <v>20</v>
      </c>
      <c r="D2617" s="12">
        <v>2</v>
      </c>
    </row>
    <row r="2618" spans="1:4" x14ac:dyDescent="0.2">
      <c r="A2618" s="12" t="s">
        <v>6403</v>
      </c>
      <c r="B2618" s="12" t="s">
        <v>6402</v>
      </c>
      <c r="C2618" s="12" t="s">
        <v>59</v>
      </c>
      <c r="D2618" s="12" t="s">
        <v>59</v>
      </c>
    </row>
    <row r="2619" spans="1:4" x14ac:dyDescent="0.2">
      <c r="A2619" s="12" t="s">
        <v>9722</v>
      </c>
      <c r="B2619" s="12" t="s">
        <v>9721</v>
      </c>
      <c r="C2619" s="12" t="s">
        <v>59</v>
      </c>
      <c r="D2619" s="12" t="s">
        <v>59</v>
      </c>
    </row>
    <row r="2620" spans="1:4" x14ac:dyDescent="0.2">
      <c r="A2620" s="12" t="s">
        <v>1422</v>
      </c>
      <c r="B2620" s="12" t="s">
        <v>1421</v>
      </c>
      <c r="C2620" s="12">
        <v>180</v>
      </c>
      <c r="D2620" s="12">
        <v>18</v>
      </c>
    </row>
    <row r="2621" spans="1:4" x14ac:dyDescent="0.2">
      <c r="A2621" s="12" t="s">
        <v>1071</v>
      </c>
      <c r="B2621" s="12" t="s">
        <v>1070</v>
      </c>
      <c r="C2621" s="12">
        <v>1300</v>
      </c>
      <c r="D2621" s="12">
        <v>130</v>
      </c>
    </row>
    <row r="2622" spans="1:4" x14ac:dyDescent="0.2">
      <c r="A2622" s="12" t="s">
        <v>1446</v>
      </c>
      <c r="B2622" s="12" t="s">
        <v>1445</v>
      </c>
      <c r="C2622" s="12">
        <v>3100</v>
      </c>
      <c r="D2622" s="12">
        <v>310</v>
      </c>
    </row>
    <row r="2623" spans="1:4" x14ac:dyDescent="0.2">
      <c r="A2623" s="12" t="s">
        <v>2498</v>
      </c>
      <c r="B2623" s="12" t="s">
        <v>2497</v>
      </c>
      <c r="C2623" s="12">
        <v>2200</v>
      </c>
      <c r="D2623" s="12">
        <v>220</v>
      </c>
    </row>
    <row r="2624" spans="1:4" x14ac:dyDescent="0.2">
      <c r="A2624" s="12" t="s">
        <v>6687</v>
      </c>
      <c r="B2624" s="12" t="s">
        <v>6686</v>
      </c>
      <c r="C2624" s="12">
        <v>100</v>
      </c>
      <c r="D2624" s="12">
        <v>10</v>
      </c>
    </row>
    <row r="2625" spans="1:4" x14ac:dyDescent="0.2">
      <c r="A2625" s="12" t="s">
        <v>352</v>
      </c>
      <c r="B2625" s="12" t="s">
        <v>351</v>
      </c>
      <c r="C2625" s="12">
        <v>3500</v>
      </c>
      <c r="D2625" s="12">
        <v>350</v>
      </c>
    </row>
    <row r="2626" spans="1:4" x14ac:dyDescent="0.2">
      <c r="A2626" s="12" t="s">
        <v>1609</v>
      </c>
      <c r="B2626" s="12" t="s">
        <v>1608</v>
      </c>
      <c r="C2626" s="12">
        <v>4800</v>
      </c>
      <c r="D2626" s="12">
        <v>450</v>
      </c>
    </row>
    <row r="2627" spans="1:4" x14ac:dyDescent="0.2">
      <c r="A2627" s="12" t="s">
        <v>3089</v>
      </c>
      <c r="B2627" s="12" t="s">
        <v>3088</v>
      </c>
      <c r="C2627" s="12">
        <v>4800</v>
      </c>
      <c r="D2627" s="12">
        <v>450</v>
      </c>
    </row>
    <row r="2628" spans="1:4" x14ac:dyDescent="0.2">
      <c r="A2628" s="12" t="s">
        <v>2775</v>
      </c>
      <c r="B2628" s="12" t="s">
        <v>2774</v>
      </c>
      <c r="C2628" s="12">
        <v>4800</v>
      </c>
      <c r="D2628" s="12">
        <v>450</v>
      </c>
    </row>
    <row r="2629" spans="1:4" x14ac:dyDescent="0.2">
      <c r="A2629" s="12" t="s">
        <v>2781</v>
      </c>
      <c r="B2629" s="12" t="s">
        <v>2780</v>
      </c>
      <c r="C2629" s="12">
        <v>4800</v>
      </c>
      <c r="D2629" s="12">
        <v>450</v>
      </c>
    </row>
    <row r="2630" spans="1:4" x14ac:dyDescent="0.2">
      <c r="A2630" s="12" t="s">
        <v>1827</v>
      </c>
      <c r="B2630" s="12" t="s">
        <v>1826</v>
      </c>
      <c r="C2630" s="12">
        <v>5700</v>
      </c>
      <c r="D2630" s="12">
        <v>570</v>
      </c>
    </row>
    <row r="2631" spans="1:4" x14ac:dyDescent="0.2">
      <c r="A2631" s="12" t="s">
        <v>1322</v>
      </c>
      <c r="B2631" s="12" t="s">
        <v>1321</v>
      </c>
      <c r="C2631" s="12" t="s">
        <v>59</v>
      </c>
      <c r="D2631" s="12" t="s">
        <v>59</v>
      </c>
    </row>
    <row r="2632" spans="1:4" x14ac:dyDescent="0.2">
      <c r="A2632" s="12" t="s">
        <v>1323</v>
      </c>
      <c r="B2632" s="12" t="s">
        <v>1321</v>
      </c>
      <c r="C2632" s="12">
        <v>280</v>
      </c>
      <c r="D2632" s="12">
        <v>28</v>
      </c>
    </row>
    <row r="2633" spans="1:4" x14ac:dyDescent="0.2">
      <c r="A2633" s="12" t="s">
        <v>8882</v>
      </c>
      <c r="B2633" s="12" t="s">
        <v>8881</v>
      </c>
      <c r="C2633" s="12" t="s">
        <v>59</v>
      </c>
      <c r="D2633" s="12" t="s">
        <v>59</v>
      </c>
    </row>
    <row r="2634" spans="1:4" x14ac:dyDescent="0.2">
      <c r="A2634" s="12" t="s">
        <v>8883</v>
      </c>
      <c r="B2634" s="12" t="s">
        <v>8881</v>
      </c>
      <c r="C2634" s="12">
        <v>280</v>
      </c>
      <c r="D2634" s="12">
        <v>28</v>
      </c>
    </row>
    <row r="2635" spans="1:4" x14ac:dyDescent="0.2">
      <c r="A2635" s="12" t="s">
        <v>354</v>
      </c>
      <c r="B2635" s="12" t="s">
        <v>353</v>
      </c>
      <c r="C2635" s="12">
        <v>70</v>
      </c>
      <c r="D2635" s="12">
        <v>7</v>
      </c>
    </row>
    <row r="2636" spans="1:4" x14ac:dyDescent="0.2">
      <c r="A2636" s="12" t="s">
        <v>4580</v>
      </c>
      <c r="B2636" s="12" t="s">
        <v>4579</v>
      </c>
      <c r="C2636" s="12">
        <v>2900</v>
      </c>
      <c r="D2636" s="12">
        <v>3700</v>
      </c>
    </row>
    <row r="2637" spans="1:4" x14ac:dyDescent="0.2">
      <c r="A2637" s="12" t="s">
        <v>11818</v>
      </c>
      <c r="B2637" s="12" t="s">
        <v>11817</v>
      </c>
      <c r="C2637" s="12">
        <v>50</v>
      </c>
      <c r="D2637" s="12">
        <v>5</v>
      </c>
    </row>
    <row r="2638" spans="1:4" x14ac:dyDescent="0.2">
      <c r="A2638" s="12" t="s">
        <v>11824</v>
      </c>
      <c r="B2638" s="12" t="s">
        <v>11823</v>
      </c>
      <c r="C2638" s="12">
        <v>50</v>
      </c>
      <c r="D2638" s="12">
        <v>5</v>
      </c>
    </row>
    <row r="2639" spans="1:4" x14ac:dyDescent="0.2">
      <c r="A2639" s="12" t="s">
        <v>7466</v>
      </c>
      <c r="B2639" s="12" t="s">
        <v>7465</v>
      </c>
      <c r="C2639" s="12" t="s">
        <v>59</v>
      </c>
      <c r="D2639" s="12" t="s">
        <v>59</v>
      </c>
    </row>
    <row r="2640" spans="1:4" x14ac:dyDescent="0.2">
      <c r="A2640" s="12" t="s">
        <v>2950</v>
      </c>
      <c r="B2640" s="12" t="s">
        <v>2949</v>
      </c>
      <c r="C2640" s="12" t="s">
        <v>59</v>
      </c>
      <c r="D2640" s="12" t="s">
        <v>59</v>
      </c>
    </row>
    <row r="2641" spans="1:4" x14ac:dyDescent="0.2">
      <c r="A2641" s="12" t="s">
        <v>10010</v>
      </c>
      <c r="B2641" s="12" t="s">
        <v>10009</v>
      </c>
      <c r="C2641" s="12" t="s">
        <v>59</v>
      </c>
      <c r="D2641" s="12" t="s">
        <v>59</v>
      </c>
    </row>
    <row r="2642" spans="1:4" x14ac:dyDescent="0.2">
      <c r="A2642" s="12" t="s">
        <v>9728</v>
      </c>
      <c r="B2642" s="12" t="s">
        <v>9727</v>
      </c>
      <c r="C2642" s="12">
        <v>730</v>
      </c>
      <c r="D2642" s="12">
        <v>73</v>
      </c>
    </row>
    <row r="2643" spans="1:4" x14ac:dyDescent="0.2">
      <c r="A2643" s="12" t="s">
        <v>3618</v>
      </c>
      <c r="B2643" s="12" t="s">
        <v>3617</v>
      </c>
      <c r="C2643" s="12">
        <v>2.5</v>
      </c>
      <c r="D2643" s="12">
        <v>0.25</v>
      </c>
    </row>
    <row r="2644" spans="1:4" x14ac:dyDescent="0.2">
      <c r="A2644" s="12" t="s">
        <v>6427</v>
      </c>
      <c r="B2644" s="12" t="s">
        <v>6426</v>
      </c>
      <c r="C2644" s="12">
        <v>600</v>
      </c>
      <c r="D2644" s="12">
        <v>60</v>
      </c>
    </row>
    <row r="2645" spans="1:4" x14ac:dyDescent="0.2">
      <c r="A2645" s="12" t="s">
        <v>2663</v>
      </c>
      <c r="B2645" s="12" t="s">
        <v>2662</v>
      </c>
      <c r="C2645" s="12">
        <v>1000</v>
      </c>
      <c r="D2645" s="12">
        <v>100</v>
      </c>
    </row>
    <row r="2646" spans="1:4" x14ac:dyDescent="0.2">
      <c r="A2646" s="12" t="s">
        <v>10605</v>
      </c>
      <c r="B2646" s="12" t="s">
        <v>10604</v>
      </c>
      <c r="C2646" s="12" t="s">
        <v>59</v>
      </c>
      <c r="D2646" s="12" t="s">
        <v>59</v>
      </c>
    </row>
    <row r="2647" spans="1:4" x14ac:dyDescent="0.2">
      <c r="A2647" s="12" t="s">
        <v>10606</v>
      </c>
      <c r="B2647" s="12" t="s">
        <v>10604</v>
      </c>
      <c r="C2647" s="12">
        <v>1000</v>
      </c>
      <c r="D2647" s="12">
        <v>100</v>
      </c>
    </row>
    <row r="2648" spans="1:4" x14ac:dyDescent="0.2">
      <c r="A2648" s="12" t="s">
        <v>9488</v>
      </c>
      <c r="B2648" s="12" t="s">
        <v>9487</v>
      </c>
      <c r="C2648" s="12">
        <v>100</v>
      </c>
      <c r="D2648" s="12">
        <v>10</v>
      </c>
    </row>
    <row r="2649" spans="1:4" x14ac:dyDescent="0.2">
      <c r="A2649" s="12" t="s">
        <v>2878</v>
      </c>
      <c r="B2649" s="12" t="s">
        <v>2877</v>
      </c>
      <c r="C2649" s="12">
        <v>3500</v>
      </c>
      <c r="D2649" s="12">
        <v>350</v>
      </c>
    </row>
    <row r="2650" spans="1:4" x14ac:dyDescent="0.2">
      <c r="A2650" s="12" t="s">
        <v>148</v>
      </c>
      <c r="B2650" s="12" t="s">
        <v>147</v>
      </c>
      <c r="C2650" s="12">
        <v>5700</v>
      </c>
      <c r="D2650" s="12">
        <v>570</v>
      </c>
    </row>
    <row r="2651" spans="1:4" x14ac:dyDescent="0.2">
      <c r="A2651" s="12" t="s">
        <v>5031</v>
      </c>
      <c r="B2651" s="12" t="s">
        <v>5030</v>
      </c>
      <c r="C2651" s="12">
        <v>5</v>
      </c>
      <c r="D2651" s="12">
        <v>0.5</v>
      </c>
    </row>
    <row r="2652" spans="1:4" x14ac:dyDescent="0.2">
      <c r="A2652" s="12" t="s">
        <v>4423</v>
      </c>
      <c r="B2652" s="12" t="s">
        <v>4422</v>
      </c>
      <c r="C2652" s="12">
        <v>290</v>
      </c>
      <c r="D2652" s="12">
        <v>3.3</v>
      </c>
    </row>
    <row r="2653" spans="1:4" x14ac:dyDescent="0.2">
      <c r="A2653" s="12" t="s">
        <v>8770</v>
      </c>
      <c r="B2653" s="12" t="s">
        <v>8769</v>
      </c>
      <c r="C2653" s="12">
        <v>610</v>
      </c>
      <c r="D2653" s="12">
        <v>61</v>
      </c>
    </row>
    <row r="2654" spans="1:4" x14ac:dyDescent="0.2">
      <c r="A2654" s="12" t="s">
        <v>2985</v>
      </c>
      <c r="B2654" s="12" t="s">
        <v>2984</v>
      </c>
      <c r="C2654" s="12">
        <v>190</v>
      </c>
      <c r="D2654" s="12">
        <v>19</v>
      </c>
    </row>
    <row r="2655" spans="1:4" x14ac:dyDescent="0.2">
      <c r="A2655" s="12" t="s">
        <v>4065</v>
      </c>
      <c r="B2655" s="12" t="s">
        <v>4064</v>
      </c>
      <c r="C2655" s="12">
        <v>100</v>
      </c>
      <c r="D2655" s="12">
        <v>10</v>
      </c>
    </row>
    <row r="2656" spans="1:4" x14ac:dyDescent="0.2">
      <c r="A2656" s="12" t="s">
        <v>140</v>
      </c>
      <c r="B2656" s="12" t="s">
        <v>139</v>
      </c>
      <c r="C2656" s="12">
        <v>3500</v>
      </c>
      <c r="D2656" s="12">
        <v>350</v>
      </c>
    </row>
    <row r="2657" spans="1:4" x14ac:dyDescent="0.2">
      <c r="A2657" s="12" t="s">
        <v>1950</v>
      </c>
      <c r="B2657" s="12" t="s">
        <v>1949</v>
      </c>
      <c r="C2657" s="12">
        <v>1500</v>
      </c>
      <c r="D2657" s="12">
        <v>150</v>
      </c>
    </row>
    <row r="2658" spans="1:4" x14ac:dyDescent="0.2">
      <c r="A2658" s="12" t="s">
        <v>4535</v>
      </c>
      <c r="B2658" s="12" t="s">
        <v>4534</v>
      </c>
      <c r="C2658" s="12">
        <v>100</v>
      </c>
      <c r="D2658" s="12">
        <v>10</v>
      </c>
    </row>
    <row r="2659" spans="1:4" x14ac:dyDescent="0.2">
      <c r="A2659" s="12" t="s">
        <v>1438</v>
      </c>
      <c r="B2659" s="12" t="s">
        <v>1437</v>
      </c>
      <c r="C2659" s="12" t="s">
        <v>59</v>
      </c>
      <c r="D2659" s="12" t="s">
        <v>59</v>
      </c>
    </row>
    <row r="2660" spans="1:4" x14ac:dyDescent="0.2">
      <c r="A2660" s="12" t="s">
        <v>12048</v>
      </c>
      <c r="B2660" s="12" t="s">
        <v>12047</v>
      </c>
      <c r="C2660" s="12" t="s">
        <v>59</v>
      </c>
      <c r="D2660" s="12" t="s">
        <v>59</v>
      </c>
    </row>
    <row r="2661" spans="1:4" x14ac:dyDescent="0.2">
      <c r="A2661" s="12" t="s">
        <v>3067</v>
      </c>
      <c r="B2661" s="12" t="s">
        <v>3066</v>
      </c>
      <c r="C2661" s="12">
        <v>5</v>
      </c>
      <c r="D2661" s="12">
        <v>0.5</v>
      </c>
    </row>
    <row r="2662" spans="1:4" x14ac:dyDescent="0.2">
      <c r="A2662" s="12" t="s">
        <v>7323</v>
      </c>
      <c r="B2662" s="12" t="s">
        <v>7322</v>
      </c>
      <c r="C2662" s="12">
        <v>100</v>
      </c>
      <c r="D2662" s="12">
        <v>10</v>
      </c>
    </row>
    <row r="2663" spans="1:4" x14ac:dyDescent="0.2">
      <c r="A2663" s="12" t="s">
        <v>1242</v>
      </c>
      <c r="B2663" s="12" t="s">
        <v>1241</v>
      </c>
      <c r="C2663" s="12" t="s">
        <v>59</v>
      </c>
      <c r="D2663" s="12" t="s">
        <v>59</v>
      </c>
    </row>
    <row r="2664" spans="1:4" x14ac:dyDescent="0.2">
      <c r="A2664" s="12" t="s">
        <v>7999</v>
      </c>
      <c r="B2664" s="12" t="s">
        <v>7998</v>
      </c>
      <c r="C2664" s="12" t="s">
        <v>59</v>
      </c>
      <c r="D2664" s="12" t="s">
        <v>59</v>
      </c>
    </row>
    <row r="2665" spans="1:4" x14ac:dyDescent="0.2">
      <c r="A2665" s="12" t="s">
        <v>2094</v>
      </c>
      <c r="B2665" s="12" t="s">
        <v>2093</v>
      </c>
      <c r="C2665" s="12" t="s">
        <v>59</v>
      </c>
      <c r="D2665" s="12" t="s">
        <v>59</v>
      </c>
    </row>
    <row r="2666" spans="1:4" x14ac:dyDescent="0.2">
      <c r="A2666" s="12" t="s">
        <v>1329</v>
      </c>
      <c r="B2666" s="12" t="s">
        <v>1328</v>
      </c>
      <c r="C2666" s="12">
        <v>100</v>
      </c>
      <c r="D2666" s="12">
        <v>10</v>
      </c>
    </row>
    <row r="2667" spans="1:4" x14ac:dyDescent="0.2">
      <c r="A2667" s="12" t="s">
        <v>3807</v>
      </c>
      <c r="B2667" s="12" t="s">
        <v>3806</v>
      </c>
      <c r="C2667" s="12">
        <v>1000</v>
      </c>
      <c r="D2667" s="12">
        <v>100</v>
      </c>
    </row>
    <row r="2668" spans="1:4" x14ac:dyDescent="0.2">
      <c r="A2668" s="12" t="s">
        <v>5552</v>
      </c>
      <c r="B2668" s="12" t="s">
        <v>5551</v>
      </c>
      <c r="C2668" s="12">
        <v>0.7</v>
      </c>
      <c r="D2668" s="12">
        <v>0.1</v>
      </c>
    </row>
    <row r="2669" spans="1:4" x14ac:dyDescent="0.2">
      <c r="A2669" s="12" t="s">
        <v>854</v>
      </c>
      <c r="B2669" s="12" t="s">
        <v>853</v>
      </c>
      <c r="C2669" s="12">
        <v>0.7</v>
      </c>
      <c r="D2669" s="12">
        <v>0.1</v>
      </c>
    </row>
    <row r="2670" spans="1:4" x14ac:dyDescent="0.2">
      <c r="A2670" s="12" t="s">
        <v>10048</v>
      </c>
      <c r="B2670" s="12" t="s">
        <v>10047</v>
      </c>
      <c r="C2670" s="12" t="s">
        <v>59</v>
      </c>
      <c r="D2670" s="12" t="s">
        <v>59</v>
      </c>
    </row>
    <row r="2671" spans="1:4" x14ac:dyDescent="0.2">
      <c r="A2671" s="12" t="s">
        <v>3207</v>
      </c>
      <c r="B2671" s="12" t="s">
        <v>3206</v>
      </c>
      <c r="C2671" s="12">
        <v>1700</v>
      </c>
      <c r="D2671" s="12">
        <v>330</v>
      </c>
    </row>
    <row r="2672" spans="1:4" x14ac:dyDescent="0.2">
      <c r="A2672" s="12" t="s">
        <v>1015</v>
      </c>
      <c r="B2672" s="12" t="s">
        <v>1014</v>
      </c>
      <c r="C2672" s="12">
        <v>50</v>
      </c>
      <c r="D2672" s="12">
        <v>5</v>
      </c>
    </row>
    <row r="2673" spans="1:4" x14ac:dyDescent="0.2">
      <c r="A2673" s="12" t="s">
        <v>6101</v>
      </c>
      <c r="B2673" s="12" t="s">
        <v>6100</v>
      </c>
      <c r="C2673" s="12">
        <v>750</v>
      </c>
      <c r="D2673" s="12">
        <v>75</v>
      </c>
    </row>
    <row r="2674" spans="1:4" x14ac:dyDescent="0.2">
      <c r="A2674" s="12" t="s">
        <v>5897</v>
      </c>
      <c r="B2674" s="12" t="s">
        <v>5896</v>
      </c>
      <c r="C2674" s="12">
        <v>550</v>
      </c>
      <c r="D2674" s="12">
        <v>55</v>
      </c>
    </row>
    <row r="2675" spans="1:4" x14ac:dyDescent="0.2">
      <c r="A2675" s="12" t="s">
        <v>10042</v>
      </c>
      <c r="B2675" s="12" t="s">
        <v>10041</v>
      </c>
      <c r="C2675" s="12" t="s">
        <v>59</v>
      </c>
      <c r="D2675" s="12" t="s">
        <v>59</v>
      </c>
    </row>
    <row r="2676" spans="1:4" x14ac:dyDescent="0.2">
      <c r="A2676" s="12" t="s">
        <v>5659</v>
      </c>
      <c r="B2676" s="12" t="s">
        <v>5658</v>
      </c>
      <c r="C2676" s="12">
        <v>5</v>
      </c>
      <c r="D2676" s="12">
        <v>0.5</v>
      </c>
    </row>
    <row r="2677" spans="1:4" x14ac:dyDescent="0.2">
      <c r="A2677" s="12" t="s">
        <v>7434</v>
      </c>
      <c r="B2677" s="12" t="s">
        <v>7433</v>
      </c>
      <c r="C2677" s="12">
        <v>240</v>
      </c>
      <c r="D2677" s="12">
        <v>24</v>
      </c>
    </row>
    <row r="2678" spans="1:4" x14ac:dyDescent="0.2">
      <c r="A2678" s="12" t="s">
        <v>568</v>
      </c>
      <c r="B2678" s="12" t="s">
        <v>567</v>
      </c>
      <c r="C2678" s="12">
        <v>9</v>
      </c>
      <c r="D2678" s="12">
        <v>0.9</v>
      </c>
    </row>
    <row r="2679" spans="1:4" x14ac:dyDescent="0.2">
      <c r="A2679" s="12" t="s">
        <v>2339</v>
      </c>
      <c r="B2679" s="12" t="s">
        <v>2338</v>
      </c>
      <c r="C2679" s="12">
        <v>4800</v>
      </c>
      <c r="D2679" s="12">
        <v>450</v>
      </c>
    </row>
    <row r="2680" spans="1:4" x14ac:dyDescent="0.2">
      <c r="A2680" s="12" t="s">
        <v>2426</v>
      </c>
      <c r="B2680" s="12" t="s">
        <v>2425</v>
      </c>
      <c r="C2680" s="12" t="s">
        <v>59</v>
      </c>
      <c r="D2680" s="12" t="s">
        <v>59</v>
      </c>
    </row>
    <row r="2681" spans="1:4" x14ac:dyDescent="0.2">
      <c r="A2681" s="12" t="s">
        <v>11297</v>
      </c>
      <c r="B2681" s="12" t="s">
        <v>11296</v>
      </c>
      <c r="C2681" s="12">
        <v>2000</v>
      </c>
      <c r="D2681" s="12">
        <v>200</v>
      </c>
    </row>
    <row r="2682" spans="1:4" x14ac:dyDescent="0.2">
      <c r="A2682" s="12" t="s">
        <v>1392</v>
      </c>
      <c r="B2682" s="12" t="s">
        <v>1391</v>
      </c>
      <c r="C2682" s="12">
        <v>16</v>
      </c>
      <c r="D2682" s="12">
        <v>0.54</v>
      </c>
    </row>
    <row r="2683" spans="1:4" x14ac:dyDescent="0.2">
      <c r="A2683" s="12" t="s">
        <v>3460</v>
      </c>
      <c r="B2683" s="12" t="s">
        <v>3459</v>
      </c>
      <c r="C2683" s="12">
        <v>500</v>
      </c>
      <c r="D2683" s="12">
        <v>50</v>
      </c>
    </row>
    <row r="2684" spans="1:4" x14ac:dyDescent="0.2">
      <c r="A2684" s="12" t="s">
        <v>3289</v>
      </c>
      <c r="B2684" s="12" t="s">
        <v>3288</v>
      </c>
      <c r="C2684" s="12">
        <v>190</v>
      </c>
      <c r="D2684" s="12">
        <v>19</v>
      </c>
    </row>
    <row r="2685" spans="1:4" x14ac:dyDescent="0.2">
      <c r="A2685" s="12" t="s">
        <v>63</v>
      </c>
      <c r="B2685" s="12" t="s">
        <v>62</v>
      </c>
      <c r="C2685" s="12" t="s">
        <v>59</v>
      </c>
      <c r="D2685" s="12" t="s">
        <v>59</v>
      </c>
    </row>
    <row r="2686" spans="1:4" x14ac:dyDescent="0.2">
      <c r="A2686" s="12" t="s">
        <v>8940</v>
      </c>
      <c r="B2686" s="12" t="s">
        <v>8939</v>
      </c>
      <c r="C2686" s="12" t="s">
        <v>59</v>
      </c>
      <c r="D2686" s="12" t="s">
        <v>59</v>
      </c>
    </row>
    <row r="2687" spans="1:4" x14ac:dyDescent="0.2">
      <c r="A2687" s="12" t="s">
        <v>5962</v>
      </c>
      <c r="B2687" s="12" t="s">
        <v>5961</v>
      </c>
      <c r="C2687" s="12">
        <v>1000</v>
      </c>
      <c r="D2687" s="12">
        <v>100</v>
      </c>
    </row>
    <row r="2688" spans="1:4" x14ac:dyDescent="0.2">
      <c r="A2688" s="12" t="s">
        <v>5479</v>
      </c>
      <c r="B2688" s="12" t="s">
        <v>5478</v>
      </c>
      <c r="C2688" s="12">
        <v>10</v>
      </c>
      <c r="D2688" s="12">
        <v>1</v>
      </c>
    </row>
    <row r="2689" spans="1:4" x14ac:dyDescent="0.2">
      <c r="A2689" s="12" t="s">
        <v>5755</v>
      </c>
      <c r="B2689" s="12" t="s">
        <v>5754</v>
      </c>
      <c r="C2689" s="12">
        <v>33</v>
      </c>
      <c r="D2689" s="12">
        <v>3.3</v>
      </c>
    </row>
    <row r="2690" spans="1:4" x14ac:dyDescent="0.2">
      <c r="A2690" s="12" t="s">
        <v>422</v>
      </c>
      <c r="B2690" s="12" t="s">
        <v>421</v>
      </c>
      <c r="C2690" s="12">
        <v>5</v>
      </c>
      <c r="D2690" s="12">
        <v>0.5</v>
      </c>
    </row>
    <row r="2691" spans="1:4" x14ac:dyDescent="0.2">
      <c r="A2691" s="12" t="s">
        <v>4022</v>
      </c>
      <c r="B2691" s="12" t="s">
        <v>4021</v>
      </c>
      <c r="C2691" s="12" t="s">
        <v>59</v>
      </c>
      <c r="D2691" s="12" t="s">
        <v>59</v>
      </c>
    </row>
    <row r="2692" spans="1:4" x14ac:dyDescent="0.2">
      <c r="A2692" s="12" t="s">
        <v>4023</v>
      </c>
      <c r="B2692" s="12" t="s">
        <v>4021</v>
      </c>
      <c r="C2692" s="12">
        <v>1000</v>
      </c>
      <c r="D2692" s="12">
        <v>100</v>
      </c>
    </row>
    <row r="2693" spans="1:4" x14ac:dyDescent="0.2">
      <c r="A2693" s="12" t="s">
        <v>8577</v>
      </c>
      <c r="B2693" s="12" t="s">
        <v>8576</v>
      </c>
      <c r="C2693" s="12">
        <v>2</v>
      </c>
      <c r="D2693" s="12">
        <v>0.2</v>
      </c>
    </row>
    <row r="2694" spans="1:4" x14ac:dyDescent="0.2">
      <c r="A2694" s="12" t="s">
        <v>6280</v>
      </c>
      <c r="B2694" s="12" t="s">
        <v>6279</v>
      </c>
      <c r="C2694" s="12">
        <v>220</v>
      </c>
      <c r="D2694" s="12">
        <v>22</v>
      </c>
    </row>
    <row r="2695" spans="1:4" x14ac:dyDescent="0.2">
      <c r="A2695" s="12" t="s">
        <v>11702</v>
      </c>
      <c r="B2695" s="12" t="s">
        <v>11701</v>
      </c>
      <c r="C2695" s="12">
        <v>50</v>
      </c>
      <c r="D2695" s="12">
        <v>5</v>
      </c>
    </row>
    <row r="2696" spans="1:4" x14ac:dyDescent="0.2">
      <c r="A2696" s="12" t="s">
        <v>9534</v>
      </c>
      <c r="B2696" s="12" t="s">
        <v>9533</v>
      </c>
      <c r="C2696" s="12">
        <v>89</v>
      </c>
      <c r="D2696" s="12">
        <v>8.9</v>
      </c>
    </row>
    <row r="2697" spans="1:4" x14ac:dyDescent="0.2">
      <c r="A2697" s="12" t="s">
        <v>10077</v>
      </c>
      <c r="B2697" s="12" t="s">
        <v>10076</v>
      </c>
      <c r="C2697" s="12">
        <v>40</v>
      </c>
      <c r="D2697" s="12">
        <v>4</v>
      </c>
    </row>
    <row r="2698" spans="1:4" x14ac:dyDescent="0.2">
      <c r="A2698" s="12" t="s">
        <v>570</v>
      </c>
      <c r="B2698" s="12" t="s">
        <v>569</v>
      </c>
      <c r="C2698" s="12">
        <v>1000</v>
      </c>
      <c r="D2698" s="12">
        <v>100</v>
      </c>
    </row>
    <row r="2699" spans="1:4" x14ac:dyDescent="0.2">
      <c r="A2699" s="12" t="s">
        <v>12140</v>
      </c>
      <c r="B2699" s="12" t="s">
        <v>12139</v>
      </c>
      <c r="C2699" s="12">
        <v>10</v>
      </c>
      <c r="D2699" s="12">
        <v>1</v>
      </c>
    </row>
    <row r="2700" spans="1:4" x14ac:dyDescent="0.2">
      <c r="A2700" s="12" t="s">
        <v>7877</v>
      </c>
      <c r="B2700" s="12" t="s">
        <v>7876</v>
      </c>
      <c r="C2700" s="12">
        <v>640</v>
      </c>
      <c r="D2700" s="12">
        <v>64</v>
      </c>
    </row>
    <row r="2701" spans="1:4" x14ac:dyDescent="0.2">
      <c r="A2701" s="12" t="s">
        <v>6395</v>
      </c>
      <c r="B2701" s="12" t="s">
        <v>6394</v>
      </c>
      <c r="C2701" s="12" t="s">
        <v>59</v>
      </c>
      <c r="D2701" s="12" t="s">
        <v>59</v>
      </c>
    </row>
    <row r="2702" spans="1:4" x14ac:dyDescent="0.2">
      <c r="A2702" s="12" t="s">
        <v>8133</v>
      </c>
      <c r="B2702" s="12" t="s">
        <v>8132</v>
      </c>
      <c r="C2702" s="12">
        <v>40</v>
      </c>
      <c r="D2702" s="12">
        <v>4</v>
      </c>
    </row>
    <row r="2703" spans="1:4" x14ac:dyDescent="0.2">
      <c r="A2703" s="12" t="s">
        <v>437</v>
      </c>
      <c r="B2703" s="12" t="s">
        <v>436</v>
      </c>
      <c r="C2703" s="12">
        <v>3500</v>
      </c>
      <c r="D2703" s="12">
        <v>350</v>
      </c>
    </row>
    <row r="2704" spans="1:4" x14ac:dyDescent="0.2">
      <c r="A2704" s="12" t="s">
        <v>3964</v>
      </c>
      <c r="B2704" s="12" t="s">
        <v>3963</v>
      </c>
      <c r="C2704" s="12">
        <v>35</v>
      </c>
      <c r="D2704" s="12">
        <v>3.5</v>
      </c>
    </row>
    <row r="2705" spans="1:4" x14ac:dyDescent="0.2">
      <c r="A2705" s="12" t="s">
        <v>9119</v>
      </c>
      <c r="B2705" s="12" t="s">
        <v>9118</v>
      </c>
      <c r="C2705" s="12">
        <v>530</v>
      </c>
      <c r="D2705" s="12">
        <v>53</v>
      </c>
    </row>
    <row r="2706" spans="1:4" x14ac:dyDescent="0.2">
      <c r="A2706" s="12" t="s">
        <v>2675</v>
      </c>
      <c r="B2706" s="12" t="s">
        <v>2674</v>
      </c>
      <c r="C2706" s="12">
        <v>80</v>
      </c>
      <c r="D2706" s="12">
        <v>8</v>
      </c>
    </row>
    <row r="2707" spans="1:4" x14ac:dyDescent="0.2">
      <c r="A2707" s="12" t="s">
        <v>11912</v>
      </c>
      <c r="B2707" s="12" t="s">
        <v>11911</v>
      </c>
      <c r="C2707" s="12">
        <v>20</v>
      </c>
      <c r="D2707" s="12">
        <v>2</v>
      </c>
    </row>
    <row r="2708" spans="1:4" x14ac:dyDescent="0.2">
      <c r="A2708" s="12" t="s">
        <v>11913</v>
      </c>
      <c r="B2708" s="12" t="s">
        <v>11911</v>
      </c>
      <c r="C2708" s="12">
        <v>250</v>
      </c>
      <c r="D2708" s="12">
        <v>25</v>
      </c>
    </row>
    <row r="2709" spans="1:4" x14ac:dyDescent="0.2">
      <c r="A2709" s="12" t="s">
        <v>2156</v>
      </c>
      <c r="B2709" s="12" t="s">
        <v>2155</v>
      </c>
      <c r="C2709" s="12">
        <v>200</v>
      </c>
      <c r="D2709" s="12">
        <v>20</v>
      </c>
    </row>
    <row r="2710" spans="1:4" x14ac:dyDescent="0.2">
      <c r="A2710" s="12" t="s">
        <v>2706</v>
      </c>
      <c r="B2710" s="12" t="s">
        <v>2705</v>
      </c>
      <c r="C2710" s="12">
        <v>200</v>
      </c>
      <c r="D2710" s="12">
        <v>20</v>
      </c>
    </row>
    <row r="2711" spans="1:4" x14ac:dyDescent="0.2">
      <c r="A2711" s="12" t="s">
        <v>8759</v>
      </c>
      <c r="B2711" s="12" t="s">
        <v>8758</v>
      </c>
      <c r="C2711" s="12" t="s">
        <v>59</v>
      </c>
      <c r="D2711" s="12" t="s">
        <v>59</v>
      </c>
    </row>
    <row r="2712" spans="1:4" x14ac:dyDescent="0.2">
      <c r="A2712" s="12" t="s">
        <v>8885</v>
      </c>
      <c r="B2712" s="12" t="s">
        <v>8884</v>
      </c>
      <c r="C2712" s="12">
        <v>42</v>
      </c>
      <c r="D2712" s="12">
        <v>4.2</v>
      </c>
    </row>
    <row r="2713" spans="1:4" x14ac:dyDescent="0.2">
      <c r="A2713" s="12" t="s">
        <v>11714</v>
      </c>
      <c r="B2713" s="12" t="s">
        <v>11713</v>
      </c>
      <c r="C2713" s="12">
        <v>30</v>
      </c>
      <c r="D2713" s="12">
        <v>3</v>
      </c>
    </row>
    <row r="2714" spans="1:4" x14ac:dyDescent="0.2">
      <c r="A2714" s="12" t="s">
        <v>5730</v>
      </c>
      <c r="B2714" s="12" t="s">
        <v>5729</v>
      </c>
      <c r="C2714" s="12">
        <v>0.1</v>
      </c>
      <c r="D2714" s="12">
        <v>0.01</v>
      </c>
    </row>
    <row r="2715" spans="1:4" x14ac:dyDescent="0.2">
      <c r="A2715" s="12" t="s">
        <v>781</v>
      </c>
      <c r="B2715" s="12" t="s">
        <v>780</v>
      </c>
      <c r="C2715" s="12">
        <v>100</v>
      </c>
      <c r="D2715" s="12">
        <v>10</v>
      </c>
    </row>
    <row r="2716" spans="1:4" x14ac:dyDescent="0.2">
      <c r="A2716" s="12" t="s">
        <v>12552</v>
      </c>
      <c r="B2716" s="12" t="s">
        <v>5626</v>
      </c>
      <c r="C2716" s="12"/>
      <c r="D2716" s="12">
        <v>90</v>
      </c>
    </row>
    <row r="2717" spans="1:4" x14ac:dyDescent="0.2">
      <c r="A2717" s="12" t="s">
        <v>5627</v>
      </c>
      <c r="B2717" s="12" t="s">
        <v>5626</v>
      </c>
      <c r="C2717" s="12" t="s">
        <v>59</v>
      </c>
      <c r="D2717" s="12" t="s">
        <v>59</v>
      </c>
    </row>
    <row r="2718" spans="1:4" x14ac:dyDescent="0.2">
      <c r="A2718" s="12" t="s">
        <v>5628</v>
      </c>
      <c r="B2718" s="12" t="s">
        <v>5626</v>
      </c>
      <c r="C2718" s="12">
        <v>14</v>
      </c>
      <c r="D2718" s="12"/>
    </row>
    <row r="2719" spans="1:4" x14ac:dyDescent="0.2">
      <c r="A2719" s="12" t="s">
        <v>5732</v>
      </c>
      <c r="B2719" s="12" t="s">
        <v>5731</v>
      </c>
      <c r="C2719" s="12">
        <v>3.4</v>
      </c>
      <c r="D2719" s="12">
        <v>0.34</v>
      </c>
    </row>
    <row r="2720" spans="1:4" x14ac:dyDescent="0.2">
      <c r="A2720" s="12" t="s">
        <v>9766</v>
      </c>
      <c r="B2720" s="12" t="s">
        <v>9765</v>
      </c>
      <c r="C2720" s="12">
        <v>0.05</v>
      </c>
      <c r="D2720" s="12">
        <v>5.0000000000000001E-3</v>
      </c>
    </row>
    <row r="2721" spans="1:4" x14ac:dyDescent="0.2">
      <c r="A2721" s="12" t="s">
        <v>6029</v>
      </c>
      <c r="B2721" s="12" t="s">
        <v>6028</v>
      </c>
      <c r="C2721" s="12">
        <v>4300</v>
      </c>
      <c r="D2721" s="12">
        <v>430</v>
      </c>
    </row>
    <row r="2722" spans="1:4" x14ac:dyDescent="0.2">
      <c r="A2722" s="12" t="s">
        <v>2604</v>
      </c>
      <c r="B2722" s="12" t="s">
        <v>2603</v>
      </c>
      <c r="C2722" s="12">
        <v>46</v>
      </c>
      <c r="D2722" s="12">
        <v>4.5999999999999996</v>
      </c>
    </row>
    <row r="2723" spans="1:4" x14ac:dyDescent="0.2">
      <c r="A2723" s="12" t="s">
        <v>2239</v>
      </c>
      <c r="B2723" s="12" t="s">
        <v>2238</v>
      </c>
      <c r="C2723" s="12">
        <v>1400</v>
      </c>
      <c r="D2723" s="12">
        <v>140</v>
      </c>
    </row>
    <row r="2724" spans="1:4" x14ac:dyDescent="0.2">
      <c r="A2724" s="12" t="s">
        <v>12319</v>
      </c>
      <c r="B2724" s="12" t="s">
        <v>12318</v>
      </c>
      <c r="C2724" s="12" t="s">
        <v>59</v>
      </c>
      <c r="D2724" s="12" t="s">
        <v>59</v>
      </c>
    </row>
    <row r="2725" spans="1:4" x14ac:dyDescent="0.2">
      <c r="A2725" s="12" t="s">
        <v>12320</v>
      </c>
      <c r="B2725" s="12" t="s">
        <v>12318</v>
      </c>
      <c r="C2725" s="12">
        <v>500</v>
      </c>
      <c r="D2725" s="12">
        <v>50</v>
      </c>
    </row>
    <row r="2726" spans="1:4" x14ac:dyDescent="0.2">
      <c r="A2726" s="12" t="s">
        <v>11506</v>
      </c>
      <c r="B2726" s="12" t="s">
        <v>11505</v>
      </c>
      <c r="C2726" s="12">
        <v>10</v>
      </c>
      <c r="D2726" s="12">
        <v>1</v>
      </c>
    </row>
    <row r="2727" spans="1:4" x14ac:dyDescent="0.2">
      <c r="A2727" s="12" t="s">
        <v>1573</v>
      </c>
      <c r="B2727" s="12" t="s">
        <v>1572</v>
      </c>
      <c r="C2727" s="12">
        <v>10000</v>
      </c>
      <c r="D2727" s="12">
        <v>1000</v>
      </c>
    </row>
    <row r="2728" spans="1:4" x14ac:dyDescent="0.2">
      <c r="A2728" s="12" t="s">
        <v>216</v>
      </c>
      <c r="B2728" s="12" t="s">
        <v>215</v>
      </c>
      <c r="C2728" s="12">
        <v>1000</v>
      </c>
      <c r="D2728" s="12">
        <v>100</v>
      </c>
    </row>
    <row r="2729" spans="1:4" x14ac:dyDescent="0.2">
      <c r="A2729" s="12" t="s">
        <v>4391</v>
      </c>
      <c r="B2729" s="12" t="s">
        <v>4390</v>
      </c>
      <c r="C2729" s="12">
        <v>3</v>
      </c>
      <c r="D2729" s="12">
        <v>0.3</v>
      </c>
    </row>
    <row r="2730" spans="1:4" x14ac:dyDescent="0.2">
      <c r="A2730" s="12" t="s">
        <v>1593</v>
      </c>
      <c r="B2730" s="12" t="s">
        <v>1592</v>
      </c>
      <c r="C2730" s="12">
        <v>200</v>
      </c>
      <c r="D2730" s="12">
        <v>20</v>
      </c>
    </row>
    <row r="2731" spans="1:4" x14ac:dyDescent="0.2">
      <c r="A2731" s="12" t="s">
        <v>8796</v>
      </c>
      <c r="B2731" s="12" t="s">
        <v>8795</v>
      </c>
      <c r="C2731" s="12" t="s">
        <v>59</v>
      </c>
      <c r="D2731" s="12" t="s">
        <v>59</v>
      </c>
    </row>
    <row r="2732" spans="1:4" x14ac:dyDescent="0.2">
      <c r="A2732" s="12" t="s">
        <v>8557</v>
      </c>
      <c r="B2732" s="12" t="s">
        <v>8556</v>
      </c>
      <c r="C2732" s="12">
        <v>270</v>
      </c>
      <c r="D2732" s="12">
        <v>5.4</v>
      </c>
    </row>
    <row r="2733" spans="1:4" x14ac:dyDescent="0.2">
      <c r="A2733" s="12" t="s">
        <v>3321</v>
      </c>
      <c r="B2733" s="12" t="s">
        <v>3320</v>
      </c>
      <c r="C2733" s="12">
        <v>0.05</v>
      </c>
      <c r="D2733" s="12">
        <v>5.0000000000000001E-3</v>
      </c>
    </row>
    <row r="2734" spans="1:4" x14ac:dyDescent="0.2">
      <c r="A2734" s="12" t="s">
        <v>6609</v>
      </c>
      <c r="B2734" s="12" t="s">
        <v>6608</v>
      </c>
      <c r="C2734" s="12">
        <v>20</v>
      </c>
      <c r="D2734" s="12">
        <v>2</v>
      </c>
    </row>
    <row r="2735" spans="1:4" x14ac:dyDescent="0.2">
      <c r="A2735" s="12" t="s">
        <v>1682</v>
      </c>
      <c r="B2735" s="12" t="s">
        <v>1681</v>
      </c>
      <c r="C2735" s="12">
        <v>1</v>
      </c>
      <c r="D2735" s="12">
        <v>0.1</v>
      </c>
    </row>
    <row r="2736" spans="1:4" x14ac:dyDescent="0.2">
      <c r="A2736" s="12" t="s">
        <v>11532</v>
      </c>
      <c r="B2736" s="12" t="s">
        <v>11531</v>
      </c>
      <c r="C2736" s="12">
        <v>100</v>
      </c>
      <c r="D2736" s="12">
        <v>10</v>
      </c>
    </row>
    <row r="2737" spans="1:4" x14ac:dyDescent="0.2">
      <c r="A2737" s="12" t="s">
        <v>3436</v>
      </c>
      <c r="B2737" s="12" t="s">
        <v>3435</v>
      </c>
      <c r="C2737" s="12">
        <v>220</v>
      </c>
      <c r="D2737" s="12">
        <v>22</v>
      </c>
    </row>
    <row r="2738" spans="1:4" x14ac:dyDescent="0.2">
      <c r="A2738" s="12" t="s">
        <v>1011</v>
      </c>
      <c r="B2738" s="12" t="s">
        <v>1010</v>
      </c>
      <c r="C2738" s="12">
        <v>150</v>
      </c>
      <c r="D2738" s="12">
        <v>15</v>
      </c>
    </row>
    <row r="2739" spans="1:4" x14ac:dyDescent="0.2">
      <c r="A2739" s="12" t="s">
        <v>226</v>
      </c>
      <c r="B2739" s="12" t="s">
        <v>225</v>
      </c>
      <c r="C2739" s="12" t="s">
        <v>59</v>
      </c>
      <c r="D2739" s="12" t="s">
        <v>59</v>
      </c>
    </row>
    <row r="2740" spans="1:4" x14ac:dyDescent="0.2">
      <c r="A2740" s="12" t="s">
        <v>2160</v>
      </c>
      <c r="B2740" s="12" t="s">
        <v>2159</v>
      </c>
      <c r="C2740" s="12">
        <v>140</v>
      </c>
      <c r="D2740" s="12">
        <v>14</v>
      </c>
    </row>
    <row r="2741" spans="1:4" x14ac:dyDescent="0.2">
      <c r="A2741" s="12" t="s">
        <v>7897</v>
      </c>
      <c r="B2741" s="12" t="s">
        <v>7896</v>
      </c>
      <c r="C2741" s="12">
        <v>360</v>
      </c>
      <c r="D2741" s="12">
        <v>13</v>
      </c>
    </row>
    <row r="2742" spans="1:4" x14ac:dyDescent="0.2">
      <c r="A2742" s="12" t="s">
        <v>3841</v>
      </c>
      <c r="B2742" s="12" t="s">
        <v>3840</v>
      </c>
      <c r="C2742" s="12">
        <v>1000</v>
      </c>
      <c r="D2742" s="12">
        <v>100</v>
      </c>
    </row>
    <row r="2743" spans="1:4" x14ac:dyDescent="0.2">
      <c r="A2743" s="12" t="s">
        <v>5098</v>
      </c>
      <c r="B2743" s="12" t="s">
        <v>5097</v>
      </c>
      <c r="C2743" s="12">
        <v>4400</v>
      </c>
      <c r="D2743" s="12">
        <v>440</v>
      </c>
    </row>
    <row r="2744" spans="1:4" x14ac:dyDescent="0.2">
      <c r="A2744" s="12" t="s">
        <v>11596</v>
      </c>
      <c r="B2744" s="12" t="s">
        <v>11595</v>
      </c>
      <c r="C2744" s="12">
        <v>500</v>
      </c>
      <c r="D2744" s="12">
        <v>50</v>
      </c>
    </row>
    <row r="2745" spans="1:4" x14ac:dyDescent="0.2">
      <c r="A2745" s="12" t="s">
        <v>253</v>
      </c>
      <c r="B2745" s="12" t="s">
        <v>252</v>
      </c>
      <c r="C2745" s="12">
        <v>420</v>
      </c>
      <c r="D2745" s="12">
        <v>42</v>
      </c>
    </row>
    <row r="2746" spans="1:4" x14ac:dyDescent="0.2">
      <c r="A2746" s="12" t="s">
        <v>8003</v>
      </c>
      <c r="B2746" s="12" t="s">
        <v>8002</v>
      </c>
      <c r="C2746" s="12">
        <v>1500</v>
      </c>
      <c r="D2746" s="12">
        <v>150</v>
      </c>
    </row>
    <row r="2747" spans="1:4" x14ac:dyDescent="0.2">
      <c r="A2747" s="12" t="s">
        <v>7846</v>
      </c>
      <c r="B2747" s="12" t="s">
        <v>7845</v>
      </c>
      <c r="C2747" s="12">
        <v>3500</v>
      </c>
      <c r="D2747" s="12">
        <v>350</v>
      </c>
    </row>
    <row r="2748" spans="1:4" x14ac:dyDescent="0.2">
      <c r="A2748" s="12" t="s">
        <v>9848</v>
      </c>
      <c r="B2748" s="12" t="s">
        <v>9847</v>
      </c>
      <c r="C2748" s="12" t="s">
        <v>59</v>
      </c>
      <c r="D2748" s="12" t="s">
        <v>59</v>
      </c>
    </row>
    <row r="2749" spans="1:4" x14ac:dyDescent="0.2">
      <c r="A2749" s="12" t="s">
        <v>9246</v>
      </c>
      <c r="B2749" s="12" t="s">
        <v>9245</v>
      </c>
      <c r="C2749" s="12" t="s">
        <v>59</v>
      </c>
      <c r="D2749" s="12" t="s">
        <v>59</v>
      </c>
    </row>
    <row r="2750" spans="1:4" x14ac:dyDescent="0.2">
      <c r="A2750" s="12" t="s">
        <v>996</v>
      </c>
      <c r="B2750" s="12" t="s">
        <v>995</v>
      </c>
      <c r="C2750" s="12">
        <v>5700</v>
      </c>
      <c r="D2750" s="12">
        <v>570</v>
      </c>
    </row>
    <row r="2751" spans="1:4" x14ac:dyDescent="0.2">
      <c r="A2751" s="12" t="s">
        <v>997</v>
      </c>
      <c r="B2751" s="12" t="s">
        <v>995</v>
      </c>
      <c r="C2751" s="12" t="s">
        <v>59</v>
      </c>
      <c r="D2751" s="12" t="s">
        <v>59</v>
      </c>
    </row>
    <row r="2752" spans="1:4" x14ac:dyDescent="0.2">
      <c r="A2752" s="12" t="s">
        <v>1153</v>
      </c>
      <c r="B2752" s="12" t="s">
        <v>1152</v>
      </c>
      <c r="C2752" s="12">
        <v>16400</v>
      </c>
      <c r="D2752" s="12">
        <v>1640</v>
      </c>
    </row>
    <row r="2753" spans="1:4" x14ac:dyDescent="0.2">
      <c r="A2753" s="12" t="s">
        <v>5911</v>
      </c>
      <c r="B2753" s="12" t="s">
        <v>5910</v>
      </c>
      <c r="C2753" s="12">
        <v>150</v>
      </c>
      <c r="D2753" s="12">
        <v>15</v>
      </c>
    </row>
    <row r="2754" spans="1:4" x14ac:dyDescent="0.2">
      <c r="A2754" s="12" t="s">
        <v>8275</v>
      </c>
      <c r="B2754" s="12" t="s">
        <v>8274</v>
      </c>
      <c r="C2754" s="12" t="s">
        <v>59</v>
      </c>
      <c r="D2754" s="12" t="s">
        <v>59</v>
      </c>
    </row>
    <row r="2755" spans="1:4" x14ac:dyDescent="0.2">
      <c r="A2755" s="12" t="s">
        <v>6284</v>
      </c>
      <c r="B2755" s="12" t="s">
        <v>6283</v>
      </c>
      <c r="C2755" s="12">
        <v>3100</v>
      </c>
      <c r="D2755" s="12">
        <v>310</v>
      </c>
    </row>
    <row r="2756" spans="1:4" x14ac:dyDescent="0.2">
      <c r="A2756" s="12" t="s">
        <v>1067</v>
      </c>
      <c r="B2756" s="12" t="s">
        <v>1066</v>
      </c>
      <c r="C2756" s="12" t="s">
        <v>59</v>
      </c>
      <c r="D2756" s="12" t="s">
        <v>59</v>
      </c>
    </row>
    <row r="2757" spans="1:4" x14ac:dyDescent="0.2">
      <c r="A2757" s="12" t="s">
        <v>9508</v>
      </c>
      <c r="B2757" s="12" t="s">
        <v>9507</v>
      </c>
      <c r="C2757" s="12" t="s">
        <v>59</v>
      </c>
      <c r="D2757" s="12" t="s">
        <v>59</v>
      </c>
    </row>
    <row r="2758" spans="1:4" x14ac:dyDescent="0.2">
      <c r="A2758" s="12" t="s">
        <v>11042</v>
      </c>
      <c r="B2758" s="12" t="s">
        <v>11041</v>
      </c>
      <c r="C2758" s="12">
        <v>4.4000000000000004</v>
      </c>
      <c r="D2758" s="12">
        <v>10</v>
      </c>
    </row>
    <row r="2759" spans="1:4" x14ac:dyDescent="0.2">
      <c r="A2759" s="12" t="s">
        <v>202</v>
      </c>
      <c r="B2759" s="12" t="s">
        <v>201</v>
      </c>
      <c r="C2759" s="12">
        <v>50</v>
      </c>
      <c r="D2759" s="12">
        <v>5</v>
      </c>
    </row>
    <row r="2760" spans="1:4" x14ac:dyDescent="0.2">
      <c r="A2760" s="12" t="s">
        <v>6703</v>
      </c>
      <c r="B2760" s="12" t="s">
        <v>6702</v>
      </c>
      <c r="C2760" s="12">
        <v>50</v>
      </c>
      <c r="D2760" s="12">
        <v>5</v>
      </c>
    </row>
    <row r="2761" spans="1:4" x14ac:dyDescent="0.2">
      <c r="A2761" s="12" t="s">
        <v>11133</v>
      </c>
      <c r="B2761" s="12" t="s">
        <v>11132</v>
      </c>
      <c r="C2761" s="12">
        <v>3030</v>
      </c>
      <c r="D2761" s="12">
        <v>303</v>
      </c>
    </row>
    <row r="2762" spans="1:4" x14ac:dyDescent="0.2">
      <c r="A2762" s="12" t="s">
        <v>12414</v>
      </c>
      <c r="B2762" s="12" t="s">
        <v>12413</v>
      </c>
      <c r="C2762" s="12">
        <v>20</v>
      </c>
      <c r="D2762" s="12">
        <v>2</v>
      </c>
    </row>
    <row r="2763" spans="1:4" x14ac:dyDescent="0.2">
      <c r="A2763" s="12" t="s">
        <v>3147</v>
      </c>
      <c r="B2763" s="12" t="s">
        <v>3146</v>
      </c>
      <c r="C2763" s="12">
        <v>250</v>
      </c>
      <c r="D2763" s="12">
        <v>25</v>
      </c>
    </row>
    <row r="2764" spans="1:4" x14ac:dyDescent="0.2">
      <c r="A2764" s="12" t="s">
        <v>1398</v>
      </c>
      <c r="B2764" s="12" t="s">
        <v>1397</v>
      </c>
      <c r="C2764" s="12" t="s">
        <v>59</v>
      </c>
      <c r="D2764" s="12" t="s">
        <v>59</v>
      </c>
    </row>
    <row r="2765" spans="1:4" x14ac:dyDescent="0.2">
      <c r="A2765" s="12" t="s">
        <v>1399</v>
      </c>
      <c r="B2765" s="12" t="s">
        <v>1397</v>
      </c>
      <c r="C2765" s="12">
        <v>500</v>
      </c>
      <c r="D2765" s="12">
        <v>50</v>
      </c>
    </row>
    <row r="2766" spans="1:4" x14ac:dyDescent="0.2">
      <c r="A2766" s="12" t="s">
        <v>340</v>
      </c>
      <c r="B2766" s="12" t="s">
        <v>339</v>
      </c>
      <c r="C2766" s="12">
        <v>24</v>
      </c>
      <c r="D2766" s="12">
        <v>2.4</v>
      </c>
    </row>
    <row r="2767" spans="1:4" x14ac:dyDescent="0.2">
      <c r="A2767" s="12" t="s">
        <v>4926</v>
      </c>
      <c r="B2767" s="12" t="s">
        <v>4925</v>
      </c>
      <c r="C2767" s="12">
        <v>100</v>
      </c>
      <c r="D2767" s="12">
        <v>10</v>
      </c>
    </row>
    <row r="2768" spans="1:4" x14ac:dyDescent="0.2">
      <c r="A2768" s="12" t="s">
        <v>3482</v>
      </c>
      <c r="B2768" s="12" t="s">
        <v>3481</v>
      </c>
      <c r="C2768" s="12" t="s">
        <v>59</v>
      </c>
      <c r="D2768" s="12" t="s">
        <v>59</v>
      </c>
    </row>
    <row r="2769" spans="1:4" x14ac:dyDescent="0.2">
      <c r="A2769" s="12" t="s">
        <v>4686</v>
      </c>
      <c r="B2769" s="12" t="s">
        <v>4685</v>
      </c>
      <c r="C2769" s="12" t="s">
        <v>59</v>
      </c>
      <c r="D2769" s="12" t="s">
        <v>59</v>
      </c>
    </row>
    <row r="2770" spans="1:4" x14ac:dyDescent="0.2">
      <c r="A2770" s="12" t="s">
        <v>1409</v>
      </c>
      <c r="B2770" s="12" t="s">
        <v>1408</v>
      </c>
      <c r="C2770" s="12">
        <v>4800</v>
      </c>
      <c r="D2770" s="12">
        <v>450</v>
      </c>
    </row>
    <row r="2771" spans="1:4" x14ac:dyDescent="0.2">
      <c r="A2771" s="12" t="s">
        <v>9700</v>
      </c>
      <c r="B2771" s="12" t="s">
        <v>9699</v>
      </c>
      <c r="C2771" s="12">
        <v>10</v>
      </c>
      <c r="D2771" s="12">
        <v>1</v>
      </c>
    </row>
    <row r="2772" spans="1:4" x14ac:dyDescent="0.2">
      <c r="A2772" s="12" t="s">
        <v>247</v>
      </c>
      <c r="B2772" s="12" t="s">
        <v>246</v>
      </c>
      <c r="C2772" s="12">
        <v>600</v>
      </c>
      <c r="D2772" s="12">
        <v>60</v>
      </c>
    </row>
    <row r="2773" spans="1:4" x14ac:dyDescent="0.2">
      <c r="A2773" s="12" t="s">
        <v>5909</v>
      </c>
      <c r="B2773" s="12" t="s">
        <v>5908</v>
      </c>
      <c r="C2773" s="12">
        <v>22</v>
      </c>
      <c r="D2773" s="12">
        <v>14</v>
      </c>
    </row>
    <row r="2774" spans="1:4" x14ac:dyDescent="0.2">
      <c r="A2774" s="12" t="s">
        <v>7178</v>
      </c>
      <c r="B2774" s="12" t="s">
        <v>7177</v>
      </c>
      <c r="C2774" s="12">
        <v>10000</v>
      </c>
      <c r="D2774" s="12">
        <v>1000</v>
      </c>
    </row>
    <row r="2775" spans="1:4" x14ac:dyDescent="0.2">
      <c r="A2775" s="12" t="s">
        <v>12547</v>
      </c>
      <c r="B2775" s="12" t="s">
        <v>4957</v>
      </c>
      <c r="C2775" s="12"/>
      <c r="D2775" s="12">
        <v>0.71</v>
      </c>
    </row>
    <row r="2776" spans="1:4" x14ac:dyDescent="0.2">
      <c r="A2776" s="12" t="s">
        <v>12546</v>
      </c>
      <c r="B2776" s="12" t="s">
        <v>4956</v>
      </c>
      <c r="C2776" s="12">
        <v>2.8</v>
      </c>
      <c r="D2776" s="12">
        <v>0.56999999999999995</v>
      </c>
    </row>
    <row r="2777" spans="1:4" x14ac:dyDescent="0.2">
      <c r="A2777" s="12" t="s">
        <v>4955</v>
      </c>
      <c r="B2777" s="12" t="s">
        <v>4954</v>
      </c>
      <c r="C2777" s="12">
        <v>17</v>
      </c>
      <c r="D2777" s="12">
        <v>8.1</v>
      </c>
    </row>
    <row r="2778" spans="1:4" x14ac:dyDescent="0.2">
      <c r="A2778" s="12" t="s">
        <v>4654</v>
      </c>
      <c r="B2778" s="12" t="s">
        <v>4653</v>
      </c>
      <c r="C2778" s="12" t="s">
        <v>59</v>
      </c>
      <c r="D2778" s="12" t="s">
        <v>59</v>
      </c>
    </row>
    <row r="2779" spans="1:4" x14ac:dyDescent="0.2">
      <c r="A2779" s="12" t="s">
        <v>11427</v>
      </c>
      <c r="B2779" s="12" t="s">
        <v>11426</v>
      </c>
      <c r="C2779" s="12">
        <v>10</v>
      </c>
      <c r="D2779" s="12">
        <v>1</v>
      </c>
    </row>
    <row r="2780" spans="1:4" x14ac:dyDescent="0.2">
      <c r="A2780" s="12" t="s">
        <v>564</v>
      </c>
      <c r="B2780" s="12" t="s">
        <v>563</v>
      </c>
      <c r="C2780" s="12">
        <v>10000</v>
      </c>
      <c r="D2780" s="12">
        <v>1000</v>
      </c>
    </row>
    <row r="2781" spans="1:4" x14ac:dyDescent="0.2">
      <c r="A2781" s="12" t="s">
        <v>278</v>
      </c>
      <c r="B2781" s="12" t="s">
        <v>277</v>
      </c>
      <c r="C2781" s="12">
        <v>50000</v>
      </c>
      <c r="D2781" s="12">
        <v>5000</v>
      </c>
    </row>
    <row r="2782" spans="1:4" x14ac:dyDescent="0.2">
      <c r="A2782" s="12" t="s">
        <v>275</v>
      </c>
      <c r="B2782" s="12" t="s">
        <v>274</v>
      </c>
      <c r="C2782" s="12">
        <v>400</v>
      </c>
      <c r="D2782" s="12">
        <v>40</v>
      </c>
    </row>
    <row r="2783" spans="1:4" x14ac:dyDescent="0.2">
      <c r="A2783" s="12" t="s">
        <v>276</v>
      </c>
      <c r="B2783" s="12" t="s">
        <v>274</v>
      </c>
      <c r="C2783" s="12" t="s">
        <v>59</v>
      </c>
      <c r="D2783" s="12" t="s">
        <v>59</v>
      </c>
    </row>
    <row r="2784" spans="1:4" x14ac:dyDescent="0.2">
      <c r="A2784" s="12" t="s">
        <v>312</v>
      </c>
      <c r="B2784" s="12" t="s">
        <v>311</v>
      </c>
      <c r="C2784" s="12">
        <v>10000</v>
      </c>
      <c r="D2784" s="12">
        <v>1000</v>
      </c>
    </row>
    <row r="2785" spans="1:4" x14ac:dyDescent="0.2">
      <c r="A2785" s="12" t="s">
        <v>2154</v>
      </c>
      <c r="B2785" s="12" t="s">
        <v>2153</v>
      </c>
      <c r="C2785" s="12">
        <v>140</v>
      </c>
      <c r="D2785" s="12">
        <v>14</v>
      </c>
    </row>
    <row r="2786" spans="1:4" x14ac:dyDescent="0.2">
      <c r="A2786" s="12" t="s">
        <v>5617</v>
      </c>
      <c r="B2786" s="12" t="s">
        <v>5616</v>
      </c>
      <c r="C2786" s="12">
        <v>10000</v>
      </c>
      <c r="D2786" s="12">
        <v>1000</v>
      </c>
    </row>
    <row r="2787" spans="1:4" x14ac:dyDescent="0.2">
      <c r="A2787" s="12" t="s">
        <v>11984</v>
      </c>
      <c r="B2787" s="12" t="s">
        <v>11983</v>
      </c>
      <c r="C2787" s="12">
        <v>10000</v>
      </c>
      <c r="D2787" s="12">
        <v>1000</v>
      </c>
    </row>
    <row r="2788" spans="1:4" x14ac:dyDescent="0.2">
      <c r="A2788" s="12" t="s">
        <v>792</v>
      </c>
      <c r="B2788" s="12" t="s">
        <v>791</v>
      </c>
      <c r="C2788" s="12" t="s">
        <v>59</v>
      </c>
      <c r="D2788" s="12" t="s">
        <v>59</v>
      </c>
    </row>
    <row r="2789" spans="1:4" x14ac:dyDescent="0.2">
      <c r="A2789" s="12" t="s">
        <v>11635</v>
      </c>
      <c r="B2789" s="12" t="s">
        <v>11634</v>
      </c>
      <c r="C2789" s="12">
        <v>10000</v>
      </c>
      <c r="D2789" s="12">
        <v>1000</v>
      </c>
    </row>
    <row r="2790" spans="1:4" x14ac:dyDescent="0.2">
      <c r="A2790" s="12" t="s">
        <v>307</v>
      </c>
      <c r="B2790" s="12" t="s">
        <v>306</v>
      </c>
      <c r="C2790" s="12" t="s">
        <v>59</v>
      </c>
      <c r="D2790" s="12" t="s">
        <v>59</v>
      </c>
    </row>
    <row r="2791" spans="1:4" x14ac:dyDescent="0.2">
      <c r="A2791" s="12" t="s">
        <v>308</v>
      </c>
      <c r="B2791" s="12" t="s">
        <v>306</v>
      </c>
      <c r="C2791" s="12">
        <v>1000</v>
      </c>
      <c r="D2791" s="12">
        <v>100</v>
      </c>
    </row>
    <row r="2792" spans="1:4" x14ac:dyDescent="0.2">
      <c r="A2792" s="12" t="s">
        <v>4730</v>
      </c>
      <c r="B2792" s="12" t="s">
        <v>4729</v>
      </c>
      <c r="C2792" s="12" t="s">
        <v>59</v>
      </c>
      <c r="D2792" s="12" t="s">
        <v>59</v>
      </c>
    </row>
    <row r="2793" spans="1:4" x14ac:dyDescent="0.2">
      <c r="A2793" s="12" t="s">
        <v>98</v>
      </c>
      <c r="B2793" s="12" t="s">
        <v>97</v>
      </c>
      <c r="C2793" s="12">
        <v>2340</v>
      </c>
      <c r="D2793" s="12">
        <v>234</v>
      </c>
    </row>
    <row r="2794" spans="1:4" x14ac:dyDescent="0.2">
      <c r="A2794" s="12" t="s">
        <v>4460</v>
      </c>
      <c r="B2794" s="12" t="s">
        <v>4459</v>
      </c>
      <c r="C2794" s="12">
        <v>16</v>
      </c>
      <c r="D2794" s="12">
        <v>0.54</v>
      </c>
    </row>
    <row r="2795" spans="1:4" x14ac:dyDescent="0.2">
      <c r="A2795" s="12" t="s">
        <v>4458</v>
      </c>
      <c r="B2795" s="12" t="s">
        <v>4457</v>
      </c>
      <c r="C2795" s="12">
        <v>10000</v>
      </c>
      <c r="D2795" s="12">
        <v>1000</v>
      </c>
    </row>
    <row r="2796" spans="1:4" x14ac:dyDescent="0.2">
      <c r="A2796" s="12" t="s">
        <v>1314</v>
      </c>
      <c r="B2796" s="12" t="s">
        <v>1313</v>
      </c>
      <c r="C2796" s="12" t="s">
        <v>59</v>
      </c>
      <c r="D2796" s="12" t="s">
        <v>59</v>
      </c>
    </row>
    <row r="2797" spans="1:4" x14ac:dyDescent="0.2">
      <c r="A2797" s="12" t="s">
        <v>3478</v>
      </c>
      <c r="B2797" s="12" t="s">
        <v>3477</v>
      </c>
      <c r="C2797" s="12" t="s">
        <v>59</v>
      </c>
      <c r="D2797" s="12" t="s">
        <v>59</v>
      </c>
    </row>
    <row r="2798" spans="1:4" x14ac:dyDescent="0.2">
      <c r="A2798" s="12" t="s">
        <v>558</v>
      </c>
      <c r="B2798" s="12" t="s">
        <v>557</v>
      </c>
      <c r="C2798" s="12">
        <v>100</v>
      </c>
      <c r="D2798" s="12">
        <v>10</v>
      </c>
    </row>
    <row r="2799" spans="1:4" x14ac:dyDescent="0.2">
      <c r="A2799" s="12" t="s">
        <v>1514</v>
      </c>
      <c r="B2799" s="12" t="s">
        <v>1513</v>
      </c>
      <c r="C2799" s="12">
        <v>20</v>
      </c>
      <c r="D2799" s="12">
        <v>2</v>
      </c>
    </row>
    <row r="2800" spans="1:4" x14ac:dyDescent="0.2">
      <c r="A2800" s="12" t="s">
        <v>4571</v>
      </c>
      <c r="B2800" s="12" t="s">
        <v>4570</v>
      </c>
      <c r="C2800" s="12">
        <v>20</v>
      </c>
      <c r="D2800" s="12">
        <v>2</v>
      </c>
    </row>
    <row r="2801" spans="1:4" x14ac:dyDescent="0.2">
      <c r="A2801" s="12" t="s">
        <v>2619</v>
      </c>
      <c r="B2801" s="12" t="s">
        <v>2618</v>
      </c>
      <c r="C2801" s="12">
        <v>40</v>
      </c>
      <c r="D2801" s="12">
        <v>4</v>
      </c>
    </row>
    <row r="2802" spans="1:4" x14ac:dyDescent="0.2">
      <c r="A2802" s="12" t="s">
        <v>2353</v>
      </c>
      <c r="B2802" s="12" t="s">
        <v>2352</v>
      </c>
      <c r="C2802" s="12">
        <v>125</v>
      </c>
      <c r="D2802" s="12">
        <v>12.5</v>
      </c>
    </row>
    <row r="2803" spans="1:4" x14ac:dyDescent="0.2">
      <c r="A2803" s="12" t="s">
        <v>6679</v>
      </c>
      <c r="B2803" s="12" t="s">
        <v>6678</v>
      </c>
      <c r="C2803" s="12">
        <v>20</v>
      </c>
      <c r="D2803" s="12">
        <v>2</v>
      </c>
    </row>
    <row r="2804" spans="1:4" x14ac:dyDescent="0.2">
      <c r="A2804" s="12" t="s">
        <v>70</v>
      </c>
      <c r="B2804" s="12" t="s">
        <v>69</v>
      </c>
      <c r="C2804" s="12">
        <v>1000</v>
      </c>
      <c r="D2804" s="12">
        <v>100</v>
      </c>
    </row>
    <row r="2805" spans="1:4" x14ac:dyDescent="0.2">
      <c r="A2805" s="12" t="s">
        <v>9734</v>
      </c>
      <c r="B2805" s="12" t="s">
        <v>9733</v>
      </c>
      <c r="C2805" s="12">
        <v>20</v>
      </c>
      <c r="D2805" s="12">
        <v>2</v>
      </c>
    </row>
    <row r="2806" spans="1:4" x14ac:dyDescent="0.2">
      <c r="A2806" s="12" t="s">
        <v>358</v>
      </c>
      <c r="B2806" s="12" t="s">
        <v>357</v>
      </c>
      <c r="C2806" s="12">
        <v>2</v>
      </c>
      <c r="D2806" s="12">
        <v>0.2</v>
      </c>
    </row>
    <row r="2807" spans="1:4" x14ac:dyDescent="0.2">
      <c r="A2807" s="12" t="s">
        <v>6253</v>
      </c>
      <c r="B2807" s="12" t="s">
        <v>6252</v>
      </c>
      <c r="C2807" s="12" t="s">
        <v>59</v>
      </c>
      <c r="D2807" s="12" t="s">
        <v>59</v>
      </c>
    </row>
    <row r="2808" spans="1:4" x14ac:dyDescent="0.2">
      <c r="A2808" s="12" t="s">
        <v>9071</v>
      </c>
      <c r="B2808" s="12" t="s">
        <v>9070</v>
      </c>
      <c r="C2808" s="12">
        <v>10</v>
      </c>
      <c r="D2808" s="12">
        <v>1</v>
      </c>
    </row>
    <row r="2809" spans="1:4" x14ac:dyDescent="0.2">
      <c r="A2809" s="12" t="s">
        <v>9079</v>
      </c>
      <c r="B2809" s="12" t="s">
        <v>9078</v>
      </c>
      <c r="C2809" s="12">
        <v>210</v>
      </c>
      <c r="D2809" s="12">
        <v>21</v>
      </c>
    </row>
    <row r="2810" spans="1:4" x14ac:dyDescent="0.2">
      <c r="A2810" s="12" t="s">
        <v>7460</v>
      </c>
      <c r="B2810" s="12" t="s">
        <v>7459</v>
      </c>
      <c r="C2810" s="12">
        <v>230</v>
      </c>
      <c r="D2810" s="12">
        <v>23</v>
      </c>
    </row>
    <row r="2811" spans="1:4" x14ac:dyDescent="0.2">
      <c r="A2811" s="12" t="s">
        <v>2361</v>
      </c>
      <c r="B2811" s="12" t="s">
        <v>2360</v>
      </c>
      <c r="C2811" s="12" t="s">
        <v>59</v>
      </c>
      <c r="D2811" s="12" t="s">
        <v>59</v>
      </c>
    </row>
    <row r="2812" spans="1:4" x14ac:dyDescent="0.2">
      <c r="A2812" s="12" t="s">
        <v>6587</v>
      </c>
      <c r="B2812" s="12" t="s">
        <v>6586</v>
      </c>
      <c r="C2812" s="12" t="s">
        <v>59</v>
      </c>
      <c r="D2812" s="12" t="s">
        <v>59</v>
      </c>
    </row>
    <row r="2813" spans="1:4" x14ac:dyDescent="0.2">
      <c r="A2813" s="12" t="s">
        <v>7871</v>
      </c>
      <c r="B2813" s="12" t="s">
        <v>7870</v>
      </c>
      <c r="C2813" s="12">
        <v>1500</v>
      </c>
      <c r="D2813" s="12">
        <v>150</v>
      </c>
    </row>
    <row r="2814" spans="1:4" x14ac:dyDescent="0.2">
      <c r="A2814" s="12" t="s">
        <v>1916</v>
      </c>
      <c r="B2814" s="12" t="s">
        <v>1915</v>
      </c>
      <c r="C2814" s="12">
        <v>800</v>
      </c>
      <c r="D2814" s="12">
        <v>80</v>
      </c>
    </row>
    <row r="2815" spans="1:4" x14ac:dyDescent="0.2">
      <c r="A2815" s="12" t="s">
        <v>3771</v>
      </c>
      <c r="B2815" s="12" t="s">
        <v>3770</v>
      </c>
      <c r="C2815" s="12">
        <v>180</v>
      </c>
      <c r="D2815" s="12">
        <v>18</v>
      </c>
    </row>
    <row r="2816" spans="1:4" x14ac:dyDescent="0.2">
      <c r="A2816" s="12" t="s">
        <v>3775</v>
      </c>
      <c r="B2816" s="12" t="s">
        <v>3774</v>
      </c>
      <c r="C2816" s="12">
        <v>180</v>
      </c>
      <c r="D2816" s="12">
        <v>18</v>
      </c>
    </row>
    <row r="2817" spans="1:4" x14ac:dyDescent="0.2">
      <c r="A2817" s="12" t="s">
        <v>9716</v>
      </c>
      <c r="B2817" s="12" t="s">
        <v>9715</v>
      </c>
      <c r="C2817" s="12">
        <v>4400</v>
      </c>
      <c r="D2817" s="12">
        <v>440</v>
      </c>
    </row>
    <row r="2818" spans="1:4" x14ac:dyDescent="0.2">
      <c r="A2818" s="12" t="s">
        <v>6511</v>
      </c>
      <c r="B2818" s="12" t="s">
        <v>6510</v>
      </c>
      <c r="C2818" s="12" t="s">
        <v>59</v>
      </c>
      <c r="D2818" s="12" t="s">
        <v>59</v>
      </c>
    </row>
    <row r="2819" spans="1:4" x14ac:dyDescent="0.2">
      <c r="A2819" s="12" t="s">
        <v>6512</v>
      </c>
      <c r="B2819" s="12" t="s">
        <v>6510</v>
      </c>
      <c r="C2819" s="12">
        <v>1000</v>
      </c>
      <c r="D2819" s="12">
        <v>100</v>
      </c>
    </row>
    <row r="2820" spans="1:4" x14ac:dyDescent="0.2">
      <c r="A2820" s="12" t="s">
        <v>4470</v>
      </c>
      <c r="B2820" s="12" t="s">
        <v>4469</v>
      </c>
      <c r="C2820" s="12">
        <v>100</v>
      </c>
      <c r="D2820" s="12">
        <v>10</v>
      </c>
    </row>
    <row r="2821" spans="1:4" x14ac:dyDescent="0.2">
      <c r="A2821" s="12" t="s">
        <v>9971</v>
      </c>
      <c r="B2821" s="12" t="s">
        <v>9970</v>
      </c>
      <c r="C2821" s="12">
        <v>50</v>
      </c>
      <c r="D2821" s="12">
        <v>5</v>
      </c>
    </row>
    <row r="2822" spans="1:4" x14ac:dyDescent="0.2">
      <c r="A2822" s="12" t="s">
        <v>4439</v>
      </c>
      <c r="B2822" s="12" t="s">
        <v>4438</v>
      </c>
      <c r="C2822" s="12">
        <v>100</v>
      </c>
      <c r="D2822" s="12">
        <v>10</v>
      </c>
    </row>
    <row r="2823" spans="1:4" x14ac:dyDescent="0.2">
      <c r="A2823" s="12" t="s">
        <v>1436</v>
      </c>
      <c r="B2823" s="12" t="s">
        <v>1435</v>
      </c>
      <c r="C2823" s="12">
        <v>30</v>
      </c>
      <c r="D2823" s="12">
        <v>3</v>
      </c>
    </row>
    <row r="2824" spans="1:4" x14ac:dyDescent="0.2">
      <c r="A2824" s="12" t="s">
        <v>8789</v>
      </c>
      <c r="B2824" s="12" t="s">
        <v>8788</v>
      </c>
      <c r="C2824" s="12" t="s">
        <v>59</v>
      </c>
      <c r="D2824" s="12" t="s">
        <v>59</v>
      </c>
    </row>
    <row r="2825" spans="1:4" x14ac:dyDescent="0.2">
      <c r="A2825" s="12" t="s">
        <v>8787</v>
      </c>
      <c r="B2825" s="12" t="s">
        <v>8786</v>
      </c>
      <c r="C2825" s="12" t="s">
        <v>59</v>
      </c>
      <c r="D2825" s="12" t="s">
        <v>59</v>
      </c>
    </row>
    <row r="2826" spans="1:4" x14ac:dyDescent="0.2">
      <c r="A2826" s="12" t="s">
        <v>3042</v>
      </c>
      <c r="B2826" s="12" t="s">
        <v>3041</v>
      </c>
      <c r="C2826" s="12">
        <v>30</v>
      </c>
      <c r="D2826" s="12">
        <v>3</v>
      </c>
    </row>
    <row r="2827" spans="1:4" x14ac:dyDescent="0.2">
      <c r="A2827" s="12" t="s">
        <v>3040</v>
      </c>
      <c r="B2827" s="12" t="s">
        <v>3039</v>
      </c>
      <c r="C2827" s="12" t="s">
        <v>59</v>
      </c>
      <c r="D2827" s="12" t="s">
        <v>59</v>
      </c>
    </row>
    <row r="2828" spans="1:4" x14ac:dyDescent="0.2">
      <c r="A2828" s="12" t="s">
        <v>1034</v>
      </c>
      <c r="B2828" s="12" t="s">
        <v>1033</v>
      </c>
      <c r="C2828" s="12">
        <v>1500</v>
      </c>
      <c r="D2828" s="12">
        <v>150</v>
      </c>
    </row>
    <row r="2829" spans="1:4" x14ac:dyDescent="0.2">
      <c r="A2829" s="12" t="s">
        <v>1035</v>
      </c>
      <c r="B2829" s="12" t="s">
        <v>1033</v>
      </c>
      <c r="C2829" s="12" t="s">
        <v>59</v>
      </c>
      <c r="D2829" s="12" t="s">
        <v>59</v>
      </c>
    </row>
    <row r="2830" spans="1:4" x14ac:dyDescent="0.2">
      <c r="A2830" s="12" t="s">
        <v>4480</v>
      </c>
      <c r="B2830" s="12" t="s">
        <v>4479</v>
      </c>
      <c r="C2830" s="12">
        <v>50</v>
      </c>
      <c r="D2830" s="12">
        <v>5</v>
      </c>
    </row>
    <row r="2831" spans="1:4" x14ac:dyDescent="0.2">
      <c r="A2831" s="12" t="s">
        <v>1696</v>
      </c>
      <c r="B2831" s="12" t="s">
        <v>1695</v>
      </c>
      <c r="C2831" s="12">
        <v>46</v>
      </c>
      <c r="D2831" s="12">
        <v>4.5999999999999996</v>
      </c>
    </row>
    <row r="2832" spans="1:4" x14ac:dyDescent="0.2">
      <c r="A2832" s="12" t="s">
        <v>7879</v>
      </c>
      <c r="B2832" s="12" t="s">
        <v>7878</v>
      </c>
      <c r="C2832" s="12">
        <v>190</v>
      </c>
      <c r="D2832" s="12">
        <v>7.9</v>
      </c>
    </row>
    <row r="2833" spans="1:4" x14ac:dyDescent="0.2">
      <c r="A2833" s="12" t="s">
        <v>7708</v>
      </c>
      <c r="B2833" s="12" t="s">
        <v>7707</v>
      </c>
      <c r="C2833" s="12" t="s">
        <v>59</v>
      </c>
      <c r="D2833" s="12" t="s">
        <v>59</v>
      </c>
    </row>
    <row r="2834" spans="1:4" x14ac:dyDescent="0.2">
      <c r="A2834" s="12" t="s">
        <v>1766</v>
      </c>
      <c r="B2834" s="12" t="s">
        <v>1765</v>
      </c>
      <c r="C2834" s="12">
        <v>0.5</v>
      </c>
      <c r="D2834" s="12">
        <v>0.05</v>
      </c>
    </row>
    <row r="2835" spans="1:4" x14ac:dyDescent="0.2">
      <c r="A2835" s="12" t="s">
        <v>11917</v>
      </c>
      <c r="B2835" s="12" t="s">
        <v>11916</v>
      </c>
      <c r="C2835" s="12">
        <v>250</v>
      </c>
      <c r="D2835" s="12">
        <v>25</v>
      </c>
    </row>
    <row r="2836" spans="1:4" x14ac:dyDescent="0.2">
      <c r="A2836" s="12" t="s">
        <v>3329</v>
      </c>
      <c r="B2836" s="12" t="s">
        <v>3328</v>
      </c>
      <c r="C2836" s="12">
        <v>1000</v>
      </c>
      <c r="D2836" s="12">
        <v>100</v>
      </c>
    </row>
    <row r="2837" spans="1:4" x14ac:dyDescent="0.2">
      <c r="A2837" s="12" t="s">
        <v>1660</v>
      </c>
      <c r="B2837" s="12" t="s">
        <v>1659</v>
      </c>
      <c r="C2837" s="12" t="s">
        <v>59</v>
      </c>
      <c r="D2837" s="12" t="s">
        <v>59</v>
      </c>
    </row>
    <row r="2838" spans="1:4" x14ac:dyDescent="0.2">
      <c r="A2838" s="12" t="s">
        <v>1457</v>
      </c>
      <c r="B2838" s="12" t="s">
        <v>1456</v>
      </c>
      <c r="C2838" s="12">
        <v>13</v>
      </c>
      <c r="D2838" s="12">
        <v>1.3</v>
      </c>
    </row>
    <row r="2839" spans="1:4" x14ac:dyDescent="0.2">
      <c r="A2839" s="12" t="s">
        <v>10040</v>
      </c>
      <c r="B2839" s="12" t="s">
        <v>10039</v>
      </c>
      <c r="C2839" s="12" t="s">
        <v>59</v>
      </c>
      <c r="D2839" s="12" t="s">
        <v>59</v>
      </c>
    </row>
    <row r="2840" spans="1:4" x14ac:dyDescent="0.2">
      <c r="A2840" s="12" t="s">
        <v>11382</v>
      </c>
      <c r="B2840" s="12" t="s">
        <v>11381</v>
      </c>
      <c r="C2840" s="12">
        <v>2</v>
      </c>
      <c r="D2840" s="12">
        <v>0.2</v>
      </c>
    </row>
    <row r="2841" spans="1:4" x14ac:dyDescent="0.2">
      <c r="A2841" s="12" t="s">
        <v>7954</v>
      </c>
      <c r="B2841" s="12" t="s">
        <v>7953</v>
      </c>
      <c r="C2841" s="12">
        <v>100</v>
      </c>
      <c r="D2841" s="12">
        <v>10</v>
      </c>
    </row>
    <row r="2842" spans="1:4" x14ac:dyDescent="0.2">
      <c r="A2842" s="12" t="s">
        <v>4706</v>
      </c>
      <c r="B2842" s="12" t="s">
        <v>4705</v>
      </c>
      <c r="C2842" s="12" t="s">
        <v>59</v>
      </c>
      <c r="D2842" s="12" t="s">
        <v>59</v>
      </c>
    </row>
    <row r="2843" spans="1:4" x14ac:dyDescent="0.2">
      <c r="A2843" s="12" t="s">
        <v>6444</v>
      </c>
      <c r="B2843" s="12" t="s">
        <v>6443</v>
      </c>
      <c r="C2843" s="12">
        <v>110</v>
      </c>
      <c r="D2843" s="12">
        <v>14</v>
      </c>
    </row>
    <row r="2844" spans="1:4" x14ac:dyDescent="0.2">
      <c r="A2844" s="12" t="s">
        <v>6650</v>
      </c>
      <c r="B2844" s="12" t="s">
        <v>6649</v>
      </c>
      <c r="C2844" s="12">
        <v>110</v>
      </c>
      <c r="D2844" s="12">
        <v>14</v>
      </c>
    </row>
    <row r="2845" spans="1:4" x14ac:dyDescent="0.2">
      <c r="A2845" s="12" t="s">
        <v>7650</v>
      </c>
      <c r="B2845" s="12" t="s">
        <v>7649</v>
      </c>
      <c r="C2845" s="12">
        <v>50</v>
      </c>
      <c r="D2845" s="12">
        <v>5</v>
      </c>
    </row>
    <row r="2846" spans="1:4" x14ac:dyDescent="0.2">
      <c r="A2846" s="12" t="s">
        <v>892</v>
      </c>
      <c r="B2846" s="12" t="s">
        <v>891</v>
      </c>
      <c r="C2846" s="12">
        <v>100</v>
      </c>
      <c r="D2846" s="12">
        <v>10</v>
      </c>
    </row>
    <row r="2847" spans="1:4" x14ac:dyDescent="0.2">
      <c r="A2847" s="12" t="s">
        <v>878</v>
      </c>
      <c r="B2847" s="12" t="s">
        <v>877</v>
      </c>
      <c r="C2847" s="12">
        <v>2000</v>
      </c>
      <c r="D2847" s="12">
        <v>200</v>
      </c>
    </row>
    <row r="2848" spans="1:4" x14ac:dyDescent="0.2">
      <c r="A2848" s="12" t="s">
        <v>8906</v>
      </c>
      <c r="B2848" s="12" t="s">
        <v>8905</v>
      </c>
      <c r="C2848" s="12">
        <v>400</v>
      </c>
      <c r="D2848" s="12">
        <v>40</v>
      </c>
    </row>
    <row r="2849" spans="1:4" x14ac:dyDescent="0.2">
      <c r="A2849" s="12" t="s">
        <v>2490</v>
      </c>
      <c r="B2849" s="12" t="s">
        <v>2489</v>
      </c>
      <c r="C2849" s="12" t="s">
        <v>59</v>
      </c>
      <c r="D2849" s="12" t="s">
        <v>59</v>
      </c>
    </row>
    <row r="2850" spans="1:4" x14ac:dyDescent="0.2">
      <c r="A2850" s="12" t="s">
        <v>2491</v>
      </c>
      <c r="B2850" s="12" t="s">
        <v>2489</v>
      </c>
      <c r="C2850" s="12">
        <v>600</v>
      </c>
      <c r="D2850" s="12">
        <v>60</v>
      </c>
    </row>
    <row r="2851" spans="1:4" x14ac:dyDescent="0.2">
      <c r="A2851" s="12" t="s">
        <v>8365</v>
      </c>
      <c r="B2851" s="12" t="s">
        <v>8364</v>
      </c>
      <c r="C2851" s="12">
        <v>360</v>
      </c>
      <c r="D2851" s="12">
        <v>36</v>
      </c>
    </row>
    <row r="2852" spans="1:4" x14ac:dyDescent="0.2">
      <c r="A2852" s="12" t="s">
        <v>912</v>
      </c>
      <c r="B2852" s="12" t="s">
        <v>911</v>
      </c>
      <c r="C2852" s="12">
        <v>83</v>
      </c>
      <c r="D2852" s="12">
        <v>8.3000000000000007</v>
      </c>
    </row>
    <row r="2853" spans="1:4" x14ac:dyDescent="0.2">
      <c r="A2853" s="12" t="s">
        <v>3458</v>
      </c>
      <c r="B2853" s="12" t="s">
        <v>3457</v>
      </c>
      <c r="C2853" s="12">
        <v>100</v>
      </c>
      <c r="D2853" s="12">
        <v>10</v>
      </c>
    </row>
    <row r="2854" spans="1:4" x14ac:dyDescent="0.2">
      <c r="A2854" s="12" t="s">
        <v>9323</v>
      </c>
      <c r="B2854" s="12" t="s">
        <v>9322</v>
      </c>
      <c r="C2854" s="12" t="s">
        <v>59</v>
      </c>
      <c r="D2854" s="12" t="s">
        <v>59</v>
      </c>
    </row>
    <row r="2855" spans="1:4" x14ac:dyDescent="0.2">
      <c r="A2855" s="12" t="s">
        <v>9324</v>
      </c>
      <c r="B2855" s="12" t="s">
        <v>9322</v>
      </c>
      <c r="C2855" s="12">
        <v>500</v>
      </c>
      <c r="D2855" s="12">
        <v>50</v>
      </c>
    </row>
    <row r="2856" spans="1:4" x14ac:dyDescent="0.2">
      <c r="A2856" s="12" t="s">
        <v>6589</v>
      </c>
      <c r="B2856" s="12" t="s">
        <v>6588</v>
      </c>
      <c r="C2856" s="12">
        <v>100</v>
      </c>
      <c r="D2856" s="12">
        <v>10</v>
      </c>
    </row>
    <row r="2857" spans="1:4" x14ac:dyDescent="0.2">
      <c r="A2857" s="12" t="s">
        <v>2606</v>
      </c>
      <c r="B2857" s="12" t="s">
        <v>2605</v>
      </c>
      <c r="C2857" s="12">
        <v>46</v>
      </c>
      <c r="D2857" s="12">
        <v>4.5999999999999996</v>
      </c>
    </row>
    <row r="2858" spans="1:4" x14ac:dyDescent="0.2">
      <c r="A2858" s="12" t="s">
        <v>9135</v>
      </c>
      <c r="B2858" s="12" t="s">
        <v>9134</v>
      </c>
      <c r="C2858" s="12">
        <v>50</v>
      </c>
      <c r="D2858" s="12">
        <v>5</v>
      </c>
    </row>
    <row r="2859" spans="1:4" x14ac:dyDescent="0.2">
      <c r="A2859" s="12" t="s">
        <v>8521</v>
      </c>
      <c r="B2859" s="12" t="s">
        <v>8520</v>
      </c>
      <c r="C2859" s="12">
        <v>150</v>
      </c>
      <c r="D2859" s="12">
        <v>15</v>
      </c>
    </row>
    <row r="2860" spans="1:4" x14ac:dyDescent="0.2">
      <c r="A2860" s="12" t="s">
        <v>2880</v>
      </c>
      <c r="B2860" s="12" t="s">
        <v>2879</v>
      </c>
      <c r="C2860" s="12">
        <v>180</v>
      </c>
      <c r="D2860" s="12">
        <v>18</v>
      </c>
    </row>
    <row r="2861" spans="1:4" x14ac:dyDescent="0.2">
      <c r="A2861" s="12" t="s">
        <v>8607</v>
      </c>
      <c r="B2861" s="12" t="s">
        <v>8606</v>
      </c>
      <c r="C2861" s="12" t="s">
        <v>59</v>
      </c>
      <c r="D2861" s="12" t="s">
        <v>59</v>
      </c>
    </row>
    <row r="2862" spans="1:4" x14ac:dyDescent="0.2">
      <c r="A2862" s="12" t="s">
        <v>8608</v>
      </c>
      <c r="B2862" s="12" t="s">
        <v>8606</v>
      </c>
      <c r="C2862" s="12">
        <v>1000</v>
      </c>
      <c r="D2862" s="12">
        <v>100</v>
      </c>
    </row>
    <row r="2863" spans="1:4" x14ac:dyDescent="0.2">
      <c r="A2863" s="12" t="s">
        <v>8283</v>
      </c>
      <c r="B2863" s="12" t="s">
        <v>8282</v>
      </c>
      <c r="C2863" s="12" t="s">
        <v>59</v>
      </c>
      <c r="D2863" s="12" t="s">
        <v>59</v>
      </c>
    </row>
    <row r="2864" spans="1:4" x14ac:dyDescent="0.2">
      <c r="A2864" s="12" t="s">
        <v>8284</v>
      </c>
      <c r="B2864" s="12" t="s">
        <v>8282</v>
      </c>
      <c r="C2864" s="12">
        <v>1000</v>
      </c>
      <c r="D2864" s="12">
        <v>100</v>
      </c>
    </row>
    <row r="2865" spans="1:4" x14ac:dyDescent="0.2">
      <c r="A2865" s="12" t="s">
        <v>10336</v>
      </c>
      <c r="B2865" s="12" t="s">
        <v>10335</v>
      </c>
      <c r="C2865" s="12">
        <v>1000</v>
      </c>
      <c r="D2865" s="12">
        <v>100</v>
      </c>
    </row>
    <row r="2866" spans="1:4" x14ac:dyDescent="0.2">
      <c r="A2866" s="12" t="s">
        <v>1132</v>
      </c>
      <c r="B2866" s="12" t="s">
        <v>1131</v>
      </c>
      <c r="C2866" s="12" t="s">
        <v>59</v>
      </c>
      <c r="D2866" s="12" t="s">
        <v>59</v>
      </c>
    </row>
    <row r="2867" spans="1:4" x14ac:dyDescent="0.2">
      <c r="A2867" s="12" t="s">
        <v>12420</v>
      </c>
      <c r="B2867" s="12" t="s">
        <v>12419</v>
      </c>
      <c r="C2867" s="12">
        <v>0.39</v>
      </c>
      <c r="D2867" s="12">
        <v>4.3E-3</v>
      </c>
    </row>
    <row r="2868" spans="1:4" ht="28.5" x14ac:dyDescent="0.2">
      <c r="A2868" s="12" t="s">
        <v>2430</v>
      </c>
      <c r="B2868" s="12" t="s">
        <v>2429</v>
      </c>
      <c r="C2868" s="12">
        <v>8.1</v>
      </c>
      <c r="D2868" s="12">
        <v>0.55000000000000004</v>
      </c>
    </row>
    <row r="2869" spans="1:4" x14ac:dyDescent="0.2">
      <c r="A2869" s="12" t="s">
        <v>3952</v>
      </c>
      <c r="B2869" s="12" t="s">
        <v>3951</v>
      </c>
      <c r="C2869" s="12">
        <v>100</v>
      </c>
      <c r="D2869" s="12">
        <v>10</v>
      </c>
    </row>
    <row r="2870" spans="1:4" x14ac:dyDescent="0.2">
      <c r="A2870" s="12" t="s">
        <v>3769</v>
      </c>
      <c r="B2870" s="12" t="s">
        <v>3768</v>
      </c>
      <c r="C2870" s="12" t="s">
        <v>59</v>
      </c>
      <c r="D2870" s="12" t="s">
        <v>59</v>
      </c>
    </row>
    <row r="2871" spans="1:4" x14ac:dyDescent="0.2">
      <c r="A2871" s="12" t="s">
        <v>5667</v>
      </c>
      <c r="B2871" s="12" t="s">
        <v>5666</v>
      </c>
      <c r="C2871" s="12" t="s">
        <v>59</v>
      </c>
      <c r="D2871" s="12" t="s">
        <v>59</v>
      </c>
    </row>
    <row r="2872" spans="1:4" x14ac:dyDescent="0.2">
      <c r="A2872" s="12" t="s">
        <v>3476</v>
      </c>
      <c r="B2872" s="12" t="s">
        <v>3475</v>
      </c>
      <c r="C2872" s="12" t="s">
        <v>59</v>
      </c>
      <c r="D2872" s="12" t="s">
        <v>59</v>
      </c>
    </row>
    <row r="2873" spans="1:4" x14ac:dyDescent="0.2">
      <c r="A2873" s="12" t="s">
        <v>951</v>
      </c>
      <c r="B2873" s="12" t="s">
        <v>950</v>
      </c>
      <c r="C2873" s="12">
        <v>8200</v>
      </c>
      <c r="D2873" s="12">
        <v>820</v>
      </c>
    </row>
    <row r="2874" spans="1:4" x14ac:dyDescent="0.2">
      <c r="A2874" s="12" t="s">
        <v>382</v>
      </c>
      <c r="B2874" s="12" t="s">
        <v>381</v>
      </c>
      <c r="C2874" s="12">
        <v>70000</v>
      </c>
      <c r="D2874" s="12">
        <v>7000</v>
      </c>
    </row>
    <row r="2875" spans="1:4" x14ac:dyDescent="0.2">
      <c r="A2875" s="12" t="s">
        <v>7920</v>
      </c>
      <c r="B2875" s="12" t="s">
        <v>7919</v>
      </c>
      <c r="C2875" s="12">
        <v>460</v>
      </c>
      <c r="D2875" s="12">
        <v>46</v>
      </c>
    </row>
    <row r="2876" spans="1:4" x14ac:dyDescent="0.2">
      <c r="A2876" s="12" t="s">
        <v>719</v>
      </c>
      <c r="B2876" s="12" t="s">
        <v>718</v>
      </c>
      <c r="C2876" s="12">
        <v>2450</v>
      </c>
      <c r="D2876" s="12">
        <v>245</v>
      </c>
    </row>
    <row r="2877" spans="1:4" x14ac:dyDescent="0.2">
      <c r="A2877" s="12" t="s">
        <v>842</v>
      </c>
      <c r="B2877" s="12" t="s">
        <v>841</v>
      </c>
      <c r="C2877" s="12">
        <v>2000</v>
      </c>
      <c r="D2877" s="12">
        <v>200</v>
      </c>
    </row>
    <row r="2878" spans="1:4" x14ac:dyDescent="0.2">
      <c r="A2878" s="12" t="s">
        <v>3149</v>
      </c>
      <c r="B2878" s="12" t="s">
        <v>3148</v>
      </c>
      <c r="C2878" s="12">
        <v>5700</v>
      </c>
      <c r="D2878" s="12">
        <v>570</v>
      </c>
    </row>
    <row r="2879" spans="1:4" x14ac:dyDescent="0.2">
      <c r="A2879" s="12" t="s">
        <v>8902</v>
      </c>
      <c r="B2879" s="12" t="s">
        <v>8901</v>
      </c>
      <c r="C2879" s="12">
        <v>620</v>
      </c>
      <c r="D2879" s="12">
        <v>62</v>
      </c>
    </row>
    <row r="2880" spans="1:4" x14ac:dyDescent="0.2">
      <c r="A2880" s="12" t="s">
        <v>665</v>
      </c>
      <c r="B2880" s="12" t="s">
        <v>664</v>
      </c>
      <c r="C2880" s="12">
        <v>8.1</v>
      </c>
      <c r="D2880" s="12">
        <v>0.55000000000000004</v>
      </c>
    </row>
    <row r="2881" spans="1:4" x14ac:dyDescent="0.2">
      <c r="A2881" s="12" t="s">
        <v>541</v>
      </c>
      <c r="B2881" s="12" t="s">
        <v>540</v>
      </c>
      <c r="C2881" s="12">
        <v>50</v>
      </c>
      <c r="D2881" s="12">
        <v>5</v>
      </c>
    </row>
    <row r="2882" spans="1:4" x14ac:dyDescent="0.2">
      <c r="A2882" s="12" t="s">
        <v>2191</v>
      </c>
      <c r="B2882" s="12" t="s">
        <v>2190</v>
      </c>
      <c r="C2882" s="12">
        <v>1.8</v>
      </c>
      <c r="D2882" s="12">
        <v>0.18</v>
      </c>
    </row>
    <row r="2883" spans="1:4" x14ac:dyDescent="0.2">
      <c r="A2883" s="12" t="s">
        <v>2411</v>
      </c>
      <c r="B2883" s="12" t="s">
        <v>2410</v>
      </c>
      <c r="C2883" s="12">
        <v>500</v>
      </c>
      <c r="D2883" s="12">
        <v>50</v>
      </c>
    </row>
    <row r="2884" spans="1:4" x14ac:dyDescent="0.2">
      <c r="A2884" s="12" t="s">
        <v>6318</v>
      </c>
      <c r="B2884" s="12" t="s">
        <v>6317</v>
      </c>
      <c r="C2884" s="12" t="s">
        <v>59</v>
      </c>
      <c r="D2884" s="12" t="s">
        <v>59</v>
      </c>
    </row>
    <row r="2885" spans="1:4" x14ac:dyDescent="0.2">
      <c r="A2885" s="12" t="s">
        <v>1316</v>
      </c>
      <c r="B2885" s="12" t="s">
        <v>1315</v>
      </c>
      <c r="C2885" s="12">
        <v>20</v>
      </c>
      <c r="D2885" s="12">
        <v>2</v>
      </c>
    </row>
    <row r="2886" spans="1:4" x14ac:dyDescent="0.2">
      <c r="A2886" s="12" t="s">
        <v>6334</v>
      </c>
      <c r="B2886" s="12" t="s">
        <v>6333</v>
      </c>
      <c r="C2886" s="12" t="s">
        <v>59</v>
      </c>
      <c r="D2886" s="12" t="s">
        <v>59</v>
      </c>
    </row>
    <row r="2887" spans="1:4" x14ac:dyDescent="0.2">
      <c r="A2887" s="12" t="s">
        <v>11169</v>
      </c>
      <c r="B2887" s="12" t="s">
        <v>11168</v>
      </c>
      <c r="C2887" s="12">
        <v>10</v>
      </c>
      <c r="D2887" s="12">
        <v>1</v>
      </c>
    </row>
    <row r="2888" spans="1:4" x14ac:dyDescent="0.2">
      <c r="A2888" s="12" t="s">
        <v>1205</v>
      </c>
      <c r="B2888" s="12" t="s">
        <v>1204</v>
      </c>
      <c r="C2888" s="12" t="s">
        <v>59</v>
      </c>
      <c r="D2888" s="12" t="s">
        <v>59</v>
      </c>
    </row>
    <row r="2889" spans="1:4" x14ac:dyDescent="0.2">
      <c r="A2889" s="12" t="s">
        <v>7452</v>
      </c>
      <c r="B2889" s="12" t="s">
        <v>7451</v>
      </c>
      <c r="C2889" s="12">
        <v>800</v>
      </c>
      <c r="D2889" s="12">
        <v>80</v>
      </c>
    </row>
    <row r="2890" spans="1:4" x14ac:dyDescent="0.2">
      <c r="A2890" s="12" t="s">
        <v>9762</v>
      </c>
      <c r="B2890" s="12" t="s">
        <v>9761</v>
      </c>
      <c r="C2890" s="12">
        <v>0.8</v>
      </c>
      <c r="D2890" s="12">
        <v>0.08</v>
      </c>
    </row>
    <row r="2891" spans="1:4" x14ac:dyDescent="0.2">
      <c r="A2891" s="12" t="s">
        <v>4043</v>
      </c>
      <c r="B2891" s="12" t="s">
        <v>4042</v>
      </c>
      <c r="C2891" s="12">
        <v>0.1</v>
      </c>
      <c r="D2891" s="12">
        <v>0.01</v>
      </c>
    </row>
    <row r="2892" spans="1:4" x14ac:dyDescent="0.2">
      <c r="A2892" s="12" t="s">
        <v>6522</v>
      </c>
      <c r="B2892" s="12" t="s">
        <v>6521</v>
      </c>
      <c r="C2892" s="12" t="s">
        <v>59</v>
      </c>
      <c r="D2892" s="12" t="s">
        <v>59</v>
      </c>
    </row>
    <row r="2893" spans="1:4" x14ac:dyDescent="0.2">
      <c r="A2893" s="12" t="s">
        <v>8803</v>
      </c>
      <c r="B2893" s="12" t="s">
        <v>8802</v>
      </c>
      <c r="C2893" s="12">
        <v>50</v>
      </c>
      <c r="D2893" s="12">
        <v>5</v>
      </c>
    </row>
    <row r="2894" spans="1:4" x14ac:dyDescent="0.2">
      <c r="A2894" s="12" t="s">
        <v>3472</v>
      </c>
      <c r="B2894" s="12" t="s">
        <v>3471</v>
      </c>
      <c r="C2894" s="12" t="s">
        <v>59</v>
      </c>
      <c r="D2894" s="12" t="s">
        <v>59</v>
      </c>
    </row>
    <row r="2895" spans="1:4" x14ac:dyDescent="0.2">
      <c r="A2895" s="12" t="s">
        <v>8531</v>
      </c>
      <c r="B2895" s="12" t="s">
        <v>8530</v>
      </c>
      <c r="C2895" s="12">
        <v>140</v>
      </c>
      <c r="D2895" s="12">
        <v>14</v>
      </c>
    </row>
    <row r="2896" spans="1:4" x14ac:dyDescent="0.2">
      <c r="A2896" s="12" t="s">
        <v>1791</v>
      </c>
      <c r="B2896" s="12" t="s">
        <v>1790</v>
      </c>
      <c r="C2896" s="12">
        <v>100</v>
      </c>
      <c r="D2896" s="12">
        <v>10</v>
      </c>
    </row>
    <row r="2897" spans="1:4" x14ac:dyDescent="0.2">
      <c r="A2897" s="12" t="s">
        <v>6057</v>
      </c>
      <c r="B2897" s="12" t="s">
        <v>6056</v>
      </c>
      <c r="C2897" s="12">
        <v>1200</v>
      </c>
      <c r="D2897" s="12">
        <v>120</v>
      </c>
    </row>
    <row r="2898" spans="1:4" x14ac:dyDescent="0.2">
      <c r="A2898" s="12" t="s">
        <v>7352</v>
      </c>
      <c r="B2898" s="12" t="s">
        <v>7351</v>
      </c>
      <c r="C2898" s="12" t="s">
        <v>59</v>
      </c>
      <c r="D2898" s="12" t="s">
        <v>59</v>
      </c>
    </row>
    <row r="2899" spans="1:4" x14ac:dyDescent="0.2">
      <c r="A2899" s="12" t="s">
        <v>273</v>
      </c>
      <c r="B2899" s="12" t="s">
        <v>272</v>
      </c>
      <c r="C2899" s="12">
        <v>10</v>
      </c>
      <c r="D2899" s="12">
        <v>1</v>
      </c>
    </row>
    <row r="2900" spans="1:4" x14ac:dyDescent="0.2">
      <c r="A2900" s="12" t="s">
        <v>214</v>
      </c>
      <c r="B2900" s="12" t="s">
        <v>213</v>
      </c>
      <c r="C2900" s="12" t="s">
        <v>59</v>
      </c>
      <c r="D2900" s="12" t="s">
        <v>59</v>
      </c>
    </row>
    <row r="2901" spans="1:4" x14ac:dyDescent="0.2">
      <c r="A2901" s="12" t="s">
        <v>416</v>
      </c>
      <c r="B2901" s="12" t="s">
        <v>415</v>
      </c>
      <c r="C2901" s="12">
        <v>3500</v>
      </c>
      <c r="D2901" s="12">
        <v>350</v>
      </c>
    </row>
    <row r="2902" spans="1:4" x14ac:dyDescent="0.2">
      <c r="A2902" s="12" t="s">
        <v>9912</v>
      </c>
      <c r="B2902" s="12" t="s">
        <v>9911</v>
      </c>
      <c r="C2902" s="12" t="s">
        <v>59</v>
      </c>
      <c r="D2902" s="12" t="s">
        <v>59</v>
      </c>
    </row>
    <row r="2903" spans="1:4" x14ac:dyDescent="0.2">
      <c r="A2903" s="12" t="s">
        <v>3287</v>
      </c>
      <c r="B2903" s="12" t="s">
        <v>3286</v>
      </c>
      <c r="C2903" s="12">
        <v>960</v>
      </c>
      <c r="D2903" s="12">
        <v>96</v>
      </c>
    </row>
    <row r="2904" spans="1:4" x14ac:dyDescent="0.2">
      <c r="A2904" s="12" t="s">
        <v>7793</v>
      </c>
      <c r="B2904" s="12" t="s">
        <v>7792</v>
      </c>
      <c r="C2904" s="12">
        <v>490</v>
      </c>
      <c r="D2904" s="12">
        <v>49</v>
      </c>
    </row>
    <row r="2905" spans="1:4" x14ac:dyDescent="0.2">
      <c r="A2905" s="12" t="s">
        <v>1793</v>
      </c>
      <c r="B2905" s="12" t="s">
        <v>1792</v>
      </c>
      <c r="C2905" s="12">
        <v>3500</v>
      </c>
      <c r="D2905" s="12">
        <v>350</v>
      </c>
    </row>
    <row r="2906" spans="1:4" x14ac:dyDescent="0.2">
      <c r="A2906" s="12" t="s">
        <v>9998</v>
      </c>
      <c r="B2906" s="12" t="s">
        <v>9997</v>
      </c>
      <c r="C2906" s="12" t="s">
        <v>59</v>
      </c>
      <c r="D2906" s="12" t="s">
        <v>59</v>
      </c>
    </row>
    <row r="2907" spans="1:4" x14ac:dyDescent="0.2">
      <c r="A2907" s="12" t="s">
        <v>4628</v>
      </c>
      <c r="B2907" s="12" t="s">
        <v>4627</v>
      </c>
      <c r="C2907" s="12">
        <v>60</v>
      </c>
      <c r="D2907" s="12">
        <v>6</v>
      </c>
    </row>
    <row r="2908" spans="1:4" x14ac:dyDescent="0.2">
      <c r="A2908" s="12" t="s">
        <v>348</v>
      </c>
      <c r="B2908" s="12" t="s">
        <v>347</v>
      </c>
      <c r="C2908" s="12">
        <v>500</v>
      </c>
      <c r="D2908" s="12">
        <v>50</v>
      </c>
    </row>
    <row r="2909" spans="1:4" x14ac:dyDescent="0.2">
      <c r="A2909" s="12" t="s">
        <v>2683</v>
      </c>
      <c r="B2909" s="12" t="s">
        <v>2682</v>
      </c>
      <c r="C2909" s="12">
        <v>100</v>
      </c>
      <c r="D2909" s="12">
        <v>10</v>
      </c>
    </row>
    <row r="2910" spans="1:4" x14ac:dyDescent="0.2">
      <c r="A2910" s="12" t="s">
        <v>1974</v>
      </c>
      <c r="B2910" s="12" t="s">
        <v>1973</v>
      </c>
      <c r="C2910" s="12">
        <v>2700</v>
      </c>
      <c r="D2910" s="12">
        <v>270</v>
      </c>
    </row>
    <row r="2911" spans="1:4" x14ac:dyDescent="0.2">
      <c r="A2911" s="12" t="s">
        <v>6507</v>
      </c>
      <c r="B2911" s="12" t="s">
        <v>6506</v>
      </c>
      <c r="C2911" s="12">
        <v>20</v>
      </c>
      <c r="D2911" s="12">
        <v>2</v>
      </c>
    </row>
    <row r="2912" spans="1:4" x14ac:dyDescent="0.2">
      <c r="A2912" s="12" t="s">
        <v>11772</v>
      </c>
      <c r="B2912" s="12" t="s">
        <v>11771</v>
      </c>
      <c r="C2912" s="12">
        <v>8</v>
      </c>
      <c r="D2912" s="12">
        <v>0.8</v>
      </c>
    </row>
    <row r="2913" spans="1:4" x14ac:dyDescent="0.2">
      <c r="A2913" s="12" t="s">
        <v>3356</v>
      </c>
      <c r="B2913" s="12" t="s">
        <v>3355</v>
      </c>
      <c r="C2913" s="12">
        <v>100</v>
      </c>
      <c r="D2913" s="12">
        <v>10</v>
      </c>
    </row>
    <row r="2914" spans="1:4" x14ac:dyDescent="0.2">
      <c r="A2914" s="12" t="s">
        <v>7446</v>
      </c>
      <c r="B2914" s="12" t="s">
        <v>7445</v>
      </c>
      <c r="C2914" s="12">
        <v>1000</v>
      </c>
      <c r="D2914" s="12">
        <v>100</v>
      </c>
    </row>
    <row r="2915" spans="1:4" x14ac:dyDescent="0.2">
      <c r="A2915" s="12" t="s">
        <v>11027</v>
      </c>
      <c r="B2915" s="12" t="s">
        <v>11026</v>
      </c>
      <c r="C2915" s="12">
        <v>25</v>
      </c>
      <c r="D2915" s="12">
        <v>2.5</v>
      </c>
    </row>
    <row r="2916" spans="1:4" x14ac:dyDescent="0.2">
      <c r="A2916" s="12" t="s">
        <v>511</v>
      </c>
      <c r="B2916" s="12" t="s">
        <v>510</v>
      </c>
      <c r="C2916" s="12">
        <v>50</v>
      </c>
      <c r="D2916" s="12">
        <v>5</v>
      </c>
    </row>
    <row r="2917" spans="1:4" x14ac:dyDescent="0.2">
      <c r="A2917" s="12" t="s">
        <v>3851</v>
      </c>
      <c r="B2917" s="12" t="s">
        <v>3850</v>
      </c>
      <c r="C2917" s="12">
        <v>20</v>
      </c>
      <c r="D2917" s="12">
        <v>2</v>
      </c>
    </row>
    <row r="2918" spans="1:4" x14ac:dyDescent="0.2">
      <c r="A2918" s="12" t="s">
        <v>10187</v>
      </c>
      <c r="B2918" s="12" t="s">
        <v>10186</v>
      </c>
      <c r="C2918" s="12" t="s">
        <v>59</v>
      </c>
      <c r="D2918" s="12" t="s">
        <v>59</v>
      </c>
    </row>
    <row r="2919" spans="1:4" x14ac:dyDescent="0.2">
      <c r="A2919" s="12" t="s">
        <v>6140</v>
      </c>
      <c r="B2919" s="12" t="s">
        <v>6139</v>
      </c>
      <c r="C2919" s="12" t="s">
        <v>59</v>
      </c>
      <c r="D2919" s="12" t="s">
        <v>59</v>
      </c>
    </row>
    <row r="2920" spans="1:4" x14ac:dyDescent="0.2">
      <c r="A2920" s="12" t="s">
        <v>6141</v>
      </c>
      <c r="B2920" s="12" t="s">
        <v>6139</v>
      </c>
      <c r="C2920" s="12">
        <v>600</v>
      </c>
      <c r="D2920" s="12">
        <v>60</v>
      </c>
    </row>
    <row r="2921" spans="1:4" x14ac:dyDescent="0.2">
      <c r="A2921" s="12" t="s">
        <v>12615</v>
      </c>
      <c r="B2921" s="12" t="s">
        <v>10888</v>
      </c>
      <c r="C2921" s="12"/>
      <c r="D2921" s="12">
        <v>0.71</v>
      </c>
    </row>
    <row r="2922" spans="1:4" x14ac:dyDescent="0.2">
      <c r="A2922" s="12" t="s">
        <v>12614</v>
      </c>
      <c r="B2922" s="12" t="s">
        <v>10887</v>
      </c>
      <c r="C2922" s="12">
        <v>2.8</v>
      </c>
      <c r="D2922" s="12">
        <v>0.56999999999999995</v>
      </c>
    </row>
    <row r="2923" spans="1:4" x14ac:dyDescent="0.2">
      <c r="A2923" s="12" t="s">
        <v>10886</v>
      </c>
      <c r="B2923" s="12" t="s">
        <v>10885</v>
      </c>
      <c r="C2923" s="12">
        <v>17</v>
      </c>
      <c r="D2923" s="12">
        <v>8.1</v>
      </c>
    </row>
    <row r="2924" spans="1:4" x14ac:dyDescent="0.2">
      <c r="A2924" s="12" t="s">
        <v>1087</v>
      </c>
      <c r="B2924" s="12" t="s">
        <v>1086</v>
      </c>
      <c r="C2924" s="12" t="s">
        <v>59</v>
      </c>
      <c r="D2924" s="12" t="s">
        <v>59</v>
      </c>
    </row>
    <row r="2925" spans="1:4" x14ac:dyDescent="0.2">
      <c r="A2925" s="12" t="s">
        <v>1088</v>
      </c>
      <c r="B2925" s="12" t="s">
        <v>1086</v>
      </c>
      <c r="C2925" s="12">
        <v>1000</v>
      </c>
      <c r="D2925" s="12">
        <v>100</v>
      </c>
    </row>
    <row r="2926" spans="1:4" x14ac:dyDescent="0.2">
      <c r="A2926" s="12" t="s">
        <v>12393</v>
      </c>
      <c r="B2926" s="12" t="s">
        <v>12392</v>
      </c>
      <c r="C2926" s="12">
        <v>0.02</v>
      </c>
      <c r="D2926" s="12">
        <v>2E-3</v>
      </c>
    </row>
    <row r="2927" spans="1:4" x14ac:dyDescent="0.2">
      <c r="A2927" s="12" t="s">
        <v>10176</v>
      </c>
      <c r="B2927" s="12" t="s">
        <v>10175</v>
      </c>
      <c r="C2927" s="12" t="s">
        <v>59</v>
      </c>
      <c r="D2927" s="12" t="s">
        <v>59</v>
      </c>
    </row>
    <row r="2928" spans="1:4" x14ac:dyDescent="0.2">
      <c r="A2928" s="12" t="s">
        <v>10177</v>
      </c>
      <c r="B2928" s="12" t="s">
        <v>10175</v>
      </c>
      <c r="C2928" s="12">
        <v>1000</v>
      </c>
      <c r="D2928" s="12">
        <v>100</v>
      </c>
    </row>
    <row r="2929" spans="1:4" x14ac:dyDescent="0.2">
      <c r="A2929" s="12" t="s">
        <v>11835</v>
      </c>
      <c r="B2929" s="12" t="s">
        <v>11834</v>
      </c>
      <c r="C2929" s="12">
        <v>8.1</v>
      </c>
      <c r="D2929" s="12">
        <v>0.55000000000000004</v>
      </c>
    </row>
    <row r="2930" spans="1:4" x14ac:dyDescent="0.2">
      <c r="A2930" s="12" t="s">
        <v>7365</v>
      </c>
      <c r="B2930" s="12" t="s">
        <v>7364</v>
      </c>
      <c r="C2930" s="12" t="s">
        <v>59</v>
      </c>
      <c r="D2930" s="12" t="s">
        <v>59</v>
      </c>
    </row>
    <row r="2931" spans="1:4" x14ac:dyDescent="0.2">
      <c r="A2931" s="12" t="s">
        <v>12142</v>
      </c>
      <c r="B2931" s="12" t="s">
        <v>12141</v>
      </c>
      <c r="C2931" s="12">
        <v>180</v>
      </c>
      <c r="D2931" s="12">
        <v>18</v>
      </c>
    </row>
    <row r="2932" spans="1:4" x14ac:dyDescent="0.2">
      <c r="A2932" s="12" t="s">
        <v>10236</v>
      </c>
      <c r="B2932" s="12" t="s">
        <v>10235</v>
      </c>
      <c r="C2932" s="12" t="s">
        <v>59</v>
      </c>
      <c r="D2932" s="12" t="s">
        <v>59</v>
      </c>
    </row>
    <row r="2933" spans="1:4" x14ac:dyDescent="0.2">
      <c r="A2933" s="12" t="s">
        <v>10237</v>
      </c>
      <c r="B2933" s="12" t="s">
        <v>10235</v>
      </c>
      <c r="C2933" s="12">
        <v>600</v>
      </c>
      <c r="D2933" s="12">
        <v>60</v>
      </c>
    </row>
    <row r="2934" spans="1:4" x14ac:dyDescent="0.2">
      <c r="A2934" s="12" t="s">
        <v>7108</v>
      </c>
      <c r="B2934" s="12" t="s">
        <v>7107</v>
      </c>
      <c r="C2934" s="12">
        <v>100</v>
      </c>
      <c r="D2934" s="12">
        <v>10</v>
      </c>
    </row>
    <row r="2935" spans="1:4" x14ac:dyDescent="0.2">
      <c r="A2935" s="12" t="s">
        <v>2928</v>
      </c>
      <c r="B2935" s="12" t="s">
        <v>2927</v>
      </c>
      <c r="C2935" s="12">
        <v>90</v>
      </c>
      <c r="D2935" s="12">
        <v>9</v>
      </c>
    </row>
    <row r="2936" spans="1:4" x14ac:dyDescent="0.2">
      <c r="A2936" s="12" t="s">
        <v>2300</v>
      </c>
      <c r="B2936" s="12" t="s">
        <v>2299</v>
      </c>
      <c r="C2936" s="12">
        <v>1250</v>
      </c>
      <c r="D2936" s="12">
        <v>125</v>
      </c>
    </row>
    <row r="2937" spans="1:4" x14ac:dyDescent="0.2">
      <c r="A2937" s="12" t="s">
        <v>3233</v>
      </c>
      <c r="B2937" s="12" t="s">
        <v>3232</v>
      </c>
      <c r="C2937" s="12">
        <v>3400</v>
      </c>
      <c r="D2937" s="12">
        <v>340</v>
      </c>
    </row>
    <row r="2938" spans="1:4" x14ac:dyDescent="0.2">
      <c r="A2938" s="12" t="s">
        <v>410</v>
      </c>
      <c r="B2938" s="12" t="s">
        <v>409</v>
      </c>
      <c r="C2938" s="12">
        <v>100</v>
      </c>
      <c r="D2938" s="12">
        <v>10</v>
      </c>
    </row>
    <row r="2939" spans="1:4" x14ac:dyDescent="0.2">
      <c r="A2939" s="12" t="s">
        <v>3217</v>
      </c>
      <c r="B2939" s="12" t="s">
        <v>3216</v>
      </c>
      <c r="C2939" s="12">
        <v>30</v>
      </c>
      <c r="D2939" s="12">
        <v>3</v>
      </c>
    </row>
    <row r="2940" spans="1:4" x14ac:dyDescent="0.2">
      <c r="A2940" s="12" t="s">
        <v>11425</v>
      </c>
      <c r="B2940" s="12" t="s">
        <v>11424</v>
      </c>
      <c r="C2940" s="12" t="s">
        <v>59</v>
      </c>
      <c r="D2940" s="12" t="s">
        <v>59</v>
      </c>
    </row>
    <row r="2941" spans="1:4" x14ac:dyDescent="0.2">
      <c r="A2941" s="12" t="s">
        <v>257</v>
      </c>
      <c r="B2941" s="12" t="s">
        <v>256</v>
      </c>
      <c r="C2941" s="12">
        <v>440</v>
      </c>
      <c r="D2941" s="12">
        <v>44</v>
      </c>
    </row>
    <row r="2942" spans="1:4" x14ac:dyDescent="0.2">
      <c r="A2942" s="12" t="s">
        <v>7930</v>
      </c>
      <c r="B2942" s="12" t="s">
        <v>7929</v>
      </c>
      <c r="C2942" s="12">
        <v>2400</v>
      </c>
      <c r="D2942" s="12">
        <v>240</v>
      </c>
    </row>
    <row r="2943" spans="1:4" x14ac:dyDescent="0.2">
      <c r="A2943" s="12" t="s">
        <v>2799</v>
      </c>
      <c r="B2943" s="12" t="s">
        <v>2798</v>
      </c>
      <c r="C2943" s="12">
        <v>125</v>
      </c>
      <c r="D2943" s="12">
        <v>12.5</v>
      </c>
    </row>
    <row r="2944" spans="1:4" x14ac:dyDescent="0.2">
      <c r="A2944" s="12" t="s">
        <v>9113</v>
      </c>
      <c r="B2944" s="12" t="s">
        <v>9112</v>
      </c>
      <c r="C2944" s="12">
        <v>180</v>
      </c>
      <c r="D2944" s="12">
        <v>18</v>
      </c>
    </row>
    <row r="2945" spans="1:4" x14ac:dyDescent="0.2">
      <c r="A2945" s="12" t="s">
        <v>2554</v>
      </c>
      <c r="B2945" s="12" t="s">
        <v>2553</v>
      </c>
      <c r="C2945" s="12">
        <v>4800</v>
      </c>
      <c r="D2945" s="12">
        <v>450</v>
      </c>
    </row>
    <row r="2946" spans="1:4" x14ac:dyDescent="0.2">
      <c r="A2946" s="12" t="s">
        <v>1633</v>
      </c>
      <c r="B2946" s="12" t="s">
        <v>1632</v>
      </c>
      <c r="C2946" s="12">
        <v>1700</v>
      </c>
      <c r="D2946" s="12">
        <v>330</v>
      </c>
    </row>
    <row r="2947" spans="1:4" x14ac:dyDescent="0.2">
      <c r="A2947" s="12" t="s">
        <v>1558</v>
      </c>
      <c r="B2947" s="12" t="s">
        <v>1557</v>
      </c>
      <c r="C2947" s="12">
        <v>1700</v>
      </c>
      <c r="D2947" s="12">
        <v>330</v>
      </c>
    </row>
    <row r="2948" spans="1:4" x14ac:dyDescent="0.2">
      <c r="A2948" s="12" t="s">
        <v>1706</v>
      </c>
      <c r="B2948" s="12" t="s">
        <v>1705</v>
      </c>
      <c r="C2948" s="12">
        <v>1700</v>
      </c>
      <c r="D2948" s="12">
        <v>330</v>
      </c>
    </row>
    <row r="2949" spans="1:4" x14ac:dyDescent="0.2">
      <c r="A2949" s="12" t="s">
        <v>7477</v>
      </c>
      <c r="B2949" s="12" t="s">
        <v>7476</v>
      </c>
      <c r="C2949" s="12">
        <v>8.1</v>
      </c>
      <c r="D2949" s="12">
        <v>0.55000000000000004</v>
      </c>
    </row>
    <row r="2950" spans="1:4" x14ac:dyDescent="0.2">
      <c r="A2950" s="12" t="s">
        <v>4482</v>
      </c>
      <c r="B2950" s="12" t="s">
        <v>4481</v>
      </c>
      <c r="C2950" s="12">
        <v>1000</v>
      </c>
      <c r="D2950" s="12">
        <v>100</v>
      </c>
    </row>
    <row r="2951" spans="1:4" x14ac:dyDescent="0.2">
      <c r="A2951" s="12" t="s">
        <v>1756</v>
      </c>
      <c r="B2951" s="12" t="s">
        <v>1755</v>
      </c>
      <c r="C2951" s="12">
        <v>1700</v>
      </c>
      <c r="D2951" s="12">
        <v>170</v>
      </c>
    </row>
    <row r="2952" spans="1:4" x14ac:dyDescent="0.2">
      <c r="A2952" s="12" t="s">
        <v>11903</v>
      </c>
      <c r="B2952" s="12" t="s">
        <v>11902</v>
      </c>
      <c r="C2952" s="12">
        <v>350</v>
      </c>
      <c r="D2952" s="12">
        <v>35</v>
      </c>
    </row>
    <row r="2953" spans="1:4" x14ac:dyDescent="0.2">
      <c r="A2953" s="12" t="s">
        <v>1724</v>
      </c>
      <c r="B2953" s="12" t="s">
        <v>1723</v>
      </c>
      <c r="C2953" s="12">
        <v>5700</v>
      </c>
      <c r="D2953" s="12">
        <v>570</v>
      </c>
    </row>
    <row r="2954" spans="1:4" x14ac:dyDescent="0.2">
      <c r="A2954" s="12" t="s">
        <v>9669</v>
      </c>
      <c r="B2954" s="12" t="s">
        <v>9668</v>
      </c>
      <c r="C2954" s="12">
        <v>100</v>
      </c>
      <c r="D2954" s="12">
        <v>10</v>
      </c>
    </row>
    <row r="2955" spans="1:4" x14ac:dyDescent="0.2">
      <c r="A2955" s="12" t="s">
        <v>11879</v>
      </c>
      <c r="B2955" s="12" t="s">
        <v>11878</v>
      </c>
      <c r="C2955" s="12">
        <v>1700</v>
      </c>
      <c r="D2955" s="12">
        <v>170</v>
      </c>
    </row>
    <row r="2956" spans="1:4" x14ac:dyDescent="0.2">
      <c r="A2956" s="12" t="s">
        <v>10002</v>
      </c>
      <c r="B2956" s="12" t="s">
        <v>10001</v>
      </c>
      <c r="C2956" s="12" t="s">
        <v>59</v>
      </c>
      <c r="D2956" s="12" t="s">
        <v>59</v>
      </c>
    </row>
    <row r="2957" spans="1:4" x14ac:dyDescent="0.2">
      <c r="A2957" s="12" t="s">
        <v>232</v>
      </c>
      <c r="B2957" s="12" t="s">
        <v>231</v>
      </c>
      <c r="C2957" s="12" t="s">
        <v>59</v>
      </c>
      <c r="D2957" s="12" t="s">
        <v>59</v>
      </c>
    </row>
    <row r="2958" spans="1:4" x14ac:dyDescent="0.2">
      <c r="A2958" s="12" t="s">
        <v>8958</v>
      </c>
      <c r="B2958" s="12" t="s">
        <v>8957</v>
      </c>
      <c r="C2958" s="12">
        <v>500</v>
      </c>
      <c r="D2958" s="12">
        <v>50</v>
      </c>
    </row>
    <row r="2959" spans="1:4" x14ac:dyDescent="0.2">
      <c r="A2959" s="12" t="s">
        <v>296</v>
      </c>
      <c r="B2959" s="12" t="s">
        <v>295</v>
      </c>
      <c r="C2959" s="12">
        <v>10000</v>
      </c>
      <c r="D2959" s="12">
        <v>1000</v>
      </c>
    </row>
    <row r="2960" spans="1:4" x14ac:dyDescent="0.2">
      <c r="A2960" s="12" t="s">
        <v>9714</v>
      </c>
      <c r="B2960" s="12" t="s">
        <v>9713</v>
      </c>
      <c r="C2960" s="12">
        <v>630</v>
      </c>
      <c r="D2960" s="12">
        <v>63</v>
      </c>
    </row>
    <row r="2961" spans="1:4" x14ac:dyDescent="0.2">
      <c r="A2961" s="12" t="s">
        <v>7199</v>
      </c>
      <c r="B2961" s="12" t="s">
        <v>7198</v>
      </c>
      <c r="C2961" s="12">
        <v>100</v>
      </c>
      <c r="D2961" s="12">
        <v>10</v>
      </c>
    </row>
    <row r="2962" spans="1:4" x14ac:dyDescent="0.2">
      <c r="A2962" s="12" t="s">
        <v>4880</v>
      </c>
      <c r="B2962" s="12" t="s">
        <v>4879</v>
      </c>
      <c r="C2962" s="12" t="s">
        <v>59</v>
      </c>
      <c r="D2962" s="12" t="s">
        <v>59</v>
      </c>
    </row>
    <row r="2963" spans="1:4" x14ac:dyDescent="0.2">
      <c r="A2963" s="12" t="s">
        <v>255</v>
      </c>
      <c r="B2963" s="12" t="s">
        <v>254</v>
      </c>
      <c r="C2963" s="12" t="s">
        <v>59</v>
      </c>
      <c r="D2963" s="12" t="s">
        <v>59</v>
      </c>
    </row>
    <row r="2964" spans="1:4" x14ac:dyDescent="0.2">
      <c r="A2964" s="12" t="s">
        <v>10616</v>
      </c>
      <c r="B2964" s="12" t="s">
        <v>10615</v>
      </c>
      <c r="C2964" s="12">
        <v>0.7</v>
      </c>
      <c r="D2964" s="12">
        <v>0.1</v>
      </c>
    </row>
    <row r="2965" spans="1:4" x14ac:dyDescent="0.2">
      <c r="A2965" s="12" t="s">
        <v>2312</v>
      </c>
      <c r="B2965" s="12" t="s">
        <v>2311</v>
      </c>
      <c r="C2965" s="12">
        <v>190</v>
      </c>
      <c r="D2965" s="12">
        <v>19</v>
      </c>
    </row>
    <row r="2966" spans="1:4" x14ac:dyDescent="0.2">
      <c r="A2966" s="12" t="s">
        <v>10884</v>
      </c>
      <c r="B2966" s="12" t="s">
        <v>10883</v>
      </c>
      <c r="C2966" s="12" t="s">
        <v>59</v>
      </c>
      <c r="D2966" s="12" t="s">
        <v>59</v>
      </c>
    </row>
    <row r="2967" spans="1:4" x14ac:dyDescent="0.2">
      <c r="A2967" s="12" t="s">
        <v>12195</v>
      </c>
      <c r="B2967" s="12" t="s">
        <v>12194</v>
      </c>
      <c r="C2967" s="12">
        <v>100</v>
      </c>
      <c r="D2967" s="12">
        <v>10</v>
      </c>
    </row>
    <row r="2968" spans="1:4" x14ac:dyDescent="0.2">
      <c r="A2968" s="12" t="s">
        <v>12583</v>
      </c>
      <c r="B2968" s="12" t="s">
        <v>7906</v>
      </c>
      <c r="C2968" s="12">
        <v>8.1</v>
      </c>
      <c r="D2968" s="12">
        <v>0.55000000000000004</v>
      </c>
    </row>
    <row r="2969" spans="1:4" x14ac:dyDescent="0.2">
      <c r="A2969" s="12" t="s">
        <v>12584</v>
      </c>
      <c r="B2969" s="12" t="s">
        <v>7906</v>
      </c>
      <c r="C2969" s="12">
        <v>3.3</v>
      </c>
      <c r="D2969" s="12">
        <v>6.3E-2</v>
      </c>
    </row>
    <row r="2970" spans="1:4" x14ac:dyDescent="0.2">
      <c r="A2970" s="12" t="s">
        <v>2221</v>
      </c>
      <c r="B2970" s="12" t="s">
        <v>2220</v>
      </c>
      <c r="C2970" s="12">
        <v>1800</v>
      </c>
      <c r="D2970" s="12">
        <v>180</v>
      </c>
    </row>
    <row r="2971" spans="1:4" x14ac:dyDescent="0.2">
      <c r="A2971" s="12" t="s">
        <v>5837</v>
      </c>
      <c r="B2971" s="12" t="s">
        <v>5836</v>
      </c>
      <c r="C2971" s="12">
        <v>3</v>
      </c>
      <c r="D2971" s="12">
        <v>0.3</v>
      </c>
    </row>
    <row r="2972" spans="1:4" x14ac:dyDescent="0.2">
      <c r="A2972" s="12" t="s">
        <v>2558</v>
      </c>
      <c r="B2972" s="12" t="s">
        <v>2557</v>
      </c>
      <c r="C2972" s="12">
        <v>1700</v>
      </c>
      <c r="D2972" s="12">
        <v>330</v>
      </c>
    </row>
    <row r="2973" spans="1:4" x14ac:dyDescent="0.2">
      <c r="A2973" s="12" t="s">
        <v>3484</v>
      </c>
      <c r="B2973" s="12" t="s">
        <v>3483</v>
      </c>
      <c r="C2973" s="12" t="s">
        <v>59</v>
      </c>
      <c r="D2973" s="12" t="s">
        <v>59</v>
      </c>
    </row>
    <row r="2974" spans="1:4" x14ac:dyDescent="0.2">
      <c r="A2974" s="12" t="s">
        <v>7168</v>
      </c>
      <c r="B2974" s="12" t="s">
        <v>7167</v>
      </c>
      <c r="C2974" s="12">
        <v>50</v>
      </c>
      <c r="D2974" s="12">
        <v>5</v>
      </c>
    </row>
    <row r="2975" spans="1:4" x14ac:dyDescent="0.2">
      <c r="A2975" s="12" t="s">
        <v>4417</v>
      </c>
      <c r="B2975" s="12" t="s">
        <v>4416</v>
      </c>
      <c r="C2975" s="12">
        <v>100</v>
      </c>
      <c r="D2975" s="12">
        <v>10</v>
      </c>
    </row>
    <row r="2976" spans="1:4" x14ac:dyDescent="0.2">
      <c r="A2976" s="12" t="s">
        <v>6275</v>
      </c>
      <c r="B2976" s="12" t="s">
        <v>6274</v>
      </c>
      <c r="C2976" s="12" t="s">
        <v>59</v>
      </c>
      <c r="D2976" s="12" t="s">
        <v>59</v>
      </c>
    </row>
    <row r="2977" spans="1:4" x14ac:dyDescent="0.2">
      <c r="A2977" s="12" t="s">
        <v>6276</v>
      </c>
      <c r="B2977" s="12" t="s">
        <v>6274</v>
      </c>
      <c r="C2977" s="12">
        <v>1000</v>
      </c>
      <c r="D2977" s="12">
        <v>100</v>
      </c>
    </row>
    <row r="2978" spans="1:4" x14ac:dyDescent="0.2">
      <c r="A2978" s="12" t="s">
        <v>3187</v>
      </c>
      <c r="B2978" s="12" t="s">
        <v>3186</v>
      </c>
      <c r="C2978" s="12" t="s">
        <v>59</v>
      </c>
      <c r="D2978" s="12" t="s">
        <v>59</v>
      </c>
    </row>
    <row r="2979" spans="1:4" x14ac:dyDescent="0.2">
      <c r="A2979" s="12" t="s">
        <v>10579</v>
      </c>
      <c r="B2979" s="12" t="s">
        <v>10578</v>
      </c>
      <c r="C2979" s="12">
        <v>1860</v>
      </c>
      <c r="D2979" s="12">
        <v>186</v>
      </c>
    </row>
    <row r="2980" spans="1:4" x14ac:dyDescent="0.2">
      <c r="A2980" s="12" t="s">
        <v>5461</v>
      </c>
      <c r="B2980" s="12" t="s">
        <v>5460</v>
      </c>
      <c r="C2980" s="12">
        <v>8.6</v>
      </c>
      <c r="D2980" s="12">
        <v>2.5</v>
      </c>
    </row>
    <row r="2981" spans="1:4" x14ac:dyDescent="0.2">
      <c r="A2981" s="12" t="s">
        <v>735</v>
      </c>
      <c r="B2981" s="12" t="s">
        <v>734</v>
      </c>
      <c r="C2981" s="12">
        <v>5</v>
      </c>
      <c r="D2981" s="12">
        <v>0.5</v>
      </c>
    </row>
    <row r="2982" spans="1:4" x14ac:dyDescent="0.2">
      <c r="A2982" s="12" t="s">
        <v>5487</v>
      </c>
      <c r="B2982" s="12" t="s">
        <v>5486</v>
      </c>
      <c r="C2982" s="12">
        <v>20</v>
      </c>
      <c r="D2982" s="12">
        <v>2</v>
      </c>
    </row>
    <row r="2983" spans="1:4" x14ac:dyDescent="0.2">
      <c r="A2983" s="12" t="s">
        <v>6754</v>
      </c>
      <c r="B2983" s="12" t="s">
        <v>6753</v>
      </c>
      <c r="C2983" s="12">
        <v>140</v>
      </c>
      <c r="D2983" s="12">
        <v>14</v>
      </c>
    </row>
    <row r="2984" spans="1:4" x14ac:dyDescent="0.2">
      <c r="A2984" s="12" t="s">
        <v>318</v>
      </c>
      <c r="B2984" s="12" t="s">
        <v>317</v>
      </c>
      <c r="C2984" s="12">
        <v>34000</v>
      </c>
      <c r="D2984" s="12">
        <v>3400</v>
      </c>
    </row>
    <row r="2985" spans="1:4" x14ac:dyDescent="0.2">
      <c r="A2985" s="12" t="s">
        <v>2708</v>
      </c>
      <c r="B2985" s="12" t="s">
        <v>2707</v>
      </c>
      <c r="C2985" s="12">
        <v>10000</v>
      </c>
      <c r="D2985" s="12">
        <v>1000</v>
      </c>
    </row>
    <row r="2986" spans="1:4" x14ac:dyDescent="0.2">
      <c r="A2986" s="12" t="s">
        <v>1946</v>
      </c>
      <c r="B2986" s="12" t="s">
        <v>1945</v>
      </c>
      <c r="C2986" s="12">
        <v>61000</v>
      </c>
      <c r="D2986" s="12">
        <v>6100</v>
      </c>
    </row>
    <row r="2987" spans="1:4" x14ac:dyDescent="0.2">
      <c r="A2987" s="12" t="s">
        <v>290</v>
      </c>
      <c r="B2987" s="12" t="s">
        <v>289</v>
      </c>
      <c r="C2987" s="12">
        <v>10000</v>
      </c>
      <c r="D2987" s="12">
        <v>1000</v>
      </c>
    </row>
    <row r="2988" spans="1:4" x14ac:dyDescent="0.2">
      <c r="A2988" s="12" t="s">
        <v>1987</v>
      </c>
      <c r="B2988" s="12" t="s">
        <v>1986</v>
      </c>
      <c r="C2988" s="12">
        <v>10000</v>
      </c>
      <c r="D2988" s="12">
        <v>1000</v>
      </c>
    </row>
    <row r="2989" spans="1:4" x14ac:dyDescent="0.2">
      <c r="A2989" s="12" t="s">
        <v>5241</v>
      </c>
      <c r="B2989" s="12" t="s">
        <v>5240</v>
      </c>
      <c r="C2989" s="12">
        <v>100</v>
      </c>
      <c r="D2989" s="12">
        <v>10</v>
      </c>
    </row>
    <row r="2990" spans="1:4" x14ac:dyDescent="0.2">
      <c r="A2990" s="12" t="s">
        <v>88</v>
      </c>
      <c r="B2990" s="12" t="s">
        <v>87</v>
      </c>
      <c r="C2990" s="12" t="s">
        <v>59</v>
      </c>
      <c r="D2990" s="12" t="s">
        <v>59</v>
      </c>
    </row>
    <row r="2991" spans="1:4" x14ac:dyDescent="0.2">
      <c r="A2991" s="12" t="s">
        <v>6721</v>
      </c>
      <c r="B2991" s="12" t="s">
        <v>6720</v>
      </c>
      <c r="C2991" s="12">
        <v>1900</v>
      </c>
      <c r="D2991" s="12">
        <v>190</v>
      </c>
    </row>
    <row r="2992" spans="1:4" x14ac:dyDescent="0.2">
      <c r="A2992" s="12" t="s">
        <v>2534</v>
      </c>
      <c r="B2992" s="12" t="s">
        <v>2533</v>
      </c>
      <c r="C2992" s="12">
        <v>10000</v>
      </c>
      <c r="D2992" s="12">
        <v>1000</v>
      </c>
    </row>
    <row r="2993" spans="1:4" x14ac:dyDescent="0.2">
      <c r="A2993" s="12" t="s">
        <v>5924</v>
      </c>
      <c r="B2993" s="12" t="s">
        <v>5923</v>
      </c>
      <c r="C2993" s="12">
        <v>1000</v>
      </c>
      <c r="D2993" s="12">
        <v>100</v>
      </c>
    </row>
    <row r="2994" spans="1:4" x14ac:dyDescent="0.2">
      <c r="A2994" s="12" t="s">
        <v>10428</v>
      </c>
      <c r="B2994" s="12" t="s">
        <v>10427</v>
      </c>
      <c r="C2994" s="12" t="s">
        <v>59</v>
      </c>
      <c r="D2994" s="12" t="s">
        <v>59</v>
      </c>
    </row>
    <row r="2995" spans="1:4" x14ac:dyDescent="0.2">
      <c r="A2995" s="12" t="s">
        <v>6247</v>
      </c>
      <c r="B2995" s="12" t="s">
        <v>6246</v>
      </c>
      <c r="C2995" s="12" t="s">
        <v>59</v>
      </c>
      <c r="D2995" s="12" t="s">
        <v>59</v>
      </c>
    </row>
    <row r="2996" spans="1:4" x14ac:dyDescent="0.2">
      <c r="A2996" s="12" t="s">
        <v>8630</v>
      </c>
      <c r="B2996" s="12" t="s">
        <v>8629</v>
      </c>
      <c r="C2996" s="12">
        <v>1000</v>
      </c>
      <c r="D2996" s="12">
        <v>100</v>
      </c>
    </row>
    <row r="2997" spans="1:4" x14ac:dyDescent="0.2">
      <c r="A2997" s="12" t="s">
        <v>6040</v>
      </c>
      <c r="B2997" s="12" t="s">
        <v>6039</v>
      </c>
      <c r="C2997" s="12">
        <v>140</v>
      </c>
      <c r="D2997" s="12">
        <v>14</v>
      </c>
    </row>
    <row r="2998" spans="1:4" x14ac:dyDescent="0.2">
      <c r="A2998" s="12" t="s">
        <v>4407</v>
      </c>
      <c r="B2998" s="12" t="s">
        <v>4406</v>
      </c>
      <c r="C2998" s="12">
        <v>100</v>
      </c>
      <c r="D2998" s="12">
        <v>10</v>
      </c>
    </row>
    <row r="2999" spans="1:4" x14ac:dyDescent="0.2">
      <c r="A2999" s="12" t="s">
        <v>338</v>
      </c>
      <c r="B2999" s="12" t="s">
        <v>337</v>
      </c>
      <c r="C2999" s="12">
        <v>3500</v>
      </c>
      <c r="D2999" s="12">
        <v>350</v>
      </c>
    </row>
    <row r="3000" spans="1:4" x14ac:dyDescent="0.2">
      <c r="A3000" s="12" t="s">
        <v>12407</v>
      </c>
      <c r="B3000" s="12" t="s">
        <v>12406</v>
      </c>
      <c r="C3000" s="12" t="s">
        <v>59</v>
      </c>
      <c r="D3000" s="12" t="s">
        <v>59</v>
      </c>
    </row>
    <row r="3001" spans="1:4" x14ac:dyDescent="0.2">
      <c r="A3001" s="12" t="s">
        <v>12408</v>
      </c>
      <c r="B3001" s="12" t="s">
        <v>12406</v>
      </c>
      <c r="C3001" s="12">
        <v>1500</v>
      </c>
      <c r="D3001" s="12">
        <v>150</v>
      </c>
    </row>
    <row r="3002" spans="1:4" x14ac:dyDescent="0.2">
      <c r="A3002" s="12" t="s">
        <v>8114</v>
      </c>
      <c r="B3002" s="12" t="s">
        <v>8113</v>
      </c>
      <c r="C3002" s="12" t="s">
        <v>59</v>
      </c>
      <c r="D3002" s="12" t="s">
        <v>59</v>
      </c>
    </row>
    <row r="3003" spans="1:4" x14ac:dyDescent="0.2">
      <c r="A3003" s="12" t="s">
        <v>8115</v>
      </c>
      <c r="B3003" s="12" t="s">
        <v>8113</v>
      </c>
      <c r="C3003" s="12">
        <v>600</v>
      </c>
      <c r="D3003" s="12">
        <v>60</v>
      </c>
    </row>
    <row r="3004" spans="1:4" x14ac:dyDescent="0.2">
      <c r="A3004" s="12" t="s">
        <v>7406</v>
      </c>
      <c r="B3004" s="12" t="s">
        <v>7405</v>
      </c>
      <c r="C3004" s="12">
        <v>10000</v>
      </c>
      <c r="D3004" s="12">
        <v>2700</v>
      </c>
    </row>
    <row r="3005" spans="1:4" x14ac:dyDescent="0.2">
      <c r="A3005" s="12" t="s">
        <v>1118</v>
      </c>
      <c r="B3005" s="12" t="s">
        <v>1117</v>
      </c>
      <c r="C3005" s="12">
        <v>100</v>
      </c>
      <c r="D3005" s="12">
        <v>10</v>
      </c>
    </row>
    <row r="3006" spans="1:4" x14ac:dyDescent="0.2">
      <c r="A3006" s="12" t="s">
        <v>2298</v>
      </c>
      <c r="B3006" s="12" t="s">
        <v>2297</v>
      </c>
      <c r="C3006" s="12">
        <v>3</v>
      </c>
      <c r="D3006" s="12">
        <v>0.3</v>
      </c>
    </row>
    <row r="3007" spans="1:4" x14ac:dyDescent="0.2">
      <c r="A3007" s="12" t="s">
        <v>10124</v>
      </c>
      <c r="B3007" s="12" t="s">
        <v>10123</v>
      </c>
      <c r="C3007" s="12" t="s">
        <v>59</v>
      </c>
      <c r="D3007" s="12" t="s">
        <v>59</v>
      </c>
    </row>
    <row r="3008" spans="1:4" x14ac:dyDescent="0.2">
      <c r="A3008" s="12" t="s">
        <v>9581</v>
      </c>
      <c r="B3008" s="12" t="s">
        <v>9580</v>
      </c>
      <c r="C3008" s="12">
        <v>16</v>
      </c>
      <c r="D3008" s="12">
        <v>1.6</v>
      </c>
    </row>
    <row r="3009" spans="1:4" x14ac:dyDescent="0.2">
      <c r="A3009" s="12" t="s">
        <v>2661</v>
      </c>
      <c r="B3009" s="12" t="s">
        <v>2660</v>
      </c>
      <c r="C3009" s="12">
        <v>10</v>
      </c>
      <c r="D3009" s="12">
        <v>1</v>
      </c>
    </row>
    <row r="3010" spans="1:4" x14ac:dyDescent="0.2">
      <c r="A3010" s="12" t="s">
        <v>1100</v>
      </c>
      <c r="B3010" s="12" t="s">
        <v>1099</v>
      </c>
      <c r="C3010" s="12">
        <v>3500</v>
      </c>
      <c r="D3010" s="12">
        <v>350</v>
      </c>
    </row>
    <row r="3011" spans="1:4" x14ac:dyDescent="0.2">
      <c r="A3011" s="12" t="s">
        <v>7542</v>
      </c>
      <c r="B3011" s="12" t="s">
        <v>7541</v>
      </c>
      <c r="C3011" s="12">
        <v>3500</v>
      </c>
      <c r="D3011" s="12">
        <v>350</v>
      </c>
    </row>
    <row r="3012" spans="1:4" x14ac:dyDescent="0.2">
      <c r="A3012" s="12" t="s">
        <v>637</v>
      </c>
      <c r="B3012" s="12" t="s">
        <v>636</v>
      </c>
      <c r="C3012" s="12">
        <v>1000</v>
      </c>
      <c r="D3012" s="12">
        <v>100</v>
      </c>
    </row>
    <row r="3013" spans="1:4" x14ac:dyDescent="0.2">
      <c r="A3013" s="12" t="s">
        <v>12177</v>
      </c>
      <c r="B3013" s="12" t="s">
        <v>12176</v>
      </c>
      <c r="C3013" s="12">
        <v>10</v>
      </c>
      <c r="D3013" s="12">
        <v>1</v>
      </c>
    </row>
    <row r="3014" spans="1:4" x14ac:dyDescent="0.2">
      <c r="A3014" s="12" t="s">
        <v>1851</v>
      </c>
      <c r="B3014" s="12" t="s">
        <v>1850</v>
      </c>
      <c r="C3014" s="12">
        <v>290</v>
      </c>
      <c r="D3014" s="12">
        <v>3.3</v>
      </c>
    </row>
    <row r="3015" spans="1:4" x14ac:dyDescent="0.2">
      <c r="A3015" s="12" t="s">
        <v>11924</v>
      </c>
      <c r="B3015" s="12" t="s">
        <v>11923</v>
      </c>
      <c r="C3015" s="12">
        <v>50</v>
      </c>
      <c r="D3015" s="12">
        <v>5</v>
      </c>
    </row>
    <row r="3016" spans="1:4" x14ac:dyDescent="0.2">
      <c r="A3016" s="12" t="s">
        <v>82</v>
      </c>
      <c r="B3016" s="12" t="s">
        <v>81</v>
      </c>
      <c r="C3016" s="12">
        <v>10000</v>
      </c>
      <c r="D3016" s="12">
        <v>1000</v>
      </c>
    </row>
    <row r="3017" spans="1:4" x14ac:dyDescent="0.2">
      <c r="A3017" s="12" t="s">
        <v>1526</v>
      </c>
      <c r="B3017" s="12" t="s">
        <v>1525</v>
      </c>
      <c r="C3017" s="12">
        <v>38000</v>
      </c>
      <c r="D3017" s="12">
        <v>3800</v>
      </c>
    </row>
    <row r="3018" spans="1:4" x14ac:dyDescent="0.2">
      <c r="A3018" s="12" t="s">
        <v>3237</v>
      </c>
      <c r="B3018" s="12" t="s">
        <v>3236</v>
      </c>
      <c r="C3018" s="12">
        <v>3500</v>
      </c>
      <c r="D3018" s="12">
        <v>350</v>
      </c>
    </row>
    <row r="3019" spans="1:4" x14ac:dyDescent="0.2">
      <c r="A3019" s="12" t="s">
        <v>282</v>
      </c>
      <c r="B3019" s="12" t="s">
        <v>281</v>
      </c>
      <c r="C3019" s="12">
        <v>10000</v>
      </c>
      <c r="D3019" s="12">
        <v>1000</v>
      </c>
    </row>
    <row r="3020" spans="1:4" x14ac:dyDescent="0.2">
      <c r="A3020" s="12" t="s">
        <v>2487</v>
      </c>
      <c r="B3020" s="12" t="s">
        <v>2486</v>
      </c>
      <c r="C3020" s="12" t="s">
        <v>59</v>
      </c>
      <c r="D3020" s="12" t="s">
        <v>59</v>
      </c>
    </row>
    <row r="3021" spans="1:4" x14ac:dyDescent="0.2">
      <c r="A3021" s="12" t="s">
        <v>2488</v>
      </c>
      <c r="B3021" s="12" t="s">
        <v>2486</v>
      </c>
      <c r="C3021" s="12">
        <v>600</v>
      </c>
      <c r="D3021" s="12">
        <v>60</v>
      </c>
    </row>
    <row r="3022" spans="1:4" x14ac:dyDescent="0.2">
      <c r="A3022" s="12" t="s">
        <v>5546</v>
      </c>
      <c r="B3022" s="12" t="s">
        <v>5545</v>
      </c>
      <c r="C3022" s="12">
        <v>3000</v>
      </c>
      <c r="D3022" s="12">
        <v>300</v>
      </c>
    </row>
    <row r="3023" spans="1:4" x14ac:dyDescent="0.2">
      <c r="A3023" s="12" t="s">
        <v>6215</v>
      </c>
      <c r="B3023" s="12" t="s">
        <v>6214</v>
      </c>
      <c r="C3023" s="12" t="s">
        <v>59</v>
      </c>
      <c r="D3023" s="12" t="s">
        <v>59</v>
      </c>
    </row>
    <row r="3024" spans="1:4" x14ac:dyDescent="0.2">
      <c r="A3024" s="12" t="s">
        <v>6391</v>
      </c>
      <c r="B3024" s="12" t="s">
        <v>6390</v>
      </c>
      <c r="C3024" s="12">
        <v>50</v>
      </c>
      <c r="D3024" s="12">
        <v>5</v>
      </c>
    </row>
    <row r="3025" spans="1:4" x14ac:dyDescent="0.2">
      <c r="A3025" s="12" t="s">
        <v>9153</v>
      </c>
      <c r="B3025" s="12" t="s">
        <v>9152</v>
      </c>
      <c r="C3025" s="12">
        <v>240</v>
      </c>
      <c r="D3025" s="12">
        <v>24</v>
      </c>
    </row>
    <row r="3026" spans="1:4" x14ac:dyDescent="0.2">
      <c r="A3026" s="12" t="s">
        <v>2251</v>
      </c>
      <c r="B3026" s="12" t="s">
        <v>2250</v>
      </c>
      <c r="C3026" s="12">
        <v>800</v>
      </c>
      <c r="D3026" s="12">
        <v>80</v>
      </c>
    </row>
    <row r="3027" spans="1:4" x14ac:dyDescent="0.2">
      <c r="A3027" s="12" t="s">
        <v>1320</v>
      </c>
      <c r="B3027" s="12" t="s">
        <v>1319</v>
      </c>
      <c r="C3027" s="12" t="s">
        <v>59</v>
      </c>
      <c r="D3027" s="12" t="s">
        <v>59</v>
      </c>
    </row>
    <row r="3028" spans="1:4" x14ac:dyDescent="0.2">
      <c r="A3028" s="12" t="s">
        <v>6719</v>
      </c>
      <c r="B3028" s="12" t="s">
        <v>6718</v>
      </c>
      <c r="C3028" s="12">
        <v>190</v>
      </c>
      <c r="D3028" s="12">
        <v>19</v>
      </c>
    </row>
    <row r="3029" spans="1:4" x14ac:dyDescent="0.2">
      <c r="A3029" s="12" t="s">
        <v>7262</v>
      </c>
      <c r="B3029" s="12" t="s">
        <v>7261</v>
      </c>
      <c r="C3029" s="12">
        <v>1000</v>
      </c>
      <c r="D3029" s="12">
        <v>100</v>
      </c>
    </row>
    <row r="3030" spans="1:4" x14ac:dyDescent="0.2">
      <c r="A3030" s="12" t="s">
        <v>4690</v>
      </c>
      <c r="B3030" s="12" t="s">
        <v>4689</v>
      </c>
      <c r="C3030" s="12" t="s">
        <v>59</v>
      </c>
      <c r="D3030" s="12" t="s">
        <v>59</v>
      </c>
    </row>
    <row r="3031" spans="1:4" x14ac:dyDescent="0.2">
      <c r="A3031" s="12" t="s">
        <v>12312</v>
      </c>
      <c r="B3031" s="12" t="s">
        <v>12311</v>
      </c>
      <c r="C3031" s="12" t="s">
        <v>59</v>
      </c>
      <c r="D3031" s="12" t="s">
        <v>59</v>
      </c>
    </row>
    <row r="3032" spans="1:4" x14ac:dyDescent="0.2">
      <c r="A3032" s="12" t="s">
        <v>12313</v>
      </c>
      <c r="B3032" s="12" t="s">
        <v>12311</v>
      </c>
      <c r="C3032" s="12">
        <v>500</v>
      </c>
      <c r="D3032" s="12">
        <v>50</v>
      </c>
    </row>
    <row r="3033" spans="1:4" x14ac:dyDescent="0.2">
      <c r="A3033" s="12" t="s">
        <v>1728</v>
      </c>
      <c r="B3033" s="12" t="s">
        <v>1727</v>
      </c>
      <c r="C3033" s="12">
        <v>1000</v>
      </c>
      <c r="D3033" s="12">
        <v>100</v>
      </c>
    </row>
    <row r="3034" spans="1:4" x14ac:dyDescent="0.2">
      <c r="A3034" s="12" t="s">
        <v>2848</v>
      </c>
      <c r="B3034" s="12" t="s">
        <v>2847</v>
      </c>
      <c r="C3034" s="12">
        <v>1200</v>
      </c>
      <c r="D3034" s="12">
        <v>120</v>
      </c>
    </row>
    <row r="3035" spans="1:4" x14ac:dyDescent="0.2">
      <c r="A3035" s="12" t="s">
        <v>6744</v>
      </c>
      <c r="B3035" s="12" t="s">
        <v>6743</v>
      </c>
      <c r="C3035" s="12">
        <v>2900</v>
      </c>
      <c r="D3035" s="12">
        <v>3700</v>
      </c>
    </row>
    <row r="3036" spans="1:4" x14ac:dyDescent="0.2">
      <c r="A3036" s="12" t="s">
        <v>2944</v>
      </c>
      <c r="B3036" s="12" t="s">
        <v>2943</v>
      </c>
      <c r="C3036" s="12">
        <v>240</v>
      </c>
      <c r="D3036" s="12">
        <v>24</v>
      </c>
    </row>
    <row r="3037" spans="1:4" x14ac:dyDescent="0.2">
      <c r="A3037" s="12" t="s">
        <v>4449</v>
      </c>
      <c r="B3037" s="12" t="s">
        <v>4448</v>
      </c>
      <c r="C3037" s="12">
        <v>50</v>
      </c>
      <c r="D3037" s="12">
        <v>5</v>
      </c>
    </row>
    <row r="3038" spans="1:4" x14ac:dyDescent="0.2">
      <c r="A3038" s="12" t="s">
        <v>2205</v>
      </c>
      <c r="B3038" s="12" t="s">
        <v>2204</v>
      </c>
      <c r="C3038" s="12">
        <v>500</v>
      </c>
      <c r="D3038" s="12">
        <v>50</v>
      </c>
    </row>
    <row r="3039" spans="1:4" x14ac:dyDescent="0.2">
      <c r="A3039" s="12" t="s">
        <v>2864</v>
      </c>
      <c r="B3039" s="12" t="s">
        <v>2863</v>
      </c>
      <c r="C3039" s="12">
        <v>1200</v>
      </c>
      <c r="D3039" s="12">
        <v>120</v>
      </c>
    </row>
    <row r="3040" spans="1:4" x14ac:dyDescent="0.2">
      <c r="A3040" s="12" t="s">
        <v>3161</v>
      </c>
      <c r="B3040" s="12" t="s">
        <v>3160</v>
      </c>
      <c r="C3040" s="12">
        <v>1700</v>
      </c>
      <c r="D3040" s="12">
        <v>170</v>
      </c>
    </row>
    <row r="3041" spans="1:4" x14ac:dyDescent="0.2">
      <c r="A3041" s="12" t="s">
        <v>584</v>
      </c>
      <c r="B3041" s="12" t="s">
        <v>583</v>
      </c>
      <c r="C3041" s="12">
        <v>3030</v>
      </c>
      <c r="D3041" s="12">
        <v>303</v>
      </c>
    </row>
    <row r="3042" spans="1:4" x14ac:dyDescent="0.2">
      <c r="A3042" s="12" t="s">
        <v>11215</v>
      </c>
      <c r="B3042" s="12" t="s">
        <v>11214</v>
      </c>
      <c r="C3042" s="12" t="s">
        <v>59</v>
      </c>
      <c r="D3042" s="12" t="s">
        <v>59</v>
      </c>
    </row>
    <row r="3043" spans="1:4" x14ac:dyDescent="0.2">
      <c r="A3043" s="12" t="s">
        <v>3239</v>
      </c>
      <c r="B3043" s="12" t="s">
        <v>3238</v>
      </c>
      <c r="C3043" s="12">
        <v>270</v>
      </c>
      <c r="D3043" s="12">
        <v>27</v>
      </c>
    </row>
    <row r="3044" spans="1:4" x14ac:dyDescent="0.2">
      <c r="A3044" s="12" t="s">
        <v>5562</v>
      </c>
      <c r="B3044" s="12" t="s">
        <v>5561</v>
      </c>
      <c r="C3044" s="12">
        <v>100</v>
      </c>
      <c r="D3044" s="12">
        <v>10</v>
      </c>
    </row>
    <row r="3045" spans="1:4" x14ac:dyDescent="0.2">
      <c r="A3045" s="12" t="s">
        <v>11540</v>
      </c>
      <c r="B3045" s="12" t="s">
        <v>11539</v>
      </c>
      <c r="C3045" s="12">
        <v>100</v>
      </c>
      <c r="D3045" s="12">
        <v>10</v>
      </c>
    </row>
    <row r="3046" spans="1:4" x14ac:dyDescent="0.2">
      <c r="A3046" s="12" t="s">
        <v>100</v>
      </c>
      <c r="B3046" s="12" t="s">
        <v>99</v>
      </c>
      <c r="C3046" s="12">
        <v>3500</v>
      </c>
      <c r="D3046" s="12">
        <v>350</v>
      </c>
    </row>
    <row r="3047" spans="1:4" x14ac:dyDescent="0.2">
      <c r="A3047" s="12" t="s">
        <v>356</v>
      </c>
      <c r="B3047" s="12" t="s">
        <v>355</v>
      </c>
      <c r="C3047" s="12">
        <v>3500</v>
      </c>
      <c r="D3047" s="12">
        <v>350</v>
      </c>
    </row>
    <row r="3048" spans="1:4" x14ac:dyDescent="0.2">
      <c r="A3048" s="12" t="s">
        <v>10046</v>
      </c>
      <c r="B3048" s="12" t="s">
        <v>10045</v>
      </c>
      <c r="C3048" s="12" t="s">
        <v>59</v>
      </c>
      <c r="D3048" s="12" t="s">
        <v>59</v>
      </c>
    </row>
    <row r="3049" spans="1:4" x14ac:dyDescent="0.2">
      <c r="A3049" s="12" t="s">
        <v>9196</v>
      </c>
      <c r="B3049" s="12" t="s">
        <v>9195</v>
      </c>
      <c r="C3049" s="12">
        <v>100</v>
      </c>
      <c r="D3049" s="12">
        <v>10</v>
      </c>
    </row>
    <row r="3050" spans="1:4" x14ac:dyDescent="0.2">
      <c r="A3050" s="12" t="s">
        <v>2325</v>
      </c>
      <c r="B3050" s="12" t="s">
        <v>2324</v>
      </c>
      <c r="C3050" s="12">
        <v>480</v>
      </c>
      <c r="D3050" s="12">
        <v>48</v>
      </c>
    </row>
    <row r="3051" spans="1:4" x14ac:dyDescent="0.2">
      <c r="A3051" s="12" t="s">
        <v>112</v>
      </c>
      <c r="B3051" s="12" t="s">
        <v>111</v>
      </c>
      <c r="C3051" s="12">
        <v>2900</v>
      </c>
      <c r="D3051" s="12">
        <v>3700</v>
      </c>
    </row>
    <row r="3052" spans="1:4" x14ac:dyDescent="0.2">
      <c r="A3052" s="12" t="s">
        <v>1473</v>
      </c>
      <c r="B3052" s="12" t="s">
        <v>1472</v>
      </c>
      <c r="C3052" s="12">
        <v>1700</v>
      </c>
      <c r="D3052" s="12">
        <v>170</v>
      </c>
    </row>
    <row r="3053" spans="1:4" x14ac:dyDescent="0.2">
      <c r="A3053" s="12" t="s">
        <v>2502</v>
      </c>
      <c r="B3053" s="12" t="s">
        <v>2501</v>
      </c>
      <c r="C3053" s="12">
        <v>1000</v>
      </c>
      <c r="D3053" s="12">
        <v>100</v>
      </c>
    </row>
    <row r="3054" spans="1:4" x14ac:dyDescent="0.2">
      <c r="A3054" s="12" t="s">
        <v>9226</v>
      </c>
      <c r="B3054" s="12" t="s">
        <v>9225</v>
      </c>
      <c r="C3054" s="12">
        <v>8</v>
      </c>
      <c r="D3054" s="12">
        <v>0.8</v>
      </c>
    </row>
    <row r="3055" spans="1:4" x14ac:dyDescent="0.2">
      <c r="A3055" s="12" t="s">
        <v>8440</v>
      </c>
      <c r="B3055" s="12" t="s">
        <v>8439</v>
      </c>
      <c r="C3055" s="12">
        <v>80</v>
      </c>
      <c r="D3055" s="12">
        <v>8</v>
      </c>
    </row>
    <row r="3056" spans="1:4" x14ac:dyDescent="0.2">
      <c r="A3056" s="12" t="s">
        <v>342</v>
      </c>
      <c r="B3056" s="12" t="s">
        <v>341</v>
      </c>
      <c r="C3056" s="12">
        <v>58</v>
      </c>
      <c r="D3056" s="12">
        <v>5.8</v>
      </c>
    </row>
    <row r="3057" spans="1:4" x14ac:dyDescent="0.2">
      <c r="A3057" s="12" t="s">
        <v>3038</v>
      </c>
      <c r="B3057" s="12" t="s">
        <v>3037</v>
      </c>
      <c r="C3057" s="12">
        <v>1500</v>
      </c>
      <c r="D3057" s="12">
        <v>150</v>
      </c>
    </row>
    <row r="3058" spans="1:4" x14ac:dyDescent="0.2">
      <c r="A3058" s="12" t="s">
        <v>5491</v>
      </c>
      <c r="B3058" s="12" t="s">
        <v>5490</v>
      </c>
      <c r="C3058" s="12">
        <v>110</v>
      </c>
      <c r="D3058" s="12">
        <v>11</v>
      </c>
    </row>
    <row r="3059" spans="1:4" x14ac:dyDescent="0.2">
      <c r="A3059" s="12" t="s">
        <v>2700</v>
      </c>
      <c r="B3059" s="12" t="s">
        <v>2699</v>
      </c>
      <c r="C3059" s="12">
        <v>10000</v>
      </c>
      <c r="D3059" s="12">
        <v>1000</v>
      </c>
    </row>
    <row r="3060" spans="1:4" x14ac:dyDescent="0.2">
      <c r="A3060" s="12" t="s">
        <v>305</v>
      </c>
      <c r="B3060" s="12" t="s">
        <v>304</v>
      </c>
      <c r="C3060" s="12">
        <v>10000</v>
      </c>
      <c r="D3060" s="12">
        <v>1000</v>
      </c>
    </row>
    <row r="3061" spans="1:4" x14ac:dyDescent="0.2">
      <c r="A3061" s="12" t="s">
        <v>298</v>
      </c>
      <c r="B3061" s="12" t="s">
        <v>297</v>
      </c>
      <c r="C3061" s="12">
        <v>16440</v>
      </c>
      <c r="D3061" s="12">
        <v>1640</v>
      </c>
    </row>
    <row r="3062" spans="1:4" x14ac:dyDescent="0.2">
      <c r="A3062" s="12" t="s">
        <v>5497</v>
      </c>
      <c r="B3062" s="12" t="s">
        <v>5496</v>
      </c>
      <c r="C3062" s="12">
        <v>100</v>
      </c>
      <c r="D3062" s="12">
        <v>10</v>
      </c>
    </row>
    <row r="3063" spans="1:4" x14ac:dyDescent="0.2">
      <c r="A3063" s="12" t="s">
        <v>7172</v>
      </c>
      <c r="B3063" s="12" t="s">
        <v>7171</v>
      </c>
      <c r="C3063" s="12">
        <v>390</v>
      </c>
      <c r="D3063" s="12">
        <v>39</v>
      </c>
    </row>
    <row r="3064" spans="1:4" x14ac:dyDescent="0.2">
      <c r="A3064" s="12" t="s">
        <v>1862</v>
      </c>
      <c r="B3064" s="12" t="s">
        <v>1861</v>
      </c>
      <c r="C3064" s="12">
        <v>100</v>
      </c>
      <c r="D3064" s="12">
        <v>10</v>
      </c>
    </row>
    <row r="3065" spans="1:4" x14ac:dyDescent="0.2">
      <c r="A3065" s="12" t="s">
        <v>2689</v>
      </c>
      <c r="B3065" s="12" t="s">
        <v>2688</v>
      </c>
      <c r="C3065" s="12">
        <v>15</v>
      </c>
      <c r="D3065" s="12">
        <v>1.5</v>
      </c>
    </row>
    <row r="3066" spans="1:4" x14ac:dyDescent="0.2">
      <c r="A3066" s="12" t="s">
        <v>9720</v>
      </c>
      <c r="B3066" s="12" t="s">
        <v>9719</v>
      </c>
      <c r="C3066" s="12">
        <v>200</v>
      </c>
      <c r="D3066" s="12">
        <v>20</v>
      </c>
    </row>
    <row r="3067" spans="1:4" x14ac:dyDescent="0.2">
      <c r="A3067" s="12" t="s">
        <v>5878</v>
      </c>
      <c r="B3067" s="12" t="s">
        <v>5877</v>
      </c>
      <c r="C3067" s="12">
        <v>1000</v>
      </c>
      <c r="D3067" s="12">
        <v>100</v>
      </c>
    </row>
    <row r="3068" spans="1:4" x14ac:dyDescent="0.2">
      <c r="A3068" s="12" t="s">
        <v>627</v>
      </c>
      <c r="B3068" s="12" t="s">
        <v>626</v>
      </c>
      <c r="C3068" s="12">
        <v>1100</v>
      </c>
      <c r="D3068" s="12">
        <v>9.9</v>
      </c>
    </row>
    <row r="3069" spans="1:4" x14ac:dyDescent="0.2">
      <c r="A3069" s="12" t="s">
        <v>7994</v>
      </c>
      <c r="B3069" s="12" t="s">
        <v>7993</v>
      </c>
      <c r="C3069" s="12">
        <v>10</v>
      </c>
      <c r="D3069" s="12">
        <v>1</v>
      </c>
    </row>
    <row r="3070" spans="1:4" x14ac:dyDescent="0.2">
      <c r="A3070" s="12" t="s">
        <v>4959</v>
      </c>
      <c r="B3070" s="12" t="s">
        <v>4958</v>
      </c>
      <c r="C3070" s="12">
        <v>130</v>
      </c>
      <c r="D3070" s="12">
        <v>2.6</v>
      </c>
    </row>
    <row r="3071" spans="1:4" x14ac:dyDescent="0.2">
      <c r="A3071" s="12" t="s">
        <v>2926</v>
      </c>
      <c r="B3071" s="12" t="s">
        <v>2925</v>
      </c>
      <c r="C3071" s="12">
        <v>120</v>
      </c>
      <c r="D3071" s="12">
        <v>12</v>
      </c>
    </row>
    <row r="3072" spans="1:4" x14ac:dyDescent="0.2">
      <c r="A3072" s="12" t="s">
        <v>11784</v>
      </c>
      <c r="B3072" s="12" t="s">
        <v>11783</v>
      </c>
      <c r="C3072" s="12">
        <v>10</v>
      </c>
      <c r="D3072" s="12">
        <v>1</v>
      </c>
    </row>
    <row r="3073" spans="1:4" x14ac:dyDescent="0.2">
      <c r="A3073" s="12" t="s">
        <v>9123</v>
      </c>
      <c r="B3073" s="12" t="s">
        <v>9122</v>
      </c>
      <c r="C3073" s="12">
        <v>59000</v>
      </c>
      <c r="D3073" s="12">
        <v>7100</v>
      </c>
    </row>
    <row r="3074" spans="1:4" x14ac:dyDescent="0.2">
      <c r="A3074" s="12" t="s">
        <v>1366</v>
      </c>
      <c r="B3074" s="12" t="s">
        <v>1365</v>
      </c>
      <c r="C3074" s="12">
        <v>10000</v>
      </c>
      <c r="D3074" s="12">
        <v>2700</v>
      </c>
    </row>
    <row r="3075" spans="1:4" x14ac:dyDescent="0.2">
      <c r="A3075" s="12" t="s">
        <v>9854</v>
      </c>
      <c r="B3075" s="12" t="s">
        <v>9853</v>
      </c>
      <c r="C3075" s="12">
        <v>10</v>
      </c>
      <c r="D3075" s="12">
        <v>1</v>
      </c>
    </row>
    <row r="3076" spans="1:4" x14ac:dyDescent="0.2">
      <c r="A3076" s="12" t="s">
        <v>427</v>
      </c>
      <c r="B3076" s="12" t="s">
        <v>426</v>
      </c>
      <c r="C3076" s="12">
        <v>100</v>
      </c>
      <c r="D3076" s="12">
        <v>10</v>
      </c>
    </row>
    <row r="3077" spans="1:4" x14ac:dyDescent="0.2">
      <c r="A3077" s="12" t="s">
        <v>7938</v>
      </c>
      <c r="B3077" s="12" t="s">
        <v>7937</v>
      </c>
      <c r="C3077" s="12">
        <v>125</v>
      </c>
      <c r="D3077" s="12">
        <v>13</v>
      </c>
    </row>
    <row r="3078" spans="1:4" x14ac:dyDescent="0.2">
      <c r="A3078" s="12" t="s">
        <v>7865</v>
      </c>
      <c r="B3078" s="12" t="s">
        <v>7864</v>
      </c>
      <c r="C3078" s="12">
        <v>3.2</v>
      </c>
      <c r="D3078" s="12">
        <v>0.32</v>
      </c>
    </row>
    <row r="3079" spans="1:4" x14ac:dyDescent="0.2">
      <c r="A3079" s="12" t="s">
        <v>9640</v>
      </c>
      <c r="B3079" s="12" t="s">
        <v>9639</v>
      </c>
      <c r="C3079" s="12">
        <v>1</v>
      </c>
      <c r="D3079" s="12">
        <v>0.1</v>
      </c>
    </row>
    <row r="3080" spans="1:4" x14ac:dyDescent="0.2">
      <c r="A3080" s="12" t="s">
        <v>763</v>
      </c>
      <c r="B3080" s="12" t="s">
        <v>762</v>
      </c>
      <c r="C3080" s="12">
        <v>1000</v>
      </c>
      <c r="D3080" s="12">
        <v>100</v>
      </c>
    </row>
    <row r="3081" spans="1:4" x14ac:dyDescent="0.2">
      <c r="A3081" s="12" t="s">
        <v>6795</v>
      </c>
      <c r="B3081" s="12" t="s">
        <v>6794</v>
      </c>
      <c r="C3081" s="12">
        <v>26</v>
      </c>
      <c r="D3081" s="12">
        <v>50</v>
      </c>
    </row>
    <row r="3082" spans="1:4" x14ac:dyDescent="0.2">
      <c r="A3082" s="12" t="s">
        <v>4951</v>
      </c>
      <c r="B3082" s="12" t="s">
        <v>4950</v>
      </c>
      <c r="C3082" s="12" t="s">
        <v>59</v>
      </c>
      <c r="D3082" s="12" t="s">
        <v>59</v>
      </c>
    </row>
    <row r="3083" spans="1:4" x14ac:dyDescent="0.2">
      <c r="A3083" s="12" t="s">
        <v>11312</v>
      </c>
      <c r="B3083" s="12" t="s">
        <v>11311</v>
      </c>
      <c r="C3083" s="12">
        <v>110</v>
      </c>
      <c r="D3083" s="12">
        <v>11</v>
      </c>
    </row>
    <row r="3084" spans="1:4" x14ac:dyDescent="0.2">
      <c r="A3084" s="12" t="s">
        <v>10513</v>
      </c>
      <c r="B3084" s="12" t="s">
        <v>10512</v>
      </c>
      <c r="C3084" s="12">
        <v>1000</v>
      </c>
      <c r="D3084" s="12">
        <v>100</v>
      </c>
    </row>
    <row r="3085" spans="1:4" x14ac:dyDescent="0.2">
      <c r="A3085" s="12" t="s">
        <v>8158</v>
      </c>
      <c r="B3085" s="12" t="s">
        <v>8157</v>
      </c>
      <c r="C3085" s="12" t="s">
        <v>59</v>
      </c>
      <c r="D3085" s="12" t="s">
        <v>59</v>
      </c>
    </row>
    <row r="3086" spans="1:4" x14ac:dyDescent="0.2">
      <c r="A3086" s="12" t="s">
        <v>1201</v>
      </c>
      <c r="B3086" s="12" t="s">
        <v>1200</v>
      </c>
      <c r="C3086" s="12">
        <v>100</v>
      </c>
      <c r="D3086" s="12">
        <v>10</v>
      </c>
    </row>
    <row r="3087" spans="1:4" x14ac:dyDescent="0.2">
      <c r="A3087" s="12" t="s">
        <v>6162</v>
      </c>
      <c r="B3087" s="12" t="s">
        <v>6161</v>
      </c>
      <c r="C3087" s="12">
        <v>600</v>
      </c>
      <c r="D3087" s="12">
        <v>60</v>
      </c>
    </row>
    <row r="3088" spans="1:4" x14ac:dyDescent="0.2">
      <c r="A3088" s="12" t="s">
        <v>9706</v>
      </c>
      <c r="B3088" s="12" t="s">
        <v>9705</v>
      </c>
      <c r="C3088" s="12" t="s">
        <v>59</v>
      </c>
      <c r="D3088" s="12" t="s">
        <v>59</v>
      </c>
    </row>
    <row r="3089" spans="1:4" x14ac:dyDescent="0.2">
      <c r="A3089" s="12" t="s">
        <v>9707</v>
      </c>
      <c r="B3089" s="12" t="s">
        <v>9705</v>
      </c>
      <c r="C3089" s="12">
        <v>1000</v>
      </c>
      <c r="D3089" s="12">
        <v>100</v>
      </c>
    </row>
    <row r="3090" spans="1:4" x14ac:dyDescent="0.2">
      <c r="A3090" s="12" t="s">
        <v>9248</v>
      </c>
      <c r="B3090" s="12" t="s">
        <v>9247</v>
      </c>
      <c r="C3090" s="12">
        <v>15</v>
      </c>
      <c r="D3090" s="12">
        <v>1.5</v>
      </c>
    </row>
    <row r="3091" spans="1:4" x14ac:dyDescent="0.2">
      <c r="A3091" s="12" t="s">
        <v>2285</v>
      </c>
      <c r="B3091" s="12" t="s">
        <v>2284</v>
      </c>
      <c r="C3091" s="12">
        <v>18</v>
      </c>
      <c r="D3091" s="12">
        <v>1.8</v>
      </c>
    </row>
    <row r="3092" spans="1:4" x14ac:dyDescent="0.2">
      <c r="A3092" s="12" t="s">
        <v>2403</v>
      </c>
      <c r="B3092" s="12" t="s">
        <v>2402</v>
      </c>
      <c r="C3092" s="12">
        <v>10</v>
      </c>
      <c r="D3092" s="12">
        <v>1</v>
      </c>
    </row>
    <row r="3093" spans="1:4" x14ac:dyDescent="0.2">
      <c r="A3093" s="12" t="s">
        <v>6267</v>
      </c>
      <c r="B3093" s="12" t="s">
        <v>6266</v>
      </c>
      <c r="C3093" s="12">
        <v>1250</v>
      </c>
      <c r="D3093" s="12">
        <v>125</v>
      </c>
    </row>
    <row r="3094" spans="1:4" x14ac:dyDescent="0.2">
      <c r="A3094" s="12" t="s">
        <v>5208</v>
      </c>
      <c r="B3094" s="12" t="s">
        <v>5207</v>
      </c>
      <c r="C3094" s="12">
        <v>3500</v>
      </c>
      <c r="D3094" s="12">
        <v>350</v>
      </c>
    </row>
    <row r="3095" spans="1:4" x14ac:dyDescent="0.2">
      <c r="A3095" s="12" t="s">
        <v>1335</v>
      </c>
      <c r="B3095" s="12" t="s">
        <v>1334</v>
      </c>
      <c r="C3095" s="12">
        <v>360</v>
      </c>
      <c r="D3095" s="12">
        <v>36</v>
      </c>
    </row>
    <row r="3096" spans="1:4" x14ac:dyDescent="0.2">
      <c r="A3096" s="12" t="s">
        <v>452</v>
      </c>
      <c r="B3096" s="12" t="s">
        <v>451</v>
      </c>
      <c r="C3096" s="12">
        <v>2450</v>
      </c>
      <c r="D3096" s="12">
        <v>245</v>
      </c>
    </row>
    <row r="3097" spans="1:4" x14ac:dyDescent="0.2">
      <c r="A3097" s="12" t="s">
        <v>104</v>
      </c>
      <c r="B3097" s="12" t="s">
        <v>103</v>
      </c>
      <c r="C3097" s="12">
        <v>490</v>
      </c>
      <c r="D3097" s="12">
        <v>49</v>
      </c>
    </row>
    <row r="3098" spans="1:4" x14ac:dyDescent="0.2">
      <c r="A3098" s="12" t="s">
        <v>3181</v>
      </c>
      <c r="B3098" s="12" t="s">
        <v>3180</v>
      </c>
      <c r="C3098" s="12">
        <v>260</v>
      </c>
      <c r="D3098" s="12">
        <v>26</v>
      </c>
    </row>
    <row r="3099" spans="1:4" x14ac:dyDescent="0.2">
      <c r="A3099" s="12" t="s">
        <v>114</v>
      </c>
      <c r="B3099" s="12" t="s">
        <v>113</v>
      </c>
      <c r="C3099" s="12">
        <v>1700</v>
      </c>
      <c r="D3099" s="12">
        <v>170</v>
      </c>
    </row>
    <row r="3100" spans="1:4" x14ac:dyDescent="0.2">
      <c r="A3100" s="12" t="s">
        <v>4431</v>
      </c>
      <c r="B3100" s="12" t="s">
        <v>4430</v>
      </c>
      <c r="C3100" s="12">
        <v>380</v>
      </c>
      <c r="D3100" s="12">
        <v>38</v>
      </c>
    </row>
    <row r="3101" spans="1:4" x14ac:dyDescent="0.2">
      <c r="A3101" s="12" t="s">
        <v>5234</v>
      </c>
      <c r="B3101" s="12" t="s">
        <v>5233</v>
      </c>
      <c r="C3101" s="12">
        <v>360</v>
      </c>
      <c r="D3101" s="12">
        <v>36</v>
      </c>
    </row>
    <row r="3102" spans="1:4" x14ac:dyDescent="0.2">
      <c r="A3102" s="12" t="s">
        <v>5235</v>
      </c>
      <c r="B3102" s="12" t="s">
        <v>5233</v>
      </c>
      <c r="C3102" s="12" t="s">
        <v>59</v>
      </c>
      <c r="D3102" s="12" t="s">
        <v>59</v>
      </c>
    </row>
    <row r="3103" spans="1:4" x14ac:dyDescent="0.2">
      <c r="A3103" s="12" t="s">
        <v>11883</v>
      </c>
      <c r="B3103" s="12" t="s">
        <v>11882</v>
      </c>
      <c r="C3103" s="12">
        <v>360</v>
      </c>
      <c r="D3103" s="12">
        <v>36</v>
      </c>
    </row>
    <row r="3104" spans="1:4" x14ac:dyDescent="0.2">
      <c r="A3104" s="12" t="s">
        <v>7686</v>
      </c>
      <c r="B3104" s="12" t="s">
        <v>7685</v>
      </c>
      <c r="C3104" s="12">
        <v>480</v>
      </c>
      <c r="D3104" s="12">
        <v>48</v>
      </c>
    </row>
    <row r="3105" spans="1:4" x14ac:dyDescent="0.2">
      <c r="A3105" s="12" t="s">
        <v>2576</v>
      </c>
      <c r="B3105" s="12" t="s">
        <v>2575</v>
      </c>
      <c r="C3105" s="12">
        <v>90</v>
      </c>
      <c r="D3105" s="12">
        <v>9</v>
      </c>
    </row>
    <row r="3106" spans="1:4" x14ac:dyDescent="0.2">
      <c r="A3106" s="12" t="s">
        <v>4930</v>
      </c>
      <c r="B3106" s="12" t="s">
        <v>4929</v>
      </c>
      <c r="C3106" s="12">
        <v>45</v>
      </c>
      <c r="D3106" s="12">
        <v>4.5</v>
      </c>
    </row>
    <row r="3107" spans="1:4" x14ac:dyDescent="0.2">
      <c r="A3107" s="12" t="s">
        <v>11019</v>
      </c>
      <c r="B3107" s="12" t="s">
        <v>11018</v>
      </c>
      <c r="C3107" s="12" t="s">
        <v>59</v>
      </c>
      <c r="D3107" s="12" t="s">
        <v>59</v>
      </c>
    </row>
    <row r="3108" spans="1:4" x14ac:dyDescent="0.2">
      <c r="A3108" s="12" t="s">
        <v>1284</v>
      </c>
      <c r="B3108" s="12" t="s">
        <v>1283</v>
      </c>
      <c r="C3108" s="12">
        <v>600</v>
      </c>
      <c r="D3108" s="12">
        <v>60</v>
      </c>
    </row>
    <row r="3109" spans="1:4" x14ac:dyDescent="0.2">
      <c r="A3109" s="12" t="s">
        <v>773</v>
      </c>
      <c r="B3109" s="12" t="s">
        <v>772</v>
      </c>
      <c r="C3109" s="12">
        <v>1200</v>
      </c>
      <c r="D3109" s="12">
        <v>120</v>
      </c>
    </row>
    <row r="3110" spans="1:4" x14ac:dyDescent="0.2">
      <c r="A3110" s="12" t="s">
        <v>5259</v>
      </c>
      <c r="B3110" s="12" t="s">
        <v>5258</v>
      </c>
      <c r="C3110" s="12">
        <v>60</v>
      </c>
      <c r="D3110" s="12">
        <v>6</v>
      </c>
    </row>
    <row r="3111" spans="1:4" x14ac:dyDescent="0.2">
      <c r="A3111" s="12" t="s">
        <v>3962</v>
      </c>
      <c r="B3111" s="12" t="s">
        <v>3961</v>
      </c>
      <c r="C3111" s="12">
        <v>100</v>
      </c>
      <c r="D3111" s="12">
        <v>10</v>
      </c>
    </row>
    <row r="3112" spans="1:4" x14ac:dyDescent="0.2">
      <c r="A3112" s="12" t="s">
        <v>9694</v>
      </c>
      <c r="B3112" s="12" t="s">
        <v>9693</v>
      </c>
      <c r="C3112" s="12">
        <v>10</v>
      </c>
      <c r="D3112" s="12">
        <v>1</v>
      </c>
    </row>
    <row r="3113" spans="1:4" x14ac:dyDescent="0.2">
      <c r="A3113" s="12" t="s">
        <v>3203</v>
      </c>
      <c r="B3113" s="12" t="s">
        <v>3202</v>
      </c>
      <c r="C3113" s="12">
        <v>450</v>
      </c>
      <c r="D3113" s="12">
        <v>45</v>
      </c>
    </row>
    <row r="3114" spans="1:4" x14ac:dyDescent="0.2">
      <c r="A3114" s="12" t="s">
        <v>2679</v>
      </c>
      <c r="B3114" s="12" t="s">
        <v>2678</v>
      </c>
      <c r="C3114" s="12">
        <v>100</v>
      </c>
      <c r="D3114" s="12">
        <v>10</v>
      </c>
    </row>
    <row r="3115" spans="1:4" x14ac:dyDescent="0.2">
      <c r="A3115" s="12" t="s">
        <v>7205</v>
      </c>
      <c r="B3115" s="12" t="s">
        <v>7204</v>
      </c>
      <c r="C3115" s="12">
        <v>15</v>
      </c>
      <c r="D3115" s="12">
        <v>3.3</v>
      </c>
    </row>
    <row r="3116" spans="1:4" x14ac:dyDescent="0.2">
      <c r="A3116" s="12" t="s">
        <v>3151</v>
      </c>
      <c r="B3116" s="12" t="s">
        <v>3150</v>
      </c>
      <c r="C3116" s="12">
        <v>940</v>
      </c>
      <c r="D3116" s="12">
        <v>94</v>
      </c>
    </row>
    <row r="3117" spans="1:4" x14ac:dyDescent="0.2">
      <c r="A3117" s="12" t="s">
        <v>3127</v>
      </c>
      <c r="B3117" s="12" t="s">
        <v>3126</v>
      </c>
      <c r="C3117" s="12">
        <v>350</v>
      </c>
      <c r="D3117" s="12">
        <v>35</v>
      </c>
    </row>
    <row r="3118" spans="1:4" x14ac:dyDescent="0.2">
      <c r="A3118" s="12" t="s">
        <v>8001</v>
      </c>
      <c r="B3118" s="12" t="s">
        <v>8000</v>
      </c>
      <c r="C3118" s="12">
        <v>1000</v>
      </c>
      <c r="D3118" s="12">
        <v>100</v>
      </c>
    </row>
    <row r="3119" spans="1:4" x14ac:dyDescent="0.2">
      <c r="A3119" s="12" t="s">
        <v>4910</v>
      </c>
      <c r="B3119" s="12" t="s">
        <v>4909</v>
      </c>
      <c r="C3119" s="12">
        <v>2200</v>
      </c>
      <c r="D3119" s="12">
        <v>220</v>
      </c>
    </row>
    <row r="3120" spans="1:4" x14ac:dyDescent="0.2">
      <c r="A3120" s="12" t="s">
        <v>3301</v>
      </c>
      <c r="B3120" s="12" t="s">
        <v>3300</v>
      </c>
      <c r="C3120" s="12">
        <v>1450</v>
      </c>
      <c r="D3120" s="12">
        <v>145</v>
      </c>
    </row>
    <row r="3121" spans="1:4" x14ac:dyDescent="0.2">
      <c r="A3121" s="12" t="s">
        <v>174</v>
      </c>
      <c r="B3121" s="12" t="s">
        <v>173</v>
      </c>
      <c r="C3121" s="12">
        <v>340</v>
      </c>
      <c r="D3121" s="12">
        <v>34</v>
      </c>
    </row>
    <row r="3122" spans="1:4" x14ac:dyDescent="0.2">
      <c r="A3122" s="12" t="s">
        <v>11853</v>
      </c>
      <c r="B3122" s="12" t="s">
        <v>11852</v>
      </c>
      <c r="C3122" s="12">
        <v>5700</v>
      </c>
      <c r="D3122" s="12">
        <v>570</v>
      </c>
    </row>
    <row r="3123" spans="1:4" x14ac:dyDescent="0.2">
      <c r="A3123" s="12" t="s">
        <v>8910</v>
      </c>
      <c r="B3123" s="12" t="s">
        <v>8909</v>
      </c>
      <c r="C3123" s="12">
        <v>500</v>
      </c>
      <c r="D3123" s="12">
        <v>50</v>
      </c>
    </row>
    <row r="3124" spans="1:4" x14ac:dyDescent="0.2">
      <c r="A3124" s="12" t="s">
        <v>2962</v>
      </c>
      <c r="B3124" s="12" t="s">
        <v>2961</v>
      </c>
      <c r="C3124" s="12">
        <v>1</v>
      </c>
      <c r="D3124" s="12">
        <v>0.1</v>
      </c>
    </row>
    <row r="3125" spans="1:4" x14ac:dyDescent="0.2">
      <c r="A3125" s="12" t="s">
        <v>1981</v>
      </c>
      <c r="B3125" s="12" t="s">
        <v>1980</v>
      </c>
      <c r="C3125" s="12">
        <v>16400</v>
      </c>
      <c r="D3125" s="12">
        <v>1640</v>
      </c>
    </row>
    <row r="3126" spans="1:4" x14ac:dyDescent="0.2">
      <c r="A3126" s="12" t="s">
        <v>4297</v>
      </c>
      <c r="B3126" s="12" t="s">
        <v>4296</v>
      </c>
      <c r="C3126" s="12"/>
      <c r="D3126" s="12">
        <v>1.7000000000000001E-2</v>
      </c>
    </row>
    <row r="3127" spans="1:4" x14ac:dyDescent="0.2">
      <c r="A3127" s="12" t="s">
        <v>4172</v>
      </c>
      <c r="B3127" s="12" t="s">
        <v>4171</v>
      </c>
      <c r="C3127" s="12">
        <v>90</v>
      </c>
      <c r="D3127" s="12">
        <v>9</v>
      </c>
    </row>
    <row r="3128" spans="1:4" x14ac:dyDescent="0.2">
      <c r="A3128" s="12" t="s">
        <v>7663</v>
      </c>
      <c r="B3128" s="12" t="s">
        <v>7662</v>
      </c>
      <c r="C3128" s="12">
        <v>200</v>
      </c>
      <c r="D3128" s="12">
        <v>48</v>
      </c>
    </row>
    <row r="3129" spans="1:4" x14ac:dyDescent="0.2">
      <c r="A3129" s="12" t="s">
        <v>7983</v>
      </c>
      <c r="B3129" s="12" t="s">
        <v>7982</v>
      </c>
      <c r="C3129" s="12">
        <v>14</v>
      </c>
      <c r="D3129" s="12">
        <v>42</v>
      </c>
    </row>
    <row r="3130" spans="1:4" x14ac:dyDescent="0.2">
      <c r="A3130" s="12" t="s">
        <v>1290</v>
      </c>
      <c r="B3130" s="12" t="s">
        <v>1289</v>
      </c>
      <c r="C3130" s="12">
        <v>140</v>
      </c>
      <c r="D3130" s="12">
        <v>14</v>
      </c>
    </row>
    <row r="3131" spans="1:4" x14ac:dyDescent="0.2">
      <c r="A3131" s="12" t="s">
        <v>692</v>
      </c>
      <c r="B3131" s="12" t="s">
        <v>691</v>
      </c>
      <c r="C3131" s="12">
        <v>250</v>
      </c>
      <c r="D3131" s="12">
        <v>25</v>
      </c>
    </row>
    <row r="3132" spans="1:4" x14ac:dyDescent="0.2">
      <c r="A3132" s="12" t="s">
        <v>694</v>
      </c>
      <c r="B3132" s="12" t="s">
        <v>693</v>
      </c>
      <c r="C3132" s="12" t="s">
        <v>59</v>
      </c>
      <c r="D3132" s="12" t="s">
        <v>59</v>
      </c>
    </row>
    <row r="3133" spans="1:4" x14ac:dyDescent="0.2">
      <c r="A3133" s="12" t="s">
        <v>3030</v>
      </c>
      <c r="B3133" s="12" t="s">
        <v>3029</v>
      </c>
      <c r="C3133" s="12">
        <v>2.5</v>
      </c>
      <c r="D3133" s="12">
        <v>0.25</v>
      </c>
    </row>
    <row r="3134" spans="1:4" x14ac:dyDescent="0.2">
      <c r="A3134" s="12" t="s">
        <v>1938</v>
      </c>
      <c r="B3134" s="12" t="s">
        <v>1937</v>
      </c>
      <c r="C3134" s="12">
        <v>20</v>
      </c>
      <c r="D3134" s="12">
        <v>2</v>
      </c>
    </row>
    <row r="3135" spans="1:4" x14ac:dyDescent="0.2">
      <c r="A3135" s="12" t="s">
        <v>2118</v>
      </c>
      <c r="B3135" s="12" t="s">
        <v>2117</v>
      </c>
      <c r="C3135" s="12">
        <v>25</v>
      </c>
      <c r="D3135" s="12">
        <v>2.5</v>
      </c>
    </row>
    <row r="3136" spans="1:4" x14ac:dyDescent="0.2">
      <c r="A3136" s="12" t="s">
        <v>751</v>
      </c>
      <c r="B3136" s="12" t="s">
        <v>750</v>
      </c>
      <c r="C3136" s="12">
        <v>2000</v>
      </c>
      <c r="D3136" s="12">
        <v>200</v>
      </c>
    </row>
    <row r="3137" spans="1:4" x14ac:dyDescent="0.2">
      <c r="A3137" s="12" t="s">
        <v>755</v>
      </c>
      <c r="B3137" s="12" t="s">
        <v>754</v>
      </c>
      <c r="C3137" s="12">
        <v>1000</v>
      </c>
      <c r="D3137" s="12">
        <v>100</v>
      </c>
    </row>
    <row r="3138" spans="1:4" x14ac:dyDescent="0.2">
      <c r="A3138" s="12" t="s">
        <v>12296</v>
      </c>
      <c r="B3138" s="12" t="s">
        <v>12295</v>
      </c>
      <c r="C3138" s="12">
        <v>100</v>
      </c>
      <c r="D3138" s="12">
        <v>10</v>
      </c>
    </row>
    <row r="3139" spans="1:4" x14ac:dyDescent="0.2">
      <c r="A3139" s="12" t="s">
        <v>2890</v>
      </c>
      <c r="B3139" s="12" t="s">
        <v>2889</v>
      </c>
      <c r="C3139" s="12">
        <v>10</v>
      </c>
      <c r="D3139" s="12">
        <v>1</v>
      </c>
    </row>
    <row r="3140" spans="1:4" x14ac:dyDescent="0.2">
      <c r="A3140" s="12" t="s">
        <v>2570</v>
      </c>
      <c r="B3140" s="12" t="s">
        <v>2569</v>
      </c>
      <c r="C3140" s="12">
        <v>7</v>
      </c>
      <c r="D3140" s="12">
        <v>0.7</v>
      </c>
    </row>
    <row r="3141" spans="1:4" x14ac:dyDescent="0.2">
      <c r="A3141" s="12" t="s">
        <v>739</v>
      </c>
      <c r="B3141" s="12" t="s">
        <v>738</v>
      </c>
      <c r="C3141" s="12">
        <v>100</v>
      </c>
      <c r="D3141" s="12">
        <v>10</v>
      </c>
    </row>
    <row r="3142" spans="1:4" x14ac:dyDescent="0.2">
      <c r="A3142" s="12" t="s">
        <v>12129</v>
      </c>
      <c r="B3142" s="12" t="s">
        <v>12128</v>
      </c>
      <c r="C3142" s="12">
        <v>600</v>
      </c>
      <c r="D3142" s="12">
        <v>60</v>
      </c>
    </row>
    <row r="3143" spans="1:4" x14ac:dyDescent="0.2">
      <c r="A3143" s="12" t="s">
        <v>2862</v>
      </c>
      <c r="B3143" s="12" t="s">
        <v>2861</v>
      </c>
      <c r="C3143" s="12">
        <v>1800</v>
      </c>
      <c r="D3143" s="12">
        <v>180</v>
      </c>
    </row>
    <row r="3144" spans="1:4" x14ac:dyDescent="0.2">
      <c r="A3144" s="12" t="s">
        <v>3493</v>
      </c>
      <c r="B3144" s="12" t="s">
        <v>3492</v>
      </c>
      <c r="C3144" s="12" t="s">
        <v>59</v>
      </c>
      <c r="D3144" s="12" t="s">
        <v>59</v>
      </c>
    </row>
    <row r="3145" spans="1:4" x14ac:dyDescent="0.2">
      <c r="A3145" s="12" t="s">
        <v>898</v>
      </c>
      <c r="B3145" s="12" t="s">
        <v>897</v>
      </c>
      <c r="C3145" s="12">
        <v>480</v>
      </c>
      <c r="D3145" s="12">
        <v>48</v>
      </c>
    </row>
    <row r="3146" spans="1:4" x14ac:dyDescent="0.2">
      <c r="A3146" s="12" t="s">
        <v>8889</v>
      </c>
      <c r="B3146" s="12" t="s">
        <v>8888</v>
      </c>
      <c r="C3146" s="12" t="s">
        <v>59</v>
      </c>
      <c r="D3146" s="12" t="s">
        <v>59</v>
      </c>
    </row>
    <row r="3147" spans="1:4" x14ac:dyDescent="0.2">
      <c r="A3147" s="12" t="s">
        <v>8890</v>
      </c>
      <c r="B3147" s="12" t="s">
        <v>8888</v>
      </c>
      <c r="C3147" s="12">
        <v>1000</v>
      </c>
      <c r="D3147" s="12">
        <v>100</v>
      </c>
    </row>
    <row r="3148" spans="1:4" x14ac:dyDescent="0.2">
      <c r="A3148" s="12" t="s">
        <v>1216</v>
      </c>
      <c r="B3148" s="12" t="s">
        <v>1215</v>
      </c>
      <c r="C3148" s="12">
        <v>100</v>
      </c>
      <c r="D3148" s="12">
        <v>10</v>
      </c>
    </row>
    <row r="3149" spans="1:4" x14ac:dyDescent="0.2">
      <c r="A3149" s="12" t="s">
        <v>1026</v>
      </c>
      <c r="B3149" s="12" t="s">
        <v>1025</v>
      </c>
      <c r="C3149" s="12">
        <v>1500</v>
      </c>
      <c r="D3149" s="12">
        <v>150</v>
      </c>
    </row>
    <row r="3150" spans="1:4" x14ac:dyDescent="0.2">
      <c r="A3150" s="12" t="s">
        <v>1027</v>
      </c>
      <c r="B3150" s="12" t="s">
        <v>1025</v>
      </c>
      <c r="C3150" s="12" t="s">
        <v>59</v>
      </c>
      <c r="D3150" s="12" t="s">
        <v>59</v>
      </c>
    </row>
    <row r="3151" spans="1:4" x14ac:dyDescent="0.2">
      <c r="A3151" s="12" t="s">
        <v>10953</v>
      </c>
      <c r="B3151" s="12" t="s">
        <v>10952</v>
      </c>
      <c r="C3151" s="12">
        <v>0.1</v>
      </c>
      <c r="D3151" s="12">
        <v>0.01</v>
      </c>
    </row>
    <row r="3152" spans="1:4" x14ac:dyDescent="0.2">
      <c r="A3152" s="12" t="s">
        <v>5493</v>
      </c>
      <c r="B3152" s="12" t="s">
        <v>5492</v>
      </c>
      <c r="C3152" s="12">
        <v>2.5</v>
      </c>
      <c r="D3152" s="12">
        <v>0.25</v>
      </c>
    </row>
    <row r="3153" spans="1:4" x14ac:dyDescent="0.2">
      <c r="A3153" s="12" t="s">
        <v>5495</v>
      </c>
      <c r="B3153" s="12" t="s">
        <v>5494</v>
      </c>
      <c r="C3153" s="12">
        <v>6</v>
      </c>
      <c r="D3153" s="12">
        <v>0.6</v>
      </c>
    </row>
    <row r="3154" spans="1:4" x14ac:dyDescent="0.2">
      <c r="A3154" s="12" t="s">
        <v>6490</v>
      </c>
      <c r="B3154" s="12" t="s">
        <v>6489</v>
      </c>
      <c r="C3154" s="12" t="s">
        <v>59</v>
      </c>
      <c r="D3154" s="12" t="s">
        <v>59</v>
      </c>
    </row>
    <row r="3155" spans="1:4" x14ac:dyDescent="0.2">
      <c r="A3155" s="12" t="s">
        <v>11555</v>
      </c>
      <c r="B3155" s="12" t="s">
        <v>11554</v>
      </c>
      <c r="C3155" s="12">
        <v>2700</v>
      </c>
      <c r="D3155" s="12">
        <v>270</v>
      </c>
    </row>
    <row r="3156" spans="1:4" x14ac:dyDescent="0.2">
      <c r="A3156" s="12" t="s">
        <v>696</v>
      </c>
      <c r="B3156" s="12" t="s">
        <v>695</v>
      </c>
      <c r="C3156" s="12">
        <v>10000</v>
      </c>
      <c r="D3156" s="12">
        <v>1000</v>
      </c>
    </row>
    <row r="3157" spans="1:4" x14ac:dyDescent="0.2">
      <c r="A3157" s="12" t="s">
        <v>1055</v>
      </c>
      <c r="B3157" s="12" t="s">
        <v>1054</v>
      </c>
      <c r="C3157" s="12">
        <v>1000</v>
      </c>
      <c r="D3157" s="12">
        <v>100</v>
      </c>
    </row>
    <row r="3158" spans="1:4" x14ac:dyDescent="0.2">
      <c r="A3158" s="12" t="s">
        <v>3464</v>
      </c>
      <c r="B3158" s="12" t="s">
        <v>3463</v>
      </c>
      <c r="C3158" s="12">
        <v>50</v>
      </c>
      <c r="D3158" s="12">
        <v>5</v>
      </c>
    </row>
    <row r="3159" spans="1:4" x14ac:dyDescent="0.2">
      <c r="A3159" s="12" t="s">
        <v>9193</v>
      </c>
      <c r="B3159" s="12" t="s">
        <v>9192</v>
      </c>
      <c r="C3159" s="12" t="s">
        <v>59</v>
      </c>
      <c r="D3159" s="12" t="s">
        <v>59</v>
      </c>
    </row>
    <row r="3160" spans="1:4" x14ac:dyDescent="0.2">
      <c r="A3160" s="12" t="s">
        <v>9194</v>
      </c>
      <c r="B3160" s="12" t="s">
        <v>9192</v>
      </c>
      <c r="C3160" s="12">
        <v>560</v>
      </c>
      <c r="D3160" s="12">
        <v>56</v>
      </c>
    </row>
    <row r="3161" spans="1:4" x14ac:dyDescent="0.2">
      <c r="A3161" s="12" t="s">
        <v>11010</v>
      </c>
      <c r="B3161" s="12" t="s">
        <v>11009</v>
      </c>
      <c r="C3161" s="12" t="s">
        <v>59</v>
      </c>
      <c r="D3161" s="12" t="s">
        <v>59</v>
      </c>
    </row>
    <row r="3162" spans="1:4" x14ac:dyDescent="0.2">
      <c r="A3162" s="12" t="s">
        <v>8028</v>
      </c>
      <c r="B3162" s="12" t="s">
        <v>8027</v>
      </c>
      <c r="C3162" s="12" t="s">
        <v>59</v>
      </c>
      <c r="D3162" s="12" t="s">
        <v>59</v>
      </c>
    </row>
    <row r="3163" spans="1:4" x14ac:dyDescent="0.2">
      <c r="A3163" s="12" t="s">
        <v>2716</v>
      </c>
      <c r="B3163" s="12" t="s">
        <v>2715</v>
      </c>
      <c r="C3163" s="12">
        <v>1000</v>
      </c>
      <c r="D3163" s="12">
        <v>100</v>
      </c>
    </row>
    <row r="3164" spans="1:4" x14ac:dyDescent="0.2">
      <c r="A3164" s="12" t="s">
        <v>11726</v>
      </c>
      <c r="B3164" s="12" t="s">
        <v>11725</v>
      </c>
      <c r="C3164" s="12">
        <v>0.4</v>
      </c>
      <c r="D3164" s="12">
        <v>0.04</v>
      </c>
    </row>
    <row r="3165" spans="1:4" x14ac:dyDescent="0.2">
      <c r="A3165" s="12" t="s">
        <v>5180</v>
      </c>
      <c r="B3165" s="12" t="s">
        <v>5179</v>
      </c>
      <c r="C3165" s="12">
        <v>0.39</v>
      </c>
      <c r="D3165" s="12">
        <v>4.3E-3</v>
      </c>
    </row>
    <row r="3166" spans="1:4" x14ac:dyDescent="0.2">
      <c r="A3166" s="12" t="s">
        <v>8709</v>
      </c>
      <c r="B3166" s="12" t="s">
        <v>8708</v>
      </c>
      <c r="C3166" s="12" t="s">
        <v>59</v>
      </c>
      <c r="D3166" s="12" t="s">
        <v>59</v>
      </c>
    </row>
    <row r="3167" spans="1:4" x14ac:dyDescent="0.2">
      <c r="A3167" s="12" t="s">
        <v>2462</v>
      </c>
      <c r="B3167" s="12" t="s">
        <v>2461</v>
      </c>
      <c r="C3167" s="12">
        <v>100</v>
      </c>
      <c r="D3167" s="12">
        <v>10</v>
      </c>
    </row>
    <row r="3168" spans="1:4" x14ac:dyDescent="0.2">
      <c r="A3168" s="12" t="s">
        <v>9111</v>
      </c>
      <c r="B3168" s="12" t="s">
        <v>9110</v>
      </c>
      <c r="C3168" s="12">
        <v>200</v>
      </c>
      <c r="D3168" s="12">
        <v>20</v>
      </c>
    </row>
    <row r="3169" spans="1:4" x14ac:dyDescent="0.2">
      <c r="A3169" s="12" t="s">
        <v>5069</v>
      </c>
      <c r="B3169" s="12" t="s">
        <v>5068</v>
      </c>
      <c r="C3169" s="12">
        <v>100</v>
      </c>
      <c r="D3169" s="12">
        <v>10</v>
      </c>
    </row>
    <row r="3170" spans="1:4" x14ac:dyDescent="0.2">
      <c r="A3170" s="12" t="s">
        <v>4168</v>
      </c>
      <c r="B3170" s="12" t="s">
        <v>4167</v>
      </c>
      <c r="C3170" s="12" t="s">
        <v>59</v>
      </c>
      <c r="D3170" s="12" t="s">
        <v>59</v>
      </c>
    </row>
    <row r="3171" spans="1:4" x14ac:dyDescent="0.2">
      <c r="A3171" s="12" t="s">
        <v>10068</v>
      </c>
      <c r="B3171" s="12" t="s">
        <v>10067</v>
      </c>
      <c r="C3171" s="12">
        <v>500</v>
      </c>
      <c r="D3171" s="12">
        <v>50</v>
      </c>
    </row>
    <row r="3172" spans="1:4" x14ac:dyDescent="0.2">
      <c r="A3172" s="12" t="s">
        <v>2187</v>
      </c>
      <c r="B3172" s="12" t="s">
        <v>2186</v>
      </c>
      <c r="C3172" s="12">
        <v>30</v>
      </c>
      <c r="D3172" s="12">
        <v>3</v>
      </c>
    </row>
    <row r="3173" spans="1:4" x14ac:dyDescent="0.2">
      <c r="A3173" s="12" t="s">
        <v>1001</v>
      </c>
      <c r="B3173" s="12" t="s">
        <v>1000</v>
      </c>
      <c r="C3173" s="12">
        <v>720</v>
      </c>
      <c r="D3173" s="12">
        <v>72</v>
      </c>
    </row>
    <row r="3174" spans="1:4" x14ac:dyDescent="0.2">
      <c r="A3174" s="12" t="s">
        <v>9940</v>
      </c>
      <c r="B3174" s="12" t="s">
        <v>9939</v>
      </c>
      <c r="C3174" s="12">
        <v>70</v>
      </c>
      <c r="D3174" s="12">
        <v>7</v>
      </c>
    </row>
    <row r="3175" spans="1:4" x14ac:dyDescent="0.2">
      <c r="A3175" s="12" t="s">
        <v>8382</v>
      </c>
      <c r="B3175" s="12" t="s">
        <v>8381</v>
      </c>
      <c r="C3175" s="12">
        <v>250</v>
      </c>
      <c r="D3175" s="12">
        <v>25</v>
      </c>
    </row>
    <row r="3176" spans="1:4" x14ac:dyDescent="0.2">
      <c r="A3176" s="12" t="s">
        <v>2976</v>
      </c>
      <c r="B3176" s="12" t="s">
        <v>2975</v>
      </c>
      <c r="C3176" s="12">
        <v>970</v>
      </c>
      <c r="D3176" s="12">
        <v>97</v>
      </c>
    </row>
    <row r="3177" spans="1:4" x14ac:dyDescent="0.2">
      <c r="A3177" s="12" t="s">
        <v>8640</v>
      </c>
      <c r="B3177" s="12" t="s">
        <v>8639</v>
      </c>
      <c r="C3177" s="12">
        <v>100</v>
      </c>
      <c r="D3177" s="12">
        <v>10</v>
      </c>
    </row>
    <row r="3178" spans="1:4" x14ac:dyDescent="0.2">
      <c r="A3178" s="12" t="s">
        <v>5210</v>
      </c>
      <c r="B3178" s="12" t="s">
        <v>5209</v>
      </c>
      <c r="C3178" s="12" t="s">
        <v>59</v>
      </c>
      <c r="D3178" s="12" t="s">
        <v>59</v>
      </c>
    </row>
    <row r="3179" spans="1:4" x14ac:dyDescent="0.2">
      <c r="A3179" s="12" t="s">
        <v>7517</v>
      </c>
      <c r="B3179" s="12" t="s">
        <v>7516</v>
      </c>
      <c r="C3179" s="12">
        <v>100</v>
      </c>
      <c r="D3179" s="12">
        <v>10</v>
      </c>
    </row>
    <row r="3180" spans="1:4" x14ac:dyDescent="0.2">
      <c r="A3180" s="12" t="s">
        <v>12588</v>
      </c>
      <c r="B3180" s="12" t="s">
        <v>8564</v>
      </c>
      <c r="C3180" s="12">
        <v>8.1</v>
      </c>
      <c r="D3180" s="12">
        <v>0.55000000000000004</v>
      </c>
    </row>
    <row r="3181" spans="1:4" x14ac:dyDescent="0.2">
      <c r="A3181" s="12" t="s">
        <v>12589</v>
      </c>
      <c r="B3181" s="12" t="s">
        <v>8564</v>
      </c>
      <c r="C3181" s="12">
        <v>3.3</v>
      </c>
      <c r="D3181" s="12">
        <v>6.3E-2</v>
      </c>
    </row>
    <row r="3182" spans="1:4" x14ac:dyDescent="0.2">
      <c r="A3182" s="12" t="s">
        <v>12103</v>
      </c>
      <c r="B3182" s="12" t="s">
        <v>12102</v>
      </c>
      <c r="C3182" s="12">
        <v>100</v>
      </c>
      <c r="D3182" s="12">
        <v>10</v>
      </c>
    </row>
    <row r="3183" spans="1:4" x14ac:dyDescent="0.2">
      <c r="A3183" s="12" t="s">
        <v>7749</v>
      </c>
      <c r="B3183" s="12" t="s">
        <v>7748</v>
      </c>
      <c r="C3183" s="12" t="s">
        <v>59</v>
      </c>
      <c r="D3183" s="12" t="s">
        <v>59</v>
      </c>
    </row>
    <row r="3184" spans="1:4" x14ac:dyDescent="0.2">
      <c r="A3184" s="12" t="s">
        <v>2421</v>
      </c>
      <c r="B3184" s="12" t="s">
        <v>2420</v>
      </c>
      <c r="C3184" s="12">
        <v>730</v>
      </c>
      <c r="D3184" s="12">
        <v>73</v>
      </c>
    </row>
    <row r="3185" spans="1:4" x14ac:dyDescent="0.2">
      <c r="A3185" s="12" t="s">
        <v>2249</v>
      </c>
      <c r="B3185" s="12" t="s">
        <v>2248</v>
      </c>
      <c r="C3185" s="12">
        <v>10000</v>
      </c>
      <c r="D3185" s="12">
        <v>480</v>
      </c>
    </row>
    <row r="3186" spans="1:4" x14ac:dyDescent="0.2">
      <c r="A3186" s="12" t="s">
        <v>959</v>
      </c>
      <c r="B3186" s="12" t="s">
        <v>958</v>
      </c>
      <c r="C3186" s="12">
        <v>1030</v>
      </c>
      <c r="D3186" s="12">
        <v>103</v>
      </c>
    </row>
    <row r="3187" spans="1:4" x14ac:dyDescent="0.2">
      <c r="A3187" s="12" t="s">
        <v>6179</v>
      </c>
      <c r="B3187" s="12" t="s">
        <v>6178</v>
      </c>
      <c r="C3187" s="12">
        <v>34</v>
      </c>
      <c r="D3187" s="12">
        <v>3.4</v>
      </c>
    </row>
    <row r="3188" spans="1:4" x14ac:dyDescent="0.2">
      <c r="A3188" s="12" t="s">
        <v>2261</v>
      </c>
      <c r="B3188" s="12" t="s">
        <v>2260</v>
      </c>
      <c r="C3188" s="12">
        <v>400</v>
      </c>
      <c r="D3188" s="12">
        <v>40</v>
      </c>
    </row>
    <row r="3189" spans="1:4" x14ac:dyDescent="0.2">
      <c r="A3189" s="12" t="s">
        <v>2237</v>
      </c>
      <c r="B3189" s="12" t="s">
        <v>2236</v>
      </c>
      <c r="C3189" s="12">
        <v>3.6</v>
      </c>
      <c r="D3189" s="12">
        <v>1.8</v>
      </c>
    </row>
    <row r="3190" spans="1:4" x14ac:dyDescent="0.2">
      <c r="A3190" s="12" t="s">
        <v>10809</v>
      </c>
      <c r="B3190" s="12" t="s">
        <v>10808</v>
      </c>
      <c r="C3190" s="12">
        <v>0.33</v>
      </c>
      <c r="D3190" s="12">
        <v>1.8</v>
      </c>
    </row>
    <row r="3191" spans="1:4" x14ac:dyDescent="0.2">
      <c r="A3191" s="12" t="s">
        <v>6024</v>
      </c>
      <c r="B3191" s="12" t="s">
        <v>6023</v>
      </c>
      <c r="C3191" s="12">
        <v>40</v>
      </c>
      <c r="D3191" s="12">
        <v>4</v>
      </c>
    </row>
    <row r="3192" spans="1:4" x14ac:dyDescent="0.2">
      <c r="A3192" s="12" t="s">
        <v>6025</v>
      </c>
      <c r="B3192" s="12" t="s">
        <v>6023</v>
      </c>
      <c r="C3192" s="12" t="s">
        <v>59</v>
      </c>
      <c r="D3192" s="12" t="s">
        <v>59</v>
      </c>
    </row>
    <row r="3193" spans="1:4" x14ac:dyDescent="0.2">
      <c r="A3193" s="12" t="s">
        <v>4186</v>
      </c>
      <c r="B3193" s="12" t="s">
        <v>4185</v>
      </c>
      <c r="C3193" s="12">
        <v>50</v>
      </c>
      <c r="D3193" s="12">
        <v>5</v>
      </c>
    </row>
    <row r="3194" spans="1:4" x14ac:dyDescent="0.2">
      <c r="A3194" s="12" t="s">
        <v>4799</v>
      </c>
      <c r="B3194" s="12" t="s">
        <v>4798</v>
      </c>
      <c r="C3194" s="12">
        <v>5.4</v>
      </c>
      <c r="D3194" s="12">
        <v>3.3E-3</v>
      </c>
    </row>
    <row r="3195" spans="1:4" x14ac:dyDescent="0.2">
      <c r="A3195" s="12" t="s">
        <v>5326</v>
      </c>
      <c r="B3195" s="12" t="s">
        <v>5325</v>
      </c>
      <c r="C3195" s="12">
        <v>0.21</v>
      </c>
      <c r="D3195" s="12">
        <v>1.6999999999999999E-3</v>
      </c>
    </row>
    <row r="3196" spans="1:4" x14ac:dyDescent="0.2">
      <c r="A3196" s="12" t="s">
        <v>1569</v>
      </c>
      <c r="B3196" s="12" t="s">
        <v>1568</v>
      </c>
      <c r="C3196" s="12">
        <v>1400</v>
      </c>
      <c r="D3196" s="12">
        <v>140</v>
      </c>
    </row>
    <row r="3197" spans="1:4" x14ac:dyDescent="0.2">
      <c r="A3197" s="12" t="s">
        <v>2817</v>
      </c>
      <c r="B3197" s="12" t="s">
        <v>2816</v>
      </c>
      <c r="C3197" s="12">
        <v>1000</v>
      </c>
      <c r="D3197" s="12">
        <v>100</v>
      </c>
    </row>
    <row r="3198" spans="1:4" x14ac:dyDescent="0.2">
      <c r="A3198" s="12" t="s">
        <v>3383</v>
      </c>
      <c r="B3198" s="12" t="s">
        <v>3382</v>
      </c>
      <c r="C3198" s="12" t="s">
        <v>59</v>
      </c>
      <c r="D3198" s="12" t="s">
        <v>59</v>
      </c>
    </row>
    <row r="3199" spans="1:4" x14ac:dyDescent="0.2">
      <c r="A3199" s="12" t="s">
        <v>3384</v>
      </c>
      <c r="B3199" s="12" t="s">
        <v>3382</v>
      </c>
      <c r="C3199" s="12">
        <v>1000</v>
      </c>
      <c r="D3199" s="12">
        <v>100</v>
      </c>
    </row>
    <row r="3200" spans="1:4" x14ac:dyDescent="0.2">
      <c r="A3200" s="12" t="s">
        <v>6514</v>
      </c>
      <c r="B3200" s="12" t="s">
        <v>6513</v>
      </c>
      <c r="C3200" s="12">
        <v>0.4</v>
      </c>
      <c r="D3200" s="12">
        <v>0.04</v>
      </c>
    </row>
    <row r="3201" spans="1:4" x14ac:dyDescent="0.2">
      <c r="A3201" s="12" t="s">
        <v>5994</v>
      </c>
      <c r="B3201" s="12" t="s">
        <v>5993</v>
      </c>
      <c r="C3201" s="12">
        <v>720</v>
      </c>
      <c r="D3201" s="12">
        <v>72</v>
      </c>
    </row>
    <row r="3202" spans="1:4" x14ac:dyDescent="0.2">
      <c r="A3202" s="12" t="s">
        <v>2657</v>
      </c>
      <c r="B3202" s="12" t="s">
        <v>2656</v>
      </c>
      <c r="C3202" s="12">
        <v>800</v>
      </c>
      <c r="D3202" s="12">
        <v>80</v>
      </c>
    </row>
    <row r="3203" spans="1:4" x14ac:dyDescent="0.2">
      <c r="A3203" s="12" t="s">
        <v>11181</v>
      </c>
      <c r="B3203" s="12" t="s">
        <v>11180</v>
      </c>
      <c r="C3203" s="12" t="s">
        <v>59</v>
      </c>
      <c r="D3203" s="12" t="s">
        <v>59</v>
      </c>
    </row>
    <row r="3204" spans="1:4" x14ac:dyDescent="0.2">
      <c r="A3204" s="12" t="s">
        <v>5827</v>
      </c>
      <c r="B3204" s="12" t="s">
        <v>5826</v>
      </c>
      <c r="C3204" s="12" t="s">
        <v>59</v>
      </c>
      <c r="D3204" s="12" t="s">
        <v>59</v>
      </c>
    </row>
    <row r="3205" spans="1:4" x14ac:dyDescent="0.2">
      <c r="A3205" s="12" t="s">
        <v>6671</v>
      </c>
      <c r="B3205" s="12" t="s">
        <v>6670</v>
      </c>
      <c r="C3205" s="12">
        <v>70</v>
      </c>
      <c r="D3205" s="12">
        <v>7</v>
      </c>
    </row>
    <row r="3206" spans="1:4" x14ac:dyDescent="0.2">
      <c r="A3206" s="12" t="s">
        <v>10026</v>
      </c>
      <c r="B3206" s="12" t="s">
        <v>10025</v>
      </c>
      <c r="C3206" s="12" t="s">
        <v>59</v>
      </c>
      <c r="D3206" s="12" t="s">
        <v>59</v>
      </c>
    </row>
    <row r="3207" spans="1:4" x14ac:dyDescent="0.2">
      <c r="A3207" s="12" t="s">
        <v>3753</v>
      </c>
      <c r="B3207" s="12" t="s">
        <v>3752</v>
      </c>
      <c r="C3207" s="12" t="s">
        <v>59</v>
      </c>
      <c r="D3207" s="12" t="s">
        <v>59</v>
      </c>
    </row>
    <row r="3208" spans="1:4" x14ac:dyDescent="0.2">
      <c r="A3208" s="12" t="s">
        <v>3754</v>
      </c>
      <c r="B3208" s="12" t="s">
        <v>3752</v>
      </c>
      <c r="C3208" s="12">
        <v>1000</v>
      </c>
      <c r="D3208" s="12">
        <v>100</v>
      </c>
    </row>
    <row r="3209" spans="1:4" x14ac:dyDescent="0.2">
      <c r="A3209" s="12" t="s">
        <v>12232</v>
      </c>
      <c r="B3209" s="12" t="s">
        <v>12231</v>
      </c>
      <c r="C3209" s="12">
        <v>10</v>
      </c>
      <c r="D3209" s="12">
        <v>1</v>
      </c>
    </row>
    <row r="3210" spans="1:4" x14ac:dyDescent="0.2">
      <c r="A3210" s="12" t="s">
        <v>7116</v>
      </c>
      <c r="B3210" s="12" t="s">
        <v>7115</v>
      </c>
      <c r="C3210" s="12">
        <v>240</v>
      </c>
      <c r="D3210" s="12">
        <v>24</v>
      </c>
    </row>
    <row r="3211" spans="1:4" x14ac:dyDescent="0.2">
      <c r="A3211" s="12" t="s">
        <v>1893</v>
      </c>
      <c r="B3211" s="12" t="s">
        <v>1892</v>
      </c>
      <c r="C3211" s="12" t="s">
        <v>59</v>
      </c>
      <c r="D3211" s="12" t="s">
        <v>59</v>
      </c>
    </row>
    <row r="3212" spans="1:4" x14ac:dyDescent="0.2">
      <c r="A3212" s="12" t="s">
        <v>3283</v>
      </c>
      <c r="B3212" s="12" t="s">
        <v>3282</v>
      </c>
      <c r="C3212" s="12">
        <v>190</v>
      </c>
      <c r="D3212" s="12">
        <v>19</v>
      </c>
    </row>
    <row r="3213" spans="1:4" x14ac:dyDescent="0.2">
      <c r="A3213" s="12" t="s">
        <v>2516</v>
      </c>
      <c r="B3213" s="12" t="s">
        <v>2515</v>
      </c>
      <c r="C3213" s="12">
        <v>1700</v>
      </c>
      <c r="D3213" s="12">
        <v>330</v>
      </c>
    </row>
    <row r="3214" spans="1:4" x14ac:dyDescent="0.2">
      <c r="A3214" s="12" t="s">
        <v>1891</v>
      </c>
      <c r="B3214" s="12" t="s">
        <v>1890</v>
      </c>
      <c r="C3214" s="12">
        <v>720</v>
      </c>
      <c r="D3214" s="12">
        <v>72</v>
      </c>
    </row>
    <row r="3215" spans="1:4" x14ac:dyDescent="0.2">
      <c r="A3215" s="12" t="s">
        <v>7722</v>
      </c>
      <c r="B3215" s="12" t="s">
        <v>7721</v>
      </c>
      <c r="C3215" s="12" t="s">
        <v>59</v>
      </c>
      <c r="D3215" s="12" t="s">
        <v>59</v>
      </c>
    </row>
    <row r="3216" spans="1:4" x14ac:dyDescent="0.2">
      <c r="A3216" s="12" t="s">
        <v>6292</v>
      </c>
      <c r="B3216" s="12" t="s">
        <v>6291</v>
      </c>
      <c r="C3216" s="12">
        <v>1860</v>
      </c>
      <c r="D3216" s="12">
        <v>186</v>
      </c>
    </row>
    <row r="3217" spans="1:4" x14ac:dyDescent="0.2">
      <c r="A3217" s="12" t="s">
        <v>1380</v>
      </c>
      <c r="B3217" s="12" t="s">
        <v>1379</v>
      </c>
      <c r="C3217" s="12">
        <v>1700</v>
      </c>
      <c r="D3217" s="12">
        <v>330</v>
      </c>
    </row>
    <row r="3218" spans="1:4" x14ac:dyDescent="0.2">
      <c r="A3218" s="12" t="s">
        <v>7869</v>
      </c>
      <c r="B3218" s="12" t="s">
        <v>7868</v>
      </c>
      <c r="C3218" s="12">
        <v>2700</v>
      </c>
      <c r="D3218" s="12">
        <v>270</v>
      </c>
    </row>
    <row r="3219" spans="1:4" x14ac:dyDescent="0.2">
      <c r="A3219" s="12" t="s">
        <v>12262</v>
      </c>
      <c r="B3219" s="12" t="s">
        <v>12261</v>
      </c>
      <c r="C3219" s="12">
        <v>5</v>
      </c>
      <c r="D3219" s="12">
        <v>0.5</v>
      </c>
    </row>
    <row r="3220" spans="1:4" x14ac:dyDescent="0.2">
      <c r="A3220" s="12" t="s">
        <v>1274</v>
      </c>
      <c r="B3220" s="12" t="s">
        <v>1273</v>
      </c>
      <c r="C3220" s="12">
        <v>600</v>
      </c>
      <c r="D3220" s="12">
        <v>60</v>
      </c>
    </row>
    <row r="3221" spans="1:4" x14ac:dyDescent="0.2">
      <c r="A3221" s="12" t="s">
        <v>431</v>
      </c>
      <c r="B3221" s="12" t="s">
        <v>430</v>
      </c>
      <c r="C3221" s="12">
        <v>610</v>
      </c>
      <c r="D3221" s="12">
        <v>61</v>
      </c>
    </row>
    <row r="3222" spans="1:4" x14ac:dyDescent="0.2">
      <c r="A3222" s="12" t="s">
        <v>7164</v>
      </c>
      <c r="B3222" s="12" t="s">
        <v>7163</v>
      </c>
      <c r="C3222" s="12" t="s">
        <v>59</v>
      </c>
      <c r="D3222" s="12" t="s">
        <v>59</v>
      </c>
    </row>
    <row r="3223" spans="1:4" x14ac:dyDescent="0.2">
      <c r="A3223" s="12" t="s">
        <v>11123</v>
      </c>
      <c r="B3223" s="12" t="s">
        <v>11122</v>
      </c>
      <c r="C3223" s="12">
        <v>18</v>
      </c>
      <c r="D3223" s="12">
        <v>1.8</v>
      </c>
    </row>
    <row r="3224" spans="1:4" x14ac:dyDescent="0.2">
      <c r="A3224" s="12" t="s">
        <v>10006</v>
      </c>
      <c r="B3224" s="12" t="s">
        <v>10005</v>
      </c>
      <c r="C3224" s="12" t="s">
        <v>59</v>
      </c>
      <c r="D3224" s="12" t="s">
        <v>59</v>
      </c>
    </row>
    <row r="3225" spans="1:4" x14ac:dyDescent="0.2">
      <c r="A3225" s="12" t="s">
        <v>4164</v>
      </c>
      <c r="B3225" s="12" t="s">
        <v>4163</v>
      </c>
      <c r="C3225" s="12">
        <v>0.33</v>
      </c>
      <c r="D3225" s="12">
        <v>5.8999999999999997E-2</v>
      </c>
    </row>
    <row r="3226" spans="1:4" x14ac:dyDescent="0.2">
      <c r="A3226" s="12" t="s">
        <v>2970</v>
      </c>
      <c r="B3226" s="12" t="s">
        <v>2969</v>
      </c>
      <c r="C3226" s="12">
        <v>500</v>
      </c>
      <c r="D3226" s="12">
        <v>50</v>
      </c>
    </row>
    <row r="3227" spans="1:4" x14ac:dyDescent="0.2">
      <c r="A3227" s="12" t="s">
        <v>5640</v>
      </c>
      <c r="B3227" s="12" t="s">
        <v>5639</v>
      </c>
      <c r="C3227" s="12" t="s">
        <v>59</v>
      </c>
      <c r="D3227" s="12" t="s">
        <v>59</v>
      </c>
    </row>
    <row r="3228" spans="1:4" x14ac:dyDescent="0.2">
      <c r="A3228" s="12" t="s">
        <v>8976</v>
      </c>
      <c r="B3228" s="12" t="s">
        <v>8975</v>
      </c>
      <c r="C3228" s="12">
        <v>30</v>
      </c>
      <c r="D3228" s="12">
        <v>3</v>
      </c>
    </row>
    <row r="3229" spans="1:4" x14ac:dyDescent="0.2">
      <c r="A3229" s="12" t="s">
        <v>999</v>
      </c>
      <c r="B3229" s="12" t="s">
        <v>998</v>
      </c>
      <c r="C3229" s="12">
        <v>3800</v>
      </c>
      <c r="D3229" s="12">
        <v>380</v>
      </c>
    </row>
    <row r="3230" spans="1:4" x14ac:dyDescent="0.2">
      <c r="A3230" s="12" t="s">
        <v>4902</v>
      </c>
      <c r="B3230" s="12" t="s">
        <v>4901</v>
      </c>
      <c r="C3230" s="12">
        <v>50</v>
      </c>
      <c r="D3230" s="12">
        <v>5</v>
      </c>
    </row>
    <row r="3231" spans="1:4" x14ac:dyDescent="0.2">
      <c r="A3231" s="12" t="s">
        <v>3349</v>
      </c>
      <c r="B3231" s="12" t="s">
        <v>3348</v>
      </c>
      <c r="C3231" s="12">
        <v>100</v>
      </c>
      <c r="D3231" s="12">
        <v>10</v>
      </c>
    </row>
    <row r="3232" spans="1:4" x14ac:dyDescent="0.2">
      <c r="A3232" s="12" t="s">
        <v>10727</v>
      </c>
      <c r="B3232" s="12" t="s">
        <v>10726</v>
      </c>
      <c r="C3232" s="12" t="s">
        <v>59</v>
      </c>
      <c r="D3232" s="12" t="s">
        <v>59</v>
      </c>
    </row>
    <row r="3233" spans="1:4" x14ac:dyDescent="0.2">
      <c r="A3233" s="12" t="s">
        <v>12185</v>
      </c>
      <c r="B3233" s="12" t="s">
        <v>12184</v>
      </c>
      <c r="C3233" s="12">
        <v>0.6</v>
      </c>
      <c r="D3233" s="12">
        <v>0.06</v>
      </c>
    </row>
    <row r="3234" spans="1:4" x14ac:dyDescent="0.2">
      <c r="A3234" s="12" t="s">
        <v>4736</v>
      </c>
      <c r="B3234" s="12" t="s">
        <v>4735</v>
      </c>
      <c r="C3234" s="12" t="s">
        <v>59</v>
      </c>
      <c r="D3234" s="12" t="s">
        <v>59</v>
      </c>
    </row>
    <row r="3235" spans="1:4" x14ac:dyDescent="0.2">
      <c r="A3235" s="12" t="s">
        <v>8470</v>
      </c>
      <c r="B3235" s="12" t="s">
        <v>8469</v>
      </c>
      <c r="C3235" s="12">
        <v>25</v>
      </c>
      <c r="D3235" s="12">
        <v>2.5</v>
      </c>
    </row>
    <row r="3236" spans="1:4" x14ac:dyDescent="0.2">
      <c r="A3236" s="12" t="s">
        <v>914</v>
      </c>
      <c r="B3236" s="12" t="s">
        <v>913</v>
      </c>
      <c r="C3236" s="12">
        <v>20</v>
      </c>
      <c r="D3236" s="12">
        <v>2</v>
      </c>
    </row>
    <row r="3237" spans="1:4" x14ac:dyDescent="0.2">
      <c r="A3237" s="12" t="s">
        <v>7321</v>
      </c>
      <c r="B3237" s="12" t="s">
        <v>7320</v>
      </c>
      <c r="C3237" s="12">
        <v>10</v>
      </c>
      <c r="D3237" s="12">
        <v>1</v>
      </c>
    </row>
    <row r="3238" spans="1:4" x14ac:dyDescent="0.2">
      <c r="A3238" s="12" t="s">
        <v>1780</v>
      </c>
      <c r="B3238" s="12" t="s">
        <v>1779</v>
      </c>
      <c r="C3238" s="12" t="s">
        <v>59</v>
      </c>
      <c r="D3238" s="12" t="s">
        <v>59</v>
      </c>
    </row>
    <row r="3239" spans="1:4" x14ac:dyDescent="0.2">
      <c r="A3239" s="12" t="s">
        <v>4079</v>
      </c>
      <c r="B3239" s="12" t="s">
        <v>4078</v>
      </c>
      <c r="C3239" s="12" t="s">
        <v>59</v>
      </c>
      <c r="D3239" s="12" t="s">
        <v>59</v>
      </c>
    </row>
    <row r="3240" spans="1:4" x14ac:dyDescent="0.2">
      <c r="A3240" s="12" t="s">
        <v>4080</v>
      </c>
      <c r="B3240" s="12" t="s">
        <v>4078</v>
      </c>
      <c r="C3240" s="12">
        <v>600</v>
      </c>
      <c r="D3240" s="12">
        <v>60</v>
      </c>
    </row>
    <row r="3241" spans="1:4" x14ac:dyDescent="0.2">
      <c r="A3241" s="12" t="s">
        <v>8942</v>
      </c>
      <c r="B3241" s="12" t="s">
        <v>8941</v>
      </c>
      <c r="C3241" s="12">
        <v>200</v>
      </c>
      <c r="D3241" s="12">
        <v>20</v>
      </c>
    </row>
    <row r="3242" spans="1:4" x14ac:dyDescent="0.2">
      <c r="A3242" s="12" t="s">
        <v>1952</v>
      </c>
      <c r="B3242" s="12" t="s">
        <v>1951</v>
      </c>
      <c r="C3242" s="12">
        <v>50</v>
      </c>
      <c r="D3242" s="12">
        <v>5</v>
      </c>
    </row>
    <row r="3243" spans="1:4" x14ac:dyDescent="0.2">
      <c r="A3243" s="12" t="s">
        <v>194</v>
      </c>
      <c r="B3243" s="12" t="s">
        <v>193</v>
      </c>
      <c r="C3243" s="12" t="s">
        <v>59</v>
      </c>
      <c r="D3243" s="12" t="s">
        <v>59</v>
      </c>
    </row>
    <row r="3244" spans="1:4" x14ac:dyDescent="0.2">
      <c r="A3244" s="12" t="s">
        <v>195</v>
      </c>
      <c r="B3244" s="12" t="s">
        <v>193</v>
      </c>
      <c r="C3244" s="12">
        <v>1000</v>
      </c>
      <c r="D3244" s="12">
        <v>100</v>
      </c>
    </row>
    <row r="3245" spans="1:4" x14ac:dyDescent="0.2">
      <c r="A3245" s="12" t="s">
        <v>8586</v>
      </c>
      <c r="B3245" s="12" t="s">
        <v>8585</v>
      </c>
      <c r="C3245" s="12" t="s">
        <v>59</v>
      </c>
      <c r="D3245" s="12" t="s">
        <v>59</v>
      </c>
    </row>
    <row r="3246" spans="1:4" x14ac:dyDescent="0.2">
      <c r="A3246" s="12" t="s">
        <v>8587</v>
      </c>
      <c r="B3246" s="12" t="s">
        <v>8585</v>
      </c>
      <c r="C3246" s="12">
        <v>1000</v>
      </c>
      <c r="D3246" s="12">
        <v>100</v>
      </c>
    </row>
    <row r="3247" spans="1:4" x14ac:dyDescent="0.2">
      <c r="A3247" s="12" t="s">
        <v>3819</v>
      </c>
      <c r="B3247" s="12" t="s">
        <v>3818</v>
      </c>
      <c r="C3247" s="12">
        <v>1000</v>
      </c>
      <c r="D3247" s="12">
        <v>100</v>
      </c>
    </row>
    <row r="3248" spans="1:4" x14ac:dyDescent="0.2">
      <c r="A3248" s="12" t="s">
        <v>9916</v>
      </c>
      <c r="B3248" s="12" t="s">
        <v>9915</v>
      </c>
      <c r="C3248" s="12" t="s">
        <v>59</v>
      </c>
      <c r="D3248" s="12" t="s">
        <v>59</v>
      </c>
    </row>
    <row r="3249" spans="1:4" x14ac:dyDescent="0.2">
      <c r="A3249" s="12" t="s">
        <v>2442</v>
      </c>
      <c r="B3249" s="12" t="s">
        <v>2441</v>
      </c>
      <c r="C3249" s="12" t="s">
        <v>59</v>
      </c>
      <c r="D3249" s="12" t="s">
        <v>59</v>
      </c>
    </row>
    <row r="3250" spans="1:4" x14ac:dyDescent="0.2">
      <c r="A3250" s="12" t="s">
        <v>9774</v>
      </c>
      <c r="B3250" s="12" t="s">
        <v>9773</v>
      </c>
      <c r="C3250" s="12">
        <v>50</v>
      </c>
      <c r="D3250" s="12">
        <v>5</v>
      </c>
    </row>
    <row r="3251" spans="1:4" x14ac:dyDescent="0.2">
      <c r="A3251" s="12" t="s">
        <v>478</v>
      </c>
      <c r="B3251" s="12" t="s">
        <v>477</v>
      </c>
      <c r="C3251" s="12">
        <v>4400</v>
      </c>
      <c r="D3251" s="12">
        <v>54</v>
      </c>
    </row>
    <row r="3252" spans="1:4" x14ac:dyDescent="0.2">
      <c r="A3252" s="12" t="s">
        <v>1625</v>
      </c>
      <c r="B3252" s="12" t="s">
        <v>1624</v>
      </c>
      <c r="C3252" s="12">
        <v>290</v>
      </c>
      <c r="D3252" s="12">
        <v>3.3</v>
      </c>
    </row>
    <row r="3253" spans="1:4" x14ac:dyDescent="0.2">
      <c r="A3253" s="12" t="s">
        <v>8650</v>
      </c>
      <c r="B3253" s="12" t="s">
        <v>8649</v>
      </c>
      <c r="C3253" s="12">
        <v>110</v>
      </c>
      <c r="D3253" s="12">
        <v>11</v>
      </c>
    </row>
    <row r="3254" spans="1:4" x14ac:dyDescent="0.2">
      <c r="A3254" s="12" t="s">
        <v>7302</v>
      </c>
      <c r="B3254" s="12" t="s">
        <v>7301</v>
      </c>
      <c r="C3254" s="12">
        <v>32</v>
      </c>
      <c r="D3254" s="12">
        <v>3.2</v>
      </c>
    </row>
    <row r="3255" spans="1:4" x14ac:dyDescent="0.2">
      <c r="A3255" s="12" t="s">
        <v>11085</v>
      </c>
      <c r="B3255" s="12" t="s">
        <v>11084</v>
      </c>
      <c r="C3255" s="12">
        <v>2000</v>
      </c>
      <c r="D3255" s="12">
        <v>200</v>
      </c>
    </row>
    <row r="3256" spans="1:4" x14ac:dyDescent="0.2">
      <c r="A3256" s="12" t="s">
        <v>459</v>
      </c>
      <c r="B3256" s="12" t="s">
        <v>458</v>
      </c>
      <c r="C3256" s="12">
        <v>2450</v>
      </c>
      <c r="D3256" s="12">
        <v>245</v>
      </c>
    </row>
    <row r="3257" spans="1:4" x14ac:dyDescent="0.2">
      <c r="A3257" s="12" t="s">
        <v>1651</v>
      </c>
      <c r="B3257" s="12" t="s">
        <v>1650</v>
      </c>
      <c r="C3257" s="12" t="s">
        <v>59</v>
      </c>
      <c r="D3257" s="12" t="s">
        <v>59</v>
      </c>
    </row>
    <row r="3258" spans="1:4" x14ac:dyDescent="0.2">
      <c r="A3258" s="12" t="s">
        <v>1652</v>
      </c>
      <c r="B3258" s="12" t="s">
        <v>1650</v>
      </c>
      <c r="C3258" s="12">
        <v>1000</v>
      </c>
      <c r="D3258" s="12">
        <v>100</v>
      </c>
    </row>
    <row r="3259" spans="1:4" x14ac:dyDescent="0.2">
      <c r="A3259" s="12" t="s">
        <v>9528</v>
      </c>
      <c r="B3259" s="12" t="s">
        <v>9527</v>
      </c>
      <c r="C3259" s="12">
        <v>2750</v>
      </c>
      <c r="D3259" s="12">
        <v>275</v>
      </c>
    </row>
    <row r="3260" spans="1:4" x14ac:dyDescent="0.2">
      <c r="A3260" s="12" t="s">
        <v>4710</v>
      </c>
      <c r="B3260" s="12" t="s">
        <v>4709</v>
      </c>
      <c r="C3260" s="12" t="s">
        <v>59</v>
      </c>
      <c r="D3260" s="12" t="s">
        <v>59</v>
      </c>
    </row>
    <row r="3261" spans="1:4" x14ac:dyDescent="0.2">
      <c r="A3261" s="12" t="s">
        <v>4716</v>
      </c>
      <c r="B3261" s="12" t="s">
        <v>4715</v>
      </c>
      <c r="C3261" s="12" t="s">
        <v>59</v>
      </c>
      <c r="D3261" s="12" t="s">
        <v>59</v>
      </c>
    </row>
    <row r="3262" spans="1:4" x14ac:dyDescent="0.2">
      <c r="A3262" s="12" t="s">
        <v>604</v>
      </c>
      <c r="B3262" s="12" t="s">
        <v>603</v>
      </c>
      <c r="C3262" s="12">
        <v>10</v>
      </c>
      <c r="D3262" s="12">
        <v>1</v>
      </c>
    </row>
    <row r="3263" spans="1:4" x14ac:dyDescent="0.2">
      <c r="A3263" s="12" t="s">
        <v>4427</v>
      </c>
      <c r="B3263" s="12" t="s">
        <v>4426</v>
      </c>
      <c r="C3263" s="12">
        <v>100</v>
      </c>
      <c r="D3263" s="12">
        <v>10</v>
      </c>
    </row>
    <row r="3264" spans="1:4" x14ac:dyDescent="0.2">
      <c r="A3264" s="12" t="s">
        <v>2446</v>
      </c>
      <c r="B3264" s="12" t="s">
        <v>2445</v>
      </c>
      <c r="C3264" s="12" t="s">
        <v>59</v>
      </c>
      <c r="D3264" s="12" t="s">
        <v>59</v>
      </c>
    </row>
    <row r="3265" spans="1:4" x14ac:dyDescent="0.2">
      <c r="A3265" s="12" t="s">
        <v>8768</v>
      </c>
      <c r="B3265" s="12" t="s">
        <v>8767</v>
      </c>
      <c r="C3265" s="12" t="s">
        <v>59</v>
      </c>
      <c r="D3265" s="12" t="s">
        <v>59</v>
      </c>
    </row>
    <row r="3266" spans="1:4" x14ac:dyDescent="0.2">
      <c r="A3266" s="12" t="s">
        <v>1805</v>
      </c>
      <c r="B3266" s="12" t="s">
        <v>1804</v>
      </c>
      <c r="C3266" s="12" t="s">
        <v>59</v>
      </c>
      <c r="D3266" s="12" t="s">
        <v>59</v>
      </c>
    </row>
    <row r="3267" spans="1:4" x14ac:dyDescent="0.2">
      <c r="A3267" s="12" t="s">
        <v>6811</v>
      </c>
      <c r="B3267" s="12" t="s">
        <v>6810</v>
      </c>
      <c r="C3267" s="12">
        <v>13</v>
      </c>
      <c r="D3267" s="12">
        <v>1.3</v>
      </c>
    </row>
    <row r="3268" spans="1:4" x14ac:dyDescent="0.2">
      <c r="A3268" s="12" t="s">
        <v>3135</v>
      </c>
      <c r="B3268" s="12" t="s">
        <v>3134</v>
      </c>
      <c r="C3268" s="12">
        <v>1700</v>
      </c>
      <c r="D3268" s="12">
        <v>330</v>
      </c>
    </row>
    <row r="3269" spans="1:4" x14ac:dyDescent="0.2">
      <c r="A3269" s="12" t="s">
        <v>3087</v>
      </c>
      <c r="B3269" s="12" t="s">
        <v>3086</v>
      </c>
      <c r="C3269" s="12">
        <v>1700</v>
      </c>
      <c r="D3269" s="12">
        <v>330</v>
      </c>
    </row>
    <row r="3270" spans="1:4" x14ac:dyDescent="0.2">
      <c r="A3270" s="12" t="s">
        <v>3093</v>
      </c>
      <c r="B3270" s="12" t="s">
        <v>3092</v>
      </c>
      <c r="C3270" s="12">
        <v>1700</v>
      </c>
      <c r="D3270" s="12">
        <v>330</v>
      </c>
    </row>
    <row r="3271" spans="1:4" x14ac:dyDescent="0.2">
      <c r="A3271" s="12" t="s">
        <v>2783</v>
      </c>
      <c r="B3271" s="12" t="s">
        <v>2782</v>
      </c>
      <c r="C3271" s="12">
        <v>1700</v>
      </c>
      <c r="D3271" s="12">
        <v>330</v>
      </c>
    </row>
    <row r="3272" spans="1:4" x14ac:dyDescent="0.2">
      <c r="A3272" s="12" t="s">
        <v>2779</v>
      </c>
      <c r="B3272" s="12" t="s">
        <v>2778</v>
      </c>
      <c r="C3272" s="12">
        <v>1700</v>
      </c>
      <c r="D3272" s="12">
        <v>330</v>
      </c>
    </row>
    <row r="3273" spans="1:4" x14ac:dyDescent="0.2">
      <c r="A3273" s="12" t="s">
        <v>1368</v>
      </c>
      <c r="B3273" s="12" t="s">
        <v>1367</v>
      </c>
      <c r="C3273" s="12">
        <v>1700</v>
      </c>
      <c r="D3273" s="12">
        <v>330</v>
      </c>
    </row>
    <row r="3274" spans="1:4" x14ac:dyDescent="0.2">
      <c r="A3274" s="12" t="s">
        <v>1528</v>
      </c>
      <c r="B3274" s="12" t="s">
        <v>1527</v>
      </c>
      <c r="C3274" s="12">
        <v>1700</v>
      </c>
      <c r="D3274" s="12">
        <v>330</v>
      </c>
    </row>
    <row r="3275" spans="1:4" x14ac:dyDescent="0.2">
      <c r="A3275" s="12" t="s">
        <v>1542</v>
      </c>
      <c r="B3275" s="12" t="s">
        <v>1541</v>
      </c>
      <c r="C3275" s="12">
        <v>1700</v>
      </c>
      <c r="D3275" s="12">
        <v>330</v>
      </c>
    </row>
    <row r="3276" spans="1:4" x14ac:dyDescent="0.2">
      <c r="A3276" s="12" t="s">
        <v>3081</v>
      </c>
      <c r="B3276" s="12" t="s">
        <v>3080</v>
      </c>
      <c r="C3276" s="12">
        <v>1700</v>
      </c>
      <c r="D3276" s="12">
        <v>330</v>
      </c>
    </row>
    <row r="3277" spans="1:4" x14ac:dyDescent="0.2">
      <c r="A3277" s="12" t="s">
        <v>2753</v>
      </c>
      <c r="B3277" s="12" t="s">
        <v>2752</v>
      </c>
      <c r="C3277" s="12">
        <v>1700</v>
      </c>
      <c r="D3277" s="12">
        <v>330</v>
      </c>
    </row>
    <row r="3278" spans="1:4" x14ac:dyDescent="0.2">
      <c r="A3278" s="12" t="s">
        <v>3083</v>
      </c>
      <c r="B3278" s="12" t="s">
        <v>3082</v>
      </c>
      <c r="C3278" s="12">
        <v>1700</v>
      </c>
      <c r="D3278" s="12">
        <v>330</v>
      </c>
    </row>
    <row r="3279" spans="1:4" x14ac:dyDescent="0.2">
      <c r="A3279" s="12" t="s">
        <v>3085</v>
      </c>
      <c r="B3279" s="12" t="s">
        <v>3084</v>
      </c>
      <c r="C3279" s="12">
        <v>1700</v>
      </c>
      <c r="D3279" s="12">
        <v>330</v>
      </c>
    </row>
    <row r="3280" spans="1:4" x14ac:dyDescent="0.2">
      <c r="A3280" s="12" t="s">
        <v>2761</v>
      </c>
      <c r="B3280" s="12" t="s">
        <v>2760</v>
      </c>
      <c r="C3280" s="12">
        <v>1700</v>
      </c>
      <c r="D3280" s="12">
        <v>330</v>
      </c>
    </row>
    <row r="3281" spans="1:4" x14ac:dyDescent="0.2">
      <c r="A3281" s="12" t="s">
        <v>3091</v>
      </c>
      <c r="B3281" s="12" t="s">
        <v>3090</v>
      </c>
      <c r="C3281" s="12">
        <v>1700</v>
      </c>
      <c r="D3281" s="12">
        <v>330</v>
      </c>
    </row>
    <row r="3282" spans="1:4" x14ac:dyDescent="0.2">
      <c r="A3282" s="12" t="s">
        <v>2771</v>
      </c>
      <c r="B3282" s="12" t="s">
        <v>2770</v>
      </c>
      <c r="C3282" s="12">
        <v>1700</v>
      </c>
      <c r="D3282" s="12">
        <v>330</v>
      </c>
    </row>
    <row r="3283" spans="1:4" x14ac:dyDescent="0.2">
      <c r="A3283" s="12" t="s">
        <v>1358</v>
      </c>
      <c r="B3283" s="12" t="s">
        <v>1357</v>
      </c>
      <c r="C3283" s="12">
        <v>1700</v>
      </c>
      <c r="D3283" s="12">
        <v>330</v>
      </c>
    </row>
    <row r="3284" spans="1:4" x14ac:dyDescent="0.2">
      <c r="A3284" s="12" t="s">
        <v>1362</v>
      </c>
      <c r="B3284" s="12" t="s">
        <v>1361</v>
      </c>
      <c r="C3284" s="12">
        <v>1700</v>
      </c>
      <c r="D3284" s="12">
        <v>330</v>
      </c>
    </row>
    <row r="3285" spans="1:4" x14ac:dyDescent="0.2">
      <c r="A3285" s="12" t="s">
        <v>1520</v>
      </c>
      <c r="B3285" s="12" t="s">
        <v>1519</v>
      </c>
      <c r="C3285" s="12">
        <v>1700</v>
      </c>
      <c r="D3285" s="12">
        <v>330</v>
      </c>
    </row>
    <row r="3286" spans="1:4" x14ac:dyDescent="0.2">
      <c r="A3286" s="12" t="s">
        <v>1524</v>
      </c>
      <c r="B3286" s="12" t="s">
        <v>1523</v>
      </c>
      <c r="C3286" s="12">
        <v>1700</v>
      </c>
      <c r="D3286" s="12">
        <v>330</v>
      </c>
    </row>
    <row r="3287" spans="1:4" x14ac:dyDescent="0.2">
      <c r="A3287" s="12" t="s">
        <v>2540</v>
      </c>
      <c r="B3287" s="12" t="s">
        <v>2539</v>
      </c>
      <c r="C3287" s="12">
        <v>1700</v>
      </c>
      <c r="D3287" s="12">
        <v>330</v>
      </c>
    </row>
    <row r="3288" spans="1:4" x14ac:dyDescent="0.2">
      <c r="A3288" s="12" t="s">
        <v>2741</v>
      </c>
      <c r="B3288" s="12" t="s">
        <v>2740</v>
      </c>
      <c r="C3288" s="12">
        <v>1700</v>
      </c>
      <c r="D3288" s="12">
        <v>330</v>
      </c>
    </row>
    <row r="3289" spans="1:4" x14ac:dyDescent="0.2">
      <c r="A3289" s="12" t="s">
        <v>2743</v>
      </c>
      <c r="B3289" s="12" t="s">
        <v>2742</v>
      </c>
      <c r="C3289" s="12">
        <v>1700</v>
      </c>
      <c r="D3289" s="12">
        <v>330</v>
      </c>
    </row>
    <row r="3290" spans="1:4" x14ac:dyDescent="0.2">
      <c r="A3290" s="12" t="s">
        <v>2751</v>
      </c>
      <c r="B3290" s="12" t="s">
        <v>2750</v>
      </c>
      <c r="C3290" s="12">
        <v>1700</v>
      </c>
      <c r="D3290" s="12">
        <v>330</v>
      </c>
    </row>
    <row r="3291" spans="1:4" x14ac:dyDescent="0.2">
      <c r="A3291" s="12" t="s">
        <v>5661</v>
      </c>
      <c r="B3291" s="12" t="s">
        <v>5660</v>
      </c>
      <c r="C3291" s="12" t="s">
        <v>59</v>
      </c>
      <c r="D3291" s="12" t="s">
        <v>59</v>
      </c>
    </row>
    <row r="3292" spans="1:4" x14ac:dyDescent="0.2">
      <c r="A3292" s="12" t="s">
        <v>9545</v>
      </c>
      <c r="B3292" s="12" t="s">
        <v>9544</v>
      </c>
      <c r="C3292" s="12">
        <v>500</v>
      </c>
      <c r="D3292" s="12">
        <v>50</v>
      </c>
    </row>
    <row r="3293" spans="1:4" x14ac:dyDescent="0.2">
      <c r="A3293" s="12" t="s">
        <v>9538</v>
      </c>
      <c r="B3293" s="12" t="s">
        <v>9537</v>
      </c>
      <c r="C3293" s="12">
        <v>90</v>
      </c>
      <c r="D3293" s="12">
        <v>9</v>
      </c>
    </row>
    <row r="3294" spans="1:4" x14ac:dyDescent="0.2">
      <c r="A3294" s="12" t="s">
        <v>1680</v>
      </c>
      <c r="B3294" s="12" t="s">
        <v>1679</v>
      </c>
      <c r="C3294" s="12">
        <v>1</v>
      </c>
      <c r="D3294" s="12">
        <v>0.1</v>
      </c>
    </row>
    <row r="3295" spans="1:4" x14ac:dyDescent="0.2">
      <c r="A3295" s="12" t="s">
        <v>10977</v>
      </c>
      <c r="B3295" s="12" t="s">
        <v>10976</v>
      </c>
      <c r="C3295" s="12" t="s">
        <v>59</v>
      </c>
      <c r="D3295" s="12" t="s">
        <v>59</v>
      </c>
    </row>
    <row r="3296" spans="1:4" x14ac:dyDescent="0.2">
      <c r="A3296" s="12" t="s">
        <v>2003</v>
      </c>
      <c r="B3296" s="12" t="s">
        <v>2002</v>
      </c>
      <c r="C3296" s="12">
        <v>3.2</v>
      </c>
      <c r="D3296" s="12">
        <v>0.32</v>
      </c>
    </row>
    <row r="3297" spans="1:4" x14ac:dyDescent="0.2">
      <c r="A3297" s="12" t="s">
        <v>10992</v>
      </c>
      <c r="B3297" s="12" t="s">
        <v>10991</v>
      </c>
      <c r="C3297" s="12" t="s">
        <v>59</v>
      </c>
      <c r="D3297" s="12" t="s">
        <v>59</v>
      </c>
    </row>
    <row r="3298" spans="1:4" x14ac:dyDescent="0.2">
      <c r="A3298" s="12" t="s">
        <v>11357</v>
      </c>
      <c r="B3298" s="12" t="s">
        <v>11356</v>
      </c>
      <c r="C3298" s="12" t="s">
        <v>59</v>
      </c>
      <c r="D3298" s="12" t="s">
        <v>59</v>
      </c>
    </row>
    <row r="3299" spans="1:4" x14ac:dyDescent="0.2">
      <c r="A3299" s="12" t="s">
        <v>4347</v>
      </c>
      <c r="B3299" s="12" t="s">
        <v>4346</v>
      </c>
      <c r="C3299" s="12" t="s">
        <v>59</v>
      </c>
      <c r="D3299" s="12" t="s">
        <v>59</v>
      </c>
    </row>
    <row r="3300" spans="1:4" x14ac:dyDescent="0.2">
      <c r="A3300" s="12" t="s">
        <v>2077</v>
      </c>
      <c r="B3300" s="12" t="s">
        <v>2076</v>
      </c>
      <c r="C3300" s="12">
        <v>8.1</v>
      </c>
      <c r="D3300" s="12">
        <v>0.55000000000000004</v>
      </c>
    </row>
    <row r="3301" spans="1:4" x14ac:dyDescent="0.2">
      <c r="A3301" s="12" t="s">
        <v>11113</v>
      </c>
      <c r="B3301" s="12" t="s">
        <v>11112</v>
      </c>
      <c r="C3301" s="12">
        <v>50</v>
      </c>
      <c r="D3301" s="12">
        <v>5</v>
      </c>
    </row>
    <row r="3302" spans="1:4" x14ac:dyDescent="0.2">
      <c r="A3302" s="12" t="s">
        <v>1189</v>
      </c>
      <c r="B3302" s="12" t="s">
        <v>1188</v>
      </c>
      <c r="C3302" s="12">
        <v>420</v>
      </c>
      <c r="D3302" s="12">
        <v>42</v>
      </c>
    </row>
    <row r="3303" spans="1:4" x14ac:dyDescent="0.2">
      <c r="A3303" s="12" t="s">
        <v>1232</v>
      </c>
      <c r="B3303" s="12" t="s">
        <v>1231</v>
      </c>
      <c r="C3303" s="12">
        <v>39</v>
      </c>
      <c r="D3303" s="12">
        <v>3.9</v>
      </c>
    </row>
    <row r="3304" spans="1:4" x14ac:dyDescent="0.2">
      <c r="A3304" s="12" t="s">
        <v>2852</v>
      </c>
      <c r="B3304" s="12" t="s">
        <v>2851</v>
      </c>
      <c r="C3304" s="12">
        <v>360</v>
      </c>
      <c r="D3304" s="12">
        <v>36</v>
      </c>
    </row>
    <row r="3305" spans="1:4" x14ac:dyDescent="0.2">
      <c r="A3305" s="12" t="s">
        <v>2385</v>
      </c>
      <c r="B3305" s="12" t="s">
        <v>2384</v>
      </c>
      <c r="C3305" s="12">
        <v>1500</v>
      </c>
      <c r="D3305" s="12">
        <v>150</v>
      </c>
    </row>
    <row r="3306" spans="1:4" x14ac:dyDescent="0.2">
      <c r="A3306" s="12" t="s">
        <v>11681</v>
      </c>
      <c r="B3306" s="12" t="s">
        <v>11680</v>
      </c>
      <c r="C3306" s="12">
        <v>50</v>
      </c>
      <c r="D3306" s="12">
        <v>5</v>
      </c>
    </row>
    <row r="3307" spans="1:4" x14ac:dyDescent="0.2">
      <c r="A3307" s="12" t="s">
        <v>11173</v>
      </c>
      <c r="B3307" s="12" t="s">
        <v>11172</v>
      </c>
      <c r="C3307" s="12" t="s">
        <v>59</v>
      </c>
      <c r="D3307" s="12" t="s">
        <v>59</v>
      </c>
    </row>
    <row r="3308" spans="1:4" x14ac:dyDescent="0.2">
      <c r="A3308" s="12" t="s">
        <v>8535</v>
      </c>
      <c r="B3308" s="12" t="s">
        <v>8534</v>
      </c>
      <c r="C3308" s="12">
        <v>450</v>
      </c>
      <c r="D3308" s="12">
        <v>45</v>
      </c>
    </row>
    <row r="3309" spans="1:4" x14ac:dyDescent="0.2">
      <c r="A3309" s="12" t="s">
        <v>7560</v>
      </c>
      <c r="B3309" s="12" t="s">
        <v>7559</v>
      </c>
      <c r="C3309" s="12">
        <v>0.3</v>
      </c>
      <c r="D3309" s="12">
        <v>0.03</v>
      </c>
    </row>
    <row r="3310" spans="1:4" x14ac:dyDescent="0.2">
      <c r="A3310" s="12" t="s">
        <v>2310</v>
      </c>
      <c r="B3310" s="12" t="s">
        <v>2309</v>
      </c>
      <c r="C3310" s="12">
        <v>140</v>
      </c>
      <c r="D3310" s="12">
        <v>14</v>
      </c>
    </row>
    <row r="3311" spans="1:4" x14ac:dyDescent="0.2">
      <c r="A3311" s="12" t="s">
        <v>3017</v>
      </c>
      <c r="B3311" s="12" t="s">
        <v>3016</v>
      </c>
      <c r="C3311" s="12">
        <v>2</v>
      </c>
      <c r="D3311" s="12">
        <v>0.2</v>
      </c>
    </row>
    <row r="3312" spans="1:4" x14ac:dyDescent="0.2">
      <c r="A3312" s="12" t="s">
        <v>5077</v>
      </c>
      <c r="B3312" s="12" t="s">
        <v>5076</v>
      </c>
      <c r="C3312" s="12">
        <v>0.1</v>
      </c>
      <c r="D3312" s="12">
        <v>0.01</v>
      </c>
    </row>
    <row r="3313" spans="1:4" x14ac:dyDescent="0.2">
      <c r="A3313" s="12" t="s">
        <v>5809</v>
      </c>
      <c r="B3313" s="12" t="s">
        <v>5808</v>
      </c>
      <c r="C3313" s="12">
        <v>70</v>
      </c>
      <c r="D3313" s="12">
        <v>7</v>
      </c>
    </row>
    <row r="3314" spans="1:4" x14ac:dyDescent="0.2">
      <c r="A3314" s="12" t="s">
        <v>3958</v>
      </c>
      <c r="B3314" s="12" t="s">
        <v>3957</v>
      </c>
      <c r="C3314" s="12" t="s">
        <v>59</v>
      </c>
      <c r="D3314" s="12" t="s">
        <v>59</v>
      </c>
    </row>
    <row r="3315" spans="1:4" x14ac:dyDescent="0.2">
      <c r="A3315" s="12" t="s">
        <v>8315</v>
      </c>
      <c r="B3315" s="12" t="s">
        <v>8314</v>
      </c>
      <c r="C3315" s="12">
        <v>2750</v>
      </c>
      <c r="D3315" s="12">
        <v>275</v>
      </c>
    </row>
    <row r="3316" spans="1:4" x14ac:dyDescent="0.2">
      <c r="A3316" s="12" t="s">
        <v>4587</v>
      </c>
      <c r="B3316" s="12" t="s">
        <v>4586</v>
      </c>
      <c r="C3316" s="12">
        <v>300</v>
      </c>
      <c r="D3316" s="12">
        <v>30</v>
      </c>
    </row>
    <row r="3317" spans="1:4" x14ac:dyDescent="0.2">
      <c r="A3317" s="12" t="s">
        <v>4474</v>
      </c>
      <c r="B3317" s="12" t="s">
        <v>4473</v>
      </c>
      <c r="C3317" s="12">
        <v>210</v>
      </c>
      <c r="D3317" s="12">
        <v>21</v>
      </c>
    </row>
    <row r="3318" spans="1:4" x14ac:dyDescent="0.2">
      <c r="A3318" s="12" t="s">
        <v>6717</v>
      </c>
      <c r="B3318" s="12" t="s">
        <v>6716</v>
      </c>
      <c r="C3318" s="12">
        <v>1000</v>
      </c>
      <c r="D3318" s="12">
        <v>100</v>
      </c>
    </row>
    <row r="3319" spans="1:4" x14ac:dyDescent="0.2">
      <c r="A3319" s="12" t="s">
        <v>3133</v>
      </c>
      <c r="B3319" s="12" t="s">
        <v>3132</v>
      </c>
      <c r="C3319" s="12">
        <v>350</v>
      </c>
      <c r="D3319" s="12">
        <v>35</v>
      </c>
    </row>
    <row r="3320" spans="1:4" x14ac:dyDescent="0.2">
      <c r="A3320" s="12" t="s">
        <v>3811</v>
      </c>
      <c r="B3320" s="12" t="s">
        <v>3810</v>
      </c>
      <c r="C3320" s="12" t="s">
        <v>59</v>
      </c>
      <c r="D3320" s="12" t="s">
        <v>59</v>
      </c>
    </row>
    <row r="3321" spans="1:4" x14ac:dyDescent="0.2">
      <c r="A3321" s="12" t="s">
        <v>3812</v>
      </c>
      <c r="B3321" s="12" t="s">
        <v>3810</v>
      </c>
      <c r="C3321" s="12">
        <v>1000</v>
      </c>
      <c r="D3321" s="12">
        <v>100</v>
      </c>
    </row>
    <row r="3322" spans="1:4" x14ac:dyDescent="0.2">
      <c r="A3322" s="12" t="s">
        <v>5737</v>
      </c>
      <c r="B3322" s="12" t="s">
        <v>5736</v>
      </c>
      <c r="C3322" s="12">
        <v>0.5</v>
      </c>
      <c r="D3322" s="12">
        <v>0.05</v>
      </c>
    </row>
    <row r="3323" spans="1:4" x14ac:dyDescent="0.2">
      <c r="A3323" s="12" t="s">
        <v>1073</v>
      </c>
      <c r="B3323" s="12" t="s">
        <v>1072</v>
      </c>
      <c r="C3323" s="12">
        <v>1300</v>
      </c>
      <c r="D3323" s="12">
        <v>130</v>
      </c>
    </row>
    <row r="3324" spans="1:4" x14ac:dyDescent="0.2">
      <c r="A3324" s="12" t="s">
        <v>9736</v>
      </c>
      <c r="B3324" s="12" t="s">
        <v>9735</v>
      </c>
      <c r="C3324" s="12">
        <v>2450</v>
      </c>
      <c r="D3324" s="12">
        <v>245</v>
      </c>
    </row>
    <row r="3325" spans="1:4" x14ac:dyDescent="0.2">
      <c r="A3325" s="12" t="s">
        <v>4359</v>
      </c>
      <c r="B3325" s="12" t="s">
        <v>4358</v>
      </c>
      <c r="C3325" s="12">
        <v>18</v>
      </c>
      <c r="D3325" s="12">
        <v>14</v>
      </c>
    </row>
    <row r="3326" spans="1:4" x14ac:dyDescent="0.2">
      <c r="A3326" s="12" t="s">
        <v>3271</v>
      </c>
      <c r="B3326" s="12" t="s">
        <v>3270</v>
      </c>
      <c r="C3326" s="12">
        <v>8.1</v>
      </c>
      <c r="D3326" s="12">
        <v>0.55000000000000004</v>
      </c>
    </row>
    <row r="3327" spans="1:4" x14ac:dyDescent="0.2">
      <c r="A3327" s="12" t="s">
        <v>7799</v>
      </c>
      <c r="B3327" s="12" t="s">
        <v>7798</v>
      </c>
      <c r="C3327" s="12">
        <v>1250</v>
      </c>
      <c r="D3327" s="12">
        <v>125</v>
      </c>
    </row>
    <row r="3328" spans="1:4" x14ac:dyDescent="0.2">
      <c r="A3328" s="12" t="s">
        <v>7908</v>
      </c>
      <c r="B3328" s="12" t="s">
        <v>7907</v>
      </c>
      <c r="C3328" s="12">
        <v>8.1</v>
      </c>
      <c r="D3328" s="12">
        <v>0.55000000000000004</v>
      </c>
    </row>
    <row r="3329" spans="1:4" x14ac:dyDescent="0.2">
      <c r="A3329" s="12" t="s">
        <v>2651</v>
      </c>
      <c r="B3329" s="12" t="s">
        <v>2650</v>
      </c>
      <c r="C3329" s="12">
        <v>310</v>
      </c>
      <c r="D3329" s="12">
        <v>31</v>
      </c>
    </row>
    <row r="3330" spans="1:4" x14ac:dyDescent="0.2">
      <c r="A3330" s="12" t="s">
        <v>4353</v>
      </c>
      <c r="B3330" s="12" t="s">
        <v>4352</v>
      </c>
      <c r="C3330" s="12">
        <v>600</v>
      </c>
      <c r="D3330" s="12">
        <v>60</v>
      </c>
    </row>
    <row r="3331" spans="1:4" x14ac:dyDescent="0.2">
      <c r="A3331" s="12" t="s">
        <v>1889</v>
      </c>
      <c r="B3331" s="12" t="s">
        <v>1888</v>
      </c>
      <c r="C3331" s="12">
        <v>0.5</v>
      </c>
      <c r="D3331" s="12">
        <v>0.05</v>
      </c>
    </row>
    <row r="3332" spans="1:4" x14ac:dyDescent="0.2">
      <c r="A3332" s="12" t="s">
        <v>6557</v>
      </c>
      <c r="B3332" s="12" t="s">
        <v>6556</v>
      </c>
      <c r="C3332" s="12">
        <v>290</v>
      </c>
      <c r="D3332" s="12">
        <v>3.3</v>
      </c>
    </row>
    <row r="3333" spans="1:4" x14ac:dyDescent="0.2">
      <c r="A3333" s="12" t="s">
        <v>3163</v>
      </c>
      <c r="B3333" s="12" t="s">
        <v>3162</v>
      </c>
      <c r="C3333" s="12">
        <v>110</v>
      </c>
      <c r="D3333" s="12">
        <v>14</v>
      </c>
    </row>
    <row r="3334" spans="1:4" x14ac:dyDescent="0.2">
      <c r="A3334" s="12" t="s">
        <v>3225</v>
      </c>
      <c r="B3334" s="12" t="s">
        <v>3224</v>
      </c>
      <c r="C3334" s="12">
        <v>1000</v>
      </c>
      <c r="D3334" s="12">
        <v>100</v>
      </c>
    </row>
    <row r="3335" spans="1:4" x14ac:dyDescent="0.2">
      <c r="A3335" s="12" t="s">
        <v>7801</v>
      </c>
      <c r="B3335" s="12" t="s">
        <v>7800</v>
      </c>
      <c r="C3335" s="12">
        <v>3000</v>
      </c>
      <c r="D3335" s="12">
        <v>300</v>
      </c>
    </row>
    <row r="3336" spans="1:4" x14ac:dyDescent="0.2">
      <c r="A3336" s="12" t="s">
        <v>7803</v>
      </c>
      <c r="B3336" s="12" t="s">
        <v>7802</v>
      </c>
      <c r="C3336" s="12" t="s">
        <v>59</v>
      </c>
      <c r="D3336" s="12" t="s">
        <v>59</v>
      </c>
    </row>
    <row r="3337" spans="1:4" x14ac:dyDescent="0.2">
      <c r="A3337" s="12" t="s">
        <v>7804</v>
      </c>
      <c r="B3337" s="12" t="s">
        <v>7802</v>
      </c>
      <c r="C3337" s="12">
        <v>500</v>
      </c>
      <c r="D3337" s="12">
        <v>50</v>
      </c>
    </row>
    <row r="3338" spans="1:4" x14ac:dyDescent="0.2">
      <c r="A3338" s="12" t="s">
        <v>2807</v>
      </c>
      <c r="B3338" s="12" t="s">
        <v>2806</v>
      </c>
      <c r="C3338" s="12">
        <v>3000</v>
      </c>
      <c r="D3338" s="12">
        <v>300</v>
      </c>
    </row>
    <row r="3339" spans="1:4" x14ac:dyDescent="0.2">
      <c r="A3339" s="12" t="s">
        <v>7820</v>
      </c>
      <c r="B3339" s="12" t="s">
        <v>7819</v>
      </c>
      <c r="C3339" s="12">
        <v>230</v>
      </c>
      <c r="D3339" s="12">
        <v>23</v>
      </c>
    </row>
    <row r="3340" spans="1:4" x14ac:dyDescent="0.2">
      <c r="A3340" s="12" t="s">
        <v>9326</v>
      </c>
      <c r="B3340" s="12" t="s">
        <v>9325</v>
      </c>
      <c r="C3340" s="12">
        <v>2700</v>
      </c>
      <c r="D3340" s="12">
        <v>270</v>
      </c>
    </row>
    <row r="3341" spans="1:4" x14ac:dyDescent="0.2">
      <c r="A3341" s="12" t="s">
        <v>578</v>
      </c>
      <c r="B3341" s="12" t="s">
        <v>577</v>
      </c>
      <c r="C3341" s="12">
        <v>7900</v>
      </c>
      <c r="D3341" s="12">
        <v>790</v>
      </c>
    </row>
    <row r="3342" spans="1:4" x14ac:dyDescent="0.2">
      <c r="A3342" s="12" t="s">
        <v>625</v>
      </c>
      <c r="B3342" s="12" t="s">
        <v>624</v>
      </c>
      <c r="C3342" s="12">
        <v>18</v>
      </c>
      <c r="D3342" s="12">
        <v>1.8</v>
      </c>
    </row>
    <row r="3343" spans="1:4" x14ac:dyDescent="0.2">
      <c r="A3343" s="12" t="s">
        <v>4009</v>
      </c>
      <c r="B3343" s="12" t="s">
        <v>4008</v>
      </c>
      <c r="C3343" s="12" t="s">
        <v>59</v>
      </c>
      <c r="D3343" s="12" t="s">
        <v>59</v>
      </c>
    </row>
    <row r="3344" spans="1:4" x14ac:dyDescent="0.2">
      <c r="A3344" s="12" t="s">
        <v>8849</v>
      </c>
      <c r="B3344" s="12" t="s">
        <v>8848</v>
      </c>
      <c r="C3344" s="12" t="s">
        <v>59</v>
      </c>
      <c r="D3344" s="12" t="s">
        <v>59</v>
      </c>
    </row>
    <row r="3345" spans="1:4" x14ac:dyDescent="0.2">
      <c r="A3345" s="12" t="s">
        <v>1401</v>
      </c>
      <c r="B3345" s="12" t="s">
        <v>1400</v>
      </c>
      <c r="C3345" s="12">
        <v>5600</v>
      </c>
      <c r="D3345" s="12">
        <v>540</v>
      </c>
    </row>
    <row r="3346" spans="1:4" x14ac:dyDescent="0.2">
      <c r="A3346" s="12" t="s">
        <v>11549</v>
      </c>
      <c r="B3346" s="12" t="s">
        <v>11548</v>
      </c>
      <c r="C3346" s="12">
        <v>9500</v>
      </c>
      <c r="D3346" s="12">
        <v>950</v>
      </c>
    </row>
    <row r="3347" spans="1:4" x14ac:dyDescent="0.2">
      <c r="A3347" s="12" t="s">
        <v>6409</v>
      </c>
      <c r="B3347" s="12" t="s">
        <v>6408</v>
      </c>
      <c r="C3347" s="12">
        <v>1000</v>
      </c>
      <c r="D3347" s="12">
        <v>100</v>
      </c>
    </row>
    <row r="3348" spans="1:4" x14ac:dyDescent="0.2">
      <c r="A3348" s="12" t="s">
        <v>5621</v>
      </c>
      <c r="B3348" s="12" t="s">
        <v>5620</v>
      </c>
      <c r="C3348" s="12">
        <v>1000</v>
      </c>
      <c r="D3348" s="12">
        <v>100</v>
      </c>
    </row>
    <row r="3349" spans="1:4" x14ac:dyDescent="0.2">
      <c r="A3349" s="12" t="s">
        <v>7470</v>
      </c>
      <c r="B3349" s="12" t="s">
        <v>7469</v>
      </c>
      <c r="C3349" s="12" t="s">
        <v>59</v>
      </c>
      <c r="D3349" s="12" t="s">
        <v>59</v>
      </c>
    </row>
    <row r="3350" spans="1:4" x14ac:dyDescent="0.2">
      <c r="A3350" s="12" t="s">
        <v>7471</v>
      </c>
      <c r="B3350" s="12" t="s">
        <v>7469</v>
      </c>
      <c r="C3350" s="12">
        <v>1000</v>
      </c>
      <c r="D3350" s="12">
        <v>100</v>
      </c>
    </row>
    <row r="3351" spans="1:4" x14ac:dyDescent="0.2">
      <c r="A3351" s="12" t="s">
        <v>9189</v>
      </c>
      <c r="B3351" s="12" t="s">
        <v>9188</v>
      </c>
      <c r="C3351" s="12">
        <v>5</v>
      </c>
      <c r="D3351" s="12">
        <v>0.5</v>
      </c>
    </row>
    <row r="3352" spans="1:4" x14ac:dyDescent="0.2">
      <c r="A3352" s="12" t="s">
        <v>6615</v>
      </c>
      <c r="B3352" s="12" t="s">
        <v>6614</v>
      </c>
      <c r="C3352" s="12">
        <v>45</v>
      </c>
      <c r="D3352" s="12">
        <v>4.5</v>
      </c>
    </row>
    <row r="3353" spans="1:4" x14ac:dyDescent="0.2">
      <c r="A3353" s="12" t="s">
        <v>711</v>
      </c>
      <c r="B3353" s="12" t="s">
        <v>710</v>
      </c>
      <c r="C3353" s="12">
        <v>900</v>
      </c>
      <c r="D3353" s="12">
        <v>160</v>
      </c>
    </row>
    <row r="3354" spans="1:4" x14ac:dyDescent="0.2">
      <c r="A3354" s="12" t="s">
        <v>3281</v>
      </c>
      <c r="B3354" s="12" t="s">
        <v>3280</v>
      </c>
      <c r="C3354" s="12">
        <v>520</v>
      </c>
      <c r="D3354" s="12">
        <v>52</v>
      </c>
    </row>
    <row r="3355" spans="1:4" x14ac:dyDescent="0.2">
      <c r="A3355" s="12" t="s">
        <v>6785</v>
      </c>
      <c r="B3355" s="12" t="s">
        <v>6784</v>
      </c>
      <c r="C3355" s="12">
        <v>100</v>
      </c>
      <c r="D3355" s="12">
        <v>10</v>
      </c>
    </row>
    <row r="3356" spans="1:4" x14ac:dyDescent="0.2">
      <c r="A3356" s="12" t="s">
        <v>5073</v>
      </c>
      <c r="B3356" s="12" t="s">
        <v>5072</v>
      </c>
      <c r="C3356" s="12">
        <v>2700</v>
      </c>
      <c r="D3356" s="12">
        <v>270</v>
      </c>
    </row>
    <row r="3357" spans="1:4" x14ac:dyDescent="0.2">
      <c r="A3357" s="12" t="s">
        <v>11486</v>
      </c>
      <c r="B3357" s="12" t="s">
        <v>11485</v>
      </c>
      <c r="C3357" s="12" t="s">
        <v>59</v>
      </c>
      <c r="D3357" s="12" t="s">
        <v>59</v>
      </c>
    </row>
    <row r="3358" spans="1:4" x14ac:dyDescent="0.2">
      <c r="A3358" s="12" t="s">
        <v>1674</v>
      </c>
      <c r="B3358" s="12" t="s">
        <v>1673</v>
      </c>
      <c r="C3358" s="12">
        <v>420</v>
      </c>
      <c r="D3358" s="12">
        <v>42</v>
      </c>
    </row>
    <row r="3359" spans="1:4" x14ac:dyDescent="0.2">
      <c r="A3359" s="12" t="s">
        <v>7810</v>
      </c>
      <c r="B3359" s="12" t="s">
        <v>7809</v>
      </c>
      <c r="C3359" s="12">
        <v>3000</v>
      </c>
      <c r="D3359" s="12">
        <v>300</v>
      </c>
    </row>
    <row r="3360" spans="1:4" x14ac:dyDescent="0.2">
      <c r="A3360" s="12" t="s">
        <v>7818</v>
      </c>
      <c r="B3360" s="12" t="s">
        <v>7817</v>
      </c>
      <c r="C3360" s="12">
        <v>80</v>
      </c>
      <c r="D3360" s="12">
        <v>8</v>
      </c>
    </row>
    <row r="3361" spans="1:4" x14ac:dyDescent="0.2">
      <c r="A3361" s="12" t="s">
        <v>6740</v>
      </c>
      <c r="B3361" s="12" t="s">
        <v>6739</v>
      </c>
      <c r="C3361" s="12">
        <v>450</v>
      </c>
      <c r="D3361" s="12">
        <v>45</v>
      </c>
    </row>
    <row r="3362" spans="1:4" x14ac:dyDescent="0.2">
      <c r="A3362" s="12" t="s">
        <v>715</v>
      </c>
      <c r="B3362" s="12" t="s">
        <v>714</v>
      </c>
      <c r="C3362" s="12">
        <v>45</v>
      </c>
      <c r="D3362" s="12">
        <v>4.5</v>
      </c>
    </row>
    <row r="3363" spans="1:4" x14ac:dyDescent="0.2">
      <c r="A3363" s="12" t="s">
        <v>2712</v>
      </c>
      <c r="B3363" s="12" t="s">
        <v>2711</v>
      </c>
      <c r="C3363" s="12">
        <v>180</v>
      </c>
      <c r="D3363" s="12">
        <v>18</v>
      </c>
    </row>
    <row r="3364" spans="1:4" x14ac:dyDescent="0.2">
      <c r="A3364" s="12" t="s">
        <v>6629</v>
      </c>
      <c r="B3364" s="12" t="s">
        <v>6628</v>
      </c>
      <c r="C3364" s="12">
        <v>0.7</v>
      </c>
      <c r="D3364" s="12">
        <v>0.1</v>
      </c>
    </row>
    <row r="3365" spans="1:4" x14ac:dyDescent="0.2">
      <c r="A3365" s="12" t="s">
        <v>4451</v>
      </c>
      <c r="B3365" s="12" t="s">
        <v>4450</v>
      </c>
      <c r="C3365" s="12">
        <v>0.05</v>
      </c>
      <c r="D3365" s="12">
        <v>5.0000000000000001E-3</v>
      </c>
    </row>
    <row r="3366" spans="1:4" x14ac:dyDescent="0.2">
      <c r="A3366" s="12" t="s">
        <v>5578</v>
      </c>
      <c r="B3366" s="12" t="s">
        <v>5577</v>
      </c>
      <c r="C3366" s="12">
        <v>2000</v>
      </c>
      <c r="D3366" s="12">
        <v>200</v>
      </c>
    </row>
    <row r="3367" spans="1:4" x14ac:dyDescent="0.2">
      <c r="A3367" s="12" t="s">
        <v>600</v>
      </c>
      <c r="B3367" s="12" t="s">
        <v>599</v>
      </c>
      <c r="C3367" s="12">
        <v>3400</v>
      </c>
      <c r="D3367" s="12">
        <v>340</v>
      </c>
    </row>
    <row r="3368" spans="1:4" x14ac:dyDescent="0.2">
      <c r="A3368" s="12" t="s">
        <v>1926</v>
      </c>
      <c r="B3368" s="12" t="s">
        <v>1925</v>
      </c>
      <c r="C3368" s="12">
        <v>97</v>
      </c>
      <c r="D3368" s="12">
        <v>7</v>
      </c>
    </row>
    <row r="3369" spans="1:4" x14ac:dyDescent="0.2">
      <c r="A3369" s="12" t="s">
        <v>7806</v>
      </c>
      <c r="B3369" s="12" t="s">
        <v>7805</v>
      </c>
      <c r="C3369" s="12">
        <v>18</v>
      </c>
      <c r="D3369" s="12">
        <v>1.8</v>
      </c>
    </row>
    <row r="3370" spans="1:4" x14ac:dyDescent="0.2">
      <c r="A3370" s="12" t="s">
        <v>971</v>
      </c>
      <c r="B3370" s="12" t="s">
        <v>970</v>
      </c>
      <c r="C3370" s="12">
        <v>2700</v>
      </c>
      <c r="D3370" s="12">
        <v>270</v>
      </c>
    </row>
    <row r="3371" spans="1:4" x14ac:dyDescent="0.2">
      <c r="A3371" s="12" t="s">
        <v>1585</v>
      </c>
      <c r="B3371" s="12" t="s">
        <v>1584</v>
      </c>
      <c r="C3371" s="12">
        <v>900</v>
      </c>
      <c r="D3371" s="12">
        <v>90</v>
      </c>
    </row>
    <row r="3372" spans="1:4" x14ac:dyDescent="0.2">
      <c r="A3372" s="12" t="s">
        <v>11228</v>
      </c>
      <c r="B3372" s="12" t="s">
        <v>11227</v>
      </c>
      <c r="C3372" s="12">
        <v>1000</v>
      </c>
      <c r="D3372" s="12">
        <v>100</v>
      </c>
    </row>
    <row r="3373" spans="1:4" x14ac:dyDescent="0.2">
      <c r="A3373" s="12" t="s">
        <v>7775</v>
      </c>
      <c r="B3373" s="12" t="s">
        <v>7774</v>
      </c>
      <c r="C3373" s="12">
        <v>1000</v>
      </c>
      <c r="D3373" s="12">
        <v>100</v>
      </c>
    </row>
    <row r="3374" spans="1:4" x14ac:dyDescent="0.2">
      <c r="A3374" s="12" t="s">
        <v>3261</v>
      </c>
      <c r="B3374" s="12" t="s">
        <v>3260</v>
      </c>
      <c r="C3374" s="12">
        <v>1000</v>
      </c>
      <c r="D3374" s="12">
        <v>100</v>
      </c>
    </row>
    <row r="3375" spans="1:4" x14ac:dyDescent="0.2">
      <c r="A3375" s="12" t="s">
        <v>9726</v>
      </c>
      <c r="B3375" s="12" t="s">
        <v>9725</v>
      </c>
      <c r="C3375" s="12">
        <v>50</v>
      </c>
      <c r="D3375" s="12">
        <v>5</v>
      </c>
    </row>
    <row r="3376" spans="1:4" x14ac:dyDescent="0.2">
      <c r="A3376" s="12" t="s">
        <v>4852</v>
      </c>
      <c r="B3376" s="12" t="s">
        <v>4851</v>
      </c>
      <c r="C3376" s="12" t="s">
        <v>59</v>
      </c>
      <c r="D3376" s="12" t="s">
        <v>59</v>
      </c>
    </row>
    <row r="3377" spans="1:4" x14ac:dyDescent="0.2">
      <c r="A3377" s="12" t="s">
        <v>8777</v>
      </c>
      <c r="B3377" s="12" t="s">
        <v>8776</v>
      </c>
      <c r="C3377" s="12" t="s">
        <v>59</v>
      </c>
      <c r="D3377" s="12" t="s">
        <v>59</v>
      </c>
    </row>
    <row r="3378" spans="1:4" x14ac:dyDescent="0.2">
      <c r="A3378" s="12" t="s">
        <v>5779</v>
      </c>
      <c r="B3378" s="12" t="s">
        <v>5778</v>
      </c>
      <c r="C3378" s="12">
        <v>110</v>
      </c>
      <c r="D3378" s="12">
        <v>14</v>
      </c>
    </row>
    <row r="3379" spans="1:4" x14ac:dyDescent="0.2">
      <c r="A3379" s="12" t="s">
        <v>8761</v>
      </c>
      <c r="B3379" s="12" t="s">
        <v>8760</v>
      </c>
      <c r="C3379" s="12" t="s">
        <v>59</v>
      </c>
      <c r="D3379" s="12" t="s">
        <v>59</v>
      </c>
    </row>
    <row r="3380" spans="1:4" x14ac:dyDescent="0.2">
      <c r="A3380" s="12" t="s">
        <v>8762</v>
      </c>
      <c r="B3380" s="12" t="s">
        <v>8760</v>
      </c>
      <c r="C3380" s="12">
        <v>1000</v>
      </c>
      <c r="D3380" s="12">
        <v>100</v>
      </c>
    </row>
    <row r="3381" spans="1:4" x14ac:dyDescent="0.2">
      <c r="A3381" s="12" t="s">
        <v>243</v>
      </c>
      <c r="B3381" s="12" t="s">
        <v>242</v>
      </c>
      <c r="C3381" s="12">
        <v>300</v>
      </c>
      <c r="D3381" s="12">
        <v>30</v>
      </c>
    </row>
    <row r="3382" spans="1:4" x14ac:dyDescent="0.2">
      <c r="A3382" s="12" t="s">
        <v>5251</v>
      </c>
      <c r="B3382" s="12" t="s">
        <v>5250</v>
      </c>
      <c r="C3382" s="12">
        <v>100</v>
      </c>
      <c r="D3382" s="12">
        <v>10</v>
      </c>
    </row>
    <row r="3383" spans="1:4" x14ac:dyDescent="0.2">
      <c r="A3383" s="12" t="s">
        <v>7432</v>
      </c>
      <c r="B3383" s="12" t="s">
        <v>7431</v>
      </c>
      <c r="C3383" s="12">
        <v>3500</v>
      </c>
      <c r="D3383" s="12">
        <v>350</v>
      </c>
    </row>
    <row r="3384" spans="1:4" x14ac:dyDescent="0.2">
      <c r="A3384" s="12" t="s">
        <v>6487</v>
      </c>
      <c r="B3384" s="12" t="s">
        <v>6486</v>
      </c>
      <c r="C3384" s="12">
        <v>100</v>
      </c>
      <c r="D3384" s="12">
        <v>10</v>
      </c>
    </row>
    <row r="3385" spans="1:4" x14ac:dyDescent="0.2">
      <c r="A3385" s="12" t="s">
        <v>6118</v>
      </c>
      <c r="B3385" s="12" t="s">
        <v>6117</v>
      </c>
      <c r="C3385" s="12">
        <v>20</v>
      </c>
      <c r="D3385" s="12">
        <v>2</v>
      </c>
    </row>
    <row r="3386" spans="1:4" x14ac:dyDescent="0.2">
      <c r="A3386" s="12" t="s">
        <v>1972</v>
      </c>
      <c r="B3386" s="12" t="s">
        <v>1971</v>
      </c>
      <c r="C3386" s="12">
        <v>250</v>
      </c>
      <c r="D3386" s="12">
        <v>25</v>
      </c>
    </row>
    <row r="3387" spans="1:4" x14ac:dyDescent="0.2">
      <c r="A3387" s="12" t="s">
        <v>480</v>
      </c>
      <c r="B3387" s="12" t="s">
        <v>479</v>
      </c>
      <c r="C3387" s="12">
        <v>50</v>
      </c>
      <c r="D3387" s="12">
        <v>5</v>
      </c>
    </row>
    <row r="3388" spans="1:4" x14ac:dyDescent="0.2">
      <c r="A3388" s="12" t="s">
        <v>1403</v>
      </c>
      <c r="B3388" s="12" t="s">
        <v>1402</v>
      </c>
      <c r="C3388" s="12">
        <v>1500</v>
      </c>
      <c r="D3388" s="12">
        <v>150</v>
      </c>
    </row>
    <row r="3389" spans="1:4" x14ac:dyDescent="0.2">
      <c r="A3389" s="12" t="s">
        <v>2612</v>
      </c>
      <c r="B3389" s="12" t="s">
        <v>2611</v>
      </c>
      <c r="C3389" s="12">
        <v>720</v>
      </c>
      <c r="D3389" s="12">
        <v>72</v>
      </c>
    </row>
    <row r="3390" spans="1:4" x14ac:dyDescent="0.2">
      <c r="A3390" s="12" t="s">
        <v>2613</v>
      </c>
      <c r="B3390" s="12" t="s">
        <v>2611</v>
      </c>
      <c r="C3390" s="12" t="s">
        <v>59</v>
      </c>
      <c r="D3390" s="12" t="s">
        <v>59</v>
      </c>
    </row>
    <row r="3391" spans="1:4" x14ac:dyDescent="0.2">
      <c r="A3391" s="12" t="s">
        <v>2639</v>
      </c>
      <c r="B3391" s="12" t="s">
        <v>2638</v>
      </c>
      <c r="C3391" s="12" t="s">
        <v>59</v>
      </c>
      <c r="D3391" s="12" t="s">
        <v>59</v>
      </c>
    </row>
    <row r="3392" spans="1:4" x14ac:dyDescent="0.2">
      <c r="A3392" s="12" t="s">
        <v>11695</v>
      </c>
      <c r="B3392" s="12" t="s">
        <v>11694</v>
      </c>
      <c r="C3392" s="12">
        <v>50</v>
      </c>
      <c r="D3392" s="12">
        <v>5</v>
      </c>
    </row>
    <row r="3393" spans="1:4" x14ac:dyDescent="0.2">
      <c r="A3393" s="12" t="s">
        <v>12375</v>
      </c>
      <c r="B3393" s="12" t="s">
        <v>12374</v>
      </c>
      <c r="C3393" s="12" t="s">
        <v>59</v>
      </c>
      <c r="D3393" s="12" t="s">
        <v>59</v>
      </c>
    </row>
    <row r="3394" spans="1:4" x14ac:dyDescent="0.2">
      <c r="A3394" s="12" t="s">
        <v>8170</v>
      </c>
      <c r="B3394" s="12" t="s">
        <v>8169</v>
      </c>
      <c r="C3394" s="12">
        <v>40</v>
      </c>
      <c r="D3394" s="12">
        <v>4</v>
      </c>
    </row>
    <row r="3395" spans="1:4" x14ac:dyDescent="0.2">
      <c r="A3395" s="12" t="s">
        <v>8487</v>
      </c>
      <c r="B3395" s="12" t="s">
        <v>8486</v>
      </c>
      <c r="C3395" s="12">
        <v>17</v>
      </c>
      <c r="D3395" s="12">
        <v>1.7</v>
      </c>
    </row>
    <row r="3396" spans="1:4" x14ac:dyDescent="0.2">
      <c r="A3396" s="12" t="s">
        <v>8454</v>
      </c>
      <c r="B3396" s="12" t="s">
        <v>8453</v>
      </c>
      <c r="C3396" s="12">
        <v>3000</v>
      </c>
      <c r="D3396" s="12">
        <v>300</v>
      </c>
    </row>
    <row r="3397" spans="1:4" x14ac:dyDescent="0.2">
      <c r="A3397" s="12" t="s">
        <v>3309</v>
      </c>
      <c r="B3397" s="12" t="s">
        <v>3308</v>
      </c>
      <c r="C3397" s="12">
        <v>270</v>
      </c>
      <c r="D3397" s="12">
        <v>27</v>
      </c>
    </row>
    <row r="3398" spans="1:4" x14ac:dyDescent="0.2">
      <c r="A3398" s="12" t="s">
        <v>2045</v>
      </c>
      <c r="B3398" s="12" t="s">
        <v>2044</v>
      </c>
      <c r="C3398" s="12">
        <v>3000</v>
      </c>
      <c r="D3398" s="12">
        <v>300</v>
      </c>
    </row>
    <row r="3399" spans="1:4" x14ac:dyDescent="0.2">
      <c r="A3399" s="12" t="s">
        <v>10760</v>
      </c>
      <c r="B3399" s="12" t="s">
        <v>10759</v>
      </c>
      <c r="C3399" s="12">
        <v>100</v>
      </c>
      <c r="D3399" s="12">
        <v>10</v>
      </c>
    </row>
    <row r="3400" spans="1:4" x14ac:dyDescent="0.2">
      <c r="A3400" s="12" t="s">
        <v>2329</v>
      </c>
      <c r="B3400" s="12" t="s">
        <v>2328</v>
      </c>
      <c r="C3400" s="12">
        <v>80</v>
      </c>
      <c r="D3400" s="12">
        <v>8</v>
      </c>
    </row>
    <row r="3401" spans="1:4" x14ac:dyDescent="0.2">
      <c r="A3401" s="12" t="s">
        <v>856</v>
      </c>
      <c r="B3401" s="12" t="s">
        <v>855</v>
      </c>
      <c r="C3401" s="12">
        <v>100</v>
      </c>
      <c r="D3401" s="12">
        <v>10</v>
      </c>
    </row>
    <row r="3402" spans="1:4" x14ac:dyDescent="0.2">
      <c r="A3402" s="12" t="s">
        <v>2185</v>
      </c>
      <c r="B3402" s="12" t="s">
        <v>2184</v>
      </c>
      <c r="C3402" s="12">
        <v>25</v>
      </c>
      <c r="D3402" s="12">
        <v>2.5</v>
      </c>
    </row>
    <row r="3403" spans="1:4" x14ac:dyDescent="0.2">
      <c r="A3403" s="12" t="s">
        <v>3125</v>
      </c>
      <c r="B3403" s="12" t="s">
        <v>3124</v>
      </c>
      <c r="C3403" s="12">
        <v>300</v>
      </c>
      <c r="D3403" s="12">
        <v>30</v>
      </c>
    </row>
    <row r="3404" spans="1:4" x14ac:dyDescent="0.2">
      <c r="A3404" s="12" t="s">
        <v>1823</v>
      </c>
      <c r="B3404" s="12" t="s">
        <v>1822</v>
      </c>
      <c r="C3404" s="12">
        <v>46</v>
      </c>
      <c r="D3404" s="12">
        <v>4.5999999999999996</v>
      </c>
    </row>
    <row r="3405" spans="1:4" x14ac:dyDescent="0.2">
      <c r="A3405" s="12" t="s">
        <v>9252</v>
      </c>
      <c r="B3405" s="12" t="s">
        <v>9251</v>
      </c>
      <c r="C3405" s="12">
        <v>1</v>
      </c>
      <c r="D3405" s="12">
        <v>0.1</v>
      </c>
    </row>
    <row r="3406" spans="1:4" x14ac:dyDescent="0.2">
      <c r="A3406" s="12" t="s">
        <v>4232</v>
      </c>
      <c r="B3406" s="12" t="s">
        <v>4231</v>
      </c>
      <c r="C3406" s="12">
        <v>100</v>
      </c>
      <c r="D3406" s="12">
        <v>10</v>
      </c>
    </row>
    <row r="3407" spans="1:4" x14ac:dyDescent="0.2">
      <c r="A3407" s="12" t="s">
        <v>9780</v>
      </c>
      <c r="B3407" s="12" t="s">
        <v>9779</v>
      </c>
      <c r="C3407" s="12" t="s">
        <v>59</v>
      </c>
      <c r="D3407" s="12" t="s">
        <v>59</v>
      </c>
    </row>
    <row r="3408" spans="1:4" x14ac:dyDescent="0.2">
      <c r="A3408" s="12" t="s">
        <v>11926</v>
      </c>
      <c r="B3408" s="12" t="s">
        <v>11925</v>
      </c>
      <c r="C3408" s="12" t="s">
        <v>59</v>
      </c>
      <c r="D3408" s="12" t="s">
        <v>59</v>
      </c>
    </row>
    <row r="3409" spans="1:4" x14ac:dyDescent="0.2">
      <c r="A3409" s="12" t="s">
        <v>1140</v>
      </c>
      <c r="B3409" s="12" t="s">
        <v>1139</v>
      </c>
      <c r="C3409" s="12">
        <v>0.5</v>
      </c>
      <c r="D3409" s="12">
        <v>0.05</v>
      </c>
    </row>
    <row r="3410" spans="1:4" x14ac:dyDescent="0.2">
      <c r="A3410" s="12" t="s">
        <v>4961</v>
      </c>
      <c r="B3410" s="12" t="s">
        <v>4960</v>
      </c>
      <c r="C3410" s="12">
        <v>50</v>
      </c>
      <c r="D3410" s="12">
        <v>5</v>
      </c>
    </row>
    <row r="3411" spans="1:4" x14ac:dyDescent="0.2">
      <c r="A3411" s="12" t="s">
        <v>690</v>
      </c>
      <c r="B3411" s="12" t="s">
        <v>689</v>
      </c>
      <c r="C3411" s="12">
        <v>100</v>
      </c>
      <c r="D3411" s="12">
        <v>10</v>
      </c>
    </row>
    <row r="3412" spans="1:4" x14ac:dyDescent="0.2">
      <c r="A3412" s="12" t="s">
        <v>11974</v>
      </c>
      <c r="B3412" s="12" t="s">
        <v>11973</v>
      </c>
      <c r="C3412" s="12">
        <v>40</v>
      </c>
      <c r="D3412" s="12">
        <v>4</v>
      </c>
    </row>
    <row r="3413" spans="1:4" x14ac:dyDescent="0.2">
      <c r="A3413" s="12" t="s">
        <v>8865</v>
      </c>
      <c r="B3413" s="12" t="s">
        <v>8864</v>
      </c>
      <c r="C3413" s="12">
        <v>60</v>
      </c>
      <c r="D3413" s="12">
        <v>6</v>
      </c>
    </row>
    <row r="3414" spans="1:4" x14ac:dyDescent="0.2">
      <c r="A3414" s="12" t="s">
        <v>8867</v>
      </c>
      <c r="B3414" s="12" t="s">
        <v>8866</v>
      </c>
      <c r="C3414" s="12" t="s">
        <v>59</v>
      </c>
      <c r="D3414" s="12" t="s">
        <v>59</v>
      </c>
    </row>
    <row r="3415" spans="1:4" x14ac:dyDescent="0.2">
      <c r="A3415" s="12" t="s">
        <v>8868</v>
      </c>
      <c r="B3415" s="12" t="s">
        <v>8866</v>
      </c>
      <c r="C3415" s="12">
        <v>1000</v>
      </c>
      <c r="D3415" s="12">
        <v>100</v>
      </c>
    </row>
    <row r="3416" spans="1:4" x14ac:dyDescent="0.2">
      <c r="A3416" s="12" t="s">
        <v>7114</v>
      </c>
      <c r="B3416" s="12" t="s">
        <v>7113</v>
      </c>
      <c r="C3416" s="12">
        <v>2</v>
      </c>
      <c r="D3416" s="12">
        <v>0.2</v>
      </c>
    </row>
    <row r="3417" spans="1:4" x14ac:dyDescent="0.2">
      <c r="A3417" s="12" t="s">
        <v>6209</v>
      </c>
      <c r="B3417" s="12" t="s">
        <v>6208</v>
      </c>
      <c r="C3417" s="12">
        <v>160</v>
      </c>
      <c r="D3417" s="12">
        <v>16</v>
      </c>
    </row>
    <row r="3418" spans="1:4" x14ac:dyDescent="0.2">
      <c r="A3418" s="12" t="s">
        <v>2830</v>
      </c>
      <c r="B3418" s="12" t="s">
        <v>2829</v>
      </c>
      <c r="C3418" s="12">
        <v>1.2</v>
      </c>
      <c r="D3418" s="12">
        <v>0.12</v>
      </c>
    </row>
    <row r="3419" spans="1:4" x14ac:dyDescent="0.2">
      <c r="A3419" s="12" t="s">
        <v>8502</v>
      </c>
      <c r="B3419" s="12" t="s">
        <v>8501</v>
      </c>
      <c r="C3419" s="12">
        <v>370</v>
      </c>
      <c r="D3419" s="12">
        <v>37</v>
      </c>
    </row>
    <row r="3420" spans="1:4" x14ac:dyDescent="0.2">
      <c r="A3420" s="12" t="s">
        <v>8139</v>
      </c>
      <c r="B3420" s="12" t="s">
        <v>8138</v>
      </c>
      <c r="C3420" s="12">
        <v>2</v>
      </c>
      <c r="D3420" s="12">
        <v>0.2</v>
      </c>
    </row>
    <row r="3421" spans="1:4" x14ac:dyDescent="0.2">
      <c r="A3421" s="12" t="s">
        <v>2355</v>
      </c>
      <c r="B3421" s="12" t="s">
        <v>2354</v>
      </c>
      <c r="C3421" s="12">
        <v>570</v>
      </c>
      <c r="D3421" s="12">
        <v>57</v>
      </c>
    </row>
    <row r="3422" spans="1:4" x14ac:dyDescent="0.2">
      <c r="A3422" s="12" t="s">
        <v>8670</v>
      </c>
      <c r="B3422" s="12" t="s">
        <v>8669</v>
      </c>
      <c r="C3422" s="12">
        <v>40</v>
      </c>
      <c r="D3422" s="12">
        <v>4</v>
      </c>
    </row>
    <row r="3423" spans="1:4" x14ac:dyDescent="0.2">
      <c r="A3423" s="12" t="s">
        <v>130</v>
      </c>
      <c r="B3423" s="12" t="s">
        <v>129</v>
      </c>
      <c r="C3423" s="12">
        <v>5700</v>
      </c>
      <c r="D3423" s="12">
        <v>570</v>
      </c>
    </row>
    <row r="3424" spans="1:4" x14ac:dyDescent="0.2">
      <c r="A3424" s="12" t="s">
        <v>4393</v>
      </c>
      <c r="B3424" s="12" t="s">
        <v>4392</v>
      </c>
      <c r="C3424" s="12">
        <v>2000</v>
      </c>
      <c r="D3424" s="12">
        <v>200</v>
      </c>
    </row>
    <row r="3425" spans="1:4" x14ac:dyDescent="0.2">
      <c r="A3425" s="12" t="s">
        <v>467</v>
      </c>
      <c r="B3425" s="12" t="s">
        <v>466</v>
      </c>
      <c r="C3425" s="12" t="s">
        <v>59</v>
      </c>
      <c r="D3425" s="12" t="s">
        <v>59</v>
      </c>
    </row>
    <row r="3426" spans="1:4" x14ac:dyDescent="0.2">
      <c r="A3426" s="12" t="s">
        <v>2827</v>
      </c>
      <c r="B3426" s="12" t="s">
        <v>2826</v>
      </c>
      <c r="C3426" s="12" t="s">
        <v>59</v>
      </c>
      <c r="D3426" s="12" t="s">
        <v>59</v>
      </c>
    </row>
    <row r="3427" spans="1:4" x14ac:dyDescent="0.2">
      <c r="A3427" s="12" t="s">
        <v>2828</v>
      </c>
      <c r="B3427" s="12" t="s">
        <v>2826</v>
      </c>
      <c r="C3427" s="12">
        <v>500</v>
      </c>
      <c r="D3427" s="12">
        <v>50</v>
      </c>
    </row>
    <row r="3428" spans="1:4" x14ac:dyDescent="0.2">
      <c r="A3428" s="12" t="s">
        <v>11700</v>
      </c>
      <c r="B3428" s="12" t="s">
        <v>11699</v>
      </c>
      <c r="C3428" s="12">
        <v>20</v>
      </c>
      <c r="D3428" s="12">
        <v>2</v>
      </c>
    </row>
    <row r="3429" spans="1:4" x14ac:dyDescent="0.2">
      <c r="A3429" s="12" t="s">
        <v>8464</v>
      </c>
      <c r="B3429" s="12" t="s">
        <v>8463</v>
      </c>
      <c r="C3429" s="12">
        <v>840</v>
      </c>
      <c r="D3429" s="12">
        <v>84</v>
      </c>
    </row>
    <row r="3430" spans="1:4" x14ac:dyDescent="0.2">
      <c r="A3430" s="12" t="s">
        <v>9218</v>
      </c>
      <c r="B3430" s="12" t="s">
        <v>9217</v>
      </c>
      <c r="C3430" s="12">
        <v>1</v>
      </c>
      <c r="D3430" s="12">
        <v>0.1</v>
      </c>
    </row>
    <row r="3431" spans="1:4" x14ac:dyDescent="0.2">
      <c r="A3431" s="12" t="s">
        <v>787</v>
      </c>
      <c r="B3431" s="12" t="s">
        <v>786</v>
      </c>
      <c r="C3431" s="12">
        <v>250</v>
      </c>
      <c r="D3431" s="12">
        <v>25</v>
      </c>
    </row>
    <row r="3432" spans="1:4" x14ac:dyDescent="0.2">
      <c r="A3432" s="12" t="s">
        <v>7327</v>
      </c>
      <c r="B3432" s="12" t="s">
        <v>7326</v>
      </c>
      <c r="C3432" s="12">
        <v>61</v>
      </c>
      <c r="D3432" s="12">
        <v>6.1</v>
      </c>
    </row>
    <row r="3433" spans="1:4" x14ac:dyDescent="0.2">
      <c r="A3433" s="12" t="s">
        <v>8462</v>
      </c>
      <c r="B3433" s="12" t="s">
        <v>8461</v>
      </c>
      <c r="C3433" s="12">
        <v>0.7</v>
      </c>
      <c r="D3433" s="12">
        <v>0.1</v>
      </c>
    </row>
    <row r="3434" spans="1:4" x14ac:dyDescent="0.2">
      <c r="A3434" s="12" t="s">
        <v>9427</v>
      </c>
      <c r="B3434" s="12" t="s">
        <v>9426</v>
      </c>
      <c r="C3434" s="12">
        <v>1000</v>
      </c>
      <c r="D3434" s="12">
        <v>100</v>
      </c>
    </row>
    <row r="3435" spans="1:4" x14ac:dyDescent="0.2">
      <c r="A3435" s="12" t="s">
        <v>4738</v>
      </c>
      <c r="B3435" s="12" t="s">
        <v>4737</v>
      </c>
      <c r="C3435" s="12" t="s">
        <v>59</v>
      </c>
      <c r="D3435" s="12" t="s">
        <v>59</v>
      </c>
    </row>
    <row r="3436" spans="1:4" x14ac:dyDescent="0.2">
      <c r="A3436" s="12" t="s">
        <v>8206</v>
      </c>
      <c r="B3436" s="12" t="s">
        <v>8205</v>
      </c>
      <c r="C3436" s="12" t="s">
        <v>59</v>
      </c>
      <c r="D3436" s="12" t="s">
        <v>59</v>
      </c>
    </row>
    <row r="3437" spans="1:4" x14ac:dyDescent="0.2">
      <c r="A3437" s="12" t="s">
        <v>12459</v>
      </c>
      <c r="B3437" s="12" t="s">
        <v>12458</v>
      </c>
      <c r="C3437" s="12">
        <v>20</v>
      </c>
      <c r="D3437" s="12">
        <v>2</v>
      </c>
    </row>
    <row r="3438" spans="1:4" x14ac:dyDescent="0.2">
      <c r="A3438" s="12" t="s">
        <v>12447</v>
      </c>
      <c r="B3438" s="12" t="s">
        <v>12446</v>
      </c>
      <c r="C3438" s="12">
        <v>20</v>
      </c>
      <c r="D3438" s="12">
        <v>2</v>
      </c>
    </row>
    <row r="3439" spans="1:4" x14ac:dyDescent="0.2">
      <c r="A3439" s="12" t="s">
        <v>8504</v>
      </c>
      <c r="B3439" s="12" t="s">
        <v>8503</v>
      </c>
      <c r="C3439" s="12">
        <v>2500</v>
      </c>
      <c r="D3439" s="12">
        <v>250</v>
      </c>
    </row>
    <row r="3440" spans="1:4" x14ac:dyDescent="0.2">
      <c r="A3440" s="12" t="s">
        <v>5976</v>
      </c>
      <c r="B3440" s="12" t="s">
        <v>5975</v>
      </c>
      <c r="C3440" s="12">
        <v>20</v>
      </c>
      <c r="D3440" s="12">
        <v>2</v>
      </c>
    </row>
    <row r="3441" spans="1:4" x14ac:dyDescent="0.2">
      <c r="A3441" s="12" t="s">
        <v>2739</v>
      </c>
      <c r="B3441" s="12" t="s">
        <v>2738</v>
      </c>
      <c r="C3441" s="12">
        <v>93</v>
      </c>
      <c r="D3441" s="12">
        <v>9.3000000000000007</v>
      </c>
    </row>
    <row r="3442" spans="1:4" x14ac:dyDescent="0.2">
      <c r="A3442" s="12" t="s">
        <v>12389</v>
      </c>
      <c r="B3442" s="12" t="s">
        <v>12388</v>
      </c>
      <c r="C3442" s="12">
        <v>20</v>
      </c>
      <c r="D3442" s="12">
        <v>2</v>
      </c>
    </row>
    <row r="3443" spans="1:4" x14ac:dyDescent="0.2">
      <c r="A3443" s="12" t="s">
        <v>3718</v>
      </c>
      <c r="B3443" s="12" t="s">
        <v>3717</v>
      </c>
      <c r="C3443" s="12">
        <v>93</v>
      </c>
      <c r="D3443" s="12">
        <v>9.3000000000000007</v>
      </c>
    </row>
    <row r="3444" spans="1:4" x14ac:dyDescent="0.2">
      <c r="A3444" s="12" t="s">
        <v>2530</v>
      </c>
      <c r="B3444" s="12" t="s">
        <v>2529</v>
      </c>
      <c r="C3444" s="12">
        <v>100</v>
      </c>
      <c r="D3444" s="12">
        <v>10</v>
      </c>
    </row>
    <row r="3445" spans="1:4" x14ac:dyDescent="0.2">
      <c r="A3445" s="12" t="s">
        <v>2017</v>
      </c>
      <c r="B3445" s="12" t="s">
        <v>2016</v>
      </c>
      <c r="C3445" s="12">
        <v>30</v>
      </c>
      <c r="D3445" s="12">
        <v>3</v>
      </c>
    </row>
    <row r="3446" spans="1:4" x14ac:dyDescent="0.2">
      <c r="A3446" s="12" t="s">
        <v>12507</v>
      </c>
      <c r="B3446" s="12" t="s">
        <v>3456</v>
      </c>
      <c r="C3446" s="12"/>
      <c r="D3446" s="12">
        <v>0.71</v>
      </c>
    </row>
    <row r="3447" spans="1:4" x14ac:dyDescent="0.2">
      <c r="A3447" s="12" t="s">
        <v>12506</v>
      </c>
      <c r="B3447" s="12" t="s">
        <v>3455</v>
      </c>
      <c r="C3447" s="12">
        <v>2.8</v>
      </c>
      <c r="D3447" s="12">
        <v>0.56999999999999995</v>
      </c>
    </row>
    <row r="3448" spans="1:4" x14ac:dyDescent="0.2">
      <c r="A3448" s="12" t="s">
        <v>3454</v>
      </c>
      <c r="B3448" s="12" t="s">
        <v>3453</v>
      </c>
      <c r="C3448" s="12">
        <v>17</v>
      </c>
      <c r="D3448" s="12">
        <v>8.1</v>
      </c>
    </row>
    <row r="3449" spans="1:4" x14ac:dyDescent="0.2">
      <c r="A3449" s="12" t="s">
        <v>4942</v>
      </c>
      <c r="B3449" s="12" t="s">
        <v>4941</v>
      </c>
      <c r="C3449" s="12">
        <v>14</v>
      </c>
      <c r="D3449" s="12">
        <v>1.4</v>
      </c>
    </row>
    <row r="3450" spans="1:4" x14ac:dyDescent="0.2">
      <c r="A3450" s="12" t="s">
        <v>7826</v>
      </c>
      <c r="B3450" s="12" t="s">
        <v>7825</v>
      </c>
      <c r="C3450" s="12">
        <v>60</v>
      </c>
      <c r="D3450" s="12">
        <v>6</v>
      </c>
    </row>
    <row r="3451" spans="1:4" x14ac:dyDescent="0.2">
      <c r="A3451" s="12" t="s">
        <v>5400</v>
      </c>
      <c r="B3451" s="12" t="s">
        <v>5399</v>
      </c>
      <c r="C3451" s="12" t="s">
        <v>59</v>
      </c>
      <c r="D3451" s="12" t="s">
        <v>59</v>
      </c>
    </row>
    <row r="3452" spans="1:4" x14ac:dyDescent="0.2">
      <c r="A3452" s="12" t="s">
        <v>5401</v>
      </c>
      <c r="B3452" s="12" t="s">
        <v>5399</v>
      </c>
      <c r="C3452" s="12">
        <v>600</v>
      </c>
      <c r="D3452" s="12">
        <v>60</v>
      </c>
    </row>
    <row r="3453" spans="1:4" x14ac:dyDescent="0.2">
      <c r="A3453" s="12" t="s">
        <v>2548</v>
      </c>
      <c r="B3453" s="12" t="s">
        <v>2547</v>
      </c>
      <c r="C3453" s="12">
        <v>1700</v>
      </c>
      <c r="D3453" s="12">
        <v>170</v>
      </c>
    </row>
    <row r="3454" spans="1:4" x14ac:dyDescent="0.2">
      <c r="A3454" s="12" t="s">
        <v>5403</v>
      </c>
      <c r="B3454" s="12" t="s">
        <v>5402</v>
      </c>
      <c r="C3454" s="12" t="s">
        <v>59</v>
      </c>
      <c r="D3454" s="12" t="s">
        <v>59</v>
      </c>
    </row>
    <row r="3455" spans="1:4" x14ac:dyDescent="0.2">
      <c r="A3455" s="12" t="s">
        <v>5404</v>
      </c>
      <c r="B3455" s="12" t="s">
        <v>5402</v>
      </c>
      <c r="C3455" s="12">
        <v>600</v>
      </c>
      <c r="D3455" s="12">
        <v>60</v>
      </c>
    </row>
    <row r="3456" spans="1:4" x14ac:dyDescent="0.2">
      <c r="A3456" s="12" t="s">
        <v>2653</v>
      </c>
      <c r="B3456" s="12" t="s">
        <v>2652</v>
      </c>
      <c r="C3456" s="12">
        <v>1000</v>
      </c>
      <c r="D3456" s="12">
        <v>100</v>
      </c>
    </row>
    <row r="3457" spans="1:4" x14ac:dyDescent="0.2">
      <c r="A3457" s="12" t="s">
        <v>2181</v>
      </c>
      <c r="B3457" s="12" t="s">
        <v>2180</v>
      </c>
      <c r="C3457" s="12">
        <v>175</v>
      </c>
      <c r="D3457" s="12">
        <v>18</v>
      </c>
    </row>
    <row r="3458" spans="1:4" x14ac:dyDescent="0.2">
      <c r="A3458" s="12" t="s">
        <v>10036</v>
      </c>
      <c r="B3458" s="12" t="s">
        <v>10035</v>
      </c>
      <c r="C3458" s="12" t="s">
        <v>59</v>
      </c>
      <c r="D3458" s="12" t="s">
        <v>59</v>
      </c>
    </row>
    <row r="3459" spans="1:4" x14ac:dyDescent="0.2">
      <c r="A3459" s="12" t="s">
        <v>12181</v>
      </c>
      <c r="B3459" s="12" t="s">
        <v>12180</v>
      </c>
      <c r="C3459" s="12">
        <v>730</v>
      </c>
      <c r="D3459" s="12">
        <v>73</v>
      </c>
    </row>
    <row r="3460" spans="1:4" x14ac:dyDescent="0.2">
      <c r="A3460" s="12" t="s">
        <v>11621</v>
      </c>
      <c r="B3460" s="12" t="s">
        <v>11620</v>
      </c>
      <c r="C3460" s="12">
        <v>50</v>
      </c>
      <c r="D3460" s="12">
        <v>5</v>
      </c>
    </row>
    <row r="3461" spans="1:4" x14ac:dyDescent="0.2">
      <c r="A3461" s="12" t="s">
        <v>435</v>
      </c>
      <c r="B3461" s="12" t="s">
        <v>434</v>
      </c>
      <c r="C3461" s="12">
        <v>10000</v>
      </c>
      <c r="D3461" s="12">
        <v>1000</v>
      </c>
    </row>
    <row r="3462" spans="1:4" x14ac:dyDescent="0.2">
      <c r="A3462" s="12" t="s">
        <v>3251</v>
      </c>
      <c r="B3462" s="12" t="s">
        <v>3250</v>
      </c>
      <c r="C3462" s="12">
        <v>27</v>
      </c>
      <c r="D3462" s="12">
        <v>2.7</v>
      </c>
    </row>
    <row r="3463" spans="1:4" x14ac:dyDescent="0.2">
      <c r="A3463" s="12" t="s">
        <v>8831</v>
      </c>
      <c r="B3463" s="12" t="s">
        <v>8830</v>
      </c>
      <c r="C3463" s="12" t="s">
        <v>59</v>
      </c>
      <c r="D3463" s="12" t="s">
        <v>59</v>
      </c>
    </row>
    <row r="3464" spans="1:4" x14ac:dyDescent="0.2">
      <c r="A3464" s="12" t="s">
        <v>1532</v>
      </c>
      <c r="B3464" s="12" t="s">
        <v>1531</v>
      </c>
      <c r="C3464" s="12">
        <v>5600</v>
      </c>
      <c r="D3464" s="12">
        <v>540</v>
      </c>
    </row>
    <row r="3465" spans="1:4" x14ac:dyDescent="0.2">
      <c r="A3465" s="12" t="s">
        <v>3116</v>
      </c>
      <c r="B3465" s="12" t="s">
        <v>3115</v>
      </c>
      <c r="C3465" s="12">
        <v>960</v>
      </c>
      <c r="D3465" s="12">
        <v>96</v>
      </c>
    </row>
    <row r="3466" spans="1:4" x14ac:dyDescent="0.2">
      <c r="A3466" s="12" t="s">
        <v>4652</v>
      </c>
      <c r="B3466" s="12" t="s">
        <v>4651</v>
      </c>
      <c r="C3466" s="12">
        <v>3.6</v>
      </c>
      <c r="D3466" s="12">
        <v>4.1000000000000002E-2</v>
      </c>
    </row>
    <row r="3467" spans="1:4" x14ac:dyDescent="0.2">
      <c r="A3467" s="12" t="s">
        <v>5734</v>
      </c>
      <c r="B3467" s="12" t="s">
        <v>5733</v>
      </c>
      <c r="C3467" s="12">
        <v>5</v>
      </c>
      <c r="D3467" s="12">
        <v>0.5</v>
      </c>
    </row>
    <row r="3468" spans="1:4" x14ac:dyDescent="0.2">
      <c r="A3468" s="12" t="s">
        <v>2532</v>
      </c>
      <c r="B3468" s="12" t="s">
        <v>2531</v>
      </c>
      <c r="C3468" s="12">
        <v>270</v>
      </c>
      <c r="D3468" s="12">
        <v>5.4</v>
      </c>
    </row>
    <row r="3469" spans="1:4" x14ac:dyDescent="0.2">
      <c r="A3469" s="12" t="s">
        <v>4944</v>
      </c>
      <c r="B3469" s="12" t="s">
        <v>4943</v>
      </c>
      <c r="C3469" s="12">
        <v>130</v>
      </c>
      <c r="D3469" s="12">
        <v>13</v>
      </c>
    </row>
    <row r="3470" spans="1:4" x14ac:dyDescent="0.2">
      <c r="A3470" s="12" t="s">
        <v>118</v>
      </c>
      <c r="B3470" s="12" t="s">
        <v>117</v>
      </c>
      <c r="C3470" s="12">
        <v>50</v>
      </c>
      <c r="D3470" s="12">
        <v>5</v>
      </c>
    </row>
    <row r="3471" spans="1:4" x14ac:dyDescent="0.2">
      <c r="A3471" s="12" t="s">
        <v>2560</v>
      </c>
      <c r="B3471" s="12" t="s">
        <v>2559</v>
      </c>
      <c r="C3471" s="12">
        <v>10000</v>
      </c>
      <c r="D3471" s="12">
        <v>2700</v>
      </c>
    </row>
    <row r="3472" spans="1:4" x14ac:dyDescent="0.2">
      <c r="A3472" s="12" t="s">
        <v>2993</v>
      </c>
      <c r="B3472" s="12" t="s">
        <v>2992</v>
      </c>
      <c r="C3472" s="12">
        <v>360</v>
      </c>
      <c r="D3472" s="12">
        <v>36</v>
      </c>
    </row>
    <row r="3473" spans="1:4" x14ac:dyDescent="0.2">
      <c r="A3473" s="12" t="s">
        <v>3525</v>
      </c>
      <c r="B3473" s="12" t="s">
        <v>3524</v>
      </c>
      <c r="C3473" s="12">
        <v>100</v>
      </c>
      <c r="D3473" s="12">
        <v>10</v>
      </c>
    </row>
    <row r="3474" spans="1:4" x14ac:dyDescent="0.2">
      <c r="A3474" s="12" t="s">
        <v>12086</v>
      </c>
      <c r="B3474" s="12" t="s">
        <v>12085</v>
      </c>
      <c r="C3474" s="12">
        <v>3</v>
      </c>
      <c r="D3474" s="12">
        <v>0.3</v>
      </c>
    </row>
    <row r="3475" spans="1:4" x14ac:dyDescent="0.2">
      <c r="A3475" s="12" t="s">
        <v>6551</v>
      </c>
      <c r="B3475" s="12" t="s">
        <v>6550</v>
      </c>
      <c r="C3475" s="12">
        <v>0.5</v>
      </c>
      <c r="D3475" s="12">
        <v>0.05</v>
      </c>
    </row>
    <row r="3476" spans="1:4" x14ac:dyDescent="0.2">
      <c r="A3476" s="12" t="s">
        <v>2556</v>
      </c>
      <c r="B3476" s="12" t="s">
        <v>2555</v>
      </c>
      <c r="C3476" s="12">
        <v>5600</v>
      </c>
      <c r="D3476" s="12">
        <v>540</v>
      </c>
    </row>
    <row r="3477" spans="1:4" x14ac:dyDescent="0.2">
      <c r="A3477" s="12" t="s">
        <v>7558</v>
      </c>
      <c r="B3477" s="12" t="s">
        <v>7557</v>
      </c>
      <c r="C3477" s="12">
        <v>45</v>
      </c>
      <c r="D3477" s="12">
        <v>4.5</v>
      </c>
    </row>
    <row r="3478" spans="1:4" x14ac:dyDescent="0.2">
      <c r="A3478" s="12" t="s">
        <v>6603</v>
      </c>
      <c r="B3478" s="12" t="s">
        <v>6602</v>
      </c>
      <c r="C3478" s="12">
        <v>20</v>
      </c>
      <c r="D3478" s="12">
        <v>2</v>
      </c>
    </row>
    <row r="3479" spans="1:4" x14ac:dyDescent="0.2">
      <c r="A3479" s="12" t="s">
        <v>2866</v>
      </c>
      <c r="B3479" s="12" t="s">
        <v>2865</v>
      </c>
      <c r="C3479" s="12">
        <v>290</v>
      </c>
      <c r="D3479" s="12">
        <v>2200</v>
      </c>
    </row>
    <row r="3480" spans="1:4" x14ac:dyDescent="0.2">
      <c r="A3480" s="12" t="s">
        <v>2225</v>
      </c>
      <c r="B3480" s="12" t="s">
        <v>2224</v>
      </c>
      <c r="C3480" s="12">
        <v>290</v>
      </c>
      <c r="D3480" s="12">
        <v>480</v>
      </c>
    </row>
    <row r="3481" spans="1:4" x14ac:dyDescent="0.2">
      <c r="A3481" s="12" t="s">
        <v>2538</v>
      </c>
      <c r="B3481" s="12" t="s">
        <v>2537</v>
      </c>
      <c r="C3481" s="12">
        <v>45</v>
      </c>
      <c r="D3481" s="12">
        <v>4.5</v>
      </c>
    </row>
    <row r="3482" spans="1:4" x14ac:dyDescent="0.2">
      <c r="A3482" s="12" t="s">
        <v>398</v>
      </c>
      <c r="B3482" s="12" t="s">
        <v>397</v>
      </c>
      <c r="C3482" s="12">
        <v>45</v>
      </c>
      <c r="D3482" s="12">
        <v>4.5</v>
      </c>
    </row>
    <row r="3483" spans="1:4" x14ac:dyDescent="0.2">
      <c r="A3483" s="12" t="s">
        <v>11952</v>
      </c>
      <c r="B3483" s="12" t="s">
        <v>11951</v>
      </c>
      <c r="C3483" s="12">
        <v>0.5</v>
      </c>
      <c r="D3483" s="12">
        <v>0.05</v>
      </c>
    </row>
    <row r="3484" spans="1:4" x14ac:dyDescent="0.2">
      <c r="A3484" s="12" t="s">
        <v>11948</v>
      </c>
      <c r="B3484" s="12" t="s">
        <v>11947</v>
      </c>
      <c r="C3484" s="12" t="s">
        <v>59</v>
      </c>
      <c r="D3484" s="12" t="s">
        <v>59</v>
      </c>
    </row>
    <row r="3485" spans="1:4" x14ac:dyDescent="0.2">
      <c r="A3485" s="12" t="s">
        <v>1597</v>
      </c>
      <c r="B3485" s="12" t="s">
        <v>1596</v>
      </c>
      <c r="C3485" s="12">
        <v>1700</v>
      </c>
      <c r="D3485" s="12">
        <v>170</v>
      </c>
    </row>
    <row r="3486" spans="1:4" x14ac:dyDescent="0.2">
      <c r="A3486" s="12" t="s">
        <v>1601</v>
      </c>
      <c r="B3486" s="12" t="s">
        <v>1600</v>
      </c>
      <c r="C3486" s="12">
        <v>1700</v>
      </c>
      <c r="D3486" s="12">
        <v>170</v>
      </c>
    </row>
    <row r="3487" spans="1:4" x14ac:dyDescent="0.2">
      <c r="A3487" s="12" t="s">
        <v>8460</v>
      </c>
      <c r="B3487" s="12" t="s">
        <v>8459</v>
      </c>
      <c r="C3487" s="12">
        <v>7050</v>
      </c>
      <c r="D3487" s="12">
        <v>705</v>
      </c>
    </row>
    <row r="3488" spans="1:4" x14ac:dyDescent="0.2">
      <c r="A3488" s="12" t="s">
        <v>9644</v>
      </c>
      <c r="B3488" s="12" t="s">
        <v>9643</v>
      </c>
      <c r="C3488" s="12">
        <v>0.5</v>
      </c>
      <c r="D3488" s="12">
        <v>0.05</v>
      </c>
    </row>
    <row r="3489" spans="1:4" x14ac:dyDescent="0.2">
      <c r="A3489" s="12" t="s">
        <v>8646</v>
      </c>
      <c r="B3489" s="12" t="s">
        <v>8645</v>
      </c>
      <c r="C3489" s="12" t="s">
        <v>59</v>
      </c>
      <c r="D3489" s="12" t="s">
        <v>59</v>
      </c>
    </row>
    <row r="3490" spans="1:4" x14ac:dyDescent="0.2">
      <c r="A3490" s="12" t="s">
        <v>126</v>
      </c>
      <c r="B3490" s="12" t="s">
        <v>125</v>
      </c>
      <c r="C3490" s="12">
        <v>16400</v>
      </c>
      <c r="D3490" s="12">
        <v>1640</v>
      </c>
    </row>
    <row r="3491" spans="1:4" x14ac:dyDescent="0.2">
      <c r="A3491" s="12" t="s">
        <v>1372</v>
      </c>
      <c r="B3491" s="12" t="s">
        <v>1371</v>
      </c>
      <c r="C3491" s="12">
        <v>5600</v>
      </c>
      <c r="D3491" s="12">
        <v>540</v>
      </c>
    </row>
    <row r="3492" spans="1:4" x14ac:dyDescent="0.2">
      <c r="A3492" s="12" t="s">
        <v>7331</v>
      </c>
      <c r="B3492" s="12" t="s">
        <v>7330</v>
      </c>
      <c r="C3492" s="12" t="s">
        <v>59</v>
      </c>
      <c r="D3492" s="12" t="s">
        <v>59</v>
      </c>
    </row>
    <row r="3493" spans="1:4" x14ac:dyDescent="0.2">
      <c r="A3493" s="12" t="s">
        <v>7332</v>
      </c>
      <c r="B3493" s="12" t="s">
        <v>7330</v>
      </c>
      <c r="C3493" s="12">
        <v>1000</v>
      </c>
      <c r="D3493" s="12">
        <v>100</v>
      </c>
    </row>
    <row r="3494" spans="1:4" x14ac:dyDescent="0.2">
      <c r="A3494" s="12" t="s">
        <v>11242</v>
      </c>
      <c r="B3494" s="12" t="s">
        <v>11241</v>
      </c>
      <c r="C3494" s="12" t="s">
        <v>59</v>
      </c>
      <c r="D3494" s="12" t="s">
        <v>59</v>
      </c>
    </row>
    <row r="3495" spans="1:4" x14ac:dyDescent="0.2">
      <c r="A3495" s="12" t="s">
        <v>11243</v>
      </c>
      <c r="B3495" s="12" t="s">
        <v>11241</v>
      </c>
      <c r="C3495" s="12">
        <v>1000</v>
      </c>
      <c r="D3495" s="12">
        <v>100</v>
      </c>
    </row>
    <row r="3496" spans="1:4" x14ac:dyDescent="0.2">
      <c r="A3496" s="12" t="s">
        <v>2882</v>
      </c>
      <c r="B3496" s="12" t="s">
        <v>2881</v>
      </c>
      <c r="C3496" s="12">
        <v>0.02</v>
      </c>
      <c r="D3496" s="12">
        <v>2E-3</v>
      </c>
    </row>
    <row r="3497" spans="1:4" x14ac:dyDescent="0.2">
      <c r="A3497" s="12" t="s">
        <v>122</v>
      </c>
      <c r="B3497" s="12" t="s">
        <v>121</v>
      </c>
      <c r="C3497" s="12">
        <v>40</v>
      </c>
      <c r="D3497" s="12">
        <v>4</v>
      </c>
    </row>
    <row r="3498" spans="1:4" x14ac:dyDescent="0.2">
      <c r="A3498" s="12" t="s">
        <v>2846</v>
      </c>
      <c r="B3498" s="12" t="s">
        <v>2845</v>
      </c>
      <c r="C3498" s="12">
        <v>1300</v>
      </c>
      <c r="D3498" s="12">
        <v>130</v>
      </c>
    </row>
    <row r="3499" spans="1:4" x14ac:dyDescent="0.2">
      <c r="A3499" s="12" t="s">
        <v>4295</v>
      </c>
      <c r="B3499" s="12" t="s">
        <v>4294</v>
      </c>
      <c r="C3499" s="12">
        <v>0.5</v>
      </c>
      <c r="D3499" s="12">
        <v>0.05</v>
      </c>
    </row>
    <row r="3500" spans="1:4" x14ac:dyDescent="0.2">
      <c r="A3500" s="12" t="s">
        <v>1617</v>
      </c>
      <c r="B3500" s="12" t="s">
        <v>1616</v>
      </c>
      <c r="C3500" s="12">
        <v>10000</v>
      </c>
      <c r="D3500" s="12">
        <v>2700</v>
      </c>
    </row>
    <row r="3501" spans="1:4" x14ac:dyDescent="0.2">
      <c r="A3501" s="12" t="s">
        <v>8510</v>
      </c>
      <c r="B3501" s="12" t="s">
        <v>8509</v>
      </c>
      <c r="C3501" s="12">
        <v>500</v>
      </c>
      <c r="D3501" s="12">
        <v>50</v>
      </c>
    </row>
    <row r="3502" spans="1:4" x14ac:dyDescent="0.2">
      <c r="A3502" s="12" t="s">
        <v>134</v>
      </c>
      <c r="B3502" s="12" t="s">
        <v>133</v>
      </c>
      <c r="C3502" s="12">
        <v>190</v>
      </c>
      <c r="D3502" s="12">
        <v>19</v>
      </c>
    </row>
    <row r="3503" spans="1:4" x14ac:dyDescent="0.2">
      <c r="A3503" s="12" t="s">
        <v>6633</v>
      </c>
      <c r="B3503" s="12" t="s">
        <v>6632</v>
      </c>
      <c r="C3503" s="12">
        <v>2000</v>
      </c>
      <c r="D3503" s="12">
        <v>200</v>
      </c>
    </row>
    <row r="3504" spans="1:4" x14ac:dyDescent="0.2">
      <c r="A3504" s="12" t="s">
        <v>9926</v>
      </c>
      <c r="B3504" s="12" t="s">
        <v>9925</v>
      </c>
      <c r="C3504" s="12" t="s">
        <v>59</v>
      </c>
      <c r="D3504" s="12" t="s">
        <v>59</v>
      </c>
    </row>
    <row r="3505" spans="1:4" x14ac:dyDescent="0.2">
      <c r="A3505" s="12" t="s">
        <v>3191</v>
      </c>
      <c r="B3505" s="12" t="s">
        <v>3190</v>
      </c>
      <c r="C3505" s="12">
        <v>5</v>
      </c>
      <c r="D3505" s="12">
        <v>0.5</v>
      </c>
    </row>
    <row r="3506" spans="1:4" x14ac:dyDescent="0.2">
      <c r="A3506" s="12" t="s">
        <v>1546</v>
      </c>
      <c r="B3506" s="12" t="s">
        <v>1545</v>
      </c>
      <c r="C3506" s="12">
        <v>5600</v>
      </c>
      <c r="D3506" s="12">
        <v>540</v>
      </c>
    </row>
    <row r="3507" spans="1:4" x14ac:dyDescent="0.2">
      <c r="A3507" s="12" t="s">
        <v>6044</v>
      </c>
      <c r="B3507" s="12" t="s">
        <v>6043</v>
      </c>
      <c r="C3507" s="12">
        <v>2300</v>
      </c>
      <c r="D3507" s="12">
        <v>230</v>
      </c>
    </row>
    <row r="3508" spans="1:4" x14ac:dyDescent="0.2">
      <c r="A3508" s="12" t="s">
        <v>328</v>
      </c>
      <c r="B3508" s="12" t="s">
        <v>327</v>
      </c>
      <c r="C3508" s="12">
        <v>24</v>
      </c>
      <c r="D3508" s="12">
        <v>2.4</v>
      </c>
    </row>
    <row r="3509" spans="1:4" x14ac:dyDescent="0.2">
      <c r="A3509" s="12" t="s">
        <v>1930</v>
      </c>
      <c r="B3509" s="12" t="s">
        <v>1929</v>
      </c>
      <c r="C3509" s="12">
        <v>97</v>
      </c>
      <c r="D3509" s="12">
        <v>7</v>
      </c>
    </row>
    <row r="3510" spans="1:4" x14ac:dyDescent="0.2">
      <c r="A3510" s="12" t="s">
        <v>629</v>
      </c>
      <c r="B3510" s="12" t="s">
        <v>628</v>
      </c>
      <c r="C3510" s="12">
        <v>1200</v>
      </c>
      <c r="D3510" s="12">
        <v>120</v>
      </c>
    </row>
    <row r="3511" spans="1:4" x14ac:dyDescent="0.2">
      <c r="A3511" s="12" t="s">
        <v>76</v>
      </c>
      <c r="B3511" s="12" t="s">
        <v>75</v>
      </c>
      <c r="C3511" s="12">
        <v>2000</v>
      </c>
      <c r="D3511" s="12">
        <v>200</v>
      </c>
    </row>
    <row r="3512" spans="1:4" x14ac:dyDescent="0.2">
      <c r="A3512" s="12" t="s">
        <v>10294</v>
      </c>
      <c r="B3512" s="12" t="s">
        <v>10293</v>
      </c>
      <c r="C3512" s="12">
        <v>50</v>
      </c>
      <c r="D3512" s="12">
        <v>5</v>
      </c>
    </row>
    <row r="3513" spans="1:4" x14ac:dyDescent="0.2">
      <c r="A3513" s="12" t="s">
        <v>5445</v>
      </c>
      <c r="B3513" s="12" t="s">
        <v>5444</v>
      </c>
      <c r="C3513" s="12">
        <v>0.5</v>
      </c>
      <c r="D3513" s="12">
        <v>0.05</v>
      </c>
    </row>
    <row r="3514" spans="1:4" x14ac:dyDescent="0.2">
      <c r="A3514" s="12" t="s">
        <v>5065</v>
      </c>
      <c r="B3514" s="12" t="s">
        <v>5064</v>
      </c>
      <c r="C3514" s="12">
        <v>5</v>
      </c>
      <c r="D3514" s="12">
        <v>0.5</v>
      </c>
    </row>
    <row r="3515" spans="1:4" x14ac:dyDescent="0.2">
      <c r="A3515" s="12" t="s">
        <v>9938</v>
      </c>
      <c r="B3515" s="12" t="s">
        <v>9937</v>
      </c>
      <c r="C3515" s="12" t="s">
        <v>59</v>
      </c>
      <c r="D3515" s="12" t="s">
        <v>59</v>
      </c>
    </row>
    <row r="3516" spans="1:4" x14ac:dyDescent="0.2">
      <c r="A3516" s="12" t="s">
        <v>11598</v>
      </c>
      <c r="B3516" s="12" t="s">
        <v>11597</v>
      </c>
      <c r="C3516" s="12" t="s">
        <v>59</v>
      </c>
      <c r="D3516" s="12" t="s">
        <v>59</v>
      </c>
    </row>
    <row r="3517" spans="1:4" x14ac:dyDescent="0.2">
      <c r="A3517" s="12" t="s">
        <v>7314</v>
      </c>
      <c r="B3517" s="12" t="s">
        <v>7313</v>
      </c>
      <c r="C3517" s="12" t="s">
        <v>59</v>
      </c>
      <c r="D3517" s="12" t="s">
        <v>59</v>
      </c>
    </row>
    <row r="3518" spans="1:4" x14ac:dyDescent="0.2">
      <c r="A3518" s="12" t="s">
        <v>7315</v>
      </c>
      <c r="B3518" s="12" t="s">
        <v>7313</v>
      </c>
      <c r="C3518" s="12">
        <v>1000</v>
      </c>
      <c r="D3518" s="12">
        <v>100</v>
      </c>
    </row>
    <row r="3519" spans="1:4" x14ac:dyDescent="0.2">
      <c r="A3519" s="12" t="s">
        <v>3474</v>
      </c>
      <c r="B3519" s="12" t="s">
        <v>3473</v>
      </c>
      <c r="C3519" s="12">
        <v>3.6</v>
      </c>
      <c r="D3519" s="12">
        <v>4.1000000000000002E-2</v>
      </c>
    </row>
    <row r="3520" spans="1:4" x14ac:dyDescent="0.2">
      <c r="A3520" s="12" t="s">
        <v>3277</v>
      </c>
      <c r="B3520" s="12" t="s">
        <v>3276</v>
      </c>
      <c r="C3520" s="12">
        <v>5700</v>
      </c>
      <c r="D3520" s="12">
        <v>570</v>
      </c>
    </row>
    <row r="3521" spans="1:4" x14ac:dyDescent="0.2">
      <c r="A3521" s="12" t="s">
        <v>888</v>
      </c>
      <c r="B3521" s="12" t="s">
        <v>887</v>
      </c>
      <c r="C3521" s="12" t="s">
        <v>59</v>
      </c>
      <c r="D3521" s="12" t="s">
        <v>59</v>
      </c>
    </row>
    <row r="3522" spans="1:4" x14ac:dyDescent="0.2">
      <c r="A3522" s="12" t="s">
        <v>8156</v>
      </c>
      <c r="B3522" s="12" t="s">
        <v>8155</v>
      </c>
      <c r="C3522" s="12" t="s">
        <v>59</v>
      </c>
      <c r="D3522" s="12" t="s">
        <v>59</v>
      </c>
    </row>
    <row r="3523" spans="1:4" x14ac:dyDescent="0.2">
      <c r="A3523" s="12" t="s">
        <v>2265</v>
      </c>
      <c r="B3523" s="12" t="s">
        <v>2264</v>
      </c>
      <c r="C3523" s="12">
        <v>5700</v>
      </c>
      <c r="D3523" s="12">
        <v>570</v>
      </c>
    </row>
    <row r="3524" spans="1:4" x14ac:dyDescent="0.2">
      <c r="A3524" s="12" t="s">
        <v>4373</v>
      </c>
      <c r="B3524" s="12" t="s">
        <v>4372</v>
      </c>
      <c r="C3524" s="12" t="s">
        <v>59</v>
      </c>
      <c r="D3524" s="12" t="s">
        <v>59</v>
      </c>
    </row>
    <row r="3525" spans="1:4" x14ac:dyDescent="0.2">
      <c r="A3525" s="12" t="s">
        <v>880</v>
      </c>
      <c r="B3525" s="12" t="s">
        <v>879</v>
      </c>
      <c r="C3525" s="12">
        <v>200</v>
      </c>
      <c r="D3525" s="12">
        <v>20</v>
      </c>
    </row>
    <row r="3526" spans="1:4" x14ac:dyDescent="0.2">
      <c r="A3526" s="12" t="s">
        <v>8214</v>
      </c>
      <c r="B3526" s="12" t="s">
        <v>8213</v>
      </c>
      <c r="C3526" s="12" t="s">
        <v>59</v>
      </c>
      <c r="D3526" s="12" t="s">
        <v>59</v>
      </c>
    </row>
    <row r="3527" spans="1:4" x14ac:dyDescent="0.2">
      <c r="A3527" s="12" t="s">
        <v>212</v>
      </c>
      <c r="B3527" s="12" t="s">
        <v>211</v>
      </c>
      <c r="C3527" s="12" t="s">
        <v>59</v>
      </c>
      <c r="D3527" s="12" t="s">
        <v>59</v>
      </c>
    </row>
    <row r="3528" spans="1:4" x14ac:dyDescent="0.2">
      <c r="A3528" s="12" t="s">
        <v>10577</v>
      </c>
      <c r="B3528" s="12" t="s">
        <v>10576</v>
      </c>
      <c r="C3528" s="12">
        <v>730</v>
      </c>
      <c r="D3528" s="12">
        <v>73</v>
      </c>
    </row>
    <row r="3529" spans="1:4" x14ac:dyDescent="0.2">
      <c r="A3529" s="12" t="s">
        <v>10300</v>
      </c>
      <c r="B3529" s="12" t="s">
        <v>10299</v>
      </c>
      <c r="C3529" s="12">
        <v>8.1</v>
      </c>
      <c r="D3529" s="12">
        <v>0.55000000000000004</v>
      </c>
    </row>
    <row r="3530" spans="1:4" x14ac:dyDescent="0.2">
      <c r="A3530" s="12" t="s">
        <v>1878</v>
      </c>
      <c r="B3530" s="12" t="s">
        <v>1877</v>
      </c>
      <c r="C3530" s="12" t="s">
        <v>59</v>
      </c>
      <c r="D3530" s="12" t="s">
        <v>59</v>
      </c>
    </row>
    <row r="3531" spans="1:4" x14ac:dyDescent="0.2">
      <c r="A3531" s="12" t="s">
        <v>1879</v>
      </c>
      <c r="B3531" s="12" t="s">
        <v>1877</v>
      </c>
      <c r="C3531" s="12">
        <v>500</v>
      </c>
      <c r="D3531" s="12">
        <v>50</v>
      </c>
    </row>
    <row r="3532" spans="1:4" x14ac:dyDescent="0.2">
      <c r="A3532" s="12" t="s">
        <v>3724</v>
      </c>
      <c r="B3532" s="12" t="s">
        <v>3723</v>
      </c>
      <c r="C3532" s="12">
        <v>0.7</v>
      </c>
      <c r="D3532" s="12">
        <v>0.1</v>
      </c>
    </row>
    <row r="3533" spans="1:4" x14ac:dyDescent="0.2">
      <c r="A3533" s="12" t="s">
        <v>5018</v>
      </c>
      <c r="B3533" s="12" t="s">
        <v>5017</v>
      </c>
      <c r="C3533" s="12">
        <v>120</v>
      </c>
      <c r="D3533" s="12">
        <v>12</v>
      </c>
    </row>
    <row r="3534" spans="1:4" x14ac:dyDescent="0.2">
      <c r="A3534" s="12" t="s">
        <v>9605</v>
      </c>
      <c r="B3534" s="12" t="s">
        <v>9604</v>
      </c>
      <c r="C3534" s="12">
        <v>1000</v>
      </c>
      <c r="D3534" s="12">
        <v>100</v>
      </c>
    </row>
    <row r="3535" spans="1:4" x14ac:dyDescent="0.2">
      <c r="A3535" s="12" t="s">
        <v>11289</v>
      </c>
      <c r="B3535" s="12" t="s">
        <v>11288</v>
      </c>
      <c r="C3535" s="12" t="s">
        <v>59</v>
      </c>
      <c r="D3535" s="12" t="s">
        <v>59</v>
      </c>
    </row>
    <row r="3536" spans="1:4" x14ac:dyDescent="0.2">
      <c r="A3536" s="12" t="s">
        <v>11290</v>
      </c>
      <c r="B3536" s="12" t="s">
        <v>11288</v>
      </c>
      <c r="C3536" s="12">
        <v>1000</v>
      </c>
      <c r="D3536" s="12">
        <v>100</v>
      </c>
    </row>
    <row r="3537" spans="1:4" x14ac:dyDescent="0.2">
      <c r="A3537" s="12" t="s">
        <v>5489</v>
      </c>
      <c r="B3537" s="12" t="s">
        <v>5488</v>
      </c>
      <c r="C3537" s="12">
        <v>20</v>
      </c>
      <c r="D3537" s="12">
        <v>2</v>
      </c>
    </row>
    <row r="3538" spans="1:4" x14ac:dyDescent="0.2">
      <c r="A3538" s="12" t="s">
        <v>12260</v>
      </c>
      <c r="B3538" s="12" t="s">
        <v>12259</v>
      </c>
      <c r="C3538" s="12" t="s">
        <v>59</v>
      </c>
      <c r="D3538" s="12" t="s">
        <v>59</v>
      </c>
    </row>
    <row r="3539" spans="1:4" x14ac:dyDescent="0.2">
      <c r="A3539" s="12" t="s">
        <v>12641</v>
      </c>
      <c r="B3539" s="12" t="s">
        <v>11398</v>
      </c>
      <c r="C3539" s="12"/>
      <c r="D3539" s="12">
        <v>0.71</v>
      </c>
    </row>
    <row r="3540" spans="1:4" x14ac:dyDescent="0.2">
      <c r="A3540" s="12" t="s">
        <v>12640</v>
      </c>
      <c r="B3540" s="12" t="s">
        <v>11397</v>
      </c>
      <c r="C3540" s="12">
        <v>2.8</v>
      </c>
      <c r="D3540" s="12">
        <v>0.56999999999999995</v>
      </c>
    </row>
    <row r="3541" spans="1:4" x14ac:dyDescent="0.2">
      <c r="A3541" s="12" t="s">
        <v>11396</v>
      </c>
      <c r="B3541" s="12" t="s">
        <v>11395</v>
      </c>
      <c r="C3541" s="12">
        <v>17</v>
      </c>
      <c r="D3541" s="12">
        <v>8.1</v>
      </c>
    </row>
    <row r="3542" spans="1:4" x14ac:dyDescent="0.2">
      <c r="A3542" s="12" t="s">
        <v>404</v>
      </c>
      <c r="B3542" s="12" t="s">
        <v>403</v>
      </c>
      <c r="C3542" s="12">
        <v>0.25</v>
      </c>
      <c r="D3542" s="12">
        <v>2.5000000000000001E-2</v>
      </c>
    </row>
    <row r="3543" spans="1:4" x14ac:dyDescent="0.2">
      <c r="A3543" s="12" t="s">
        <v>314</v>
      </c>
      <c r="B3543" s="12" t="s">
        <v>313</v>
      </c>
      <c r="C3543" s="12">
        <v>40</v>
      </c>
      <c r="D3543" s="12">
        <v>4</v>
      </c>
    </row>
    <row r="3544" spans="1:4" x14ac:dyDescent="0.2">
      <c r="A3544" s="12" t="s">
        <v>812</v>
      </c>
      <c r="B3544" s="12" t="s">
        <v>811</v>
      </c>
      <c r="C3544" s="12">
        <v>200</v>
      </c>
      <c r="D3544" s="12">
        <v>20</v>
      </c>
    </row>
    <row r="3545" spans="1:4" x14ac:dyDescent="0.2">
      <c r="A3545" s="12" t="s">
        <v>846</v>
      </c>
      <c r="B3545" s="12" t="s">
        <v>845</v>
      </c>
      <c r="C3545" s="12">
        <v>200</v>
      </c>
      <c r="D3545" s="12">
        <v>20</v>
      </c>
    </row>
    <row r="3546" spans="1:4" x14ac:dyDescent="0.2">
      <c r="A3546" s="12" t="s">
        <v>4740</v>
      </c>
      <c r="B3546" s="12" t="s">
        <v>4739</v>
      </c>
      <c r="C3546" s="12">
        <v>3.6</v>
      </c>
      <c r="D3546" s="12">
        <v>4.1000000000000002E-2</v>
      </c>
    </row>
    <row r="3547" spans="1:4" x14ac:dyDescent="0.2">
      <c r="A3547" s="12" t="s">
        <v>11976</v>
      </c>
      <c r="B3547" s="12" t="s">
        <v>11975</v>
      </c>
      <c r="C3547" s="12">
        <v>170</v>
      </c>
      <c r="D3547" s="12">
        <v>17</v>
      </c>
    </row>
    <row r="3548" spans="1:4" x14ac:dyDescent="0.2">
      <c r="A3548" s="12" t="s">
        <v>11323</v>
      </c>
      <c r="B3548" s="12" t="s">
        <v>11322</v>
      </c>
      <c r="C3548" s="12">
        <v>1.5</v>
      </c>
      <c r="D3548" s="12">
        <v>0.15</v>
      </c>
    </row>
    <row r="3549" spans="1:4" x14ac:dyDescent="0.2">
      <c r="A3549" s="12" t="s">
        <v>124</v>
      </c>
      <c r="B3549" s="12" t="s">
        <v>123</v>
      </c>
      <c r="C3549" s="12">
        <v>110</v>
      </c>
      <c r="D3549" s="12">
        <v>11</v>
      </c>
    </row>
    <row r="3550" spans="1:4" x14ac:dyDescent="0.2">
      <c r="A3550" s="12" t="s">
        <v>1845</v>
      </c>
      <c r="B3550" s="12" t="s">
        <v>1844</v>
      </c>
      <c r="C3550" s="12">
        <v>3</v>
      </c>
      <c r="D3550" s="12">
        <v>0.3</v>
      </c>
    </row>
    <row r="3551" spans="1:4" x14ac:dyDescent="0.2">
      <c r="A3551" s="12" t="s">
        <v>245</v>
      </c>
      <c r="B3551" s="12" t="s">
        <v>244</v>
      </c>
      <c r="C3551" s="12">
        <v>530</v>
      </c>
      <c r="D3551" s="12">
        <v>53</v>
      </c>
    </row>
    <row r="3552" spans="1:4" x14ac:dyDescent="0.2">
      <c r="A3552" s="12" t="s">
        <v>602</v>
      </c>
      <c r="B3552" s="12" t="s">
        <v>601</v>
      </c>
      <c r="C3552" s="12">
        <v>200</v>
      </c>
      <c r="D3552" s="12">
        <v>20</v>
      </c>
    </row>
    <row r="3553" spans="1:4" x14ac:dyDescent="0.2">
      <c r="A3553" s="12" t="s">
        <v>9986</v>
      </c>
      <c r="B3553" s="12" t="s">
        <v>9985</v>
      </c>
      <c r="C3553" s="12" t="s">
        <v>59</v>
      </c>
      <c r="D3553" s="12" t="s">
        <v>59</v>
      </c>
    </row>
    <row r="3554" spans="1:4" x14ac:dyDescent="0.2">
      <c r="A3554" s="12" t="s">
        <v>876</v>
      </c>
      <c r="B3554" s="12" t="s">
        <v>875</v>
      </c>
      <c r="C3554" s="12">
        <v>200</v>
      </c>
      <c r="D3554" s="12">
        <v>20</v>
      </c>
    </row>
    <row r="3555" spans="1:4" x14ac:dyDescent="0.2">
      <c r="A3555" s="12" t="s">
        <v>737</v>
      </c>
      <c r="B3555" s="12" t="s">
        <v>736</v>
      </c>
      <c r="C3555" s="12">
        <v>200</v>
      </c>
      <c r="D3555" s="12">
        <v>20</v>
      </c>
    </row>
    <row r="3556" spans="1:4" x14ac:dyDescent="0.2">
      <c r="A3556" s="12" t="s">
        <v>864</v>
      </c>
      <c r="B3556" s="12" t="s">
        <v>863</v>
      </c>
      <c r="C3556" s="12">
        <v>200</v>
      </c>
      <c r="D3556" s="12">
        <v>20</v>
      </c>
    </row>
    <row r="3557" spans="1:4" x14ac:dyDescent="0.2">
      <c r="A3557" s="12" t="s">
        <v>10557</v>
      </c>
      <c r="B3557" s="12" t="s">
        <v>10556</v>
      </c>
      <c r="C3557" s="12">
        <v>1800</v>
      </c>
      <c r="D3557" s="12">
        <v>18</v>
      </c>
    </row>
    <row r="3558" spans="1:4" x14ac:dyDescent="0.2">
      <c r="A3558" s="12" t="s">
        <v>7564</v>
      </c>
      <c r="B3558" s="12" t="s">
        <v>7563</v>
      </c>
      <c r="C3558" s="12">
        <v>45</v>
      </c>
      <c r="D3558" s="12">
        <v>4.5</v>
      </c>
    </row>
    <row r="3559" spans="1:4" x14ac:dyDescent="0.2">
      <c r="A3559" s="12" t="s">
        <v>4397</v>
      </c>
      <c r="B3559" s="12" t="s">
        <v>4396</v>
      </c>
      <c r="C3559" s="12">
        <v>15</v>
      </c>
      <c r="D3559" s="12">
        <v>1.5</v>
      </c>
    </row>
    <row r="3560" spans="1:4" x14ac:dyDescent="0.2">
      <c r="A3560" s="12" t="s">
        <v>8624</v>
      </c>
      <c r="B3560" s="12" t="s">
        <v>8623</v>
      </c>
      <c r="C3560" s="12">
        <v>1</v>
      </c>
      <c r="D3560" s="12">
        <v>0.1</v>
      </c>
    </row>
    <row r="3561" spans="1:4" x14ac:dyDescent="0.2">
      <c r="A3561" s="12" t="s">
        <v>6177</v>
      </c>
      <c r="B3561" s="12" t="s">
        <v>6176</v>
      </c>
      <c r="C3561" s="12">
        <v>1</v>
      </c>
      <c r="D3561" s="12">
        <v>0.1</v>
      </c>
    </row>
    <row r="3562" spans="1:4" x14ac:dyDescent="0.2">
      <c r="A3562" s="12" t="s">
        <v>2389</v>
      </c>
      <c r="B3562" s="12" t="s">
        <v>2388</v>
      </c>
      <c r="C3562" s="12" t="s">
        <v>59</v>
      </c>
      <c r="D3562" s="12" t="s">
        <v>59</v>
      </c>
    </row>
    <row r="3563" spans="1:4" x14ac:dyDescent="0.2">
      <c r="A3563" s="12" t="s">
        <v>1856</v>
      </c>
      <c r="B3563" s="12" t="s">
        <v>1855</v>
      </c>
      <c r="C3563" s="12">
        <v>290</v>
      </c>
      <c r="D3563" s="12">
        <v>3.3</v>
      </c>
    </row>
    <row r="3564" spans="1:4" x14ac:dyDescent="0.2">
      <c r="A3564" s="12" t="s">
        <v>178</v>
      </c>
      <c r="B3564" s="12" t="s">
        <v>177</v>
      </c>
      <c r="C3564" s="12" t="s">
        <v>59</v>
      </c>
      <c r="D3564" s="12" t="s">
        <v>59</v>
      </c>
    </row>
    <row r="3565" spans="1:4" x14ac:dyDescent="0.2">
      <c r="A3565" s="12" t="s">
        <v>6205</v>
      </c>
      <c r="B3565" s="12" t="s">
        <v>6204</v>
      </c>
      <c r="C3565" s="12" t="s">
        <v>59</v>
      </c>
      <c r="D3565" s="12" t="s">
        <v>59</v>
      </c>
    </row>
    <row r="3566" spans="1:4" x14ac:dyDescent="0.2">
      <c r="A3566" s="12" t="s">
        <v>5023</v>
      </c>
      <c r="B3566" s="12" t="s">
        <v>5022</v>
      </c>
      <c r="C3566" s="12">
        <v>5</v>
      </c>
      <c r="D3566" s="12">
        <v>0.5</v>
      </c>
    </row>
    <row r="3567" spans="1:4" x14ac:dyDescent="0.2">
      <c r="A3567" s="12" t="s">
        <v>586</v>
      </c>
      <c r="B3567" s="12" t="s">
        <v>585</v>
      </c>
      <c r="C3567" s="12">
        <v>2450</v>
      </c>
      <c r="D3567" s="12">
        <v>245</v>
      </c>
    </row>
    <row r="3568" spans="1:4" x14ac:dyDescent="0.2">
      <c r="A3568" s="12" t="s">
        <v>1754</v>
      </c>
      <c r="B3568" s="12" t="s">
        <v>1753</v>
      </c>
      <c r="C3568" s="12">
        <v>90</v>
      </c>
      <c r="D3568" s="12">
        <v>9</v>
      </c>
    </row>
    <row r="3569" spans="1:4" x14ac:dyDescent="0.2">
      <c r="A3569" s="12" t="s">
        <v>2745</v>
      </c>
      <c r="B3569" s="12" t="s">
        <v>2744</v>
      </c>
      <c r="C3569" s="12">
        <v>970</v>
      </c>
      <c r="D3569" s="12">
        <v>97</v>
      </c>
    </row>
    <row r="3570" spans="1:4" x14ac:dyDescent="0.2">
      <c r="A3570" s="12" t="s">
        <v>8317</v>
      </c>
      <c r="B3570" s="12" t="s">
        <v>8316</v>
      </c>
      <c r="C3570" s="12">
        <v>50</v>
      </c>
      <c r="D3570" s="12">
        <v>5</v>
      </c>
    </row>
    <row r="3571" spans="1:4" x14ac:dyDescent="0.2">
      <c r="A3571" s="12" t="s">
        <v>4846</v>
      </c>
      <c r="B3571" s="12" t="s">
        <v>4845</v>
      </c>
      <c r="C3571" s="12" t="s">
        <v>59</v>
      </c>
      <c r="D3571" s="12" t="s">
        <v>59</v>
      </c>
    </row>
    <row r="3572" spans="1:4" x14ac:dyDescent="0.2">
      <c r="A3572" s="12" t="s">
        <v>4543</v>
      </c>
      <c r="B3572" s="12" t="s">
        <v>4542</v>
      </c>
      <c r="C3572" s="12">
        <v>80</v>
      </c>
      <c r="D3572" s="12">
        <v>8</v>
      </c>
    </row>
    <row r="3573" spans="1:4" x14ac:dyDescent="0.2">
      <c r="A3573" s="12" t="s">
        <v>11343</v>
      </c>
      <c r="B3573" s="12" t="s">
        <v>11342</v>
      </c>
      <c r="C3573" s="12" t="s">
        <v>59</v>
      </c>
      <c r="D3573" s="12" t="s">
        <v>59</v>
      </c>
    </row>
    <row r="3574" spans="1:4" x14ac:dyDescent="0.2">
      <c r="A3574" s="12" t="s">
        <v>1821</v>
      </c>
      <c r="B3574" s="12" t="s">
        <v>1820</v>
      </c>
      <c r="C3574" s="12">
        <v>100</v>
      </c>
      <c r="D3574" s="12">
        <v>10</v>
      </c>
    </row>
    <row r="3575" spans="1:4" x14ac:dyDescent="0.2">
      <c r="A3575" s="12" t="s">
        <v>5605</v>
      </c>
      <c r="B3575" s="12" t="s">
        <v>5604</v>
      </c>
      <c r="C3575" s="12" t="s">
        <v>59</v>
      </c>
      <c r="D3575" s="12" t="s">
        <v>59</v>
      </c>
    </row>
    <row r="3576" spans="1:4" x14ac:dyDescent="0.2">
      <c r="A3576" s="12" t="s">
        <v>3331</v>
      </c>
      <c r="B3576" s="12" t="s">
        <v>3330</v>
      </c>
      <c r="C3576" s="12">
        <v>0.5</v>
      </c>
      <c r="D3576" s="12">
        <v>0.05</v>
      </c>
    </row>
    <row r="3577" spans="1:4" x14ac:dyDescent="0.2">
      <c r="A3577" s="12" t="s">
        <v>2423</v>
      </c>
      <c r="B3577" s="12" t="s">
        <v>2422</v>
      </c>
      <c r="C3577" s="12" t="s">
        <v>59</v>
      </c>
      <c r="D3577" s="12" t="s">
        <v>59</v>
      </c>
    </row>
    <row r="3578" spans="1:4" x14ac:dyDescent="0.2">
      <c r="A3578" s="12" t="s">
        <v>2424</v>
      </c>
      <c r="B3578" s="12" t="s">
        <v>2422</v>
      </c>
      <c r="C3578" s="12">
        <v>1000</v>
      </c>
      <c r="D3578" s="12">
        <v>100</v>
      </c>
    </row>
    <row r="3579" spans="1:4" x14ac:dyDescent="0.2">
      <c r="A3579" s="12" t="s">
        <v>4702</v>
      </c>
      <c r="B3579" s="12" t="s">
        <v>4701</v>
      </c>
      <c r="C3579" s="12" t="s">
        <v>59</v>
      </c>
      <c r="D3579" s="12" t="s">
        <v>59</v>
      </c>
    </row>
    <row r="3580" spans="1:4" x14ac:dyDescent="0.2">
      <c r="A3580" s="12" t="s">
        <v>344</v>
      </c>
      <c r="B3580" s="12" t="s">
        <v>343</v>
      </c>
      <c r="C3580" s="12">
        <v>100</v>
      </c>
      <c r="D3580" s="12">
        <v>10</v>
      </c>
    </row>
    <row r="3581" spans="1:4" x14ac:dyDescent="0.2">
      <c r="A3581" s="12" t="s">
        <v>1613</v>
      </c>
      <c r="B3581" s="12" t="s">
        <v>1612</v>
      </c>
      <c r="C3581" s="12">
        <v>200</v>
      </c>
      <c r="D3581" s="12">
        <v>20</v>
      </c>
    </row>
    <row r="3582" spans="1:4" x14ac:dyDescent="0.2">
      <c r="A3582" s="12" t="s">
        <v>2369</v>
      </c>
      <c r="B3582" s="12" t="s">
        <v>2368</v>
      </c>
      <c r="C3582" s="12">
        <v>2.5</v>
      </c>
      <c r="D3582" s="12">
        <v>0.25</v>
      </c>
    </row>
    <row r="3583" spans="1:4" x14ac:dyDescent="0.2">
      <c r="A3583" s="12" t="s">
        <v>3773</v>
      </c>
      <c r="B3583" s="12" t="s">
        <v>3772</v>
      </c>
      <c r="C3583" s="12">
        <v>180</v>
      </c>
      <c r="D3583" s="12">
        <v>18</v>
      </c>
    </row>
    <row r="3584" spans="1:4" x14ac:dyDescent="0.2">
      <c r="A3584" s="12" t="s">
        <v>1940</v>
      </c>
      <c r="B3584" s="12" t="s">
        <v>1939</v>
      </c>
      <c r="C3584" s="12">
        <v>4</v>
      </c>
      <c r="D3584" s="12">
        <v>0.4</v>
      </c>
    </row>
    <row r="3585" spans="1:4" x14ac:dyDescent="0.2">
      <c r="A3585" s="12" t="s">
        <v>2592</v>
      </c>
      <c r="B3585" s="12" t="s">
        <v>2591</v>
      </c>
      <c r="C3585" s="12">
        <v>5600</v>
      </c>
      <c r="D3585" s="12">
        <v>540</v>
      </c>
    </row>
    <row r="3586" spans="1:4" x14ac:dyDescent="0.2">
      <c r="A3586" s="12" t="s">
        <v>596</v>
      </c>
      <c r="B3586" s="12" t="s">
        <v>595</v>
      </c>
      <c r="C3586" s="12">
        <v>16100</v>
      </c>
      <c r="D3586" s="12">
        <v>1610</v>
      </c>
    </row>
    <row r="3587" spans="1:4" x14ac:dyDescent="0.2">
      <c r="A3587" s="12" t="s">
        <v>2306</v>
      </c>
      <c r="B3587" s="12" t="s">
        <v>2305</v>
      </c>
      <c r="C3587" s="12">
        <v>1600</v>
      </c>
      <c r="D3587" s="12">
        <v>160</v>
      </c>
    </row>
    <row r="3588" spans="1:4" x14ac:dyDescent="0.2">
      <c r="A3588" s="12" t="s">
        <v>9491</v>
      </c>
      <c r="B3588" s="12" t="s">
        <v>9490</v>
      </c>
      <c r="C3588" s="12">
        <v>2300</v>
      </c>
      <c r="D3588" s="12">
        <v>230</v>
      </c>
    </row>
    <row r="3589" spans="1:4" x14ac:dyDescent="0.2">
      <c r="A3589" s="12" t="s">
        <v>886</v>
      </c>
      <c r="B3589" s="12" t="s">
        <v>885</v>
      </c>
      <c r="C3589" s="12">
        <v>12</v>
      </c>
      <c r="D3589" s="12">
        <v>1.2</v>
      </c>
    </row>
    <row r="3590" spans="1:4" x14ac:dyDescent="0.2">
      <c r="A3590" s="12" t="s">
        <v>2140</v>
      </c>
      <c r="B3590" s="12" t="s">
        <v>2139</v>
      </c>
      <c r="C3590" s="12">
        <v>1000</v>
      </c>
      <c r="D3590" s="12">
        <v>100</v>
      </c>
    </row>
    <row r="3591" spans="1:4" x14ac:dyDescent="0.2">
      <c r="A3591" s="12" t="s">
        <v>545</v>
      </c>
      <c r="B3591" s="12" t="s">
        <v>544</v>
      </c>
      <c r="C3591" s="12">
        <v>2100</v>
      </c>
      <c r="D3591" s="12">
        <v>210</v>
      </c>
    </row>
    <row r="3592" spans="1:4" x14ac:dyDescent="0.2">
      <c r="A3592" s="12" t="s">
        <v>10392</v>
      </c>
      <c r="B3592" s="12" t="s">
        <v>10391</v>
      </c>
      <c r="C3592" s="12" t="s">
        <v>59</v>
      </c>
      <c r="D3592" s="12" t="s">
        <v>59</v>
      </c>
    </row>
    <row r="3593" spans="1:4" x14ac:dyDescent="0.2">
      <c r="A3593" s="12" t="s">
        <v>2598</v>
      </c>
      <c r="B3593" s="12" t="s">
        <v>2597</v>
      </c>
      <c r="C3593" s="12">
        <v>1500</v>
      </c>
      <c r="D3593" s="12">
        <v>150</v>
      </c>
    </row>
    <row r="3594" spans="1:4" x14ac:dyDescent="0.2">
      <c r="A3594" s="12" t="s">
        <v>3704</v>
      </c>
      <c r="B3594" s="12" t="s">
        <v>3703</v>
      </c>
      <c r="C3594" s="12" t="s">
        <v>59</v>
      </c>
      <c r="D3594" s="12" t="s">
        <v>59</v>
      </c>
    </row>
    <row r="3595" spans="1:4" x14ac:dyDescent="0.2">
      <c r="A3595" s="12" t="s">
        <v>11839</v>
      </c>
      <c r="B3595" s="12" t="s">
        <v>11838</v>
      </c>
      <c r="C3595" s="12">
        <v>0.7</v>
      </c>
      <c r="D3595" s="12">
        <v>0.1</v>
      </c>
    </row>
    <row r="3596" spans="1:4" x14ac:dyDescent="0.2">
      <c r="A3596" s="12" t="s">
        <v>1611</v>
      </c>
      <c r="B3596" s="12" t="s">
        <v>1610</v>
      </c>
      <c r="C3596" s="12">
        <v>5600</v>
      </c>
      <c r="D3596" s="12">
        <v>540</v>
      </c>
    </row>
    <row r="3597" spans="1:4" x14ac:dyDescent="0.2">
      <c r="A3597" s="12" t="s">
        <v>3205</v>
      </c>
      <c r="B3597" s="12" t="s">
        <v>3204</v>
      </c>
      <c r="C3597" s="12">
        <v>2</v>
      </c>
      <c r="D3597" s="12">
        <v>0.2</v>
      </c>
    </row>
    <row r="3598" spans="1:4" x14ac:dyDescent="0.2">
      <c r="A3598" s="12" t="s">
        <v>11528</v>
      </c>
      <c r="B3598" s="12" t="s">
        <v>11527</v>
      </c>
      <c r="C3598" s="12">
        <v>1000</v>
      </c>
      <c r="D3598" s="12">
        <v>100</v>
      </c>
    </row>
    <row r="3599" spans="1:4" x14ac:dyDescent="0.2">
      <c r="A3599" s="12" t="s">
        <v>7838</v>
      </c>
      <c r="B3599" s="12" t="s">
        <v>7837</v>
      </c>
      <c r="C3599" s="12">
        <v>8.1</v>
      </c>
      <c r="D3599" s="12">
        <v>0.55000000000000004</v>
      </c>
    </row>
    <row r="3600" spans="1:4" x14ac:dyDescent="0.2">
      <c r="A3600" s="12" t="s">
        <v>12501</v>
      </c>
      <c r="B3600" s="12" t="s">
        <v>12502</v>
      </c>
      <c r="C3600" s="12">
        <v>8.1</v>
      </c>
      <c r="D3600" s="12">
        <v>0.55000000000000004</v>
      </c>
    </row>
    <row r="3601" spans="1:4" x14ac:dyDescent="0.2">
      <c r="A3601" s="12" t="s">
        <v>12503</v>
      </c>
      <c r="B3601" s="12" t="s">
        <v>12502</v>
      </c>
      <c r="C3601" s="12">
        <v>3.3</v>
      </c>
      <c r="D3601" s="12">
        <v>6.3E-2</v>
      </c>
    </row>
    <row r="3602" spans="1:4" x14ac:dyDescent="0.2">
      <c r="A3602" s="12" t="s">
        <v>1772</v>
      </c>
      <c r="B3602" s="12" t="s">
        <v>1771</v>
      </c>
      <c r="C3602" s="12">
        <v>290</v>
      </c>
      <c r="D3602" s="12">
        <v>3.3</v>
      </c>
    </row>
    <row r="3603" spans="1:4" x14ac:dyDescent="0.2">
      <c r="A3603" s="12" t="s">
        <v>3077</v>
      </c>
      <c r="B3603" s="12" t="s">
        <v>3076</v>
      </c>
      <c r="C3603" s="12">
        <v>125</v>
      </c>
      <c r="D3603" s="12">
        <v>12.5</v>
      </c>
    </row>
    <row r="3604" spans="1:4" x14ac:dyDescent="0.2">
      <c r="A3604" s="12" t="s">
        <v>1079</v>
      </c>
      <c r="B3604" s="12" t="s">
        <v>1078</v>
      </c>
      <c r="C3604" s="12">
        <v>720</v>
      </c>
      <c r="D3604" s="12">
        <v>72</v>
      </c>
    </row>
    <row r="3605" spans="1:4" x14ac:dyDescent="0.2">
      <c r="A3605" s="12" t="s">
        <v>8320</v>
      </c>
      <c r="B3605" s="12" t="s">
        <v>8319</v>
      </c>
      <c r="C3605" s="12" t="s">
        <v>59</v>
      </c>
      <c r="D3605" s="12" t="s">
        <v>59</v>
      </c>
    </row>
    <row r="3606" spans="1:4" x14ac:dyDescent="0.2">
      <c r="A3606" s="12" t="s">
        <v>2793</v>
      </c>
      <c r="B3606" s="12" t="s">
        <v>2792</v>
      </c>
      <c r="C3606" s="12">
        <v>1700</v>
      </c>
      <c r="D3606" s="12">
        <v>330</v>
      </c>
    </row>
    <row r="3607" spans="1:4" x14ac:dyDescent="0.2">
      <c r="A3607" s="12" t="s">
        <v>11306</v>
      </c>
      <c r="B3607" s="12" t="s">
        <v>11305</v>
      </c>
      <c r="C3607" s="12">
        <v>50</v>
      </c>
      <c r="D3607" s="12">
        <v>5</v>
      </c>
    </row>
    <row r="3608" spans="1:4" x14ac:dyDescent="0.2">
      <c r="A3608" s="12" t="s">
        <v>12373</v>
      </c>
      <c r="B3608" s="12" t="s">
        <v>12372</v>
      </c>
      <c r="C3608" s="12">
        <v>1000</v>
      </c>
      <c r="D3608" s="12">
        <v>100</v>
      </c>
    </row>
    <row r="3609" spans="1:4" x14ac:dyDescent="0.2">
      <c r="A3609" s="12" t="s">
        <v>7783</v>
      </c>
      <c r="B3609" s="12" t="s">
        <v>7782</v>
      </c>
      <c r="C3609" s="12">
        <v>450</v>
      </c>
      <c r="D3609" s="12">
        <v>45</v>
      </c>
    </row>
    <row r="3610" spans="1:4" x14ac:dyDescent="0.2">
      <c r="A3610" s="12" t="s">
        <v>8112</v>
      </c>
      <c r="B3610" s="12" t="s">
        <v>8111</v>
      </c>
      <c r="C3610" s="12">
        <v>5</v>
      </c>
      <c r="D3610" s="12">
        <v>0.5</v>
      </c>
    </row>
    <row r="3611" spans="1:4" x14ac:dyDescent="0.2">
      <c r="A3611" s="12" t="s">
        <v>1534</v>
      </c>
      <c r="B3611" s="12" t="s">
        <v>1533</v>
      </c>
      <c r="C3611" s="12">
        <v>15</v>
      </c>
      <c r="D3611" s="12">
        <v>1.5</v>
      </c>
    </row>
    <row r="3612" spans="1:4" x14ac:dyDescent="0.2">
      <c r="A3612" s="12" t="s">
        <v>4549</v>
      </c>
      <c r="B3612" s="12" t="s">
        <v>4548</v>
      </c>
      <c r="C3612" s="12" t="s">
        <v>59</v>
      </c>
      <c r="D3612" s="12" t="s">
        <v>59</v>
      </c>
    </row>
    <row r="3613" spans="1:4" x14ac:dyDescent="0.2">
      <c r="A3613" s="12" t="s">
        <v>10098</v>
      </c>
      <c r="B3613" s="12" t="s">
        <v>10097</v>
      </c>
      <c r="C3613" s="12">
        <v>600</v>
      </c>
      <c r="D3613" s="12">
        <v>60</v>
      </c>
    </row>
    <row r="3614" spans="1:4" x14ac:dyDescent="0.2">
      <c r="A3614" s="12" t="s">
        <v>2888</v>
      </c>
      <c r="B3614" s="12" t="s">
        <v>2887</v>
      </c>
      <c r="C3614" s="12">
        <v>10000</v>
      </c>
      <c r="D3614" s="12">
        <v>2700</v>
      </c>
    </row>
    <row r="3615" spans="1:4" x14ac:dyDescent="0.2">
      <c r="A3615" s="12" t="s">
        <v>2813</v>
      </c>
      <c r="B3615" s="12" t="s">
        <v>2812</v>
      </c>
      <c r="C3615" s="12">
        <v>125</v>
      </c>
      <c r="D3615" s="12">
        <v>12.5</v>
      </c>
    </row>
    <row r="3616" spans="1:4" x14ac:dyDescent="0.2">
      <c r="A3616" s="12" t="s">
        <v>1704</v>
      </c>
      <c r="B3616" s="12" t="s">
        <v>1703</v>
      </c>
      <c r="C3616" s="12">
        <v>5600</v>
      </c>
      <c r="D3616" s="12">
        <v>540</v>
      </c>
    </row>
    <row r="3617" spans="1:4" x14ac:dyDescent="0.2">
      <c r="A3617" s="12" t="s">
        <v>3167</v>
      </c>
      <c r="B3617" s="12" t="s">
        <v>3166</v>
      </c>
      <c r="C3617" s="12">
        <v>5600</v>
      </c>
      <c r="D3617" s="12">
        <v>540</v>
      </c>
    </row>
    <row r="3618" spans="1:4" x14ac:dyDescent="0.2">
      <c r="A3618" s="12" t="s">
        <v>3103</v>
      </c>
      <c r="B3618" s="12" t="s">
        <v>3102</v>
      </c>
      <c r="C3618" s="12">
        <v>650</v>
      </c>
      <c r="D3618" s="12">
        <v>65</v>
      </c>
    </row>
    <row r="3619" spans="1:4" x14ac:dyDescent="0.2">
      <c r="A3619" s="12" t="s">
        <v>7814</v>
      </c>
      <c r="B3619" s="12" t="s">
        <v>7813</v>
      </c>
      <c r="C3619" s="12">
        <v>840</v>
      </c>
      <c r="D3619" s="12">
        <v>84</v>
      </c>
    </row>
    <row r="3620" spans="1:4" x14ac:dyDescent="0.2">
      <c r="A3620" s="12" t="s">
        <v>2886</v>
      </c>
      <c r="B3620" s="12" t="s">
        <v>2885</v>
      </c>
      <c r="C3620" s="12">
        <v>5600</v>
      </c>
      <c r="D3620" s="12">
        <v>540</v>
      </c>
    </row>
    <row r="3621" spans="1:4" x14ac:dyDescent="0.2">
      <c r="A3621" s="12" t="s">
        <v>2803</v>
      </c>
      <c r="B3621" s="12" t="s">
        <v>2802</v>
      </c>
      <c r="C3621" s="12">
        <v>650</v>
      </c>
      <c r="D3621" s="12">
        <v>65</v>
      </c>
    </row>
    <row r="3622" spans="1:4" x14ac:dyDescent="0.2">
      <c r="A3622" s="12" t="s">
        <v>2918</v>
      </c>
      <c r="B3622" s="12" t="s">
        <v>2917</v>
      </c>
      <c r="C3622" s="12">
        <v>2700</v>
      </c>
      <c r="D3622" s="12">
        <v>270</v>
      </c>
    </row>
    <row r="3623" spans="1:4" x14ac:dyDescent="0.2">
      <c r="A3623" s="12" t="s">
        <v>9069</v>
      </c>
      <c r="B3623" s="12" t="s">
        <v>9068</v>
      </c>
      <c r="C3623" s="12">
        <v>230</v>
      </c>
      <c r="D3623" s="12">
        <v>23</v>
      </c>
    </row>
    <row r="3624" spans="1:4" x14ac:dyDescent="0.2">
      <c r="A3624" s="12" t="s">
        <v>5224</v>
      </c>
      <c r="B3624" s="12" t="s">
        <v>5223</v>
      </c>
      <c r="C3624" s="12">
        <v>10000</v>
      </c>
      <c r="D3624" s="12">
        <v>480</v>
      </c>
    </row>
    <row r="3625" spans="1:4" x14ac:dyDescent="0.2">
      <c r="A3625" s="12" t="s">
        <v>543</v>
      </c>
      <c r="B3625" s="12" t="s">
        <v>542</v>
      </c>
      <c r="C3625" s="12">
        <v>1100</v>
      </c>
      <c r="D3625" s="12">
        <v>9.9</v>
      </c>
    </row>
    <row r="3626" spans="1:4" x14ac:dyDescent="0.2">
      <c r="A3626" s="12" t="s">
        <v>973</v>
      </c>
      <c r="B3626" s="12" t="s">
        <v>972</v>
      </c>
      <c r="C3626" s="12">
        <v>30</v>
      </c>
      <c r="D3626" s="12">
        <v>3</v>
      </c>
    </row>
    <row r="3627" spans="1:4" x14ac:dyDescent="0.2">
      <c r="A3627" s="12" t="s">
        <v>11508</v>
      </c>
      <c r="B3627" s="12" t="s">
        <v>11507</v>
      </c>
      <c r="C3627" s="12" t="s">
        <v>59</v>
      </c>
      <c r="D3627" s="12" t="s">
        <v>59</v>
      </c>
    </row>
    <row r="3628" spans="1:4" x14ac:dyDescent="0.2">
      <c r="A3628" s="12" t="s">
        <v>10422</v>
      </c>
      <c r="B3628" s="12" t="s">
        <v>10421</v>
      </c>
      <c r="C3628" s="12" t="s">
        <v>59</v>
      </c>
      <c r="D3628" s="12" t="s">
        <v>59</v>
      </c>
    </row>
    <row r="3629" spans="1:4" x14ac:dyDescent="0.2">
      <c r="A3629" s="12" t="s">
        <v>1479</v>
      </c>
      <c r="B3629" s="12" t="s">
        <v>1478</v>
      </c>
      <c r="C3629" s="12">
        <v>10000</v>
      </c>
      <c r="D3629" s="12">
        <v>2700</v>
      </c>
    </row>
    <row r="3630" spans="1:4" x14ac:dyDescent="0.2">
      <c r="A3630" s="12" t="s">
        <v>2255</v>
      </c>
      <c r="B3630" s="12" t="s">
        <v>2254</v>
      </c>
      <c r="C3630" s="12">
        <v>1000</v>
      </c>
      <c r="D3630" s="12">
        <v>100</v>
      </c>
    </row>
    <row r="3631" spans="1:4" x14ac:dyDescent="0.2">
      <c r="A3631" s="12" t="s">
        <v>408</v>
      </c>
      <c r="B3631" s="12" t="s">
        <v>407</v>
      </c>
      <c r="C3631" s="12">
        <v>16100</v>
      </c>
      <c r="D3631" s="12">
        <v>1610</v>
      </c>
    </row>
    <row r="3632" spans="1:4" x14ac:dyDescent="0.2">
      <c r="A3632" s="12" t="s">
        <v>1459</v>
      </c>
      <c r="B3632" s="12" t="s">
        <v>1458</v>
      </c>
      <c r="C3632" s="12">
        <v>5600</v>
      </c>
      <c r="D3632" s="12">
        <v>540</v>
      </c>
    </row>
    <row r="3633" spans="1:4" x14ac:dyDescent="0.2">
      <c r="A3633" s="12" t="s">
        <v>7981</v>
      </c>
      <c r="B3633" s="12" t="s">
        <v>7980</v>
      </c>
      <c r="C3633" s="12">
        <v>98</v>
      </c>
      <c r="D3633" s="12">
        <v>180</v>
      </c>
    </row>
    <row r="3634" spans="1:4" x14ac:dyDescent="0.2">
      <c r="A3634" s="12" t="s">
        <v>3112</v>
      </c>
      <c r="B3634" s="12" t="s">
        <v>3111</v>
      </c>
      <c r="C3634" s="12">
        <v>1000</v>
      </c>
      <c r="D3634" s="12">
        <v>100</v>
      </c>
    </row>
    <row r="3635" spans="1:4" x14ac:dyDescent="0.2">
      <c r="A3635" s="12" t="s">
        <v>6669</v>
      </c>
      <c r="B3635" s="12" t="s">
        <v>6668</v>
      </c>
      <c r="C3635" s="12">
        <v>75</v>
      </c>
      <c r="D3635" s="12">
        <v>7.5</v>
      </c>
    </row>
    <row r="3636" spans="1:4" x14ac:dyDescent="0.2">
      <c r="A3636" s="12" t="s">
        <v>2892</v>
      </c>
      <c r="B3636" s="12" t="s">
        <v>2891</v>
      </c>
      <c r="C3636" s="12">
        <v>1700</v>
      </c>
      <c r="D3636" s="12">
        <v>330</v>
      </c>
    </row>
    <row r="3637" spans="1:4" x14ac:dyDescent="0.2">
      <c r="A3637" s="12" t="s">
        <v>2197</v>
      </c>
      <c r="B3637" s="12" t="s">
        <v>2196</v>
      </c>
      <c r="C3637" s="12" t="s">
        <v>59</v>
      </c>
      <c r="D3637" s="12" t="s">
        <v>59</v>
      </c>
    </row>
    <row r="3638" spans="1:4" x14ac:dyDescent="0.2">
      <c r="A3638" s="12" t="s">
        <v>733</v>
      </c>
      <c r="B3638" s="12" t="s">
        <v>732</v>
      </c>
      <c r="C3638" s="12">
        <v>16100</v>
      </c>
      <c r="D3638" s="12">
        <v>1610</v>
      </c>
    </row>
    <row r="3639" spans="1:4" x14ac:dyDescent="0.2">
      <c r="A3639" s="12" t="s">
        <v>9301</v>
      </c>
      <c r="B3639" s="12" t="s">
        <v>9300</v>
      </c>
      <c r="C3639" s="12">
        <v>100</v>
      </c>
      <c r="D3639" s="12">
        <v>10</v>
      </c>
    </row>
    <row r="3640" spans="1:4" x14ac:dyDescent="0.2">
      <c r="A3640" s="12" t="s">
        <v>9302</v>
      </c>
      <c r="B3640" s="12" t="s">
        <v>9300</v>
      </c>
      <c r="C3640" s="12" t="s">
        <v>59</v>
      </c>
      <c r="D3640" s="12" t="s">
        <v>59</v>
      </c>
    </row>
    <row r="3641" spans="1:4" x14ac:dyDescent="0.2">
      <c r="A3641" s="12" t="s">
        <v>2868</v>
      </c>
      <c r="B3641" s="12" t="s">
        <v>2867</v>
      </c>
      <c r="C3641" s="12">
        <v>3700</v>
      </c>
      <c r="D3641" s="12">
        <v>370</v>
      </c>
    </row>
    <row r="3642" spans="1:4" x14ac:dyDescent="0.2">
      <c r="A3642" s="12" t="s">
        <v>7704</v>
      </c>
      <c r="B3642" s="12" t="s">
        <v>7703</v>
      </c>
      <c r="C3642" s="12">
        <v>1000</v>
      </c>
      <c r="D3642" s="12">
        <v>100</v>
      </c>
    </row>
    <row r="3643" spans="1:4" x14ac:dyDescent="0.2">
      <c r="A3643" s="12" t="s">
        <v>11512</v>
      </c>
      <c r="B3643" s="12" t="s">
        <v>11511</v>
      </c>
      <c r="C3643" s="12" t="s">
        <v>59</v>
      </c>
      <c r="D3643" s="12" t="s">
        <v>59</v>
      </c>
    </row>
    <row r="3644" spans="1:4" x14ac:dyDescent="0.2">
      <c r="A3644" s="12" t="s">
        <v>11355</v>
      </c>
      <c r="B3644" s="12" t="s">
        <v>11354</v>
      </c>
      <c r="C3644" s="12">
        <v>8.1</v>
      </c>
      <c r="D3644" s="12">
        <v>0.55000000000000004</v>
      </c>
    </row>
    <row r="3645" spans="1:4" x14ac:dyDescent="0.2">
      <c r="A3645" s="12" t="s">
        <v>2323</v>
      </c>
      <c r="B3645" s="12" t="s">
        <v>2322</v>
      </c>
      <c r="C3645" s="12">
        <v>10000</v>
      </c>
      <c r="D3645" s="12">
        <v>2700</v>
      </c>
    </row>
    <row r="3646" spans="1:4" x14ac:dyDescent="0.2">
      <c r="A3646" s="12" t="s">
        <v>8401</v>
      </c>
      <c r="B3646" s="12" t="s">
        <v>8400</v>
      </c>
      <c r="C3646" s="12">
        <v>40</v>
      </c>
      <c r="D3646" s="12">
        <v>4</v>
      </c>
    </row>
    <row r="3647" spans="1:4" x14ac:dyDescent="0.2">
      <c r="A3647" s="12" t="s">
        <v>7270</v>
      </c>
      <c r="B3647" s="12" t="s">
        <v>7269</v>
      </c>
      <c r="C3647" s="12">
        <v>200</v>
      </c>
      <c r="D3647" s="12">
        <v>48</v>
      </c>
    </row>
    <row r="3648" spans="1:4" x14ac:dyDescent="0.2">
      <c r="A3648" s="12" t="s">
        <v>2669</v>
      </c>
      <c r="B3648" s="12" t="s">
        <v>2668</v>
      </c>
      <c r="C3648" s="12">
        <v>340</v>
      </c>
      <c r="D3648" s="12">
        <v>34</v>
      </c>
    </row>
    <row r="3649" spans="1:4" x14ac:dyDescent="0.2">
      <c r="A3649" s="12" t="s">
        <v>828</v>
      </c>
      <c r="B3649" s="12" t="s">
        <v>827</v>
      </c>
      <c r="C3649" s="12">
        <v>2000</v>
      </c>
      <c r="D3649" s="12">
        <v>200</v>
      </c>
    </row>
    <row r="3650" spans="1:4" x14ac:dyDescent="0.2">
      <c r="A3650" s="12" t="s">
        <v>9132</v>
      </c>
      <c r="B3650" s="12" t="s">
        <v>9131</v>
      </c>
      <c r="C3650" s="12">
        <v>500</v>
      </c>
      <c r="D3650" s="12">
        <v>50</v>
      </c>
    </row>
    <row r="3651" spans="1:4" x14ac:dyDescent="0.2">
      <c r="A3651" s="12" t="s">
        <v>4842</v>
      </c>
      <c r="B3651" s="12" t="s">
        <v>4841</v>
      </c>
      <c r="C3651" s="12">
        <v>20</v>
      </c>
      <c r="D3651" s="12">
        <v>2</v>
      </c>
    </row>
    <row r="3652" spans="1:4" x14ac:dyDescent="0.2">
      <c r="A3652" s="12" t="s">
        <v>1760</v>
      </c>
      <c r="B3652" s="12" t="s">
        <v>1759</v>
      </c>
      <c r="C3652" s="12">
        <v>5600</v>
      </c>
      <c r="D3652" s="12">
        <v>540</v>
      </c>
    </row>
    <row r="3653" spans="1:4" x14ac:dyDescent="0.2">
      <c r="A3653" s="12" t="s">
        <v>4644</v>
      </c>
      <c r="B3653" s="12" t="s">
        <v>4643</v>
      </c>
      <c r="C3653" s="12">
        <v>1670</v>
      </c>
      <c r="D3653" s="12">
        <v>167</v>
      </c>
    </row>
    <row r="3654" spans="1:4" x14ac:dyDescent="0.2">
      <c r="A3654" s="12" t="s">
        <v>2316</v>
      </c>
      <c r="B3654" s="12" t="s">
        <v>2315</v>
      </c>
      <c r="C3654" s="12">
        <v>5600</v>
      </c>
      <c r="D3654" s="12">
        <v>540</v>
      </c>
    </row>
    <row r="3655" spans="1:4" x14ac:dyDescent="0.2">
      <c r="A3655" s="12" t="s">
        <v>9061</v>
      </c>
      <c r="B3655" s="12" t="s">
        <v>9060</v>
      </c>
      <c r="C3655" s="12">
        <v>5</v>
      </c>
      <c r="D3655" s="12">
        <v>0.5</v>
      </c>
    </row>
    <row r="3656" spans="1:4" x14ac:dyDescent="0.2">
      <c r="A3656" s="12" t="s">
        <v>1043</v>
      </c>
      <c r="B3656" s="12" t="s">
        <v>1042</v>
      </c>
      <c r="C3656" s="12">
        <v>1700</v>
      </c>
      <c r="D3656" s="12">
        <v>170</v>
      </c>
    </row>
    <row r="3657" spans="1:4" x14ac:dyDescent="0.2">
      <c r="A3657" s="12" t="s">
        <v>850</v>
      </c>
      <c r="B3657" s="12" t="s">
        <v>849</v>
      </c>
      <c r="C3657" s="12">
        <v>340</v>
      </c>
      <c r="D3657" s="12">
        <v>34</v>
      </c>
    </row>
    <row r="3658" spans="1:4" x14ac:dyDescent="0.2">
      <c r="A3658" s="12" t="s">
        <v>2134</v>
      </c>
      <c r="B3658" s="12" t="s">
        <v>2133</v>
      </c>
      <c r="C3658" s="12">
        <v>1700</v>
      </c>
      <c r="D3658" s="12">
        <v>170</v>
      </c>
    </row>
    <row r="3659" spans="1:4" x14ac:dyDescent="0.2">
      <c r="A3659" s="12" t="s">
        <v>824</v>
      </c>
      <c r="B3659" s="12" t="s">
        <v>823</v>
      </c>
      <c r="C3659" s="12">
        <v>340</v>
      </c>
      <c r="D3659" s="12">
        <v>34</v>
      </c>
    </row>
    <row r="3660" spans="1:4" x14ac:dyDescent="0.2">
      <c r="A3660" s="12" t="s">
        <v>3199</v>
      </c>
      <c r="B3660" s="12" t="s">
        <v>3198</v>
      </c>
      <c r="C3660" s="12">
        <v>700</v>
      </c>
      <c r="D3660" s="12">
        <v>70</v>
      </c>
    </row>
    <row r="3661" spans="1:4" x14ac:dyDescent="0.2">
      <c r="A3661" s="12" t="s">
        <v>1024</v>
      </c>
      <c r="B3661" s="12" t="s">
        <v>1023</v>
      </c>
      <c r="C3661" s="12">
        <v>5000</v>
      </c>
      <c r="D3661" s="12">
        <v>500</v>
      </c>
    </row>
    <row r="3662" spans="1:4" x14ac:dyDescent="0.2">
      <c r="A3662" s="12" t="s">
        <v>4608</v>
      </c>
      <c r="B3662" s="12" t="s">
        <v>4607</v>
      </c>
      <c r="C3662" s="12">
        <v>3000</v>
      </c>
      <c r="D3662" s="12">
        <v>300</v>
      </c>
    </row>
    <row r="3663" spans="1:4" x14ac:dyDescent="0.2">
      <c r="A3663" s="12" t="s">
        <v>5711</v>
      </c>
      <c r="B3663" s="12" t="s">
        <v>5710</v>
      </c>
      <c r="C3663" s="12">
        <v>1</v>
      </c>
      <c r="D3663" s="12">
        <v>14</v>
      </c>
    </row>
    <row r="3664" spans="1:4" x14ac:dyDescent="0.2">
      <c r="A3664" s="12" t="s">
        <v>9550</v>
      </c>
      <c r="B3664" s="12" t="s">
        <v>9549</v>
      </c>
      <c r="C3664" s="12">
        <v>70</v>
      </c>
      <c r="D3664" s="12">
        <v>7</v>
      </c>
    </row>
    <row r="3665" spans="1:4" x14ac:dyDescent="0.2">
      <c r="A3665" s="12" t="s">
        <v>9409</v>
      </c>
      <c r="B3665" s="12" t="s">
        <v>9408</v>
      </c>
      <c r="C3665" s="12">
        <v>3500</v>
      </c>
      <c r="D3665" s="12">
        <v>350</v>
      </c>
    </row>
    <row r="3666" spans="1:4" x14ac:dyDescent="0.2">
      <c r="A3666" s="12" t="s">
        <v>7180</v>
      </c>
      <c r="B3666" s="12" t="s">
        <v>7179</v>
      </c>
      <c r="C3666" s="12">
        <v>30000</v>
      </c>
      <c r="D3666" s="12">
        <v>3000</v>
      </c>
    </row>
    <row r="3667" spans="1:4" x14ac:dyDescent="0.2">
      <c r="A3667" s="12" t="s">
        <v>8391</v>
      </c>
      <c r="B3667" s="12" t="s">
        <v>8390</v>
      </c>
      <c r="C3667" s="12">
        <v>16400</v>
      </c>
      <c r="D3667" s="12">
        <v>1640</v>
      </c>
    </row>
    <row r="3668" spans="1:4" x14ac:dyDescent="0.2">
      <c r="A3668" s="12" t="s">
        <v>12304</v>
      </c>
      <c r="B3668" s="12" t="s">
        <v>12303</v>
      </c>
      <c r="C3668" s="12">
        <v>220</v>
      </c>
      <c r="D3668" s="12">
        <v>22</v>
      </c>
    </row>
    <row r="3669" spans="1:4" x14ac:dyDescent="0.2">
      <c r="A3669" s="12" t="s">
        <v>5061</v>
      </c>
      <c r="B3669" s="12" t="s">
        <v>5060</v>
      </c>
      <c r="C3669" s="12">
        <v>4</v>
      </c>
      <c r="D3669" s="12">
        <v>0.4</v>
      </c>
    </row>
    <row r="3670" spans="1:4" x14ac:dyDescent="0.2">
      <c r="A3670" s="12" t="s">
        <v>6701</v>
      </c>
      <c r="B3670" s="12" t="s">
        <v>6700</v>
      </c>
      <c r="C3670" s="12">
        <v>200</v>
      </c>
      <c r="D3670" s="12">
        <v>20</v>
      </c>
    </row>
    <row r="3671" spans="1:4" x14ac:dyDescent="0.2">
      <c r="A3671" s="12" t="s">
        <v>5083</v>
      </c>
      <c r="B3671" s="12" t="s">
        <v>5082</v>
      </c>
      <c r="C3671" s="12">
        <v>10000</v>
      </c>
      <c r="D3671" s="12">
        <v>1000</v>
      </c>
    </row>
    <row r="3672" spans="1:4" x14ac:dyDescent="0.2">
      <c r="A3672" s="12" t="s">
        <v>12113</v>
      </c>
      <c r="B3672" s="12" t="s">
        <v>12112</v>
      </c>
      <c r="C3672" s="12" t="s">
        <v>59</v>
      </c>
      <c r="D3672" s="12" t="s">
        <v>59</v>
      </c>
    </row>
    <row r="3673" spans="1:4" x14ac:dyDescent="0.2">
      <c r="A3673" s="12" t="s">
        <v>12115</v>
      </c>
      <c r="B3673" s="12" t="s">
        <v>12114</v>
      </c>
      <c r="C3673" s="12">
        <v>5</v>
      </c>
      <c r="D3673" s="12">
        <v>0.5</v>
      </c>
    </row>
    <row r="3674" spans="1:4" x14ac:dyDescent="0.2">
      <c r="A3674" s="12" t="s">
        <v>8555</v>
      </c>
      <c r="B3674" s="12" t="s">
        <v>8554</v>
      </c>
      <c r="C3674" s="12">
        <v>17000</v>
      </c>
      <c r="D3674" s="12">
        <v>1700</v>
      </c>
    </row>
    <row r="3675" spans="1:4" x14ac:dyDescent="0.2">
      <c r="A3675" s="12" t="s">
        <v>1450</v>
      </c>
      <c r="B3675" s="12" t="s">
        <v>1449</v>
      </c>
      <c r="C3675" s="12">
        <v>460</v>
      </c>
      <c r="D3675" s="12">
        <v>46</v>
      </c>
    </row>
    <row r="3676" spans="1:4" x14ac:dyDescent="0.2">
      <c r="A3676" s="12" t="s">
        <v>6302</v>
      </c>
      <c r="B3676" s="12" t="s">
        <v>6301</v>
      </c>
      <c r="C3676" s="12">
        <v>90</v>
      </c>
      <c r="D3676" s="12">
        <v>9</v>
      </c>
    </row>
    <row r="3677" spans="1:4" x14ac:dyDescent="0.2">
      <c r="A3677" s="12" t="s">
        <v>566</v>
      </c>
      <c r="B3677" s="12" t="s">
        <v>565</v>
      </c>
      <c r="C3677" s="12">
        <v>1800</v>
      </c>
      <c r="D3677" s="12">
        <v>180</v>
      </c>
    </row>
    <row r="3678" spans="1:4" x14ac:dyDescent="0.2">
      <c r="A3678" s="12" t="s">
        <v>9748</v>
      </c>
      <c r="B3678" s="12" t="s">
        <v>9747</v>
      </c>
      <c r="C3678" s="12">
        <v>8</v>
      </c>
      <c r="D3678" s="12">
        <v>0.8</v>
      </c>
    </row>
    <row r="3679" spans="1:4" x14ac:dyDescent="0.2">
      <c r="A3679" s="12" t="s">
        <v>386</v>
      </c>
      <c r="B3679" s="12" t="s">
        <v>385</v>
      </c>
      <c r="C3679" s="12">
        <v>120</v>
      </c>
      <c r="D3679" s="12">
        <v>12</v>
      </c>
    </row>
    <row r="3680" spans="1:4" x14ac:dyDescent="0.2">
      <c r="A3680" s="12" t="s">
        <v>1350</v>
      </c>
      <c r="B3680" s="12" t="s">
        <v>1349</v>
      </c>
      <c r="C3680" s="12">
        <v>5600</v>
      </c>
      <c r="D3680" s="12">
        <v>540</v>
      </c>
    </row>
    <row r="3681" spans="1:4" x14ac:dyDescent="0.2">
      <c r="A3681" s="12" t="s">
        <v>3054</v>
      </c>
      <c r="B3681" s="12" t="s">
        <v>3053</v>
      </c>
      <c r="C3681" s="12">
        <v>19</v>
      </c>
      <c r="D3681" s="12"/>
    </row>
    <row r="3682" spans="1:4" x14ac:dyDescent="0.2">
      <c r="A3682" s="12" t="s">
        <v>3055</v>
      </c>
      <c r="B3682" s="12" t="s">
        <v>3053</v>
      </c>
      <c r="C3682" s="12"/>
      <c r="D3682" s="12">
        <v>3</v>
      </c>
    </row>
    <row r="3683" spans="1:4" x14ac:dyDescent="0.2">
      <c r="A3683" s="12" t="s">
        <v>670</v>
      </c>
      <c r="B3683" s="12" t="s">
        <v>669</v>
      </c>
      <c r="C3683" s="12" t="s">
        <v>59</v>
      </c>
      <c r="D3683" s="12" t="s">
        <v>59</v>
      </c>
    </row>
    <row r="3684" spans="1:4" x14ac:dyDescent="0.2">
      <c r="A3684" s="12" t="s">
        <v>5655</v>
      </c>
      <c r="B3684" s="12" t="s">
        <v>5654</v>
      </c>
      <c r="C3684" s="12">
        <v>50</v>
      </c>
      <c r="D3684" s="12">
        <v>5</v>
      </c>
    </row>
    <row r="3685" spans="1:4" x14ac:dyDescent="0.2">
      <c r="A3685" s="12" t="s">
        <v>6774</v>
      </c>
      <c r="B3685" s="12" t="s">
        <v>6773</v>
      </c>
      <c r="C3685" s="12" t="s">
        <v>59</v>
      </c>
      <c r="D3685" s="12" t="s">
        <v>59</v>
      </c>
    </row>
    <row r="3686" spans="1:4" x14ac:dyDescent="0.2">
      <c r="A3686" s="12" t="s">
        <v>2610</v>
      </c>
      <c r="B3686" s="12" t="s">
        <v>2609</v>
      </c>
      <c r="C3686" s="12">
        <v>5700</v>
      </c>
      <c r="D3686" s="12">
        <v>570</v>
      </c>
    </row>
    <row r="3687" spans="1:4" x14ac:dyDescent="0.2">
      <c r="A3687" s="12" t="s">
        <v>11768</v>
      </c>
      <c r="B3687" s="12" t="s">
        <v>11767</v>
      </c>
      <c r="C3687" s="12">
        <v>17</v>
      </c>
      <c r="D3687" s="12">
        <v>1.7</v>
      </c>
    </row>
    <row r="3688" spans="1:4" x14ac:dyDescent="0.2">
      <c r="A3688" s="12" t="s">
        <v>12265</v>
      </c>
      <c r="B3688" s="12" t="s">
        <v>12264</v>
      </c>
      <c r="C3688" s="12" t="s">
        <v>59</v>
      </c>
      <c r="D3688" s="12" t="s">
        <v>59</v>
      </c>
    </row>
    <row r="3689" spans="1:4" x14ac:dyDescent="0.2">
      <c r="A3689" s="12" t="s">
        <v>7658</v>
      </c>
      <c r="B3689" s="12" t="s">
        <v>7657</v>
      </c>
      <c r="C3689" s="12">
        <v>1800</v>
      </c>
      <c r="D3689" s="12">
        <v>180</v>
      </c>
    </row>
    <row r="3690" spans="1:4" x14ac:dyDescent="0.2">
      <c r="A3690" s="12" t="s">
        <v>1995</v>
      </c>
      <c r="B3690" s="12" t="s">
        <v>1994</v>
      </c>
      <c r="C3690" s="12">
        <v>62</v>
      </c>
      <c r="D3690" s="12">
        <v>6.2</v>
      </c>
    </row>
    <row r="3691" spans="1:4" x14ac:dyDescent="0.2">
      <c r="A3691" s="12" t="s">
        <v>10464</v>
      </c>
      <c r="B3691" s="12" t="s">
        <v>10463</v>
      </c>
      <c r="C3691" s="12">
        <v>50</v>
      </c>
      <c r="D3691" s="12">
        <v>5</v>
      </c>
    </row>
    <row r="3692" spans="1:4" x14ac:dyDescent="0.2">
      <c r="A3692" s="12" t="s">
        <v>4670</v>
      </c>
      <c r="B3692" s="12" t="s">
        <v>4669</v>
      </c>
      <c r="C3692" s="12" t="s">
        <v>59</v>
      </c>
      <c r="D3692" s="12" t="s">
        <v>59</v>
      </c>
    </row>
    <row r="3693" spans="1:4" x14ac:dyDescent="0.2">
      <c r="A3693" s="12" t="s">
        <v>3249</v>
      </c>
      <c r="B3693" s="12" t="s">
        <v>3248</v>
      </c>
      <c r="C3693" s="12">
        <v>1500</v>
      </c>
      <c r="D3693" s="12">
        <v>150</v>
      </c>
    </row>
    <row r="3694" spans="1:4" x14ac:dyDescent="0.2">
      <c r="A3694" s="12" t="s">
        <v>4828</v>
      </c>
      <c r="B3694" s="12" t="s">
        <v>4827</v>
      </c>
      <c r="C3694" s="12" t="s">
        <v>59</v>
      </c>
      <c r="D3694" s="12" t="s">
        <v>59</v>
      </c>
    </row>
    <row r="3695" spans="1:4" x14ac:dyDescent="0.2">
      <c r="A3695" s="12" t="s">
        <v>2856</v>
      </c>
      <c r="B3695" s="12" t="s">
        <v>2855</v>
      </c>
      <c r="C3695" s="12">
        <v>1100</v>
      </c>
      <c r="D3695" s="12">
        <v>9.9</v>
      </c>
    </row>
    <row r="3696" spans="1:4" x14ac:dyDescent="0.2">
      <c r="A3696" s="12" t="s">
        <v>8458</v>
      </c>
      <c r="B3696" s="12" t="s">
        <v>8457</v>
      </c>
      <c r="C3696" s="12">
        <v>2500</v>
      </c>
      <c r="D3696" s="12">
        <v>250</v>
      </c>
    </row>
    <row r="3697" spans="1:4" x14ac:dyDescent="0.2">
      <c r="A3697" s="12" t="s">
        <v>8407</v>
      </c>
      <c r="B3697" s="12" t="s">
        <v>8406</v>
      </c>
      <c r="C3697" s="12">
        <v>750</v>
      </c>
      <c r="D3697" s="12">
        <v>75</v>
      </c>
    </row>
    <row r="3698" spans="1:4" x14ac:dyDescent="0.2">
      <c r="A3698" s="12" t="s">
        <v>8918</v>
      </c>
      <c r="B3698" s="12" t="s">
        <v>8917</v>
      </c>
      <c r="C3698" s="12">
        <v>60</v>
      </c>
      <c r="D3698" s="12">
        <v>6</v>
      </c>
    </row>
    <row r="3699" spans="1:4" x14ac:dyDescent="0.2">
      <c r="A3699" s="12" t="s">
        <v>8252</v>
      </c>
      <c r="B3699" s="12" t="s">
        <v>8251</v>
      </c>
      <c r="C3699" s="12">
        <v>2.7</v>
      </c>
      <c r="D3699" s="12">
        <v>0.25</v>
      </c>
    </row>
    <row r="3700" spans="1:4" x14ac:dyDescent="0.2">
      <c r="A3700" s="12" t="s">
        <v>6156</v>
      </c>
      <c r="B3700" s="12" t="s">
        <v>6155</v>
      </c>
      <c r="C3700" s="12">
        <v>260</v>
      </c>
      <c r="D3700" s="12">
        <v>5.4</v>
      </c>
    </row>
    <row r="3701" spans="1:4" x14ac:dyDescent="0.2">
      <c r="A3701" s="12" t="s">
        <v>2019</v>
      </c>
      <c r="B3701" s="12" t="s">
        <v>2018</v>
      </c>
      <c r="C3701" s="12">
        <v>4.4000000000000004</v>
      </c>
      <c r="D3701" s="12">
        <v>0.44</v>
      </c>
    </row>
    <row r="3702" spans="1:4" x14ac:dyDescent="0.2">
      <c r="A3702" s="12" t="s">
        <v>9264</v>
      </c>
      <c r="B3702" s="12" t="s">
        <v>9263</v>
      </c>
      <c r="C3702" s="12">
        <v>140</v>
      </c>
      <c r="D3702" s="12">
        <v>14</v>
      </c>
    </row>
    <row r="3703" spans="1:4" x14ac:dyDescent="0.2">
      <c r="A3703" s="12" t="s">
        <v>6401</v>
      </c>
      <c r="B3703" s="12" t="s">
        <v>6400</v>
      </c>
      <c r="C3703" s="12">
        <v>1100</v>
      </c>
      <c r="D3703" s="12">
        <v>110</v>
      </c>
    </row>
    <row r="3704" spans="1:4" x14ac:dyDescent="0.2">
      <c r="A3704" s="12" t="s">
        <v>8518</v>
      </c>
      <c r="B3704" s="12" t="s">
        <v>8517</v>
      </c>
      <c r="C3704" s="12" t="s">
        <v>59</v>
      </c>
      <c r="D3704" s="12" t="s">
        <v>59</v>
      </c>
    </row>
    <row r="3705" spans="1:4" x14ac:dyDescent="0.2">
      <c r="A3705" s="12" t="s">
        <v>8519</v>
      </c>
      <c r="B3705" s="12" t="s">
        <v>8517</v>
      </c>
      <c r="C3705" s="12">
        <v>500</v>
      </c>
      <c r="D3705" s="12">
        <v>50</v>
      </c>
    </row>
    <row r="3706" spans="1:4" x14ac:dyDescent="0.2">
      <c r="A3706" s="12" t="s">
        <v>9317</v>
      </c>
      <c r="B3706" s="12" t="s">
        <v>9316</v>
      </c>
      <c r="C3706" s="12" t="s">
        <v>59</v>
      </c>
      <c r="D3706" s="12" t="s">
        <v>59</v>
      </c>
    </row>
    <row r="3707" spans="1:4" x14ac:dyDescent="0.2">
      <c r="A3707" s="12" t="s">
        <v>204</v>
      </c>
      <c r="B3707" s="12" t="s">
        <v>203</v>
      </c>
      <c r="C3707" s="12">
        <v>50</v>
      </c>
      <c r="D3707" s="12">
        <v>5</v>
      </c>
    </row>
    <row r="3708" spans="1:4" x14ac:dyDescent="0.2">
      <c r="A3708" s="12" t="s">
        <v>3063</v>
      </c>
      <c r="B3708" s="12" t="s">
        <v>3062</v>
      </c>
      <c r="C3708" s="12">
        <v>6.6</v>
      </c>
      <c r="D3708" s="12">
        <v>0.66</v>
      </c>
    </row>
    <row r="3709" spans="1:4" x14ac:dyDescent="0.2">
      <c r="A3709" s="12" t="s">
        <v>6766</v>
      </c>
      <c r="B3709" s="12" t="s">
        <v>6765</v>
      </c>
      <c r="C3709" s="12" t="s">
        <v>59</v>
      </c>
      <c r="D3709" s="12" t="s">
        <v>59</v>
      </c>
    </row>
    <row r="3710" spans="1:4" x14ac:dyDescent="0.2">
      <c r="A3710" s="12" t="s">
        <v>5096</v>
      </c>
      <c r="B3710" s="12" t="s">
        <v>5095</v>
      </c>
      <c r="C3710" s="12">
        <v>100</v>
      </c>
      <c r="D3710" s="12">
        <v>10</v>
      </c>
    </row>
    <row r="3711" spans="1:4" x14ac:dyDescent="0.2">
      <c r="A3711" s="12" t="s">
        <v>1849</v>
      </c>
      <c r="B3711" s="12" t="s">
        <v>1848</v>
      </c>
      <c r="C3711" s="12">
        <v>38</v>
      </c>
      <c r="D3711" s="12">
        <v>3.8</v>
      </c>
    </row>
    <row r="3712" spans="1:4" x14ac:dyDescent="0.2">
      <c r="A3712" s="12" t="s">
        <v>3069</v>
      </c>
      <c r="B3712" s="12" t="s">
        <v>3068</v>
      </c>
      <c r="C3712" s="12">
        <v>0.3</v>
      </c>
      <c r="D3712" s="12">
        <v>0.03</v>
      </c>
    </row>
    <row r="3713" spans="1:4" x14ac:dyDescent="0.2">
      <c r="A3713" s="12" t="s">
        <v>9879</v>
      </c>
      <c r="B3713" s="12" t="s">
        <v>9878</v>
      </c>
      <c r="C3713" s="12">
        <v>500</v>
      </c>
      <c r="D3713" s="12">
        <v>50</v>
      </c>
    </row>
    <row r="3714" spans="1:4" x14ac:dyDescent="0.2">
      <c r="A3714" s="12" t="s">
        <v>10509</v>
      </c>
      <c r="B3714" s="12" t="s">
        <v>10508</v>
      </c>
      <c r="C3714" s="12">
        <v>70</v>
      </c>
      <c r="D3714" s="12">
        <v>7</v>
      </c>
    </row>
    <row r="3715" spans="1:4" x14ac:dyDescent="0.2">
      <c r="A3715" s="12" t="s">
        <v>2195</v>
      </c>
      <c r="B3715" s="12" t="s">
        <v>2194</v>
      </c>
      <c r="C3715" s="12">
        <v>6.4</v>
      </c>
      <c r="D3715" s="12">
        <v>0.64</v>
      </c>
    </row>
    <row r="3716" spans="1:4" x14ac:dyDescent="0.2">
      <c r="A3716" s="12" t="s">
        <v>7464</v>
      </c>
      <c r="B3716" s="12" t="s">
        <v>7463</v>
      </c>
      <c r="C3716" s="12">
        <v>16</v>
      </c>
      <c r="D3716" s="12">
        <v>0.54</v>
      </c>
    </row>
    <row r="3717" spans="1:4" x14ac:dyDescent="0.2">
      <c r="A3717" s="12" t="s">
        <v>5889</v>
      </c>
      <c r="B3717" s="12" t="s">
        <v>5888</v>
      </c>
      <c r="C3717" s="12">
        <v>12000</v>
      </c>
      <c r="D3717" s="12">
        <v>1200</v>
      </c>
    </row>
    <row r="3718" spans="1:4" x14ac:dyDescent="0.2">
      <c r="A3718" s="12" t="s">
        <v>10821</v>
      </c>
      <c r="B3718" s="12" t="s">
        <v>10820</v>
      </c>
      <c r="C3718" s="12">
        <v>730</v>
      </c>
      <c r="D3718" s="12">
        <v>73</v>
      </c>
    </row>
    <row r="3719" spans="1:4" x14ac:dyDescent="0.2">
      <c r="A3719" s="12" t="s">
        <v>8120</v>
      </c>
      <c r="B3719" s="12" t="s">
        <v>8119</v>
      </c>
      <c r="C3719" s="12" t="s">
        <v>59</v>
      </c>
      <c r="D3719" s="12" t="s">
        <v>59</v>
      </c>
    </row>
    <row r="3720" spans="1:4" x14ac:dyDescent="0.2">
      <c r="A3720" s="12" t="s">
        <v>8121</v>
      </c>
      <c r="B3720" s="12" t="s">
        <v>8119</v>
      </c>
      <c r="C3720" s="12">
        <v>1000</v>
      </c>
      <c r="D3720" s="12">
        <v>100</v>
      </c>
    </row>
    <row r="3721" spans="1:4" x14ac:dyDescent="0.2">
      <c r="A3721" s="12" t="s">
        <v>12166</v>
      </c>
      <c r="B3721" s="12" t="s">
        <v>12165</v>
      </c>
      <c r="C3721" s="12">
        <v>50</v>
      </c>
      <c r="D3721" s="12">
        <v>5</v>
      </c>
    </row>
    <row r="3722" spans="1:4" x14ac:dyDescent="0.2">
      <c r="A3722" s="12" t="s">
        <v>12158</v>
      </c>
      <c r="B3722" s="12" t="s">
        <v>12157</v>
      </c>
      <c r="C3722" s="12">
        <v>50</v>
      </c>
      <c r="D3722" s="12">
        <v>5</v>
      </c>
    </row>
    <row r="3723" spans="1:4" x14ac:dyDescent="0.2">
      <c r="A3723" s="12" t="s">
        <v>12164</v>
      </c>
      <c r="B3723" s="12" t="s">
        <v>12163</v>
      </c>
      <c r="C3723" s="12">
        <v>5</v>
      </c>
      <c r="D3723" s="12">
        <v>0.5</v>
      </c>
    </row>
    <row r="3724" spans="1:4" x14ac:dyDescent="0.2">
      <c r="A3724" s="12" t="s">
        <v>8446</v>
      </c>
      <c r="B3724" s="12" t="s">
        <v>8445</v>
      </c>
      <c r="C3724" s="12">
        <v>0.2</v>
      </c>
      <c r="D3724" s="12">
        <v>0.02</v>
      </c>
    </row>
    <row r="3725" spans="1:4" x14ac:dyDescent="0.2">
      <c r="A3725" s="12" t="s">
        <v>3401</v>
      </c>
      <c r="B3725" s="12" t="s">
        <v>3400</v>
      </c>
      <c r="C3725" s="12">
        <v>320</v>
      </c>
      <c r="D3725" s="12">
        <v>32</v>
      </c>
    </row>
    <row r="3726" spans="1:4" x14ac:dyDescent="0.2">
      <c r="A3726" s="12" t="s">
        <v>5741</v>
      </c>
      <c r="B3726" s="12" t="s">
        <v>5740</v>
      </c>
      <c r="C3726" s="12">
        <v>0.5</v>
      </c>
      <c r="D3726" s="12">
        <v>0.05</v>
      </c>
    </row>
    <row r="3727" spans="1:4" x14ac:dyDescent="0.2">
      <c r="A3727" s="12" t="s">
        <v>4700</v>
      </c>
      <c r="B3727" s="12" t="s">
        <v>4699</v>
      </c>
      <c r="C3727" s="12" t="s">
        <v>59</v>
      </c>
      <c r="D3727" s="12" t="s">
        <v>59</v>
      </c>
    </row>
    <row r="3728" spans="1:4" x14ac:dyDescent="0.2">
      <c r="A3728" s="12" t="s">
        <v>11408</v>
      </c>
      <c r="B3728" s="12" t="s">
        <v>11407</v>
      </c>
      <c r="C3728" s="12">
        <v>0.21</v>
      </c>
      <c r="D3728" s="12">
        <v>1.6999999999999999E-3</v>
      </c>
    </row>
    <row r="3729" spans="1:4" x14ac:dyDescent="0.2">
      <c r="A3729" s="12" t="s">
        <v>444</v>
      </c>
      <c r="B3729" s="12" t="s">
        <v>443</v>
      </c>
      <c r="C3729" s="12">
        <v>700</v>
      </c>
      <c r="D3729" s="12">
        <v>70</v>
      </c>
    </row>
    <row r="3730" spans="1:4" x14ac:dyDescent="0.2">
      <c r="A3730" s="12" t="s">
        <v>9704</v>
      </c>
      <c r="B3730" s="12" t="s">
        <v>9703</v>
      </c>
      <c r="C3730" s="12">
        <v>2450</v>
      </c>
      <c r="D3730" s="12">
        <v>245</v>
      </c>
    </row>
    <row r="3731" spans="1:4" x14ac:dyDescent="0.2">
      <c r="A3731" s="12" t="s">
        <v>1197</v>
      </c>
      <c r="B3731" s="12" t="s">
        <v>1196</v>
      </c>
      <c r="C3731" s="12">
        <v>200</v>
      </c>
      <c r="D3731" s="12">
        <v>20</v>
      </c>
    </row>
    <row r="3732" spans="1:4" x14ac:dyDescent="0.2">
      <c r="A3732" s="12" t="s">
        <v>6219</v>
      </c>
      <c r="B3732" s="12" t="s">
        <v>6218</v>
      </c>
      <c r="C3732" s="12">
        <v>10</v>
      </c>
      <c r="D3732" s="12">
        <v>1</v>
      </c>
    </row>
    <row r="3733" spans="1:4" x14ac:dyDescent="0.2">
      <c r="A3733" s="12" t="s">
        <v>8165</v>
      </c>
      <c r="B3733" s="12" t="s">
        <v>8164</v>
      </c>
      <c r="C3733" s="12">
        <v>280</v>
      </c>
      <c r="D3733" s="12">
        <v>28</v>
      </c>
    </row>
    <row r="3734" spans="1:4" x14ac:dyDescent="0.2">
      <c r="A3734" s="12" t="s">
        <v>5867</v>
      </c>
      <c r="B3734" s="12" t="s">
        <v>5866</v>
      </c>
      <c r="C3734" s="12">
        <v>1</v>
      </c>
      <c r="D3734" s="12">
        <v>0.1</v>
      </c>
    </row>
    <row r="3735" spans="1:4" x14ac:dyDescent="0.2">
      <c r="A3735" s="12" t="s">
        <v>154</v>
      </c>
      <c r="B3735" s="12" t="s">
        <v>153</v>
      </c>
      <c r="C3735" s="12">
        <v>1000</v>
      </c>
      <c r="D3735" s="12">
        <v>100</v>
      </c>
    </row>
    <row r="3736" spans="1:4" x14ac:dyDescent="0.2">
      <c r="A3736" s="12" t="s">
        <v>10845</v>
      </c>
      <c r="B3736" s="12" t="s">
        <v>10844</v>
      </c>
      <c r="C3736" s="12">
        <v>27</v>
      </c>
      <c r="D3736" s="12">
        <v>2</v>
      </c>
    </row>
    <row r="3737" spans="1:4" x14ac:dyDescent="0.2">
      <c r="A3737" s="12" t="s">
        <v>836</v>
      </c>
      <c r="B3737" s="12" t="s">
        <v>835</v>
      </c>
      <c r="C3737" s="12">
        <v>80</v>
      </c>
      <c r="D3737" s="12">
        <v>8</v>
      </c>
    </row>
    <row r="3738" spans="1:4" x14ac:dyDescent="0.2">
      <c r="A3738" s="12" t="s">
        <v>186</v>
      </c>
      <c r="B3738" s="12" t="s">
        <v>185</v>
      </c>
      <c r="C3738" s="12">
        <v>50</v>
      </c>
      <c r="D3738" s="12">
        <v>5</v>
      </c>
    </row>
    <row r="3739" spans="1:4" x14ac:dyDescent="0.2">
      <c r="A3739" s="12" t="s">
        <v>1577</v>
      </c>
      <c r="B3739" s="12" t="s">
        <v>1576</v>
      </c>
      <c r="C3739" s="12">
        <v>46</v>
      </c>
      <c r="D3739" s="12">
        <v>4.5999999999999996</v>
      </c>
    </row>
    <row r="3740" spans="1:4" x14ac:dyDescent="0.2">
      <c r="A3740" s="12" t="s">
        <v>3747</v>
      </c>
      <c r="B3740" s="12" t="s">
        <v>3746</v>
      </c>
      <c r="C3740" s="12" t="s">
        <v>59</v>
      </c>
      <c r="D3740" s="12" t="s">
        <v>59</v>
      </c>
    </row>
    <row r="3741" spans="1:4" x14ac:dyDescent="0.2">
      <c r="A3741" s="12" t="s">
        <v>3748</v>
      </c>
      <c r="B3741" s="12" t="s">
        <v>3746</v>
      </c>
      <c r="C3741" s="12">
        <v>600</v>
      </c>
      <c r="D3741" s="12">
        <v>60</v>
      </c>
    </row>
    <row r="3742" spans="1:4" x14ac:dyDescent="0.2">
      <c r="A3742" s="12" t="s">
        <v>2419</v>
      </c>
      <c r="B3742" s="12" t="s">
        <v>2418</v>
      </c>
      <c r="C3742" s="12">
        <v>50</v>
      </c>
      <c r="D3742" s="12">
        <v>5</v>
      </c>
    </row>
    <row r="3743" spans="1:4" x14ac:dyDescent="0.2">
      <c r="A3743" s="12" t="s">
        <v>1809</v>
      </c>
      <c r="B3743" s="12" t="s">
        <v>1808</v>
      </c>
      <c r="C3743" s="12">
        <v>67</v>
      </c>
      <c r="D3743" s="12">
        <v>6.7</v>
      </c>
    </row>
    <row r="3744" spans="1:4" x14ac:dyDescent="0.2">
      <c r="A3744" s="12" t="s">
        <v>8313</v>
      </c>
      <c r="B3744" s="12" t="s">
        <v>8312</v>
      </c>
      <c r="C3744" s="12" t="s">
        <v>59</v>
      </c>
      <c r="D3744" s="12" t="s">
        <v>59</v>
      </c>
    </row>
    <row r="3745" spans="1:4" x14ac:dyDescent="0.2">
      <c r="A3745" s="12" t="s">
        <v>9673</v>
      </c>
      <c r="B3745" s="12" t="s">
        <v>9672</v>
      </c>
      <c r="C3745" s="12">
        <v>1000</v>
      </c>
      <c r="D3745" s="12">
        <v>100</v>
      </c>
    </row>
    <row r="3746" spans="1:4" x14ac:dyDescent="0.2">
      <c r="A3746" s="12" t="s">
        <v>2769</v>
      </c>
      <c r="B3746" s="12" t="s">
        <v>2768</v>
      </c>
      <c r="C3746" s="12">
        <v>5600</v>
      </c>
      <c r="D3746" s="12">
        <v>540</v>
      </c>
    </row>
    <row r="3747" spans="1:4" x14ac:dyDescent="0.2">
      <c r="A3747" s="12" t="s">
        <v>4884</v>
      </c>
      <c r="B3747" s="12" t="s">
        <v>4883</v>
      </c>
      <c r="C3747" s="12" t="s">
        <v>59</v>
      </c>
      <c r="D3747" s="12" t="s">
        <v>59</v>
      </c>
    </row>
    <row r="3748" spans="1:4" x14ac:dyDescent="0.2">
      <c r="A3748" s="12" t="s">
        <v>2458</v>
      </c>
      <c r="B3748" s="12" t="s">
        <v>2457</v>
      </c>
      <c r="C3748" s="12">
        <v>60</v>
      </c>
      <c r="D3748" s="12">
        <v>6</v>
      </c>
    </row>
    <row r="3749" spans="1:4" x14ac:dyDescent="0.2">
      <c r="A3749" s="12" t="s">
        <v>9459</v>
      </c>
      <c r="B3749" s="12" t="s">
        <v>9458</v>
      </c>
      <c r="C3749" s="12">
        <v>1250</v>
      </c>
      <c r="D3749" s="12">
        <v>125</v>
      </c>
    </row>
    <row r="3750" spans="1:4" x14ac:dyDescent="0.2">
      <c r="A3750" s="12" t="s">
        <v>9493</v>
      </c>
      <c r="B3750" s="12" t="s">
        <v>9492</v>
      </c>
      <c r="C3750" s="12">
        <v>250</v>
      </c>
      <c r="D3750" s="12">
        <v>48</v>
      </c>
    </row>
    <row r="3751" spans="1:4" x14ac:dyDescent="0.2">
      <c r="A3751" s="12" t="s">
        <v>2005</v>
      </c>
      <c r="B3751" s="12" t="s">
        <v>2004</v>
      </c>
      <c r="C3751" s="12">
        <v>180</v>
      </c>
      <c r="D3751" s="12">
        <v>18</v>
      </c>
    </row>
    <row r="3752" spans="1:4" x14ac:dyDescent="0.2">
      <c r="A3752" s="12" t="s">
        <v>3347</v>
      </c>
      <c r="B3752" s="12" t="s">
        <v>3346</v>
      </c>
      <c r="C3752" s="12">
        <v>260</v>
      </c>
      <c r="D3752" s="12">
        <v>26</v>
      </c>
    </row>
    <row r="3753" spans="1:4" x14ac:dyDescent="0.2">
      <c r="A3753" s="12" t="s">
        <v>617</v>
      </c>
      <c r="B3753" s="12" t="s">
        <v>616</v>
      </c>
      <c r="C3753" s="12" t="s">
        <v>59</v>
      </c>
      <c r="D3753" s="12" t="s">
        <v>59</v>
      </c>
    </row>
    <row r="3754" spans="1:4" x14ac:dyDescent="0.2">
      <c r="A3754" s="12" t="s">
        <v>9881</v>
      </c>
      <c r="B3754" s="12" t="s">
        <v>9880</v>
      </c>
      <c r="C3754" s="12" t="s">
        <v>59</v>
      </c>
      <c r="D3754" s="12" t="s">
        <v>59</v>
      </c>
    </row>
    <row r="3755" spans="1:4" x14ac:dyDescent="0.2">
      <c r="A3755" s="12" t="s">
        <v>9882</v>
      </c>
      <c r="B3755" s="12" t="s">
        <v>9880</v>
      </c>
      <c r="C3755" s="12">
        <v>500</v>
      </c>
      <c r="D3755" s="12">
        <v>50</v>
      </c>
    </row>
    <row r="3756" spans="1:4" ht="28.5" x14ac:dyDescent="0.2">
      <c r="A3756" s="12" t="s">
        <v>3816</v>
      </c>
      <c r="B3756" s="12" t="s">
        <v>3815</v>
      </c>
      <c r="C3756" s="12" t="s">
        <v>59</v>
      </c>
      <c r="D3756" s="12" t="s">
        <v>59</v>
      </c>
    </row>
    <row r="3757" spans="1:4" ht="28.5" x14ac:dyDescent="0.2">
      <c r="A3757" s="12" t="s">
        <v>3817</v>
      </c>
      <c r="B3757" s="12" t="s">
        <v>3815</v>
      </c>
      <c r="C3757" s="12">
        <v>1000</v>
      </c>
      <c r="D3757" s="12">
        <v>100</v>
      </c>
    </row>
    <row r="3758" spans="1:4" x14ac:dyDescent="0.2">
      <c r="A3758" s="12" t="s">
        <v>2902</v>
      </c>
      <c r="B3758" s="12" t="s">
        <v>2901</v>
      </c>
      <c r="C3758" s="12">
        <v>260</v>
      </c>
      <c r="D3758" s="12">
        <v>26</v>
      </c>
    </row>
    <row r="3759" spans="1:4" x14ac:dyDescent="0.2">
      <c r="A3759" s="12" t="s">
        <v>3341</v>
      </c>
      <c r="B3759" s="12" t="s">
        <v>3340</v>
      </c>
      <c r="C3759" s="12">
        <v>260</v>
      </c>
      <c r="D3759" s="12">
        <v>26</v>
      </c>
    </row>
    <row r="3760" spans="1:4" x14ac:dyDescent="0.2">
      <c r="A3760" s="12" t="s">
        <v>8872</v>
      </c>
      <c r="B3760" s="12" t="s">
        <v>8871</v>
      </c>
      <c r="C3760" s="12">
        <v>270</v>
      </c>
      <c r="D3760" s="12">
        <v>27</v>
      </c>
    </row>
    <row r="3761" spans="1:4" x14ac:dyDescent="0.2">
      <c r="A3761" s="12" t="s">
        <v>2292</v>
      </c>
      <c r="B3761" s="12" t="s">
        <v>2291</v>
      </c>
      <c r="C3761" s="12">
        <v>0.5</v>
      </c>
      <c r="D3761" s="12">
        <v>0.05</v>
      </c>
    </row>
    <row r="3762" spans="1:4" x14ac:dyDescent="0.2">
      <c r="A3762" s="12" t="s">
        <v>11035</v>
      </c>
      <c r="B3762" s="12" t="s">
        <v>11034</v>
      </c>
      <c r="C3762" s="12" t="s">
        <v>59</v>
      </c>
      <c r="D3762" s="12" t="s">
        <v>59</v>
      </c>
    </row>
    <row r="3763" spans="1:4" x14ac:dyDescent="0.2">
      <c r="A3763" s="12" t="s">
        <v>8900</v>
      </c>
      <c r="B3763" s="12" t="s">
        <v>8899</v>
      </c>
      <c r="C3763" s="12">
        <v>90</v>
      </c>
      <c r="D3763" s="12">
        <v>9</v>
      </c>
    </row>
    <row r="3764" spans="1:4" x14ac:dyDescent="0.2">
      <c r="A3764" s="12" t="s">
        <v>5502</v>
      </c>
      <c r="B3764" s="12" t="s">
        <v>5501</v>
      </c>
      <c r="C3764" s="12">
        <v>250</v>
      </c>
      <c r="D3764" s="12">
        <v>25</v>
      </c>
    </row>
    <row r="3765" spans="1:4" x14ac:dyDescent="0.2">
      <c r="A3765" s="12" t="s">
        <v>11578</v>
      </c>
      <c r="B3765" s="12" t="s">
        <v>11577</v>
      </c>
      <c r="C3765" s="12">
        <v>100</v>
      </c>
      <c r="D3765" s="12">
        <v>10</v>
      </c>
    </row>
    <row r="3766" spans="1:4" x14ac:dyDescent="0.2">
      <c r="A3766" s="12" t="s">
        <v>9396</v>
      </c>
      <c r="B3766" s="12" t="s">
        <v>9395</v>
      </c>
      <c r="C3766" s="12" t="s">
        <v>59</v>
      </c>
      <c r="D3766" s="12" t="s">
        <v>59</v>
      </c>
    </row>
    <row r="3767" spans="1:4" x14ac:dyDescent="0.2">
      <c r="A3767" s="12" t="s">
        <v>5324</v>
      </c>
      <c r="B3767" s="12" t="s">
        <v>5323</v>
      </c>
      <c r="C3767" s="12">
        <v>0.21</v>
      </c>
      <c r="D3767" s="12">
        <v>1.6999999999999999E-3</v>
      </c>
    </row>
    <row r="3768" spans="1:4" x14ac:dyDescent="0.2">
      <c r="A3768" s="12" t="s">
        <v>11058</v>
      </c>
      <c r="B3768" s="12" t="s">
        <v>11057</v>
      </c>
      <c r="C3768" s="12" t="s">
        <v>59</v>
      </c>
      <c r="D3768" s="12" t="s">
        <v>59</v>
      </c>
    </row>
    <row r="3769" spans="1:4" x14ac:dyDescent="0.2">
      <c r="A3769" s="12" t="s">
        <v>2819</v>
      </c>
      <c r="B3769" s="12" t="s">
        <v>2818</v>
      </c>
      <c r="C3769" s="12">
        <v>100</v>
      </c>
      <c r="D3769" s="12">
        <v>10</v>
      </c>
    </row>
    <row r="3770" spans="1:4" x14ac:dyDescent="0.2">
      <c r="A3770" s="12" t="s">
        <v>9554</v>
      </c>
      <c r="B3770" s="12" t="s">
        <v>9553</v>
      </c>
      <c r="C3770" s="12">
        <v>10</v>
      </c>
      <c r="D3770" s="12">
        <v>1</v>
      </c>
    </row>
    <row r="3771" spans="1:4" x14ac:dyDescent="0.2">
      <c r="A3771" s="12" t="s">
        <v>1678</v>
      </c>
      <c r="B3771" s="12" t="s">
        <v>1677</v>
      </c>
      <c r="C3771" s="12">
        <v>67</v>
      </c>
      <c r="D3771" s="12">
        <v>6.7</v>
      </c>
    </row>
    <row r="3772" spans="1:4" x14ac:dyDescent="0.2">
      <c r="A3772" s="12" t="s">
        <v>8698</v>
      </c>
      <c r="B3772" s="12" t="s">
        <v>8697</v>
      </c>
      <c r="C3772" s="12">
        <v>20</v>
      </c>
      <c r="D3772" s="12">
        <v>2</v>
      </c>
    </row>
    <row r="3773" spans="1:4" x14ac:dyDescent="0.2">
      <c r="A3773" s="12" t="s">
        <v>5261</v>
      </c>
      <c r="B3773" s="12" t="s">
        <v>5260</v>
      </c>
      <c r="C3773" s="12">
        <v>60</v>
      </c>
      <c r="D3773" s="12">
        <v>6</v>
      </c>
    </row>
    <row r="3774" spans="1:4" x14ac:dyDescent="0.2">
      <c r="A3774" s="12" t="s">
        <v>8005</v>
      </c>
      <c r="B3774" s="12" t="s">
        <v>8004</v>
      </c>
      <c r="C3774" s="12">
        <v>1500</v>
      </c>
      <c r="D3774" s="12">
        <v>150</v>
      </c>
    </row>
    <row r="3775" spans="1:4" x14ac:dyDescent="0.2">
      <c r="A3775" s="12" t="s">
        <v>574</v>
      </c>
      <c r="B3775" s="12" t="s">
        <v>573</v>
      </c>
      <c r="C3775" s="12">
        <v>460</v>
      </c>
      <c r="D3775" s="12">
        <v>46</v>
      </c>
    </row>
    <row r="3776" spans="1:4" x14ac:dyDescent="0.2">
      <c r="A3776" s="12" t="s">
        <v>1575</v>
      </c>
      <c r="B3776" s="12" t="s">
        <v>1574</v>
      </c>
      <c r="C3776" s="12">
        <v>130</v>
      </c>
      <c r="D3776" s="12">
        <v>13</v>
      </c>
    </row>
    <row r="3777" spans="1:4" x14ac:dyDescent="0.2">
      <c r="A3777" s="12" t="s">
        <v>6082</v>
      </c>
      <c r="B3777" s="12" t="s">
        <v>6081</v>
      </c>
      <c r="C3777" s="12">
        <v>500</v>
      </c>
      <c r="D3777" s="12">
        <v>50</v>
      </c>
    </row>
    <row r="3778" spans="1:4" x14ac:dyDescent="0.2">
      <c r="A3778" s="12" t="s">
        <v>8561</v>
      </c>
      <c r="B3778" s="12" t="s">
        <v>8560</v>
      </c>
      <c r="C3778" s="12">
        <v>99</v>
      </c>
      <c r="D3778" s="12">
        <v>9.9</v>
      </c>
    </row>
    <row r="3779" spans="1:4" x14ac:dyDescent="0.2">
      <c r="A3779" s="12" t="s">
        <v>2908</v>
      </c>
      <c r="B3779" s="12" t="s">
        <v>2907</v>
      </c>
      <c r="C3779" s="12">
        <v>570</v>
      </c>
      <c r="D3779" s="12">
        <v>57</v>
      </c>
    </row>
    <row r="3780" spans="1:4" x14ac:dyDescent="0.2">
      <c r="A3780" s="12" t="s">
        <v>2470</v>
      </c>
      <c r="B3780" s="12" t="s">
        <v>2469</v>
      </c>
      <c r="C3780" s="12">
        <v>420</v>
      </c>
      <c r="D3780" s="12">
        <v>42</v>
      </c>
    </row>
    <row r="3781" spans="1:4" x14ac:dyDescent="0.2">
      <c r="A3781" s="12" t="s">
        <v>1120</v>
      </c>
      <c r="B3781" s="12" t="s">
        <v>1119</v>
      </c>
      <c r="C3781" s="12">
        <v>100</v>
      </c>
      <c r="D3781" s="12">
        <v>10</v>
      </c>
    </row>
    <row r="3782" spans="1:4" x14ac:dyDescent="0.2">
      <c r="A3782" s="12" t="s">
        <v>3758</v>
      </c>
      <c r="B3782" s="12" t="s">
        <v>3757</v>
      </c>
      <c r="C3782" s="12" t="s">
        <v>59</v>
      </c>
      <c r="D3782" s="12" t="s">
        <v>59</v>
      </c>
    </row>
    <row r="3783" spans="1:4" x14ac:dyDescent="0.2">
      <c r="A3783" s="12" t="s">
        <v>3759</v>
      </c>
      <c r="B3783" s="12" t="s">
        <v>3757</v>
      </c>
      <c r="C3783" s="12">
        <v>1000</v>
      </c>
      <c r="D3783" s="12">
        <v>100</v>
      </c>
    </row>
    <row r="3784" spans="1:4" x14ac:dyDescent="0.2">
      <c r="A3784" s="12" t="s">
        <v>7934</v>
      </c>
      <c r="B3784" s="12" t="s">
        <v>7933</v>
      </c>
      <c r="C3784" s="12">
        <v>3000</v>
      </c>
      <c r="D3784" s="12">
        <v>300</v>
      </c>
    </row>
    <row r="3785" spans="1:4" x14ac:dyDescent="0.2">
      <c r="A3785" s="12" t="s">
        <v>2039</v>
      </c>
      <c r="B3785" s="12" t="s">
        <v>2038</v>
      </c>
      <c r="C3785" s="12">
        <v>1000</v>
      </c>
      <c r="D3785" s="12">
        <v>100</v>
      </c>
    </row>
    <row r="3786" spans="1:4" x14ac:dyDescent="0.2">
      <c r="A3786" s="12" t="s">
        <v>2795</v>
      </c>
      <c r="B3786" s="12" t="s">
        <v>2794</v>
      </c>
      <c r="C3786" s="12">
        <v>10000</v>
      </c>
      <c r="D3786" s="12">
        <v>2700</v>
      </c>
    </row>
    <row r="3787" spans="1:4" x14ac:dyDescent="0.2">
      <c r="A3787" s="12" t="s">
        <v>7611</v>
      </c>
      <c r="B3787" s="12" t="s">
        <v>7610</v>
      </c>
      <c r="C3787" s="12">
        <v>50</v>
      </c>
      <c r="D3787" s="12">
        <v>5</v>
      </c>
    </row>
    <row r="3788" spans="1:4" x14ac:dyDescent="0.2">
      <c r="A3788" s="12" t="s">
        <v>11330</v>
      </c>
      <c r="B3788" s="12" t="s">
        <v>11329</v>
      </c>
      <c r="C3788" s="12">
        <v>100</v>
      </c>
      <c r="D3788" s="12">
        <v>10</v>
      </c>
    </row>
    <row r="3789" spans="1:4" x14ac:dyDescent="0.2">
      <c r="A3789" s="12" t="s">
        <v>3942</v>
      </c>
      <c r="B3789" s="12" t="s">
        <v>3941</v>
      </c>
      <c r="C3789" s="12">
        <v>400</v>
      </c>
      <c r="D3789" s="12">
        <v>40</v>
      </c>
    </row>
    <row r="3790" spans="1:4" x14ac:dyDescent="0.2">
      <c r="A3790" s="12" t="s">
        <v>5355</v>
      </c>
      <c r="B3790" s="12" t="s">
        <v>5354</v>
      </c>
      <c r="C3790" s="12">
        <v>100</v>
      </c>
      <c r="D3790" s="12">
        <v>10</v>
      </c>
    </row>
    <row r="3791" spans="1:4" x14ac:dyDescent="0.2">
      <c r="A3791" s="12" t="s">
        <v>5368</v>
      </c>
      <c r="B3791" s="12" t="s">
        <v>5367</v>
      </c>
      <c r="C3791" s="12">
        <v>1000</v>
      </c>
      <c r="D3791" s="12">
        <v>100</v>
      </c>
    </row>
    <row r="3792" spans="1:4" x14ac:dyDescent="0.2">
      <c r="A3792" s="12" t="s">
        <v>8244</v>
      </c>
      <c r="B3792" s="12" t="s">
        <v>8243</v>
      </c>
      <c r="C3792" s="12">
        <v>1</v>
      </c>
      <c r="D3792" s="12">
        <v>0.1</v>
      </c>
    </row>
    <row r="3793" spans="1:4" x14ac:dyDescent="0.2">
      <c r="A3793" s="12" t="s">
        <v>5381</v>
      </c>
      <c r="B3793" s="12" t="s">
        <v>5380</v>
      </c>
      <c r="C3793" s="12">
        <v>1000</v>
      </c>
      <c r="D3793" s="12">
        <v>100</v>
      </c>
    </row>
    <row r="3794" spans="1:4" x14ac:dyDescent="0.2">
      <c r="A3794" s="12" t="s">
        <v>11479</v>
      </c>
      <c r="B3794" s="12" t="s">
        <v>11478</v>
      </c>
      <c r="C3794" s="12" t="s">
        <v>59</v>
      </c>
      <c r="D3794" s="12" t="s">
        <v>59</v>
      </c>
    </row>
    <row r="3795" spans="1:4" x14ac:dyDescent="0.2">
      <c r="A3795" s="12" t="s">
        <v>11480</v>
      </c>
      <c r="B3795" s="12" t="s">
        <v>11478</v>
      </c>
      <c r="C3795" s="12">
        <v>1000</v>
      </c>
      <c r="D3795" s="12">
        <v>100</v>
      </c>
    </row>
    <row r="3796" spans="1:4" x14ac:dyDescent="0.2">
      <c r="A3796" s="12" t="s">
        <v>5843</v>
      </c>
      <c r="B3796" s="12" t="s">
        <v>5842</v>
      </c>
      <c r="C3796" s="12">
        <v>100</v>
      </c>
      <c r="D3796" s="12">
        <v>10</v>
      </c>
    </row>
    <row r="3797" spans="1:4" x14ac:dyDescent="0.2">
      <c r="A3797" s="12" t="s">
        <v>4462</v>
      </c>
      <c r="B3797" s="12" t="s">
        <v>4461</v>
      </c>
      <c r="C3797" s="12">
        <v>400</v>
      </c>
      <c r="D3797" s="12">
        <v>40</v>
      </c>
    </row>
    <row r="3798" spans="1:4" x14ac:dyDescent="0.2">
      <c r="A3798" s="12" t="s">
        <v>5120</v>
      </c>
      <c r="B3798" s="12" t="s">
        <v>5119</v>
      </c>
      <c r="C3798" s="12">
        <v>100</v>
      </c>
      <c r="D3798" s="12">
        <v>10</v>
      </c>
    </row>
    <row r="3799" spans="1:4" x14ac:dyDescent="0.2">
      <c r="A3799" s="12" t="s">
        <v>11441</v>
      </c>
      <c r="B3799" s="12" t="s">
        <v>11440</v>
      </c>
      <c r="C3799" s="12">
        <v>1000</v>
      </c>
      <c r="D3799" s="12">
        <v>100</v>
      </c>
    </row>
    <row r="3800" spans="1:4" x14ac:dyDescent="0.2">
      <c r="A3800" s="12" t="s">
        <v>6851</v>
      </c>
      <c r="B3800" s="12" t="s">
        <v>6850</v>
      </c>
      <c r="C3800" s="12" t="s">
        <v>59</v>
      </c>
      <c r="D3800" s="12" t="s">
        <v>59</v>
      </c>
    </row>
    <row r="3801" spans="1:4" x14ac:dyDescent="0.2">
      <c r="A3801" s="12" t="s">
        <v>6852</v>
      </c>
      <c r="B3801" s="12" t="s">
        <v>6850</v>
      </c>
      <c r="C3801" s="12">
        <v>1000</v>
      </c>
      <c r="D3801" s="12">
        <v>100</v>
      </c>
    </row>
    <row r="3802" spans="1:4" x14ac:dyDescent="0.2">
      <c r="A3802" s="12" t="s">
        <v>3686</v>
      </c>
      <c r="B3802" s="12" t="s">
        <v>3685</v>
      </c>
      <c r="C3802" s="12">
        <v>100</v>
      </c>
      <c r="D3802" s="12">
        <v>10</v>
      </c>
    </row>
    <row r="3803" spans="1:4" x14ac:dyDescent="0.2">
      <c r="A3803" s="12" t="s">
        <v>6170</v>
      </c>
      <c r="B3803" s="12" t="s">
        <v>6169</v>
      </c>
      <c r="C3803" s="12">
        <v>100</v>
      </c>
      <c r="D3803" s="12">
        <v>10</v>
      </c>
    </row>
    <row r="3804" spans="1:4" x14ac:dyDescent="0.2">
      <c r="A3804" s="12" t="s">
        <v>5361</v>
      </c>
      <c r="B3804" s="12" t="s">
        <v>5360</v>
      </c>
      <c r="C3804" s="12">
        <v>100</v>
      </c>
      <c r="D3804" s="12">
        <v>10</v>
      </c>
    </row>
    <row r="3805" spans="1:4" x14ac:dyDescent="0.2">
      <c r="A3805" s="12" t="s">
        <v>6516</v>
      </c>
      <c r="B3805" s="12" t="s">
        <v>6515</v>
      </c>
      <c r="C3805" s="12" t="s">
        <v>59</v>
      </c>
      <c r="D3805" s="12" t="s">
        <v>59</v>
      </c>
    </row>
    <row r="3806" spans="1:4" x14ac:dyDescent="0.2">
      <c r="A3806" s="12" t="s">
        <v>7000</v>
      </c>
      <c r="B3806" s="12" t="s">
        <v>6999</v>
      </c>
      <c r="C3806" s="12">
        <v>1000</v>
      </c>
      <c r="D3806" s="12">
        <v>100</v>
      </c>
    </row>
    <row r="3807" spans="1:4" x14ac:dyDescent="0.2">
      <c r="A3807" s="12" t="s">
        <v>5374</v>
      </c>
      <c r="B3807" s="12" t="s">
        <v>5373</v>
      </c>
      <c r="C3807" s="12" t="s">
        <v>59</v>
      </c>
      <c r="D3807" s="12" t="s">
        <v>59</v>
      </c>
    </row>
    <row r="3808" spans="1:4" x14ac:dyDescent="0.2">
      <c r="A3808" s="12" t="s">
        <v>6956</v>
      </c>
      <c r="B3808" s="12" t="s">
        <v>6955</v>
      </c>
      <c r="C3808" s="12">
        <v>1000</v>
      </c>
      <c r="D3808" s="12">
        <v>100</v>
      </c>
    </row>
    <row r="3809" spans="1:4" x14ac:dyDescent="0.2">
      <c r="A3809" s="12" t="s">
        <v>11037</v>
      </c>
      <c r="B3809" s="12" t="s">
        <v>11036</v>
      </c>
      <c r="C3809" s="12" t="s">
        <v>59</v>
      </c>
      <c r="D3809" s="12" t="s">
        <v>59</v>
      </c>
    </row>
    <row r="3810" spans="1:4" x14ac:dyDescent="0.2">
      <c r="A3810" s="12" t="s">
        <v>11038</v>
      </c>
      <c r="B3810" s="12" t="s">
        <v>11036</v>
      </c>
      <c r="C3810" s="12">
        <v>600</v>
      </c>
      <c r="D3810" s="12">
        <v>60</v>
      </c>
    </row>
    <row r="3811" spans="1:4" x14ac:dyDescent="0.2">
      <c r="A3811" s="12" t="s">
        <v>4870</v>
      </c>
      <c r="B3811" s="12" t="s">
        <v>4869</v>
      </c>
      <c r="C3811" s="12" t="s">
        <v>59</v>
      </c>
      <c r="D3811" s="12" t="s">
        <v>59</v>
      </c>
    </row>
    <row r="3812" spans="1:4" x14ac:dyDescent="0.2">
      <c r="A3812" s="12" t="s">
        <v>2681</v>
      </c>
      <c r="B3812" s="12" t="s">
        <v>2680</v>
      </c>
      <c r="C3812" s="12">
        <v>200</v>
      </c>
      <c r="D3812" s="12">
        <v>20</v>
      </c>
    </row>
    <row r="3813" spans="1:4" x14ac:dyDescent="0.2">
      <c r="A3813" s="12" t="s">
        <v>8038</v>
      </c>
      <c r="B3813" s="12" t="s">
        <v>8037</v>
      </c>
      <c r="C3813" s="12" t="s">
        <v>59</v>
      </c>
      <c r="D3813" s="12" t="s">
        <v>59</v>
      </c>
    </row>
    <row r="3814" spans="1:4" x14ac:dyDescent="0.2">
      <c r="A3814" s="12" t="s">
        <v>8039</v>
      </c>
      <c r="B3814" s="12" t="s">
        <v>8037</v>
      </c>
      <c r="C3814" s="12">
        <v>600</v>
      </c>
      <c r="D3814" s="12">
        <v>60</v>
      </c>
    </row>
    <row r="3815" spans="1:4" x14ac:dyDescent="0.2">
      <c r="A3815" s="12" t="s">
        <v>4974</v>
      </c>
      <c r="B3815" s="12" t="s">
        <v>4973</v>
      </c>
      <c r="C3815" s="12" t="s">
        <v>59</v>
      </c>
      <c r="D3815" s="12" t="s">
        <v>59</v>
      </c>
    </row>
    <row r="3816" spans="1:4" x14ac:dyDescent="0.2">
      <c r="A3816" s="12" t="s">
        <v>4975</v>
      </c>
      <c r="B3816" s="12" t="s">
        <v>4973</v>
      </c>
      <c r="C3816" s="12">
        <v>1000</v>
      </c>
      <c r="D3816" s="12">
        <v>100</v>
      </c>
    </row>
    <row r="3817" spans="1:4" x14ac:dyDescent="0.2">
      <c r="A3817" s="12" t="s">
        <v>5317</v>
      </c>
      <c r="B3817" s="12" t="s">
        <v>5316</v>
      </c>
      <c r="C3817" s="12">
        <v>0.21</v>
      </c>
      <c r="D3817" s="12">
        <v>1.6999999999999999E-3</v>
      </c>
    </row>
    <row r="3818" spans="1:4" x14ac:dyDescent="0.2">
      <c r="A3818" s="12" t="s">
        <v>6972</v>
      </c>
      <c r="B3818" s="12" t="s">
        <v>6971</v>
      </c>
      <c r="C3818" s="12">
        <v>0.21</v>
      </c>
      <c r="D3818" s="12">
        <v>1.6999999999999999E-3</v>
      </c>
    </row>
    <row r="3819" spans="1:4" x14ac:dyDescent="0.2">
      <c r="A3819" s="12" t="s">
        <v>5372</v>
      </c>
      <c r="B3819" s="12" t="s">
        <v>5371</v>
      </c>
      <c r="C3819" s="12">
        <v>580</v>
      </c>
      <c r="D3819" s="12">
        <v>58</v>
      </c>
    </row>
    <row r="3820" spans="1:4" x14ac:dyDescent="0.2">
      <c r="A3820" s="12" t="s">
        <v>10693</v>
      </c>
      <c r="B3820" s="12" t="s">
        <v>10692</v>
      </c>
      <c r="C3820" s="12" t="s">
        <v>59</v>
      </c>
      <c r="D3820" s="12" t="s">
        <v>59</v>
      </c>
    </row>
    <row r="3821" spans="1:4" x14ac:dyDescent="0.2">
      <c r="A3821" s="12" t="s">
        <v>10694</v>
      </c>
      <c r="B3821" s="12" t="s">
        <v>10692</v>
      </c>
      <c r="C3821" s="12">
        <v>600</v>
      </c>
      <c r="D3821" s="12">
        <v>60</v>
      </c>
    </row>
    <row r="3822" spans="1:4" x14ac:dyDescent="0.2">
      <c r="A3822" s="12" t="s">
        <v>10676</v>
      </c>
      <c r="B3822" s="12" t="s">
        <v>10675</v>
      </c>
      <c r="C3822" s="12" t="s">
        <v>59</v>
      </c>
      <c r="D3822" s="12" t="s">
        <v>59</v>
      </c>
    </row>
    <row r="3823" spans="1:4" x14ac:dyDescent="0.2">
      <c r="A3823" s="12" t="s">
        <v>10687</v>
      </c>
      <c r="B3823" s="12" t="s">
        <v>10686</v>
      </c>
      <c r="C3823" s="12" t="s">
        <v>59</v>
      </c>
      <c r="D3823" s="12" t="s">
        <v>59</v>
      </c>
    </row>
    <row r="3824" spans="1:4" x14ac:dyDescent="0.2">
      <c r="A3824" s="12" t="s">
        <v>5841</v>
      </c>
      <c r="B3824" s="12" t="s">
        <v>5840</v>
      </c>
      <c r="C3824" s="12">
        <v>100</v>
      </c>
      <c r="D3824" s="12">
        <v>10</v>
      </c>
    </row>
    <row r="3825" spans="1:4" x14ac:dyDescent="0.2">
      <c r="A3825" s="12" t="s">
        <v>10704</v>
      </c>
      <c r="B3825" s="12" t="s">
        <v>10703</v>
      </c>
      <c r="C3825" s="12" t="s">
        <v>59</v>
      </c>
      <c r="D3825" s="12" t="s">
        <v>59</v>
      </c>
    </row>
    <row r="3826" spans="1:4" x14ac:dyDescent="0.2">
      <c r="A3826" s="12" t="s">
        <v>7859</v>
      </c>
      <c r="B3826" s="12" t="s">
        <v>7858</v>
      </c>
      <c r="C3826" s="12">
        <v>100</v>
      </c>
      <c r="D3826" s="12">
        <v>10</v>
      </c>
    </row>
    <row r="3827" spans="1:4" x14ac:dyDescent="0.2">
      <c r="A3827" s="12" t="s">
        <v>10696</v>
      </c>
      <c r="B3827" s="12" t="s">
        <v>10695</v>
      </c>
      <c r="C3827" s="12" t="s">
        <v>59</v>
      </c>
      <c r="D3827" s="12" t="s">
        <v>59</v>
      </c>
    </row>
    <row r="3828" spans="1:4" x14ac:dyDescent="0.2">
      <c r="A3828" s="12" t="s">
        <v>11376</v>
      </c>
      <c r="B3828" s="12" t="s">
        <v>11375</v>
      </c>
      <c r="C3828" s="12" t="s">
        <v>59</v>
      </c>
      <c r="D3828" s="12" t="s">
        <v>59</v>
      </c>
    </row>
    <row r="3829" spans="1:4" x14ac:dyDescent="0.2">
      <c r="A3829" s="12" t="s">
        <v>8198</v>
      </c>
      <c r="B3829" s="12" t="s">
        <v>8197</v>
      </c>
      <c r="C3829" s="12">
        <v>40</v>
      </c>
      <c r="D3829" s="12">
        <v>4</v>
      </c>
    </row>
    <row r="3830" spans="1:4" x14ac:dyDescent="0.2">
      <c r="A3830" s="12" t="s">
        <v>6820</v>
      </c>
      <c r="B3830" s="12" t="s">
        <v>6819</v>
      </c>
      <c r="C3830" s="12" t="s">
        <v>59</v>
      </c>
      <c r="D3830" s="12" t="s">
        <v>59</v>
      </c>
    </row>
    <row r="3831" spans="1:4" x14ac:dyDescent="0.2">
      <c r="A3831" s="12" t="s">
        <v>6821</v>
      </c>
      <c r="B3831" s="12" t="s">
        <v>6819</v>
      </c>
      <c r="C3831" s="12">
        <v>1000</v>
      </c>
      <c r="D3831" s="12">
        <v>100</v>
      </c>
    </row>
    <row r="3832" spans="1:4" x14ac:dyDescent="0.2">
      <c r="A3832" s="12" t="s">
        <v>11247</v>
      </c>
      <c r="B3832" s="12" t="s">
        <v>11246</v>
      </c>
      <c r="C3832" s="12">
        <v>100</v>
      </c>
      <c r="D3832" s="12">
        <v>10</v>
      </c>
    </row>
    <row r="3833" spans="1:4" x14ac:dyDescent="0.2">
      <c r="A3833" s="12" t="s">
        <v>11477</v>
      </c>
      <c r="B3833" s="12" t="s">
        <v>11476</v>
      </c>
      <c r="C3833" s="12">
        <v>50</v>
      </c>
      <c r="D3833" s="12">
        <v>5</v>
      </c>
    </row>
    <row r="3834" spans="1:4" x14ac:dyDescent="0.2">
      <c r="A3834" s="12" t="s">
        <v>11467</v>
      </c>
      <c r="B3834" s="12" t="s">
        <v>11466</v>
      </c>
      <c r="C3834" s="12">
        <v>400</v>
      </c>
      <c r="D3834" s="12">
        <v>40</v>
      </c>
    </row>
    <row r="3835" spans="1:4" x14ac:dyDescent="0.2">
      <c r="A3835" s="12" t="s">
        <v>11471</v>
      </c>
      <c r="B3835" s="12" t="s">
        <v>11470</v>
      </c>
      <c r="C3835" s="12" t="s">
        <v>59</v>
      </c>
      <c r="D3835" s="12" t="s">
        <v>59</v>
      </c>
    </row>
    <row r="3836" spans="1:4" x14ac:dyDescent="0.2">
      <c r="A3836" s="12" t="s">
        <v>11472</v>
      </c>
      <c r="B3836" s="12" t="s">
        <v>11470</v>
      </c>
      <c r="C3836" s="12">
        <v>1000</v>
      </c>
      <c r="D3836" s="12">
        <v>100</v>
      </c>
    </row>
    <row r="3837" spans="1:4" x14ac:dyDescent="0.2">
      <c r="A3837" s="12" t="s">
        <v>10680</v>
      </c>
      <c r="B3837" s="12" t="s">
        <v>10679</v>
      </c>
      <c r="C3837" s="12" t="s">
        <v>59</v>
      </c>
      <c r="D3837" s="12" t="s">
        <v>59</v>
      </c>
    </row>
    <row r="3838" spans="1:4" x14ac:dyDescent="0.2">
      <c r="A3838" s="12" t="s">
        <v>7037</v>
      </c>
      <c r="B3838" s="12" t="s">
        <v>7036</v>
      </c>
      <c r="C3838" s="12" t="s">
        <v>59</v>
      </c>
      <c r="D3838" s="12" t="s">
        <v>59</v>
      </c>
    </row>
    <row r="3839" spans="1:4" x14ac:dyDescent="0.2">
      <c r="A3839" s="12" t="s">
        <v>7038</v>
      </c>
      <c r="B3839" s="12" t="s">
        <v>7036</v>
      </c>
      <c r="C3839" s="12">
        <v>1000</v>
      </c>
      <c r="D3839" s="12">
        <v>100</v>
      </c>
    </row>
    <row r="3840" spans="1:4" x14ac:dyDescent="0.2">
      <c r="A3840" s="12" t="s">
        <v>10853</v>
      </c>
      <c r="B3840" s="12" t="s">
        <v>10852</v>
      </c>
      <c r="C3840" s="12">
        <v>27</v>
      </c>
      <c r="D3840" s="12">
        <v>2</v>
      </c>
    </row>
    <row r="3841" spans="1:4" x14ac:dyDescent="0.2">
      <c r="A3841" s="12" t="s">
        <v>3936</v>
      </c>
      <c r="B3841" s="12" t="s">
        <v>3935</v>
      </c>
      <c r="C3841" s="12">
        <v>100</v>
      </c>
      <c r="D3841" s="12">
        <v>10</v>
      </c>
    </row>
    <row r="3842" spans="1:4" x14ac:dyDescent="0.2">
      <c r="A3842" s="12" t="s">
        <v>5370</v>
      </c>
      <c r="B3842" s="12" t="s">
        <v>5369</v>
      </c>
      <c r="C3842" s="12">
        <v>100</v>
      </c>
      <c r="D3842" s="12">
        <v>10</v>
      </c>
    </row>
    <row r="3843" spans="1:4" x14ac:dyDescent="0.2">
      <c r="A3843" s="12" t="s">
        <v>6974</v>
      </c>
      <c r="B3843" s="12" t="s">
        <v>6973</v>
      </c>
      <c r="C3843" s="12" t="s">
        <v>59</v>
      </c>
      <c r="D3843" s="12" t="s">
        <v>59</v>
      </c>
    </row>
    <row r="3844" spans="1:4" x14ac:dyDescent="0.2">
      <c r="A3844" s="12" t="s">
        <v>6975</v>
      </c>
      <c r="B3844" s="12" t="s">
        <v>6973</v>
      </c>
      <c r="C3844" s="12">
        <v>1000</v>
      </c>
      <c r="D3844" s="12">
        <v>100</v>
      </c>
    </row>
    <row r="3845" spans="1:4" x14ac:dyDescent="0.2">
      <c r="A3845" s="12" t="s">
        <v>7052</v>
      </c>
      <c r="B3845" s="12" t="s">
        <v>7051</v>
      </c>
      <c r="C3845" s="12" t="s">
        <v>59</v>
      </c>
      <c r="D3845" s="12" t="s">
        <v>59</v>
      </c>
    </row>
    <row r="3846" spans="1:4" x14ac:dyDescent="0.2">
      <c r="A3846" s="12" t="s">
        <v>7053</v>
      </c>
      <c r="B3846" s="12" t="s">
        <v>7051</v>
      </c>
      <c r="C3846" s="12">
        <v>1000</v>
      </c>
      <c r="D3846" s="12">
        <v>100</v>
      </c>
    </row>
    <row r="3847" spans="1:4" x14ac:dyDescent="0.2">
      <c r="A3847" s="12" t="s">
        <v>9355</v>
      </c>
      <c r="B3847" s="12" t="s">
        <v>9354</v>
      </c>
      <c r="C3847" s="12">
        <v>400</v>
      </c>
      <c r="D3847" s="12">
        <v>40</v>
      </c>
    </row>
    <row r="3848" spans="1:4" x14ac:dyDescent="0.2">
      <c r="A3848" s="12" t="s">
        <v>7022</v>
      </c>
      <c r="B3848" s="12" t="s">
        <v>7021</v>
      </c>
      <c r="C3848" s="12" t="s">
        <v>59</v>
      </c>
      <c r="D3848" s="12" t="s">
        <v>59</v>
      </c>
    </row>
    <row r="3849" spans="1:4" x14ac:dyDescent="0.2">
      <c r="A3849" s="12" t="s">
        <v>7023</v>
      </c>
      <c r="B3849" s="12" t="s">
        <v>7021</v>
      </c>
      <c r="C3849" s="12">
        <v>1000</v>
      </c>
      <c r="D3849" s="12">
        <v>100</v>
      </c>
    </row>
    <row r="3850" spans="1:4" x14ac:dyDescent="0.2">
      <c r="A3850" s="12" t="s">
        <v>7011</v>
      </c>
      <c r="B3850" s="12" t="s">
        <v>7010</v>
      </c>
      <c r="C3850" s="12" t="s">
        <v>59</v>
      </c>
      <c r="D3850" s="12" t="s">
        <v>59</v>
      </c>
    </row>
    <row r="3851" spans="1:4" x14ac:dyDescent="0.2">
      <c r="A3851" s="12" t="s">
        <v>7012</v>
      </c>
      <c r="B3851" s="12" t="s">
        <v>7010</v>
      </c>
      <c r="C3851" s="12">
        <v>1000</v>
      </c>
      <c r="D3851" s="12">
        <v>100</v>
      </c>
    </row>
    <row r="3852" spans="1:4" x14ac:dyDescent="0.2">
      <c r="A3852" s="12" t="s">
        <v>7008</v>
      </c>
      <c r="B3852" s="12" t="s">
        <v>7007</v>
      </c>
      <c r="C3852" s="12" t="s">
        <v>59</v>
      </c>
      <c r="D3852" s="12" t="s">
        <v>59</v>
      </c>
    </row>
    <row r="3853" spans="1:4" x14ac:dyDescent="0.2">
      <c r="A3853" s="12" t="s">
        <v>7009</v>
      </c>
      <c r="B3853" s="12" t="s">
        <v>7007</v>
      </c>
      <c r="C3853" s="12">
        <v>1000</v>
      </c>
      <c r="D3853" s="12">
        <v>100</v>
      </c>
    </row>
    <row r="3854" spans="1:4" x14ac:dyDescent="0.2">
      <c r="A3854" s="12" t="s">
        <v>9667</v>
      </c>
      <c r="B3854" s="12" t="s">
        <v>9666</v>
      </c>
      <c r="C3854" s="12">
        <v>1000</v>
      </c>
      <c r="D3854" s="12">
        <v>100</v>
      </c>
    </row>
    <row r="3855" spans="1:4" x14ac:dyDescent="0.2">
      <c r="A3855" s="12" t="s">
        <v>4979</v>
      </c>
      <c r="B3855" s="12" t="s">
        <v>4978</v>
      </c>
      <c r="C3855" s="12">
        <v>1000</v>
      </c>
      <c r="D3855" s="12">
        <v>100</v>
      </c>
    </row>
    <row r="3856" spans="1:4" x14ac:dyDescent="0.2">
      <c r="A3856" s="12" t="s">
        <v>5359</v>
      </c>
      <c r="B3856" s="12" t="s">
        <v>5358</v>
      </c>
      <c r="C3856" s="12">
        <v>100</v>
      </c>
      <c r="D3856" s="12">
        <v>10</v>
      </c>
    </row>
    <row r="3857" spans="1:4" x14ac:dyDescent="0.2">
      <c r="A3857" s="12" t="s">
        <v>5357</v>
      </c>
      <c r="B3857" s="12" t="s">
        <v>5356</v>
      </c>
      <c r="C3857" s="12">
        <v>100</v>
      </c>
      <c r="D3857" s="12">
        <v>10</v>
      </c>
    </row>
    <row r="3858" spans="1:4" x14ac:dyDescent="0.2">
      <c r="A3858" s="12" t="s">
        <v>7064</v>
      </c>
      <c r="B3858" s="12" t="s">
        <v>7063</v>
      </c>
      <c r="C3858" s="12" t="s">
        <v>59</v>
      </c>
      <c r="D3858" s="12" t="s">
        <v>59</v>
      </c>
    </row>
    <row r="3859" spans="1:4" x14ac:dyDescent="0.2">
      <c r="A3859" s="12" t="s">
        <v>7065</v>
      </c>
      <c r="B3859" s="12" t="s">
        <v>7063</v>
      </c>
      <c r="C3859" s="12">
        <v>1000</v>
      </c>
      <c r="D3859" s="12">
        <v>100</v>
      </c>
    </row>
    <row r="3860" spans="1:4" x14ac:dyDescent="0.2">
      <c r="A3860" s="12" t="s">
        <v>11245</v>
      </c>
      <c r="B3860" s="12" t="s">
        <v>11244</v>
      </c>
      <c r="C3860" s="12">
        <v>175</v>
      </c>
      <c r="D3860" s="12">
        <v>18</v>
      </c>
    </row>
    <row r="3861" spans="1:4" x14ac:dyDescent="0.2">
      <c r="A3861" s="12" t="s">
        <v>3692</v>
      </c>
      <c r="B3861" s="12" t="s">
        <v>3691</v>
      </c>
      <c r="C3861" s="12">
        <v>400</v>
      </c>
      <c r="D3861" s="12">
        <v>40</v>
      </c>
    </row>
    <row r="3862" spans="1:4" x14ac:dyDescent="0.2">
      <c r="A3862" s="12" t="s">
        <v>6567</v>
      </c>
      <c r="B3862" s="12" t="s">
        <v>6566</v>
      </c>
      <c r="C3862" s="12">
        <v>600</v>
      </c>
      <c r="D3862" s="12">
        <v>60</v>
      </c>
    </row>
    <row r="3863" spans="1:4" x14ac:dyDescent="0.2">
      <c r="A3863" s="12" t="s">
        <v>1063</v>
      </c>
      <c r="B3863" s="12" t="s">
        <v>1062</v>
      </c>
      <c r="C3863" s="12">
        <v>600</v>
      </c>
      <c r="D3863" s="12">
        <v>60</v>
      </c>
    </row>
    <row r="3864" spans="1:4" x14ac:dyDescent="0.2">
      <c r="A3864" s="12" t="s">
        <v>251</v>
      </c>
      <c r="B3864" s="12" t="s">
        <v>250</v>
      </c>
      <c r="C3864" s="12">
        <v>50</v>
      </c>
      <c r="D3864" s="12">
        <v>5</v>
      </c>
    </row>
    <row r="3865" spans="1:4" x14ac:dyDescent="0.2">
      <c r="A3865" s="12" t="s">
        <v>1494</v>
      </c>
      <c r="B3865" s="12" t="s">
        <v>1493</v>
      </c>
      <c r="C3865" s="12">
        <v>100</v>
      </c>
      <c r="D3865" s="12">
        <v>10</v>
      </c>
    </row>
    <row r="3866" spans="1:4" x14ac:dyDescent="0.2">
      <c r="A3866" s="12" t="s">
        <v>1492</v>
      </c>
      <c r="B3866" s="12" t="s">
        <v>1491</v>
      </c>
      <c r="C3866" s="12">
        <v>100</v>
      </c>
      <c r="D3866" s="12">
        <v>10</v>
      </c>
    </row>
    <row r="3867" spans="1:4" x14ac:dyDescent="0.2">
      <c r="A3867" s="12" t="s">
        <v>11236</v>
      </c>
      <c r="B3867" s="12" t="s">
        <v>11235</v>
      </c>
      <c r="C3867" s="12">
        <v>1000</v>
      </c>
      <c r="D3867" s="12">
        <v>100</v>
      </c>
    </row>
    <row r="3868" spans="1:4" x14ac:dyDescent="0.2">
      <c r="A3868" s="12" t="s">
        <v>9353</v>
      </c>
      <c r="B3868" s="12" t="s">
        <v>9352</v>
      </c>
      <c r="C3868" s="12">
        <v>400</v>
      </c>
      <c r="D3868" s="12">
        <v>40</v>
      </c>
    </row>
    <row r="3869" spans="1:4" x14ac:dyDescent="0.2">
      <c r="A3869" s="12" t="s">
        <v>9347</v>
      </c>
      <c r="B3869" s="12" t="s">
        <v>9346</v>
      </c>
      <c r="C3869" s="12">
        <v>400</v>
      </c>
      <c r="D3869" s="12">
        <v>40</v>
      </c>
    </row>
    <row r="3870" spans="1:4" x14ac:dyDescent="0.2">
      <c r="A3870" s="12" t="s">
        <v>9343</v>
      </c>
      <c r="B3870" s="12" t="s">
        <v>9342</v>
      </c>
      <c r="C3870" s="12">
        <v>400</v>
      </c>
      <c r="D3870" s="12">
        <v>40</v>
      </c>
    </row>
    <row r="3871" spans="1:4" x14ac:dyDescent="0.2">
      <c r="A3871" s="12" t="s">
        <v>11040</v>
      </c>
      <c r="B3871" s="12" t="s">
        <v>11039</v>
      </c>
      <c r="C3871" s="12">
        <v>600</v>
      </c>
      <c r="D3871" s="12">
        <v>60</v>
      </c>
    </row>
    <row r="3872" spans="1:4" x14ac:dyDescent="0.2">
      <c r="A3872" s="12" t="s">
        <v>9087</v>
      </c>
      <c r="B3872" s="12" t="s">
        <v>9086</v>
      </c>
      <c r="C3872" s="12">
        <v>100</v>
      </c>
      <c r="D3872" s="12">
        <v>10</v>
      </c>
    </row>
    <row r="3873" spans="1:4" x14ac:dyDescent="0.2">
      <c r="A3873" s="12" t="s">
        <v>9089</v>
      </c>
      <c r="B3873" s="12" t="s">
        <v>9088</v>
      </c>
      <c r="C3873" s="12">
        <v>100</v>
      </c>
      <c r="D3873" s="12">
        <v>10</v>
      </c>
    </row>
    <row r="3874" spans="1:4" x14ac:dyDescent="0.2">
      <c r="A3874" s="12" t="s">
        <v>8087</v>
      </c>
      <c r="B3874" s="12" t="s">
        <v>8086</v>
      </c>
      <c r="C3874" s="12">
        <v>340</v>
      </c>
      <c r="D3874" s="12">
        <v>34</v>
      </c>
    </row>
    <row r="3875" spans="1:4" x14ac:dyDescent="0.2">
      <c r="A3875" s="12" t="s">
        <v>2409</v>
      </c>
      <c r="B3875" s="12" t="s">
        <v>2408</v>
      </c>
      <c r="C3875" s="12">
        <v>440</v>
      </c>
      <c r="D3875" s="12">
        <v>44</v>
      </c>
    </row>
    <row r="3876" spans="1:4" x14ac:dyDescent="0.2">
      <c r="A3876" s="12" t="s">
        <v>2673</v>
      </c>
      <c r="B3876" s="12" t="s">
        <v>2672</v>
      </c>
      <c r="C3876" s="12">
        <v>2</v>
      </c>
      <c r="D3876" s="12">
        <v>0.2</v>
      </c>
    </row>
    <row r="3877" spans="1:4" x14ac:dyDescent="0.2">
      <c r="A3877" s="12" t="s">
        <v>1866</v>
      </c>
      <c r="B3877" s="12" t="s">
        <v>1865</v>
      </c>
      <c r="C3877" s="12" t="s">
        <v>59</v>
      </c>
      <c r="D3877" s="12" t="s">
        <v>59</v>
      </c>
    </row>
    <row r="3878" spans="1:4" x14ac:dyDescent="0.2">
      <c r="A3878" s="12" t="s">
        <v>1867</v>
      </c>
      <c r="B3878" s="12" t="s">
        <v>1865</v>
      </c>
      <c r="C3878" s="12">
        <v>1000</v>
      </c>
      <c r="D3878" s="12">
        <v>100</v>
      </c>
    </row>
    <row r="3879" spans="1:4" x14ac:dyDescent="0.2">
      <c r="A3879" s="12" t="s">
        <v>1487</v>
      </c>
      <c r="B3879" s="12" t="s">
        <v>1486</v>
      </c>
      <c r="C3879" s="12">
        <v>100</v>
      </c>
      <c r="D3879" s="12">
        <v>10</v>
      </c>
    </row>
    <row r="3880" spans="1:4" x14ac:dyDescent="0.2">
      <c r="A3880" s="12" t="s">
        <v>1488</v>
      </c>
      <c r="B3880" s="12" t="s">
        <v>1486</v>
      </c>
      <c r="C3880" s="12" t="s">
        <v>59</v>
      </c>
      <c r="D3880" s="12" t="s">
        <v>59</v>
      </c>
    </row>
    <row r="3881" spans="1:4" x14ac:dyDescent="0.2">
      <c r="A3881" s="12" t="s">
        <v>10008</v>
      </c>
      <c r="B3881" s="12" t="s">
        <v>10007</v>
      </c>
      <c r="C3881" s="12" t="s">
        <v>59</v>
      </c>
      <c r="D3881" s="12" t="s">
        <v>59</v>
      </c>
    </row>
    <row r="3882" spans="1:4" x14ac:dyDescent="0.2">
      <c r="A3882" s="12" t="s">
        <v>2086</v>
      </c>
      <c r="B3882" s="12" t="s">
        <v>2085</v>
      </c>
      <c r="C3882" s="12">
        <v>3500</v>
      </c>
      <c r="D3882" s="12">
        <v>350</v>
      </c>
    </row>
    <row r="3883" spans="1:4" x14ac:dyDescent="0.2">
      <c r="A3883" s="12" t="s">
        <v>1461</v>
      </c>
      <c r="B3883" s="12" t="s">
        <v>1460</v>
      </c>
      <c r="C3883" s="12">
        <v>2200</v>
      </c>
      <c r="D3883" s="12">
        <v>220</v>
      </c>
    </row>
    <row r="3884" spans="1:4" x14ac:dyDescent="0.2">
      <c r="A3884" s="12" t="s">
        <v>10614</v>
      </c>
      <c r="B3884" s="12" t="s">
        <v>10613</v>
      </c>
      <c r="C3884" s="12">
        <v>24</v>
      </c>
      <c r="D3884" s="12">
        <v>2.4</v>
      </c>
    </row>
    <row r="3885" spans="1:4" x14ac:dyDescent="0.2">
      <c r="A3885" s="12" t="s">
        <v>2229</v>
      </c>
      <c r="B3885" s="12" t="s">
        <v>2228</v>
      </c>
      <c r="C3885" s="12">
        <v>650</v>
      </c>
      <c r="D3885" s="12">
        <v>65</v>
      </c>
    </row>
    <row r="3886" spans="1:4" x14ac:dyDescent="0.2">
      <c r="A3886" s="12" t="s">
        <v>953</v>
      </c>
      <c r="B3886" s="12" t="s">
        <v>952</v>
      </c>
      <c r="C3886" s="12">
        <v>2700</v>
      </c>
      <c r="D3886" s="12">
        <v>270</v>
      </c>
    </row>
    <row r="3887" spans="1:4" x14ac:dyDescent="0.2">
      <c r="A3887" s="12" t="s">
        <v>9874</v>
      </c>
      <c r="B3887" s="12" t="s">
        <v>9873</v>
      </c>
      <c r="C3887" s="12">
        <v>30</v>
      </c>
      <c r="D3887" s="12">
        <v>3</v>
      </c>
    </row>
    <row r="3888" spans="1:4" x14ac:dyDescent="0.2">
      <c r="A3888" s="12" t="s">
        <v>446</v>
      </c>
      <c r="B3888" s="12" t="s">
        <v>445</v>
      </c>
      <c r="C3888" s="12">
        <v>700</v>
      </c>
      <c r="D3888" s="12">
        <v>70</v>
      </c>
    </row>
    <row r="3889" spans="1:4" x14ac:dyDescent="0.2">
      <c r="A3889" s="12" t="s">
        <v>2116</v>
      </c>
      <c r="B3889" s="12" t="s">
        <v>2115</v>
      </c>
      <c r="C3889" s="12">
        <v>500</v>
      </c>
      <c r="D3889" s="12">
        <v>50</v>
      </c>
    </row>
    <row r="3890" spans="1:4" x14ac:dyDescent="0.2">
      <c r="A3890" s="12" t="s">
        <v>2787</v>
      </c>
      <c r="B3890" s="12" t="s">
        <v>2786</v>
      </c>
      <c r="C3890" s="12">
        <v>5600</v>
      </c>
      <c r="D3890" s="12">
        <v>540</v>
      </c>
    </row>
    <row r="3891" spans="1:4" x14ac:dyDescent="0.2">
      <c r="A3891" s="12" t="s">
        <v>8626</v>
      </c>
      <c r="B3891" s="12" t="s">
        <v>8625</v>
      </c>
      <c r="C3891" s="12">
        <v>1250</v>
      </c>
      <c r="D3891" s="12">
        <v>125</v>
      </c>
    </row>
    <row r="3892" spans="1:4" x14ac:dyDescent="0.2">
      <c r="A3892" s="12" t="s">
        <v>2836</v>
      </c>
      <c r="B3892" s="12" t="s">
        <v>2835</v>
      </c>
      <c r="C3892" s="12">
        <v>1700</v>
      </c>
      <c r="D3892" s="12">
        <v>330</v>
      </c>
    </row>
    <row r="3893" spans="1:4" x14ac:dyDescent="0.2">
      <c r="A3893" s="12" t="s">
        <v>1565</v>
      </c>
      <c r="B3893" s="12" t="s">
        <v>1564</v>
      </c>
      <c r="C3893" s="12">
        <v>3500</v>
      </c>
      <c r="D3893" s="12">
        <v>350</v>
      </c>
    </row>
    <row r="3894" spans="1:4" x14ac:dyDescent="0.2">
      <c r="A3894" s="12" t="s">
        <v>8612</v>
      </c>
      <c r="B3894" s="12" t="s">
        <v>8611</v>
      </c>
      <c r="C3894" s="12">
        <v>290</v>
      </c>
      <c r="D3894" s="12">
        <v>3.3</v>
      </c>
    </row>
    <row r="3895" spans="1:4" x14ac:dyDescent="0.2">
      <c r="A3895" s="12" t="s">
        <v>8749</v>
      </c>
      <c r="B3895" s="12" t="s">
        <v>8748</v>
      </c>
      <c r="C3895" s="12">
        <v>500</v>
      </c>
      <c r="D3895" s="12">
        <v>50</v>
      </c>
    </row>
    <row r="3896" spans="1:4" x14ac:dyDescent="0.2">
      <c r="A3896" s="12" t="s">
        <v>8745</v>
      </c>
      <c r="B3896" s="12" t="s">
        <v>8744</v>
      </c>
      <c r="C3896" s="12">
        <v>90</v>
      </c>
      <c r="D3896" s="12">
        <v>9</v>
      </c>
    </row>
    <row r="3897" spans="1:4" x14ac:dyDescent="0.2">
      <c r="A3897" s="12" t="s">
        <v>12183</v>
      </c>
      <c r="B3897" s="12" t="s">
        <v>12182</v>
      </c>
      <c r="C3897" s="12">
        <v>100</v>
      </c>
      <c r="D3897" s="12">
        <v>10</v>
      </c>
    </row>
    <row r="3898" spans="1:4" x14ac:dyDescent="0.2">
      <c r="A3898" s="12" t="s">
        <v>926</v>
      </c>
      <c r="B3898" s="12" t="s">
        <v>925</v>
      </c>
      <c r="C3898" s="12" t="s">
        <v>59</v>
      </c>
      <c r="D3898" s="12" t="s">
        <v>59</v>
      </c>
    </row>
    <row r="3899" spans="1:4" x14ac:dyDescent="0.2">
      <c r="A3899" s="12" t="s">
        <v>927</v>
      </c>
      <c r="B3899" s="12" t="s">
        <v>925</v>
      </c>
      <c r="C3899" s="12">
        <v>1000</v>
      </c>
      <c r="D3899" s="12">
        <v>100</v>
      </c>
    </row>
    <row r="3900" spans="1:4" x14ac:dyDescent="0.2">
      <c r="A3900" s="12" t="s">
        <v>6311</v>
      </c>
      <c r="B3900" s="12" t="s">
        <v>6310</v>
      </c>
      <c r="C3900" s="12" t="s">
        <v>59</v>
      </c>
      <c r="D3900" s="12" t="s">
        <v>59</v>
      </c>
    </row>
    <row r="3901" spans="1:4" x14ac:dyDescent="0.2">
      <c r="A3901" s="12" t="s">
        <v>6312</v>
      </c>
      <c r="B3901" s="12" t="s">
        <v>6310</v>
      </c>
      <c r="C3901" s="12">
        <v>1000</v>
      </c>
      <c r="D3901" s="12">
        <v>100</v>
      </c>
    </row>
    <row r="3902" spans="1:4" x14ac:dyDescent="0.2">
      <c r="A3902" s="12" t="s">
        <v>2724</v>
      </c>
      <c r="B3902" s="12" t="s">
        <v>2723</v>
      </c>
      <c r="C3902" s="12">
        <v>100</v>
      </c>
      <c r="D3902" s="12">
        <v>10</v>
      </c>
    </row>
    <row r="3903" spans="1:4" x14ac:dyDescent="0.2">
      <c r="A3903" s="12" t="s">
        <v>9258</v>
      </c>
      <c r="B3903" s="12" t="s">
        <v>9257</v>
      </c>
      <c r="C3903" s="12">
        <v>1</v>
      </c>
      <c r="D3903" s="12">
        <v>0.1</v>
      </c>
    </row>
    <row r="3904" spans="1:4" x14ac:dyDescent="0.2">
      <c r="A3904" s="12" t="s">
        <v>5206</v>
      </c>
      <c r="B3904" s="12" t="s">
        <v>5205</v>
      </c>
      <c r="C3904" s="12" t="s">
        <v>59</v>
      </c>
      <c r="D3904" s="12" t="s">
        <v>59</v>
      </c>
    </row>
    <row r="3905" spans="1:4" x14ac:dyDescent="0.2">
      <c r="A3905" s="12" t="s">
        <v>9063</v>
      </c>
      <c r="B3905" s="12" t="s">
        <v>9062</v>
      </c>
      <c r="C3905" s="12">
        <v>40</v>
      </c>
      <c r="D3905" s="12">
        <v>4</v>
      </c>
    </row>
    <row r="3906" spans="1:4" x14ac:dyDescent="0.2">
      <c r="A3906" s="12" t="s">
        <v>1944</v>
      </c>
      <c r="B3906" s="12" t="s">
        <v>1943</v>
      </c>
      <c r="C3906" s="12">
        <v>350</v>
      </c>
      <c r="D3906" s="12">
        <v>35</v>
      </c>
    </row>
    <row r="3907" spans="1:4" x14ac:dyDescent="0.2">
      <c r="A3907" s="12" t="s">
        <v>1224</v>
      </c>
      <c r="B3907" s="12" t="s">
        <v>1223</v>
      </c>
      <c r="C3907" s="12">
        <v>340</v>
      </c>
      <c r="D3907" s="12">
        <v>34</v>
      </c>
    </row>
    <row r="3908" spans="1:4" x14ac:dyDescent="0.2">
      <c r="A3908" s="12" t="s">
        <v>7546</v>
      </c>
      <c r="B3908" s="12" t="s">
        <v>7545</v>
      </c>
      <c r="C3908" s="12">
        <v>1000</v>
      </c>
      <c r="D3908" s="12">
        <v>100</v>
      </c>
    </row>
    <row r="3909" spans="1:4" x14ac:dyDescent="0.2">
      <c r="A3909" s="12" t="s">
        <v>3183</v>
      </c>
      <c r="B3909" s="12" t="s">
        <v>3182</v>
      </c>
      <c r="C3909" s="12">
        <v>240</v>
      </c>
      <c r="D3909" s="12">
        <v>24</v>
      </c>
    </row>
    <row r="3910" spans="1:4" x14ac:dyDescent="0.2">
      <c r="A3910" s="12" t="s">
        <v>5540</v>
      </c>
      <c r="B3910" s="12" t="s">
        <v>5539</v>
      </c>
      <c r="C3910" s="12">
        <v>2200</v>
      </c>
      <c r="D3910" s="12">
        <v>220</v>
      </c>
    </row>
    <row r="3911" spans="1:4" x14ac:dyDescent="0.2">
      <c r="A3911" s="12" t="s">
        <v>2100</v>
      </c>
      <c r="B3911" s="12" t="s">
        <v>2099</v>
      </c>
      <c r="C3911" s="12">
        <v>1000</v>
      </c>
      <c r="D3911" s="12">
        <v>100</v>
      </c>
    </row>
    <row r="3912" spans="1:4" x14ac:dyDescent="0.2">
      <c r="A3912" s="12" t="s">
        <v>9790</v>
      </c>
      <c r="B3912" s="12" t="s">
        <v>9789</v>
      </c>
      <c r="C3912" s="12">
        <v>1250</v>
      </c>
      <c r="D3912" s="12">
        <v>125</v>
      </c>
    </row>
    <row r="3913" spans="1:4" x14ac:dyDescent="0.2">
      <c r="A3913" s="12" t="s">
        <v>10100</v>
      </c>
      <c r="B3913" s="12" t="s">
        <v>10099</v>
      </c>
      <c r="C3913" s="12">
        <v>250</v>
      </c>
      <c r="D3913" s="12">
        <v>48</v>
      </c>
    </row>
    <row r="3914" spans="1:4" x14ac:dyDescent="0.2">
      <c r="A3914" s="12" t="s">
        <v>2934</v>
      </c>
      <c r="B3914" s="12" t="s">
        <v>2933</v>
      </c>
      <c r="C3914" s="12">
        <v>80</v>
      </c>
      <c r="D3914" s="12">
        <v>8</v>
      </c>
    </row>
    <row r="3915" spans="1:4" x14ac:dyDescent="0.2">
      <c r="A3915" s="12" t="s">
        <v>2257</v>
      </c>
      <c r="B3915" s="12" t="s">
        <v>2256</v>
      </c>
      <c r="C3915" s="12">
        <v>660</v>
      </c>
      <c r="D3915" s="12">
        <v>66</v>
      </c>
    </row>
    <row r="3916" spans="1:4" x14ac:dyDescent="0.2">
      <c r="A3916" s="12" t="s">
        <v>2811</v>
      </c>
      <c r="B3916" s="12" t="s">
        <v>2810</v>
      </c>
      <c r="C3916" s="12">
        <v>2000</v>
      </c>
      <c r="D3916" s="12">
        <v>200</v>
      </c>
    </row>
    <row r="3917" spans="1:4" x14ac:dyDescent="0.2">
      <c r="A3917" s="12" t="s">
        <v>8403</v>
      </c>
      <c r="B3917" s="12" t="s">
        <v>8402</v>
      </c>
      <c r="C3917" s="12">
        <v>12800</v>
      </c>
      <c r="D3917" s="12">
        <v>1280</v>
      </c>
    </row>
    <row r="3918" spans="1:4" x14ac:dyDescent="0.2">
      <c r="A3918" s="12" t="s">
        <v>6578</v>
      </c>
      <c r="B3918" s="12" t="s">
        <v>6577</v>
      </c>
      <c r="C3918" s="12">
        <v>500</v>
      </c>
      <c r="D3918" s="12">
        <v>50</v>
      </c>
    </row>
    <row r="3919" spans="1:4" x14ac:dyDescent="0.2">
      <c r="A3919" s="12" t="s">
        <v>5891</v>
      </c>
      <c r="B3919" s="12" t="s">
        <v>5890</v>
      </c>
      <c r="C3919" s="12">
        <v>400</v>
      </c>
      <c r="D3919" s="12">
        <v>40</v>
      </c>
    </row>
    <row r="3920" spans="1:4" x14ac:dyDescent="0.2">
      <c r="A3920" s="12" t="s">
        <v>1583</v>
      </c>
      <c r="B3920" s="12" t="s">
        <v>1582</v>
      </c>
      <c r="C3920" s="12">
        <v>100</v>
      </c>
      <c r="D3920" s="12">
        <v>10</v>
      </c>
    </row>
    <row r="3921" spans="1:4" x14ac:dyDescent="0.2">
      <c r="A3921" s="12" t="s">
        <v>5222</v>
      </c>
      <c r="B3921" s="12" t="s">
        <v>5221</v>
      </c>
      <c r="C3921" s="12">
        <v>16100</v>
      </c>
      <c r="D3921" s="12">
        <v>1610</v>
      </c>
    </row>
    <row r="3922" spans="1:4" x14ac:dyDescent="0.2">
      <c r="A3922" s="12" t="s">
        <v>5548</v>
      </c>
      <c r="B3922" s="12" t="s">
        <v>5547</v>
      </c>
      <c r="C3922" s="12">
        <v>1500</v>
      </c>
      <c r="D3922" s="12">
        <v>150</v>
      </c>
    </row>
    <row r="3923" spans="1:4" x14ac:dyDescent="0.2">
      <c r="A3923" s="12" t="s">
        <v>2215</v>
      </c>
      <c r="B3923" s="12" t="s">
        <v>2214</v>
      </c>
      <c r="C3923" s="12">
        <v>2700</v>
      </c>
      <c r="D3923" s="12">
        <v>270</v>
      </c>
    </row>
    <row r="3924" spans="1:4" x14ac:dyDescent="0.2">
      <c r="A3924" s="12" t="s">
        <v>9826</v>
      </c>
      <c r="B3924" s="12" t="s">
        <v>9825</v>
      </c>
      <c r="C3924" s="12">
        <v>5</v>
      </c>
      <c r="D3924" s="12">
        <v>0.5</v>
      </c>
    </row>
    <row r="3925" spans="1:4" x14ac:dyDescent="0.2">
      <c r="A3925" s="12" t="s">
        <v>8996</v>
      </c>
      <c r="B3925" s="12" t="s">
        <v>8995</v>
      </c>
      <c r="C3925" s="12">
        <v>230</v>
      </c>
      <c r="D3925" s="12">
        <v>23</v>
      </c>
    </row>
    <row r="3926" spans="1:4" x14ac:dyDescent="0.2">
      <c r="A3926" s="12" t="s">
        <v>11877</v>
      </c>
      <c r="B3926" s="12" t="s">
        <v>11876</v>
      </c>
      <c r="C3926" s="12">
        <v>10000</v>
      </c>
      <c r="D3926" s="12">
        <v>480</v>
      </c>
    </row>
    <row r="3927" spans="1:4" x14ac:dyDescent="0.2">
      <c r="A3927" s="12" t="s">
        <v>3495</v>
      </c>
      <c r="B3927" s="12" t="s">
        <v>3494</v>
      </c>
      <c r="C3927" s="12" t="s">
        <v>59</v>
      </c>
      <c r="D3927" s="12" t="s">
        <v>59</v>
      </c>
    </row>
    <row r="3928" spans="1:4" x14ac:dyDescent="0.2">
      <c r="A3928" s="12" t="s">
        <v>8456</v>
      </c>
      <c r="B3928" s="12" t="s">
        <v>8455</v>
      </c>
      <c r="C3928" s="12">
        <v>0.7</v>
      </c>
      <c r="D3928" s="12">
        <v>0.1</v>
      </c>
    </row>
    <row r="3929" spans="1:4" x14ac:dyDescent="0.2">
      <c r="A3929" s="12" t="s">
        <v>2478</v>
      </c>
      <c r="B3929" s="12" t="s">
        <v>2477</v>
      </c>
      <c r="C3929" s="12">
        <v>22</v>
      </c>
      <c r="D3929" s="12">
        <v>14</v>
      </c>
    </row>
    <row r="3930" spans="1:4" x14ac:dyDescent="0.2">
      <c r="A3930" s="12" t="s">
        <v>6086</v>
      </c>
      <c r="B3930" s="12" t="s">
        <v>6085</v>
      </c>
      <c r="C3930" s="12">
        <v>20</v>
      </c>
      <c r="D3930" s="12">
        <v>2</v>
      </c>
    </row>
    <row r="3931" spans="1:4" x14ac:dyDescent="0.2">
      <c r="A3931" s="12" t="s">
        <v>6641</v>
      </c>
      <c r="B3931" s="12" t="s">
        <v>6640</v>
      </c>
      <c r="C3931" s="12">
        <v>50</v>
      </c>
      <c r="D3931" s="12">
        <v>5</v>
      </c>
    </row>
    <row r="3932" spans="1:4" x14ac:dyDescent="0.2">
      <c r="A3932" s="12" t="s">
        <v>2013</v>
      </c>
      <c r="B3932" s="12" t="s">
        <v>2012</v>
      </c>
      <c r="C3932" s="12">
        <v>1030</v>
      </c>
      <c r="D3932" s="12">
        <v>103</v>
      </c>
    </row>
    <row r="3933" spans="1:4" x14ac:dyDescent="0.2">
      <c r="A3933" s="12" t="s">
        <v>4077</v>
      </c>
      <c r="B3933" s="12" t="s">
        <v>4076</v>
      </c>
      <c r="C3933" s="12">
        <v>80</v>
      </c>
      <c r="D3933" s="12">
        <v>8</v>
      </c>
    </row>
    <row r="3934" spans="1:4" x14ac:dyDescent="0.2">
      <c r="A3934" s="12" t="s">
        <v>8357</v>
      </c>
      <c r="B3934" s="12" t="s">
        <v>8356</v>
      </c>
      <c r="C3934" s="12">
        <v>37</v>
      </c>
      <c r="D3934" s="12">
        <v>3.7</v>
      </c>
    </row>
    <row r="3935" spans="1:4" x14ac:dyDescent="0.2">
      <c r="A3935" s="12" t="s">
        <v>9212</v>
      </c>
      <c r="B3935" s="12" t="s">
        <v>9211</v>
      </c>
      <c r="C3935" s="12">
        <v>3100</v>
      </c>
      <c r="D3935" s="12">
        <v>310</v>
      </c>
    </row>
    <row r="3936" spans="1:4" x14ac:dyDescent="0.2">
      <c r="A3936" s="12" t="s">
        <v>6631</v>
      </c>
      <c r="B3936" s="12" t="s">
        <v>6630</v>
      </c>
      <c r="C3936" s="12">
        <v>2500</v>
      </c>
      <c r="D3936" s="12">
        <v>250</v>
      </c>
    </row>
    <row r="3937" spans="1:4" x14ac:dyDescent="0.2">
      <c r="A3937" s="12" t="s">
        <v>7928</v>
      </c>
      <c r="B3937" s="12" t="s">
        <v>7927</v>
      </c>
      <c r="C3937" s="12">
        <v>3000</v>
      </c>
      <c r="D3937" s="12">
        <v>300</v>
      </c>
    </row>
    <row r="3938" spans="1:4" x14ac:dyDescent="0.2">
      <c r="A3938" s="12" t="s">
        <v>11786</v>
      </c>
      <c r="B3938" s="12" t="s">
        <v>11785</v>
      </c>
      <c r="C3938" s="12" t="s">
        <v>59</v>
      </c>
      <c r="D3938" s="12" t="s">
        <v>59</v>
      </c>
    </row>
    <row r="3939" spans="1:4" x14ac:dyDescent="0.2">
      <c r="A3939" s="12" t="s">
        <v>1716</v>
      </c>
      <c r="B3939" s="12" t="s">
        <v>1715</v>
      </c>
      <c r="C3939" s="12">
        <v>1000</v>
      </c>
      <c r="D3939" s="12">
        <v>100</v>
      </c>
    </row>
    <row r="3940" spans="1:4" x14ac:dyDescent="0.2">
      <c r="A3940" s="12" t="s">
        <v>7950</v>
      </c>
      <c r="B3940" s="12" t="s">
        <v>7949</v>
      </c>
      <c r="C3940" s="12">
        <v>18</v>
      </c>
      <c r="D3940" s="12">
        <v>14</v>
      </c>
    </row>
    <row r="3941" spans="1:4" x14ac:dyDescent="0.2">
      <c r="A3941" s="12" t="s">
        <v>8741</v>
      </c>
      <c r="B3941" s="12" t="s">
        <v>8740</v>
      </c>
      <c r="C3941" s="12">
        <v>50</v>
      </c>
      <c r="D3941" s="12">
        <v>5</v>
      </c>
    </row>
    <row r="3942" spans="1:4" x14ac:dyDescent="0.2">
      <c r="A3942" s="12" t="s">
        <v>10799</v>
      </c>
      <c r="B3942" s="12" t="s">
        <v>10798</v>
      </c>
      <c r="C3942" s="12">
        <v>2700</v>
      </c>
      <c r="D3942" s="12">
        <v>270</v>
      </c>
    </row>
    <row r="3943" spans="1:4" x14ac:dyDescent="0.2">
      <c r="A3943" s="12" t="s">
        <v>2898</v>
      </c>
      <c r="B3943" s="12" t="s">
        <v>2897</v>
      </c>
      <c r="C3943" s="12">
        <v>40</v>
      </c>
      <c r="D3943" s="12">
        <v>4</v>
      </c>
    </row>
    <row r="3944" spans="1:4" x14ac:dyDescent="0.2">
      <c r="A3944" s="12" t="s">
        <v>2720</v>
      </c>
      <c r="B3944" s="12" t="s">
        <v>2719</v>
      </c>
      <c r="C3944" s="12">
        <v>50</v>
      </c>
      <c r="D3944" s="12">
        <v>5</v>
      </c>
    </row>
    <row r="3945" spans="1:4" x14ac:dyDescent="0.2">
      <c r="A3945" s="12" t="s">
        <v>2132</v>
      </c>
      <c r="B3945" s="12" t="s">
        <v>2131</v>
      </c>
      <c r="C3945" s="12">
        <v>2000</v>
      </c>
      <c r="D3945" s="12">
        <v>200</v>
      </c>
    </row>
    <row r="3946" spans="1:4" x14ac:dyDescent="0.2">
      <c r="A3946" s="12" t="s">
        <v>8807</v>
      </c>
      <c r="B3946" s="12" t="s">
        <v>8806</v>
      </c>
      <c r="C3946" s="12">
        <v>240</v>
      </c>
      <c r="D3946" s="12">
        <v>24</v>
      </c>
    </row>
    <row r="3947" spans="1:4" x14ac:dyDescent="0.2">
      <c r="A3947" s="12" t="s">
        <v>10539</v>
      </c>
      <c r="B3947" s="12" t="s">
        <v>10538</v>
      </c>
      <c r="C3947" s="12">
        <v>1100</v>
      </c>
      <c r="D3947" s="12">
        <v>110</v>
      </c>
    </row>
    <row r="3948" spans="1:4" x14ac:dyDescent="0.2">
      <c r="A3948" s="12" t="s">
        <v>1191</v>
      </c>
      <c r="B3948" s="12" t="s">
        <v>1190</v>
      </c>
      <c r="C3948" s="12">
        <v>16400</v>
      </c>
      <c r="D3948" s="12">
        <v>1640</v>
      </c>
    </row>
    <row r="3949" spans="1:4" x14ac:dyDescent="0.2">
      <c r="A3949" s="12" t="s">
        <v>5230</v>
      </c>
      <c r="B3949" s="12" t="s">
        <v>5229</v>
      </c>
      <c r="C3949" s="12">
        <v>10000</v>
      </c>
      <c r="D3949" s="12">
        <v>480</v>
      </c>
    </row>
    <row r="3950" spans="1:4" x14ac:dyDescent="0.2">
      <c r="A3950" s="12" t="s">
        <v>5839</v>
      </c>
      <c r="B3950" s="12" t="s">
        <v>5838</v>
      </c>
      <c r="C3950" s="12">
        <v>1</v>
      </c>
      <c r="D3950" s="12">
        <v>0.1</v>
      </c>
    </row>
    <row r="3951" spans="1:4" x14ac:dyDescent="0.2">
      <c r="A3951" s="12" t="s">
        <v>2844</v>
      </c>
      <c r="B3951" s="12" t="s">
        <v>2843</v>
      </c>
      <c r="C3951" s="12">
        <v>93</v>
      </c>
      <c r="D3951" s="12">
        <v>9.3000000000000007</v>
      </c>
    </row>
    <row r="3952" spans="1:4" x14ac:dyDescent="0.2">
      <c r="A3952" s="12" t="s">
        <v>11078</v>
      </c>
      <c r="B3952" s="12" t="s">
        <v>11077</v>
      </c>
      <c r="C3952" s="12">
        <v>0.5</v>
      </c>
      <c r="D3952" s="12">
        <v>0.05</v>
      </c>
    </row>
    <row r="3953" spans="1:4" x14ac:dyDescent="0.2">
      <c r="A3953" s="12" t="s">
        <v>1742</v>
      </c>
      <c r="B3953" s="12" t="s">
        <v>1741</v>
      </c>
      <c r="C3953" s="12">
        <v>1800</v>
      </c>
      <c r="D3953" s="12">
        <v>180</v>
      </c>
    </row>
    <row r="3954" spans="1:4" x14ac:dyDescent="0.2">
      <c r="A3954" s="12" t="s">
        <v>9254</v>
      </c>
      <c r="B3954" s="12" t="s">
        <v>9253</v>
      </c>
      <c r="C3954" s="12">
        <v>1</v>
      </c>
      <c r="D3954" s="12">
        <v>0.1</v>
      </c>
    </row>
    <row r="3955" spans="1:4" x14ac:dyDescent="0.2">
      <c r="A3955" s="12" t="s">
        <v>11139</v>
      </c>
      <c r="B3955" s="12" t="s">
        <v>11138</v>
      </c>
      <c r="C3955" s="12">
        <v>10</v>
      </c>
      <c r="D3955" s="12">
        <v>1</v>
      </c>
    </row>
    <row r="3956" spans="1:4" x14ac:dyDescent="0.2">
      <c r="A3956" s="12" t="s">
        <v>2349</v>
      </c>
      <c r="B3956" s="12" t="s">
        <v>2348</v>
      </c>
      <c r="C3956" s="12" t="s">
        <v>59</v>
      </c>
      <c r="D3956" s="12" t="s">
        <v>59</v>
      </c>
    </row>
    <row r="3957" spans="1:4" x14ac:dyDescent="0.2">
      <c r="A3957" s="12" t="s">
        <v>8434</v>
      </c>
      <c r="B3957" s="12" t="s">
        <v>8433</v>
      </c>
      <c r="C3957" s="12">
        <v>100</v>
      </c>
      <c r="D3957" s="12">
        <v>10</v>
      </c>
    </row>
    <row r="3958" spans="1:4" x14ac:dyDescent="0.2">
      <c r="A3958" s="12" t="s">
        <v>6077</v>
      </c>
      <c r="B3958" s="12" t="s">
        <v>6076</v>
      </c>
      <c r="C3958" s="12">
        <v>4300</v>
      </c>
      <c r="D3958" s="12">
        <v>430</v>
      </c>
    </row>
    <row r="3959" spans="1:4" x14ac:dyDescent="0.2">
      <c r="A3959" s="12" t="s">
        <v>6078</v>
      </c>
      <c r="B3959" s="12" t="s">
        <v>6076</v>
      </c>
      <c r="C3959" s="12" t="s">
        <v>59</v>
      </c>
      <c r="D3959" s="12" t="s">
        <v>59</v>
      </c>
    </row>
    <row r="3960" spans="1:4" x14ac:dyDescent="0.2">
      <c r="A3960" s="12" t="s">
        <v>2253</v>
      </c>
      <c r="B3960" s="12" t="s">
        <v>2252</v>
      </c>
      <c r="C3960" s="12">
        <v>3400</v>
      </c>
      <c r="D3960" s="12">
        <v>340</v>
      </c>
    </row>
    <row r="3961" spans="1:4" x14ac:dyDescent="0.2">
      <c r="A3961" s="12" t="s">
        <v>5190</v>
      </c>
      <c r="B3961" s="12" t="s">
        <v>5189</v>
      </c>
      <c r="C3961" s="12">
        <v>3.6</v>
      </c>
      <c r="D3961" s="12">
        <v>4.1000000000000002E-2</v>
      </c>
    </row>
    <row r="3962" spans="1:4" x14ac:dyDescent="0.2">
      <c r="A3962" s="12" t="s">
        <v>7808</v>
      </c>
      <c r="B3962" s="12" t="s">
        <v>7807</v>
      </c>
      <c r="C3962" s="12">
        <v>370</v>
      </c>
      <c r="D3962" s="12">
        <v>37</v>
      </c>
    </row>
    <row r="3963" spans="1:4" x14ac:dyDescent="0.2">
      <c r="A3963" s="12" t="s">
        <v>8992</v>
      </c>
      <c r="B3963" s="12" t="s">
        <v>8991</v>
      </c>
      <c r="C3963" s="12">
        <v>2700</v>
      </c>
      <c r="D3963" s="12">
        <v>270</v>
      </c>
    </row>
    <row r="3964" spans="1:4" x14ac:dyDescent="0.2">
      <c r="A3964" s="12" t="s">
        <v>2582</v>
      </c>
      <c r="B3964" s="12" t="s">
        <v>2581</v>
      </c>
      <c r="C3964" s="12">
        <v>90</v>
      </c>
      <c r="D3964" s="12">
        <v>9</v>
      </c>
    </row>
    <row r="3965" spans="1:4" x14ac:dyDescent="0.2">
      <c r="A3965" s="12" t="s">
        <v>4912</v>
      </c>
      <c r="B3965" s="12" t="s">
        <v>4911</v>
      </c>
      <c r="C3965" s="12">
        <v>220</v>
      </c>
      <c r="D3965" s="12">
        <v>22</v>
      </c>
    </row>
    <row r="3966" spans="1:4" x14ac:dyDescent="0.2">
      <c r="A3966" s="12" t="s">
        <v>1081</v>
      </c>
      <c r="B3966" s="12" t="s">
        <v>1080</v>
      </c>
      <c r="C3966" s="12">
        <v>630</v>
      </c>
      <c r="D3966" s="12">
        <v>270</v>
      </c>
    </row>
    <row r="3967" spans="1:4" x14ac:dyDescent="0.2">
      <c r="A3967" s="12" t="s">
        <v>6787</v>
      </c>
      <c r="B3967" s="12" t="s">
        <v>6786</v>
      </c>
      <c r="C3967" s="12">
        <v>2340</v>
      </c>
      <c r="D3967" s="12">
        <v>234</v>
      </c>
    </row>
    <row r="3968" spans="1:4" x14ac:dyDescent="0.2">
      <c r="A3968" s="12" t="s">
        <v>7684</v>
      </c>
      <c r="B3968" s="12" t="s">
        <v>7683</v>
      </c>
      <c r="C3968" s="12" t="s">
        <v>59</v>
      </c>
      <c r="D3968" s="12" t="s">
        <v>59</v>
      </c>
    </row>
    <row r="3969" spans="1:4" x14ac:dyDescent="0.2">
      <c r="A3969" s="12" t="s">
        <v>6734</v>
      </c>
      <c r="B3969" s="12" t="s">
        <v>6733</v>
      </c>
      <c r="C3969" s="12">
        <v>1</v>
      </c>
      <c r="D3969" s="12">
        <v>0.1</v>
      </c>
    </row>
    <row r="3970" spans="1:4" x14ac:dyDescent="0.2">
      <c r="A3970" s="12" t="s">
        <v>860</v>
      </c>
      <c r="B3970" s="12" t="s">
        <v>859</v>
      </c>
      <c r="C3970" s="12">
        <v>90</v>
      </c>
      <c r="D3970" s="12">
        <v>9</v>
      </c>
    </row>
    <row r="3971" spans="1:4" x14ac:dyDescent="0.2">
      <c r="A3971" s="12" t="s">
        <v>4559</v>
      </c>
      <c r="B3971" s="12" t="s">
        <v>4558</v>
      </c>
      <c r="C3971" s="12">
        <v>250</v>
      </c>
      <c r="D3971" s="12">
        <v>25</v>
      </c>
    </row>
    <row r="3972" spans="1:4" x14ac:dyDescent="0.2">
      <c r="A3972" s="12" t="s">
        <v>8476</v>
      </c>
      <c r="B3972" s="12" t="s">
        <v>8475</v>
      </c>
      <c r="C3972" s="12">
        <v>270</v>
      </c>
      <c r="D3972" s="12">
        <v>27</v>
      </c>
    </row>
    <row r="3973" spans="1:4" x14ac:dyDescent="0.2">
      <c r="A3973" s="12" t="s">
        <v>969</v>
      </c>
      <c r="B3973" s="12" t="s">
        <v>968</v>
      </c>
      <c r="C3973" s="12">
        <v>2700</v>
      </c>
      <c r="D3973" s="12">
        <v>270</v>
      </c>
    </row>
    <row r="3974" spans="1:4" x14ac:dyDescent="0.2">
      <c r="A3974" s="12" t="s">
        <v>7481</v>
      </c>
      <c r="B3974" s="12" t="s">
        <v>7480</v>
      </c>
      <c r="C3974" s="12">
        <v>750</v>
      </c>
      <c r="D3974" s="12">
        <v>75</v>
      </c>
    </row>
    <row r="3975" spans="1:4" x14ac:dyDescent="0.2">
      <c r="A3975" s="12" t="s">
        <v>6732</v>
      </c>
      <c r="B3975" s="12" t="s">
        <v>6731</v>
      </c>
      <c r="C3975" s="12">
        <v>350</v>
      </c>
      <c r="D3975" s="12">
        <v>35</v>
      </c>
    </row>
    <row r="3976" spans="1:4" x14ac:dyDescent="0.2">
      <c r="A3976" s="12" t="s">
        <v>6257</v>
      </c>
      <c r="B3976" s="12" t="s">
        <v>6256</v>
      </c>
      <c r="C3976" s="12">
        <v>140</v>
      </c>
      <c r="D3976" s="12">
        <v>14</v>
      </c>
    </row>
    <row r="3977" spans="1:4" x14ac:dyDescent="0.2">
      <c r="A3977" s="12" t="s">
        <v>5574</v>
      </c>
      <c r="B3977" s="12" t="s">
        <v>5573</v>
      </c>
      <c r="C3977" s="12">
        <v>490</v>
      </c>
      <c r="D3977" s="12">
        <v>49</v>
      </c>
    </row>
    <row r="3978" spans="1:4" x14ac:dyDescent="0.2">
      <c r="A3978" s="12" t="s">
        <v>7779</v>
      </c>
      <c r="B3978" s="12" t="s">
        <v>7778</v>
      </c>
      <c r="C3978" s="12" t="s">
        <v>59</v>
      </c>
      <c r="D3978" s="12" t="s">
        <v>59</v>
      </c>
    </row>
    <row r="3979" spans="1:4" x14ac:dyDescent="0.2">
      <c r="A3979" s="12" t="s">
        <v>7532</v>
      </c>
      <c r="B3979" s="12" t="s">
        <v>7531</v>
      </c>
      <c r="C3979" s="12">
        <v>3000</v>
      </c>
      <c r="D3979" s="12">
        <v>300</v>
      </c>
    </row>
    <row r="3980" spans="1:4" x14ac:dyDescent="0.2">
      <c r="A3980" s="12" t="s">
        <v>7536</v>
      </c>
      <c r="B3980" s="12" t="s">
        <v>7535</v>
      </c>
      <c r="C3980" s="12">
        <v>110</v>
      </c>
      <c r="D3980" s="12">
        <v>14</v>
      </c>
    </row>
    <row r="3981" spans="1:4" x14ac:dyDescent="0.2">
      <c r="A3981" s="12" t="s">
        <v>11988</v>
      </c>
      <c r="B3981" s="12" t="s">
        <v>11987</v>
      </c>
      <c r="C3981" s="12">
        <v>3500</v>
      </c>
      <c r="D3981" s="12">
        <v>350</v>
      </c>
    </row>
    <row r="3982" spans="1:4" x14ac:dyDescent="0.2">
      <c r="A3982" s="12" t="s">
        <v>11637</v>
      </c>
      <c r="B3982" s="12" t="s">
        <v>11636</v>
      </c>
      <c r="C3982" s="12">
        <v>3500</v>
      </c>
      <c r="D3982" s="12">
        <v>350</v>
      </c>
    </row>
    <row r="3983" spans="1:4" x14ac:dyDescent="0.2">
      <c r="A3983" s="12" t="s">
        <v>1037</v>
      </c>
      <c r="B3983" s="12" t="s">
        <v>1036</v>
      </c>
      <c r="C3983" s="12">
        <v>5700</v>
      </c>
      <c r="D3983" s="12">
        <v>570</v>
      </c>
    </row>
    <row r="3984" spans="1:4" x14ac:dyDescent="0.2">
      <c r="A3984" s="12" t="s">
        <v>1175</v>
      </c>
      <c r="B3984" s="12" t="s">
        <v>1174</v>
      </c>
      <c r="C3984" s="12">
        <v>1500</v>
      </c>
      <c r="D3984" s="12">
        <v>150</v>
      </c>
    </row>
    <row r="3985" spans="1:4" x14ac:dyDescent="0.2">
      <c r="A3985" s="12" t="s">
        <v>1176</v>
      </c>
      <c r="B3985" s="12" t="s">
        <v>1174</v>
      </c>
      <c r="C3985" s="12" t="s">
        <v>59</v>
      </c>
      <c r="D3985" s="12" t="s">
        <v>59</v>
      </c>
    </row>
    <row r="3986" spans="1:4" x14ac:dyDescent="0.2">
      <c r="A3986" s="12" t="s">
        <v>7402</v>
      </c>
      <c r="B3986" s="12" t="s">
        <v>7401</v>
      </c>
      <c r="C3986" s="12">
        <v>3500</v>
      </c>
      <c r="D3986" s="12">
        <v>350</v>
      </c>
    </row>
    <row r="3987" spans="1:4" x14ac:dyDescent="0.2">
      <c r="A3987" s="12" t="s">
        <v>9286</v>
      </c>
      <c r="B3987" s="12" t="s">
        <v>9285</v>
      </c>
      <c r="C3987" s="12" t="s">
        <v>59</v>
      </c>
      <c r="D3987" s="12" t="s">
        <v>59</v>
      </c>
    </row>
    <row r="3988" spans="1:4" x14ac:dyDescent="0.2">
      <c r="A3988" s="12" t="s">
        <v>7396</v>
      </c>
      <c r="B3988" s="12" t="s">
        <v>7395</v>
      </c>
      <c r="C3988" s="12" t="s">
        <v>59</v>
      </c>
      <c r="D3988" s="12" t="s">
        <v>59</v>
      </c>
    </row>
    <row r="3989" spans="1:4" x14ac:dyDescent="0.2">
      <c r="A3989" s="12" t="s">
        <v>994</v>
      </c>
      <c r="B3989" s="12" t="s">
        <v>993</v>
      </c>
      <c r="C3989" s="12" t="s">
        <v>59</v>
      </c>
      <c r="D3989" s="12" t="s">
        <v>59</v>
      </c>
    </row>
    <row r="3990" spans="1:4" x14ac:dyDescent="0.2">
      <c r="A3990" s="12" t="s">
        <v>6405</v>
      </c>
      <c r="B3990" s="12" t="s">
        <v>6404</v>
      </c>
      <c r="C3990" s="12" t="s">
        <v>59</v>
      </c>
      <c r="D3990" s="12" t="s">
        <v>59</v>
      </c>
    </row>
    <row r="3991" spans="1:4" x14ac:dyDescent="0.2">
      <c r="A3991" s="12" t="s">
        <v>7430</v>
      </c>
      <c r="B3991" s="12" t="s">
        <v>7429</v>
      </c>
      <c r="C3991" s="12" t="s">
        <v>59</v>
      </c>
      <c r="D3991" s="12" t="s">
        <v>59</v>
      </c>
    </row>
    <row r="3992" spans="1:4" x14ac:dyDescent="0.2">
      <c r="A3992" s="12" t="s">
        <v>9404</v>
      </c>
      <c r="B3992" s="12" t="s">
        <v>9403</v>
      </c>
      <c r="C3992" s="12" t="s">
        <v>59</v>
      </c>
      <c r="D3992" s="12" t="s">
        <v>59</v>
      </c>
    </row>
    <row r="3993" spans="1:4" x14ac:dyDescent="0.2">
      <c r="A3993" s="12" t="s">
        <v>9284</v>
      </c>
      <c r="B3993" s="12" t="s">
        <v>9283</v>
      </c>
      <c r="C3993" s="12" t="s">
        <v>59</v>
      </c>
      <c r="D3993" s="12" t="s">
        <v>59</v>
      </c>
    </row>
    <row r="3994" spans="1:4" x14ac:dyDescent="0.2">
      <c r="A3994" s="12" t="s">
        <v>4940</v>
      </c>
      <c r="B3994" s="12" t="s">
        <v>4939</v>
      </c>
      <c r="C3994" s="12" t="s">
        <v>59</v>
      </c>
      <c r="D3994" s="12" t="s">
        <v>59</v>
      </c>
    </row>
    <row r="3995" spans="1:4" x14ac:dyDescent="0.2">
      <c r="A3995" s="12" t="s">
        <v>288</v>
      </c>
      <c r="B3995" s="12" t="s">
        <v>287</v>
      </c>
      <c r="C3995" s="12">
        <v>1050</v>
      </c>
      <c r="D3995" s="12">
        <v>105</v>
      </c>
    </row>
    <row r="3996" spans="1:4" x14ac:dyDescent="0.2">
      <c r="A3996" s="12" t="s">
        <v>4722</v>
      </c>
      <c r="B3996" s="12" t="s">
        <v>4721</v>
      </c>
      <c r="C3996" s="12" t="s">
        <v>59</v>
      </c>
      <c r="D3996" s="12" t="s">
        <v>59</v>
      </c>
    </row>
    <row r="3997" spans="1:4" x14ac:dyDescent="0.2">
      <c r="A3997" s="12" t="s">
        <v>7676</v>
      </c>
      <c r="B3997" s="12" t="s">
        <v>7675</v>
      </c>
      <c r="C3997" s="12">
        <v>10</v>
      </c>
      <c r="D3997" s="12">
        <v>1</v>
      </c>
    </row>
    <row r="3998" spans="1:4" x14ac:dyDescent="0.2">
      <c r="A3998" s="12" t="s">
        <v>234</v>
      </c>
      <c r="B3998" s="12" t="s">
        <v>233</v>
      </c>
      <c r="C3998" s="12">
        <v>21</v>
      </c>
      <c r="D3998" s="12">
        <v>2.1</v>
      </c>
    </row>
    <row r="3999" spans="1:4" x14ac:dyDescent="0.2">
      <c r="A3999" s="12" t="s">
        <v>10302</v>
      </c>
      <c r="B3999" s="12" t="s">
        <v>10301</v>
      </c>
      <c r="C3999" s="12" t="s">
        <v>59</v>
      </c>
      <c r="D3999" s="12" t="s">
        <v>59</v>
      </c>
    </row>
    <row r="4000" spans="1:4" x14ac:dyDescent="0.2">
      <c r="A4000" s="12" t="s">
        <v>10303</v>
      </c>
      <c r="B4000" s="12" t="s">
        <v>10301</v>
      </c>
      <c r="C4000" s="12">
        <v>1000</v>
      </c>
      <c r="D4000" s="12">
        <v>100</v>
      </c>
    </row>
    <row r="4001" spans="1:4" x14ac:dyDescent="0.2">
      <c r="A4001" s="12" t="s">
        <v>10156</v>
      </c>
      <c r="B4001" s="12" t="s">
        <v>10155</v>
      </c>
      <c r="C4001" s="12">
        <v>1000</v>
      </c>
      <c r="D4001" s="12">
        <v>100</v>
      </c>
    </row>
    <row r="4002" spans="1:4" x14ac:dyDescent="0.2">
      <c r="A4002" s="12" t="s">
        <v>10158</v>
      </c>
      <c r="B4002" s="12" t="s">
        <v>10157</v>
      </c>
      <c r="C4002" s="12">
        <v>1000</v>
      </c>
      <c r="D4002" s="12">
        <v>100</v>
      </c>
    </row>
    <row r="4003" spans="1:4" x14ac:dyDescent="0.2">
      <c r="A4003" s="12" t="s">
        <v>10908</v>
      </c>
      <c r="B4003" s="12" t="s">
        <v>10907</v>
      </c>
      <c r="C4003" s="12" t="s">
        <v>59</v>
      </c>
      <c r="D4003" s="12" t="s">
        <v>59</v>
      </c>
    </row>
    <row r="4004" spans="1:4" x14ac:dyDescent="0.2">
      <c r="A4004" s="12" t="s">
        <v>10909</v>
      </c>
      <c r="B4004" s="12" t="s">
        <v>10907</v>
      </c>
      <c r="C4004" s="12">
        <v>1000</v>
      </c>
      <c r="D4004" s="12">
        <v>100</v>
      </c>
    </row>
    <row r="4005" spans="1:4" x14ac:dyDescent="0.2">
      <c r="A4005" s="12" t="s">
        <v>3977</v>
      </c>
      <c r="B4005" s="12" t="s">
        <v>3976</v>
      </c>
      <c r="C4005" s="12">
        <v>220</v>
      </c>
      <c r="D4005" s="12">
        <v>22</v>
      </c>
    </row>
    <row r="4006" spans="1:4" x14ac:dyDescent="0.2">
      <c r="A4006" s="12" t="s">
        <v>8566</v>
      </c>
      <c r="B4006" s="12" t="s">
        <v>8565</v>
      </c>
      <c r="C4006" s="12">
        <v>0.7</v>
      </c>
      <c r="D4006" s="12">
        <v>0.1</v>
      </c>
    </row>
    <row r="4007" spans="1:4" x14ac:dyDescent="0.2">
      <c r="A4007" s="12" t="s">
        <v>11225</v>
      </c>
      <c r="B4007" s="12" t="s">
        <v>11224</v>
      </c>
      <c r="C4007" s="12">
        <v>250</v>
      </c>
      <c r="D4007" s="12">
        <v>25</v>
      </c>
    </row>
    <row r="4008" spans="1:4" x14ac:dyDescent="0.2">
      <c r="A4008" s="12" t="s">
        <v>8656</v>
      </c>
      <c r="B4008" s="12" t="s">
        <v>8655</v>
      </c>
      <c r="C4008" s="12" t="s">
        <v>59</v>
      </c>
      <c r="D4008" s="12" t="s">
        <v>59</v>
      </c>
    </row>
    <row r="4009" spans="1:4" x14ac:dyDescent="0.2">
      <c r="A4009" s="12" t="s">
        <v>10839</v>
      </c>
      <c r="B4009" s="12" t="s">
        <v>10838</v>
      </c>
      <c r="C4009" s="12" t="s">
        <v>59</v>
      </c>
      <c r="D4009" s="12" t="s">
        <v>59</v>
      </c>
    </row>
    <row r="4010" spans="1:4" x14ac:dyDescent="0.2">
      <c r="A4010" s="12" t="s">
        <v>4922</v>
      </c>
      <c r="B4010" s="12" t="s">
        <v>4921</v>
      </c>
      <c r="C4010" s="12" t="s">
        <v>59</v>
      </c>
      <c r="D4010" s="12" t="s">
        <v>59</v>
      </c>
    </row>
    <row r="4011" spans="1:4" x14ac:dyDescent="0.2">
      <c r="A4011" s="12" t="s">
        <v>164</v>
      </c>
      <c r="B4011" s="12" t="s">
        <v>163</v>
      </c>
      <c r="C4011" s="12">
        <v>8200</v>
      </c>
      <c r="D4011" s="12">
        <v>820</v>
      </c>
    </row>
    <row r="4012" spans="1:4" x14ac:dyDescent="0.2">
      <c r="A4012" s="12" t="s">
        <v>1448</v>
      </c>
      <c r="B4012" s="12" t="s">
        <v>1447</v>
      </c>
      <c r="C4012" s="12">
        <v>210</v>
      </c>
      <c r="D4012" s="12">
        <v>21</v>
      </c>
    </row>
    <row r="4013" spans="1:4" x14ac:dyDescent="0.2">
      <c r="A4013" s="12" t="s">
        <v>418</v>
      </c>
      <c r="B4013" s="12" t="s">
        <v>417</v>
      </c>
      <c r="C4013" s="12">
        <v>290</v>
      </c>
      <c r="D4013" s="12">
        <v>29</v>
      </c>
    </row>
    <row r="4014" spans="1:4" x14ac:dyDescent="0.2">
      <c r="A4014" s="12" t="s">
        <v>12040</v>
      </c>
      <c r="B4014" s="12" t="s">
        <v>12039</v>
      </c>
      <c r="C4014" s="12">
        <v>50</v>
      </c>
      <c r="D4014" s="12">
        <v>5</v>
      </c>
    </row>
    <row r="4015" spans="1:4" x14ac:dyDescent="0.2">
      <c r="A4015" s="12" t="s">
        <v>3568</v>
      </c>
      <c r="B4015" s="12" t="s">
        <v>3567</v>
      </c>
      <c r="C4015" s="12">
        <v>2000</v>
      </c>
      <c r="D4015" s="12">
        <v>200</v>
      </c>
    </row>
    <row r="4016" spans="1:4" x14ac:dyDescent="0.2">
      <c r="A4016" s="12" t="s">
        <v>10706</v>
      </c>
      <c r="B4016" s="12" t="s">
        <v>10705</v>
      </c>
      <c r="C4016" s="12" t="s">
        <v>59</v>
      </c>
      <c r="D4016" s="12" t="s">
        <v>59</v>
      </c>
    </row>
    <row r="4017" spans="1:4" x14ac:dyDescent="0.2">
      <c r="A4017" s="12" t="s">
        <v>9510</v>
      </c>
      <c r="B4017" s="12" t="s">
        <v>9509</v>
      </c>
      <c r="C4017" s="12" t="s">
        <v>59</v>
      </c>
      <c r="D4017" s="12" t="s">
        <v>59</v>
      </c>
    </row>
    <row r="4018" spans="1:4" x14ac:dyDescent="0.2">
      <c r="A4018" s="12" t="s">
        <v>8009</v>
      </c>
      <c r="B4018" s="12" t="s">
        <v>8008</v>
      </c>
      <c r="C4018" s="12" t="s">
        <v>59</v>
      </c>
      <c r="D4018" s="12" t="s">
        <v>59</v>
      </c>
    </row>
    <row r="4019" spans="1:4" x14ac:dyDescent="0.2">
      <c r="A4019" s="12" t="s">
        <v>8010</v>
      </c>
      <c r="B4019" s="12" t="s">
        <v>8008</v>
      </c>
      <c r="C4019" s="12">
        <v>1000</v>
      </c>
      <c r="D4019" s="12">
        <v>100</v>
      </c>
    </row>
    <row r="4020" spans="1:4" x14ac:dyDescent="0.2">
      <c r="A4020" s="12" t="s">
        <v>3129</v>
      </c>
      <c r="B4020" s="12" t="s">
        <v>3128</v>
      </c>
      <c r="C4020" s="12">
        <v>6500</v>
      </c>
      <c r="D4020" s="12">
        <v>140</v>
      </c>
    </row>
    <row r="4021" spans="1:4" x14ac:dyDescent="0.2">
      <c r="A4021" s="12" t="s">
        <v>5035</v>
      </c>
      <c r="B4021" s="12" t="s">
        <v>5034</v>
      </c>
      <c r="C4021" s="12">
        <v>20</v>
      </c>
      <c r="D4021" s="12">
        <v>2</v>
      </c>
    </row>
    <row r="4022" spans="1:4" x14ac:dyDescent="0.2">
      <c r="A4022" s="12" t="s">
        <v>439</v>
      </c>
      <c r="B4022" s="12" t="s">
        <v>438</v>
      </c>
      <c r="C4022" s="12" t="s">
        <v>59</v>
      </c>
      <c r="D4022" s="12" t="s">
        <v>59</v>
      </c>
    </row>
    <row r="4023" spans="1:4" x14ac:dyDescent="0.2">
      <c r="A4023" s="12" t="s">
        <v>440</v>
      </c>
      <c r="B4023" s="12" t="s">
        <v>438</v>
      </c>
      <c r="C4023" s="12">
        <v>400</v>
      </c>
      <c r="D4023" s="12">
        <v>40</v>
      </c>
    </row>
    <row r="4024" spans="1:4" x14ac:dyDescent="0.2">
      <c r="A4024" s="12" t="s">
        <v>6783</v>
      </c>
      <c r="B4024" s="12" t="s">
        <v>6782</v>
      </c>
      <c r="C4024" s="12">
        <v>50</v>
      </c>
      <c r="D4024" s="12">
        <v>5</v>
      </c>
    </row>
    <row r="4025" spans="1:4" x14ac:dyDescent="0.2">
      <c r="A4025" s="12" t="s">
        <v>1874</v>
      </c>
      <c r="B4025" s="12" t="s">
        <v>1873</v>
      </c>
      <c r="C4025" s="12">
        <v>2900</v>
      </c>
      <c r="D4025" s="12">
        <v>3700</v>
      </c>
    </row>
    <row r="4026" spans="1:4" x14ac:dyDescent="0.2">
      <c r="A4026" s="12" t="s">
        <v>8783</v>
      </c>
      <c r="B4026" s="12" t="s">
        <v>8782</v>
      </c>
      <c r="C4026" s="12">
        <v>97</v>
      </c>
      <c r="D4026" s="12">
        <v>7</v>
      </c>
    </row>
    <row r="4027" spans="1:4" x14ac:dyDescent="0.2">
      <c r="A4027" s="12" t="s">
        <v>456</v>
      </c>
      <c r="B4027" s="12" t="s">
        <v>455</v>
      </c>
      <c r="C4027" s="12" t="s">
        <v>59</v>
      </c>
      <c r="D4027" s="12" t="s">
        <v>59</v>
      </c>
    </row>
    <row r="4028" spans="1:4" x14ac:dyDescent="0.2">
      <c r="A4028" s="12" t="s">
        <v>457</v>
      </c>
      <c r="B4028" s="12" t="s">
        <v>455</v>
      </c>
      <c r="C4028" s="12">
        <v>400</v>
      </c>
      <c r="D4028" s="12">
        <v>40</v>
      </c>
    </row>
    <row r="4029" spans="1:4" x14ac:dyDescent="0.2">
      <c r="A4029" s="12" t="s">
        <v>9965</v>
      </c>
      <c r="B4029" s="12" t="s">
        <v>9964</v>
      </c>
      <c r="C4029" s="12">
        <v>50</v>
      </c>
      <c r="D4029" s="12">
        <v>5</v>
      </c>
    </row>
    <row r="4030" spans="1:4" x14ac:dyDescent="0.2">
      <c r="A4030" s="12" t="s">
        <v>450</v>
      </c>
      <c r="B4030" s="12" t="s">
        <v>449</v>
      </c>
      <c r="C4030" s="12">
        <v>260</v>
      </c>
      <c r="D4030" s="12">
        <v>26</v>
      </c>
    </row>
    <row r="4031" spans="1:4" x14ac:dyDescent="0.2">
      <c r="A4031" s="12" t="s">
        <v>487</v>
      </c>
      <c r="B4031" s="12" t="s">
        <v>486</v>
      </c>
      <c r="C4031" s="12">
        <v>2450</v>
      </c>
      <c r="D4031" s="12">
        <v>245</v>
      </c>
    </row>
    <row r="4032" spans="1:4" x14ac:dyDescent="0.2">
      <c r="A4032" s="12" t="s">
        <v>10032</v>
      </c>
      <c r="B4032" s="12" t="s">
        <v>10031</v>
      </c>
      <c r="C4032" s="12" t="s">
        <v>59</v>
      </c>
      <c r="D4032" s="12" t="s">
        <v>59</v>
      </c>
    </row>
    <row r="4033" spans="1:4" x14ac:dyDescent="0.2">
      <c r="A4033" s="12" t="s">
        <v>10034</v>
      </c>
      <c r="B4033" s="12" t="s">
        <v>10033</v>
      </c>
      <c r="C4033" s="12" t="s">
        <v>59</v>
      </c>
      <c r="D4033" s="12" t="s">
        <v>59</v>
      </c>
    </row>
    <row r="4034" spans="1:4" x14ac:dyDescent="0.2">
      <c r="A4034" s="12" t="s">
        <v>4726</v>
      </c>
      <c r="B4034" s="12" t="s">
        <v>4725</v>
      </c>
      <c r="C4034" s="12" t="s">
        <v>59</v>
      </c>
      <c r="D4034" s="12" t="s">
        <v>59</v>
      </c>
    </row>
    <row r="4035" spans="1:4" x14ac:dyDescent="0.2">
      <c r="A4035" s="12" t="s">
        <v>3486</v>
      </c>
      <c r="B4035" s="12" t="s">
        <v>3485</v>
      </c>
      <c r="C4035" s="12" t="s">
        <v>59</v>
      </c>
      <c r="D4035" s="12" t="s">
        <v>59</v>
      </c>
    </row>
    <row r="4036" spans="1:4" x14ac:dyDescent="0.2">
      <c r="A4036" s="12" t="s">
        <v>3825</v>
      </c>
      <c r="B4036" s="12" t="s">
        <v>3824</v>
      </c>
      <c r="C4036" s="12">
        <v>250</v>
      </c>
      <c r="D4036" s="12">
        <v>48</v>
      </c>
    </row>
    <row r="4037" spans="1:4" x14ac:dyDescent="0.2">
      <c r="A4037" s="12" t="s">
        <v>442</v>
      </c>
      <c r="B4037" s="12" t="s">
        <v>441</v>
      </c>
      <c r="C4037" s="12">
        <v>700</v>
      </c>
      <c r="D4037" s="12">
        <v>70</v>
      </c>
    </row>
    <row r="4038" spans="1:4" x14ac:dyDescent="0.2">
      <c r="A4038" s="12" t="s">
        <v>7952</v>
      </c>
      <c r="B4038" s="12" t="s">
        <v>7951</v>
      </c>
      <c r="C4038" s="12">
        <v>300</v>
      </c>
      <c r="D4038" s="12">
        <v>30</v>
      </c>
    </row>
    <row r="4039" spans="1:4" x14ac:dyDescent="0.2">
      <c r="A4039" s="12" t="s">
        <v>3869</v>
      </c>
      <c r="B4039" s="12" t="s">
        <v>3868</v>
      </c>
      <c r="C4039" s="12">
        <v>50</v>
      </c>
      <c r="D4039" s="12">
        <v>5</v>
      </c>
    </row>
    <row r="4040" spans="1:4" x14ac:dyDescent="0.2">
      <c r="A4040" s="12" t="s">
        <v>1333</v>
      </c>
      <c r="B4040" s="12" t="s">
        <v>1332</v>
      </c>
      <c r="C4040" s="12">
        <v>51</v>
      </c>
      <c r="D4040" s="12">
        <v>7.5</v>
      </c>
    </row>
    <row r="4041" spans="1:4" x14ac:dyDescent="0.2">
      <c r="A4041" s="12" t="s">
        <v>7948</v>
      </c>
      <c r="B4041" s="12" t="s">
        <v>7947</v>
      </c>
      <c r="C4041" s="12">
        <v>500</v>
      </c>
      <c r="D4041" s="12">
        <v>50</v>
      </c>
    </row>
    <row r="4042" spans="1:4" x14ac:dyDescent="0.2">
      <c r="A4042" s="12" t="s">
        <v>789</v>
      </c>
      <c r="B4042" s="12" t="s">
        <v>788</v>
      </c>
      <c r="C4042" s="12">
        <v>830</v>
      </c>
      <c r="D4042" s="12">
        <v>83</v>
      </c>
    </row>
    <row r="4043" spans="1:4" x14ac:dyDescent="0.2">
      <c r="A4043" s="12" t="s">
        <v>790</v>
      </c>
      <c r="B4043" s="12" t="s">
        <v>788</v>
      </c>
      <c r="C4043" s="12" t="s">
        <v>59</v>
      </c>
      <c r="D4043" s="12" t="s">
        <v>59</v>
      </c>
    </row>
    <row r="4044" spans="1:4" x14ac:dyDescent="0.2">
      <c r="A4044" s="12" t="s">
        <v>6667</v>
      </c>
      <c r="B4044" s="12" t="s">
        <v>6666</v>
      </c>
      <c r="C4044" s="12">
        <v>210</v>
      </c>
      <c r="D4044" s="12">
        <v>21</v>
      </c>
    </row>
    <row r="4045" spans="1:4" x14ac:dyDescent="0.2">
      <c r="A4045" s="12" t="s">
        <v>10831</v>
      </c>
      <c r="B4045" s="12" t="s">
        <v>10830</v>
      </c>
      <c r="C4045" s="12">
        <v>40</v>
      </c>
      <c r="D4045" s="12">
        <v>4</v>
      </c>
    </row>
    <row r="4046" spans="1:4" x14ac:dyDescent="0.2">
      <c r="A4046" s="12" t="s">
        <v>1740</v>
      </c>
      <c r="B4046" s="12" t="s">
        <v>1739</v>
      </c>
      <c r="C4046" s="12">
        <v>100</v>
      </c>
      <c r="D4046" s="12">
        <v>10</v>
      </c>
    </row>
    <row r="4047" spans="1:4" x14ac:dyDescent="0.2">
      <c r="A4047" s="12" t="s">
        <v>5218</v>
      </c>
      <c r="B4047" s="12" t="s">
        <v>5217</v>
      </c>
      <c r="C4047" s="12">
        <v>16100</v>
      </c>
      <c r="D4047" s="12">
        <v>1610</v>
      </c>
    </row>
    <row r="4048" spans="1:4" x14ac:dyDescent="0.2">
      <c r="A4048" s="12" t="s">
        <v>9101</v>
      </c>
      <c r="B4048" s="12" t="s">
        <v>9100</v>
      </c>
      <c r="C4048" s="12">
        <v>25</v>
      </c>
      <c r="D4048" s="12">
        <v>2.5</v>
      </c>
    </row>
    <row r="4049" spans="1:4" x14ac:dyDescent="0.2">
      <c r="A4049" s="12" t="s">
        <v>7924</v>
      </c>
      <c r="B4049" s="12" t="s">
        <v>7923</v>
      </c>
      <c r="C4049" s="12">
        <v>3000</v>
      </c>
      <c r="D4049" s="12">
        <v>300</v>
      </c>
    </row>
    <row r="4050" spans="1:4" x14ac:dyDescent="0.2">
      <c r="A4050" s="12" t="s">
        <v>11066</v>
      </c>
      <c r="B4050" s="12" t="s">
        <v>11065</v>
      </c>
      <c r="C4050" s="12" t="s">
        <v>59</v>
      </c>
      <c r="D4050" s="12" t="s">
        <v>59</v>
      </c>
    </row>
    <row r="4051" spans="1:4" x14ac:dyDescent="0.2">
      <c r="A4051" s="12" t="s">
        <v>9884</v>
      </c>
      <c r="B4051" s="12" t="s">
        <v>9883</v>
      </c>
      <c r="C4051" s="12">
        <v>2.2999999999999998</v>
      </c>
      <c r="D4051" s="12">
        <v>0.23</v>
      </c>
    </row>
    <row r="4052" spans="1:4" x14ac:dyDescent="0.2">
      <c r="A4052" s="12" t="s">
        <v>1556</v>
      </c>
      <c r="B4052" s="12" t="s">
        <v>1555</v>
      </c>
      <c r="C4052" s="12">
        <v>5700</v>
      </c>
      <c r="D4052" s="12">
        <v>570</v>
      </c>
    </row>
    <row r="4053" spans="1:4" x14ac:dyDescent="0.2">
      <c r="A4053" s="12" t="s">
        <v>8250</v>
      </c>
      <c r="B4053" s="12" t="s">
        <v>8249</v>
      </c>
      <c r="C4053" s="12">
        <v>2.7</v>
      </c>
      <c r="D4053" s="12">
        <v>0.25</v>
      </c>
    </row>
    <row r="4054" spans="1:4" x14ac:dyDescent="0.2">
      <c r="A4054" s="12" t="s">
        <v>9742</v>
      </c>
      <c r="B4054" s="12" t="s">
        <v>9741</v>
      </c>
      <c r="C4054" s="12">
        <v>3000</v>
      </c>
      <c r="D4054" s="12">
        <v>300</v>
      </c>
    </row>
    <row r="4055" spans="1:4" x14ac:dyDescent="0.2">
      <c r="A4055" s="12" t="s">
        <v>6300</v>
      </c>
      <c r="B4055" s="12" t="s">
        <v>6299</v>
      </c>
      <c r="C4055" s="12">
        <v>1</v>
      </c>
      <c r="D4055" s="12">
        <v>0.1</v>
      </c>
    </row>
    <row r="4056" spans="1:4" x14ac:dyDescent="0.2">
      <c r="A4056" s="12" t="s">
        <v>8378</v>
      </c>
      <c r="B4056" s="12" t="s">
        <v>8377</v>
      </c>
      <c r="C4056" s="12" t="s">
        <v>59</v>
      </c>
      <c r="D4056" s="12" t="s">
        <v>59</v>
      </c>
    </row>
    <row r="4057" spans="1:4" x14ac:dyDescent="0.2">
      <c r="A4057" s="12" t="s">
        <v>11978</v>
      </c>
      <c r="B4057" s="12" t="s">
        <v>11977</v>
      </c>
      <c r="C4057" s="12" t="s">
        <v>59</v>
      </c>
      <c r="D4057" s="12" t="s">
        <v>59</v>
      </c>
    </row>
    <row r="4058" spans="1:4" x14ac:dyDescent="0.2">
      <c r="A4058" s="12" t="s">
        <v>11922</v>
      </c>
      <c r="B4058" s="12" t="s">
        <v>11921</v>
      </c>
      <c r="C4058" s="12" t="s">
        <v>59</v>
      </c>
      <c r="D4058" s="12" t="s">
        <v>59</v>
      </c>
    </row>
    <row r="4059" spans="1:4" x14ac:dyDescent="0.2">
      <c r="A4059" s="12" t="s">
        <v>11910</v>
      </c>
      <c r="B4059" s="12" t="s">
        <v>11909</v>
      </c>
      <c r="C4059" s="12">
        <v>10</v>
      </c>
      <c r="D4059" s="12">
        <v>1</v>
      </c>
    </row>
    <row r="4060" spans="1:4" x14ac:dyDescent="0.2">
      <c r="A4060" s="12" t="s">
        <v>6776</v>
      </c>
      <c r="B4060" s="12" t="s">
        <v>6775</v>
      </c>
      <c r="C4060" s="12" t="s">
        <v>59</v>
      </c>
      <c r="D4060" s="12" t="s">
        <v>59</v>
      </c>
    </row>
    <row r="4061" spans="1:4" x14ac:dyDescent="0.2">
      <c r="A4061" s="12" t="s">
        <v>6777</v>
      </c>
      <c r="B4061" s="12" t="s">
        <v>6775</v>
      </c>
      <c r="C4061" s="12">
        <v>1000</v>
      </c>
      <c r="D4061" s="12">
        <v>100</v>
      </c>
    </row>
    <row r="4062" spans="1:4" x14ac:dyDescent="0.2">
      <c r="A4062" s="12" t="s">
        <v>3468</v>
      </c>
      <c r="B4062" s="12" t="s">
        <v>3467</v>
      </c>
      <c r="C4062" s="12" t="s">
        <v>59</v>
      </c>
      <c r="D4062" s="12" t="s">
        <v>59</v>
      </c>
    </row>
    <row r="4063" spans="1:4" x14ac:dyDescent="0.2">
      <c r="A4063" s="12" t="s">
        <v>9994</v>
      </c>
      <c r="B4063" s="12" t="s">
        <v>9993</v>
      </c>
      <c r="C4063" s="12" t="s">
        <v>59</v>
      </c>
      <c r="D4063" s="12" t="s">
        <v>59</v>
      </c>
    </row>
    <row r="4064" spans="1:4" x14ac:dyDescent="0.2">
      <c r="A4064" s="12" t="s">
        <v>1325</v>
      </c>
      <c r="B4064" s="12" t="s">
        <v>1324</v>
      </c>
      <c r="C4064" s="12" t="s">
        <v>59</v>
      </c>
      <c r="D4064" s="12" t="s">
        <v>59</v>
      </c>
    </row>
    <row r="4065" spans="1:4" x14ac:dyDescent="0.2">
      <c r="A4065" s="12" t="s">
        <v>4971</v>
      </c>
      <c r="B4065" s="12" t="s">
        <v>4970</v>
      </c>
      <c r="C4065" s="12" t="s">
        <v>59</v>
      </c>
      <c r="D4065" s="12" t="s">
        <v>59</v>
      </c>
    </row>
    <row r="4066" spans="1:4" x14ac:dyDescent="0.2">
      <c r="A4066" s="12" t="s">
        <v>4972</v>
      </c>
      <c r="B4066" s="12" t="s">
        <v>4970</v>
      </c>
      <c r="C4066" s="12">
        <v>1000</v>
      </c>
      <c r="D4066" s="12">
        <v>100</v>
      </c>
    </row>
    <row r="4067" spans="1:4" x14ac:dyDescent="0.2">
      <c r="A4067" s="12" t="s">
        <v>11810</v>
      </c>
      <c r="B4067" s="12" t="s">
        <v>11809</v>
      </c>
      <c r="C4067" s="12">
        <v>50</v>
      </c>
      <c r="D4067" s="12">
        <v>5</v>
      </c>
    </row>
    <row r="4068" spans="1:4" x14ac:dyDescent="0.2">
      <c r="A4068" s="12" t="s">
        <v>6537</v>
      </c>
      <c r="B4068" s="12" t="s">
        <v>6536</v>
      </c>
      <c r="C4068" s="12">
        <v>18800</v>
      </c>
      <c r="D4068" s="12">
        <v>1880</v>
      </c>
    </row>
    <row r="4069" spans="1:4" x14ac:dyDescent="0.2">
      <c r="A4069" s="12" t="s">
        <v>4718</v>
      </c>
      <c r="B4069" s="12" t="s">
        <v>4717</v>
      </c>
      <c r="C4069" s="12" t="s">
        <v>59</v>
      </c>
      <c r="D4069" s="12" t="s">
        <v>59</v>
      </c>
    </row>
    <row r="4070" spans="1:4" x14ac:dyDescent="0.2">
      <c r="A4070" s="12" t="s">
        <v>7215</v>
      </c>
      <c r="B4070" s="12" t="s">
        <v>7214</v>
      </c>
      <c r="C4070" s="12">
        <v>90</v>
      </c>
      <c r="D4070" s="12">
        <v>9</v>
      </c>
    </row>
    <row r="4071" spans="1:4" x14ac:dyDescent="0.2">
      <c r="A4071" s="12" t="s">
        <v>224</v>
      </c>
      <c r="B4071" s="12" t="s">
        <v>223</v>
      </c>
      <c r="C4071" s="12" t="s">
        <v>59</v>
      </c>
      <c r="D4071" s="12" t="s">
        <v>59</v>
      </c>
    </row>
    <row r="4072" spans="1:4" x14ac:dyDescent="0.2">
      <c r="A4072" s="12" t="s">
        <v>3411</v>
      </c>
      <c r="B4072" s="12" t="s">
        <v>3410</v>
      </c>
      <c r="C4072" s="12">
        <v>250</v>
      </c>
      <c r="D4072" s="12">
        <v>25</v>
      </c>
    </row>
    <row r="4073" spans="1:4" x14ac:dyDescent="0.2">
      <c r="A4073" s="12" t="s">
        <v>8857</v>
      </c>
      <c r="B4073" s="12" t="s">
        <v>8856</v>
      </c>
      <c r="C4073" s="12">
        <v>15</v>
      </c>
      <c r="D4073" s="12">
        <v>1.5</v>
      </c>
    </row>
    <row r="4074" spans="1:4" x14ac:dyDescent="0.2">
      <c r="A4074" s="12" t="s">
        <v>6207</v>
      </c>
      <c r="B4074" s="12" t="s">
        <v>6206</v>
      </c>
      <c r="C4074" s="12">
        <v>50</v>
      </c>
      <c r="D4074" s="12">
        <v>5</v>
      </c>
    </row>
    <row r="4075" spans="1:4" x14ac:dyDescent="0.2">
      <c r="A4075" s="12" t="s">
        <v>10565</v>
      </c>
      <c r="B4075" s="12" t="s">
        <v>10564</v>
      </c>
      <c r="C4075" s="12">
        <v>3</v>
      </c>
      <c r="D4075" s="12">
        <v>0.3</v>
      </c>
    </row>
    <row r="4076" spans="1:4" x14ac:dyDescent="0.2">
      <c r="A4076" s="12" t="s">
        <v>3470</v>
      </c>
      <c r="B4076" s="12" t="s">
        <v>3469</v>
      </c>
      <c r="C4076" s="12" t="s">
        <v>59</v>
      </c>
      <c r="D4076" s="12" t="s">
        <v>59</v>
      </c>
    </row>
    <row r="4077" spans="1:4" x14ac:dyDescent="0.2">
      <c r="A4077" s="12" t="s">
        <v>2910</v>
      </c>
      <c r="B4077" s="12" t="s">
        <v>2909</v>
      </c>
      <c r="C4077" s="12">
        <v>240</v>
      </c>
      <c r="D4077" s="12">
        <v>24</v>
      </c>
    </row>
    <row r="4078" spans="1:4" x14ac:dyDescent="0.2">
      <c r="A4078" s="12" t="s">
        <v>2995</v>
      </c>
      <c r="B4078" s="12" t="s">
        <v>2994</v>
      </c>
      <c r="C4078" s="12">
        <v>360</v>
      </c>
      <c r="D4078" s="12">
        <v>36</v>
      </c>
    </row>
    <row r="4079" spans="1:4" x14ac:dyDescent="0.2">
      <c r="A4079" s="12" t="s">
        <v>7613</v>
      </c>
      <c r="B4079" s="12" t="s">
        <v>7612</v>
      </c>
      <c r="C4079" s="12">
        <v>3500</v>
      </c>
      <c r="D4079" s="12">
        <v>350</v>
      </c>
    </row>
    <row r="4080" spans="1:4" x14ac:dyDescent="0.2">
      <c r="A4080" s="12" t="s">
        <v>7501</v>
      </c>
      <c r="B4080" s="12" t="s">
        <v>7500</v>
      </c>
      <c r="C4080" s="12" t="s">
        <v>59</v>
      </c>
      <c r="D4080" s="12" t="s">
        <v>59</v>
      </c>
    </row>
    <row r="4081" spans="1:4" x14ac:dyDescent="0.2">
      <c r="A4081" s="12" t="s">
        <v>2081</v>
      </c>
      <c r="B4081" s="12" t="s">
        <v>2080</v>
      </c>
      <c r="C4081" s="12">
        <v>110</v>
      </c>
      <c r="D4081" s="12">
        <v>11</v>
      </c>
    </row>
    <row r="4082" spans="1:4" x14ac:dyDescent="0.2">
      <c r="A4082" s="12" t="s">
        <v>2213</v>
      </c>
      <c r="B4082" s="12" t="s">
        <v>2212</v>
      </c>
      <c r="C4082" s="12">
        <v>13</v>
      </c>
      <c r="D4082" s="12">
        <v>1.3</v>
      </c>
    </row>
    <row r="4083" spans="1:4" x14ac:dyDescent="0.2">
      <c r="A4083" s="12" t="s">
        <v>3003</v>
      </c>
      <c r="B4083" s="12" t="s">
        <v>3002</v>
      </c>
      <c r="C4083" s="12">
        <v>0.6</v>
      </c>
      <c r="D4083" s="12">
        <v>0.06</v>
      </c>
    </row>
    <row r="4084" spans="1:4" x14ac:dyDescent="0.2">
      <c r="A4084" s="12" t="s">
        <v>10346</v>
      </c>
      <c r="B4084" s="12" t="s">
        <v>10345</v>
      </c>
      <c r="C4084" s="12" t="s">
        <v>59</v>
      </c>
      <c r="D4084" s="12" t="s">
        <v>59</v>
      </c>
    </row>
    <row r="4085" spans="1:4" x14ac:dyDescent="0.2">
      <c r="A4085" s="12" t="s">
        <v>10347</v>
      </c>
      <c r="B4085" s="12" t="s">
        <v>10345</v>
      </c>
      <c r="C4085" s="12">
        <v>1000</v>
      </c>
      <c r="D4085" s="12">
        <v>100</v>
      </c>
    </row>
    <row r="4086" spans="1:4" x14ac:dyDescent="0.2">
      <c r="A4086" s="12" t="s">
        <v>8861</v>
      </c>
      <c r="B4086" s="12" t="s">
        <v>8860</v>
      </c>
      <c r="C4086" s="12">
        <v>100</v>
      </c>
      <c r="D4086" s="12">
        <v>10</v>
      </c>
    </row>
    <row r="4087" spans="1:4" x14ac:dyDescent="0.2">
      <c r="A4087" s="12" t="s">
        <v>2854</v>
      </c>
      <c r="B4087" s="12" t="s">
        <v>2853</v>
      </c>
      <c r="C4087" s="12">
        <v>13</v>
      </c>
      <c r="D4087" s="12">
        <v>1.3</v>
      </c>
    </row>
    <row r="4088" spans="1:4" x14ac:dyDescent="0.2">
      <c r="A4088" s="12" t="s">
        <v>678</v>
      </c>
      <c r="B4088" s="12" t="s">
        <v>677</v>
      </c>
      <c r="C4088" s="12">
        <v>160</v>
      </c>
      <c r="D4088" s="12">
        <v>16</v>
      </c>
    </row>
    <row r="4089" spans="1:4" x14ac:dyDescent="0.2">
      <c r="A4089" s="12" t="s">
        <v>3143</v>
      </c>
      <c r="B4089" s="12" t="s">
        <v>3142</v>
      </c>
      <c r="C4089" s="12">
        <v>13</v>
      </c>
      <c r="D4089" s="12">
        <v>1.3</v>
      </c>
    </row>
    <row r="4090" spans="1:4" x14ac:dyDescent="0.2">
      <c r="A4090" s="12" t="s">
        <v>8661</v>
      </c>
      <c r="B4090" s="12" t="s">
        <v>8660</v>
      </c>
      <c r="C4090" s="12">
        <v>3500</v>
      </c>
      <c r="D4090" s="12">
        <v>350</v>
      </c>
    </row>
    <row r="4091" spans="1:4" x14ac:dyDescent="0.2">
      <c r="A4091" s="12" t="s">
        <v>4704</v>
      </c>
      <c r="B4091" s="12" t="s">
        <v>4703</v>
      </c>
      <c r="C4091" s="12" t="s">
        <v>59</v>
      </c>
      <c r="D4091" s="12" t="s">
        <v>59</v>
      </c>
    </row>
    <row r="4092" spans="1:4" x14ac:dyDescent="0.2">
      <c r="A4092" s="12" t="s">
        <v>2179</v>
      </c>
      <c r="B4092" s="12" t="s">
        <v>2178</v>
      </c>
      <c r="C4092" s="12">
        <v>30</v>
      </c>
      <c r="D4092" s="12">
        <v>3</v>
      </c>
    </row>
    <row r="4093" spans="1:4" x14ac:dyDescent="0.2">
      <c r="A4093" s="12" t="s">
        <v>3131</v>
      </c>
      <c r="B4093" s="12" t="s">
        <v>3130</v>
      </c>
      <c r="C4093" s="12">
        <v>490</v>
      </c>
      <c r="D4093" s="12">
        <v>49</v>
      </c>
    </row>
    <row r="4094" spans="1:4" x14ac:dyDescent="0.2">
      <c r="A4094" s="12" t="s">
        <v>12439</v>
      </c>
      <c r="B4094" s="12" t="s">
        <v>12438</v>
      </c>
      <c r="C4094" s="12">
        <v>20</v>
      </c>
      <c r="D4094" s="12">
        <v>2</v>
      </c>
    </row>
    <row r="4095" spans="1:4" x14ac:dyDescent="0.2">
      <c r="A4095" s="12" t="s">
        <v>2082</v>
      </c>
      <c r="B4095" s="12" t="s">
        <v>2080</v>
      </c>
      <c r="C4095" s="12">
        <v>110</v>
      </c>
      <c r="D4095" s="12">
        <v>11</v>
      </c>
    </row>
    <row r="4096" spans="1:4" x14ac:dyDescent="0.2">
      <c r="A4096" s="12" t="s">
        <v>11881</v>
      </c>
      <c r="B4096" s="12" t="s">
        <v>11880</v>
      </c>
      <c r="C4096" s="12">
        <v>10000</v>
      </c>
      <c r="D4096" s="12">
        <v>480</v>
      </c>
    </row>
    <row r="4097" spans="1:4" x14ac:dyDescent="0.2">
      <c r="A4097" s="12" t="s">
        <v>741</v>
      </c>
      <c r="B4097" s="12" t="s">
        <v>740</v>
      </c>
      <c r="C4097" s="12">
        <v>610</v>
      </c>
      <c r="D4097" s="12">
        <v>61</v>
      </c>
    </row>
    <row r="4098" spans="1:4" x14ac:dyDescent="0.2">
      <c r="A4098" s="12" t="s">
        <v>368</v>
      </c>
      <c r="B4098" s="12" t="s">
        <v>367</v>
      </c>
      <c r="C4098" s="12">
        <v>20</v>
      </c>
      <c r="D4098" s="12">
        <v>2</v>
      </c>
    </row>
    <row r="4099" spans="1:4" x14ac:dyDescent="0.2">
      <c r="A4099" s="12" t="s">
        <v>11633</v>
      </c>
      <c r="B4099" s="12" t="s">
        <v>11632</v>
      </c>
      <c r="C4099" s="12" t="s">
        <v>59</v>
      </c>
      <c r="D4099" s="12" t="s">
        <v>59</v>
      </c>
    </row>
    <row r="4100" spans="1:4" x14ac:dyDescent="0.2">
      <c r="A4100" s="12" t="s">
        <v>5657</v>
      </c>
      <c r="B4100" s="12" t="s">
        <v>5656</v>
      </c>
      <c r="C4100" s="12">
        <v>50</v>
      </c>
      <c r="D4100" s="12">
        <v>5</v>
      </c>
    </row>
    <row r="4101" spans="1:4" x14ac:dyDescent="0.2">
      <c r="A4101" s="12" t="s">
        <v>11195</v>
      </c>
      <c r="B4101" s="12" t="s">
        <v>11194</v>
      </c>
      <c r="C4101" s="12">
        <v>50</v>
      </c>
      <c r="D4101" s="12">
        <v>5</v>
      </c>
    </row>
    <row r="4102" spans="1:4" x14ac:dyDescent="0.2">
      <c r="A4102" s="12" t="s">
        <v>5907</v>
      </c>
      <c r="B4102" s="12" t="s">
        <v>5906</v>
      </c>
      <c r="C4102" s="12">
        <v>5</v>
      </c>
      <c r="D4102" s="12">
        <v>0.5</v>
      </c>
    </row>
    <row r="4103" spans="1:4" x14ac:dyDescent="0.2">
      <c r="A4103" s="12" t="s">
        <v>3625</v>
      </c>
      <c r="B4103" s="12" t="s">
        <v>3624</v>
      </c>
      <c r="C4103" s="12">
        <v>2450</v>
      </c>
      <c r="D4103" s="12">
        <v>245</v>
      </c>
    </row>
    <row r="4104" spans="1:4" x14ac:dyDescent="0.2">
      <c r="A4104" s="12" t="s">
        <v>8998</v>
      </c>
      <c r="B4104" s="12" t="s">
        <v>8997</v>
      </c>
      <c r="C4104" s="12">
        <v>1000</v>
      </c>
      <c r="D4104" s="12">
        <v>100</v>
      </c>
    </row>
    <row r="4105" spans="1:4" x14ac:dyDescent="0.2">
      <c r="A4105" s="12" t="s">
        <v>11310</v>
      </c>
      <c r="B4105" s="12" t="s">
        <v>11309</v>
      </c>
      <c r="C4105" s="12">
        <v>3500</v>
      </c>
      <c r="D4105" s="12">
        <v>350</v>
      </c>
    </row>
    <row r="4106" spans="1:4" x14ac:dyDescent="0.2">
      <c r="A4106" s="12" t="s">
        <v>6363</v>
      </c>
      <c r="B4106" s="12" t="s">
        <v>6362</v>
      </c>
      <c r="C4106" s="12">
        <v>1000</v>
      </c>
      <c r="D4106" s="12">
        <v>100</v>
      </c>
    </row>
    <row r="4107" spans="1:4" x14ac:dyDescent="0.2">
      <c r="A4107" s="12" t="s">
        <v>10737</v>
      </c>
      <c r="B4107" s="12" t="s">
        <v>10736</v>
      </c>
      <c r="C4107" s="12">
        <v>1250</v>
      </c>
      <c r="D4107" s="12">
        <v>125</v>
      </c>
    </row>
    <row r="4108" spans="1:4" x14ac:dyDescent="0.2">
      <c r="A4108" s="12" t="s">
        <v>9045</v>
      </c>
      <c r="B4108" s="12" t="s">
        <v>9044</v>
      </c>
      <c r="C4108" s="12">
        <v>3500</v>
      </c>
      <c r="D4108" s="12">
        <v>350</v>
      </c>
    </row>
    <row r="4109" spans="1:4" x14ac:dyDescent="0.2">
      <c r="A4109" s="12" t="s">
        <v>12267</v>
      </c>
      <c r="B4109" s="12" t="s">
        <v>12266</v>
      </c>
      <c r="C4109" s="12">
        <v>1000</v>
      </c>
      <c r="D4109" s="12">
        <v>100</v>
      </c>
    </row>
    <row r="4110" spans="1:4" x14ac:dyDescent="0.2">
      <c r="A4110" s="12" t="s">
        <v>8097</v>
      </c>
      <c r="B4110" s="12" t="s">
        <v>8096</v>
      </c>
      <c r="C4110" s="12">
        <v>3500</v>
      </c>
      <c r="D4110" s="12">
        <v>350</v>
      </c>
    </row>
    <row r="4111" spans="1:4" x14ac:dyDescent="0.2">
      <c r="A4111" s="12" t="s">
        <v>10735</v>
      </c>
      <c r="B4111" s="12" t="s">
        <v>10734</v>
      </c>
      <c r="C4111" s="12">
        <v>350</v>
      </c>
      <c r="D4111" s="12">
        <v>35</v>
      </c>
    </row>
    <row r="4112" spans="1:4" x14ac:dyDescent="0.2">
      <c r="A4112" s="12" t="s">
        <v>7392</v>
      </c>
      <c r="B4112" s="12" t="s">
        <v>7391</v>
      </c>
      <c r="C4112" s="12">
        <v>3500</v>
      </c>
      <c r="D4112" s="12">
        <v>350</v>
      </c>
    </row>
    <row r="4113" spans="1:4" x14ac:dyDescent="0.2">
      <c r="A4113" s="12" t="s">
        <v>8100</v>
      </c>
      <c r="B4113" s="12" t="s">
        <v>8099</v>
      </c>
      <c r="C4113" s="12">
        <v>3500</v>
      </c>
      <c r="D4113" s="12">
        <v>350</v>
      </c>
    </row>
    <row r="4114" spans="1:4" x14ac:dyDescent="0.2">
      <c r="A4114" s="12" t="s">
        <v>6353</v>
      </c>
      <c r="B4114" s="12" t="s">
        <v>6352</v>
      </c>
      <c r="C4114" s="12">
        <v>3500</v>
      </c>
      <c r="D4114" s="12">
        <v>350</v>
      </c>
    </row>
    <row r="4115" spans="1:4" x14ac:dyDescent="0.2">
      <c r="A4115" s="12" t="s">
        <v>9798</v>
      </c>
      <c r="B4115" s="12" t="s">
        <v>9797</v>
      </c>
      <c r="C4115" s="12">
        <v>2450</v>
      </c>
      <c r="D4115" s="12">
        <v>245</v>
      </c>
    </row>
    <row r="4116" spans="1:4" x14ac:dyDescent="0.2">
      <c r="A4116" s="12" t="s">
        <v>10961</v>
      </c>
      <c r="B4116" s="12" t="s">
        <v>10960</v>
      </c>
      <c r="C4116" s="12">
        <v>1000</v>
      </c>
      <c r="D4116" s="12">
        <v>100</v>
      </c>
    </row>
    <row r="4117" spans="1:4" x14ac:dyDescent="0.2">
      <c r="A4117" s="12" t="s">
        <v>9022</v>
      </c>
      <c r="B4117" s="12" t="s">
        <v>9021</v>
      </c>
      <c r="C4117" s="12">
        <v>1250</v>
      </c>
      <c r="D4117" s="12">
        <v>125</v>
      </c>
    </row>
    <row r="4118" spans="1:4" x14ac:dyDescent="0.2">
      <c r="A4118" s="12" t="s">
        <v>3697</v>
      </c>
      <c r="B4118" s="12" t="s">
        <v>3696</v>
      </c>
      <c r="C4118" s="12">
        <v>1750</v>
      </c>
      <c r="D4118" s="12">
        <v>175</v>
      </c>
    </row>
    <row r="4119" spans="1:4" x14ac:dyDescent="0.2">
      <c r="A4119" s="12" t="s">
        <v>9016</v>
      </c>
      <c r="B4119" s="12" t="s">
        <v>9015</v>
      </c>
      <c r="C4119" s="12">
        <v>3000</v>
      </c>
      <c r="D4119" s="12">
        <v>300</v>
      </c>
    </row>
    <row r="4120" spans="1:4" x14ac:dyDescent="0.2">
      <c r="A4120" s="12" t="s">
        <v>9020</v>
      </c>
      <c r="B4120" s="12" t="s">
        <v>9019</v>
      </c>
      <c r="C4120" s="12">
        <v>3500</v>
      </c>
      <c r="D4120" s="12">
        <v>350</v>
      </c>
    </row>
    <row r="4121" spans="1:4" x14ac:dyDescent="0.2">
      <c r="A4121" s="12" t="s">
        <v>10739</v>
      </c>
      <c r="B4121" s="12" t="s">
        <v>10738</v>
      </c>
      <c r="C4121" s="12">
        <v>1000</v>
      </c>
      <c r="D4121" s="12">
        <v>100</v>
      </c>
    </row>
    <row r="4122" spans="1:4" x14ac:dyDescent="0.2">
      <c r="A4122" s="12" t="s">
        <v>9010</v>
      </c>
      <c r="B4122" s="12" t="s">
        <v>9009</v>
      </c>
      <c r="C4122" s="12">
        <v>1250</v>
      </c>
      <c r="D4122" s="12">
        <v>125</v>
      </c>
    </row>
    <row r="4123" spans="1:4" x14ac:dyDescent="0.2">
      <c r="A4123" s="12" t="s">
        <v>9817</v>
      </c>
      <c r="B4123" s="12" t="s">
        <v>9816</v>
      </c>
      <c r="C4123" s="12">
        <v>1000</v>
      </c>
      <c r="D4123" s="12">
        <v>100</v>
      </c>
    </row>
    <row r="4124" spans="1:4" x14ac:dyDescent="0.2">
      <c r="A4124" s="12" t="s">
        <v>9794</v>
      </c>
      <c r="B4124" s="12" t="s">
        <v>9793</v>
      </c>
      <c r="C4124" s="12">
        <v>50</v>
      </c>
      <c r="D4124" s="12">
        <v>5</v>
      </c>
    </row>
    <row r="4125" spans="1:4" x14ac:dyDescent="0.2">
      <c r="A4125" s="12" t="s">
        <v>7383</v>
      </c>
      <c r="B4125" s="12" t="s">
        <v>7382</v>
      </c>
      <c r="C4125" s="12">
        <v>1000</v>
      </c>
      <c r="D4125" s="12">
        <v>100</v>
      </c>
    </row>
    <row r="4126" spans="1:4" x14ac:dyDescent="0.2">
      <c r="A4126" s="12" t="s">
        <v>9006</v>
      </c>
      <c r="B4126" s="12" t="s">
        <v>9005</v>
      </c>
      <c r="C4126" s="12">
        <v>3500</v>
      </c>
      <c r="D4126" s="12">
        <v>350</v>
      </c>
    </row>
    <row r="4127" spans="1:4" x14ac:dyDescent="0.2">
      <c r="A4127" s="12" t="s">
        <v>10714</v>
      </c>
      <c r="B4127" s="12" t="s">
        <v>10713</v>
      </c>
      <c r="C4127" s="12">
        <v>3500</v>
      </c>
      <c r="D4127" s="12">
        <v>350</v>
      </c>
    </row>
    <row r="4128" spans="1:4" x14ac:dyDescent="0.2">
      <c r="A4128" s="12" t="s">
        <v>6337</v>
      </c>
      <c r="B4128" s="12" t="s">
        <v>6336</v>
      </c>
      <c r="C4128" s="12">
        <v>3500</v>
      </c>
      <c r="D4128" s="12">
        <v>350</v>
      </c>
    </row>
    <row r="4129" spans="1:4" x14ac:dyDescent="0.2">
      <c r="A4129" s="12" t="s">
        <v>6341</v>
      </c>
      <c r="B4129" s="12" t="s">
        <v>6340</v>
      </c>
      <c r="C4129" s="12">
        <v>1000</v>
      </c>
      <c r="D4129" s="12">
        <v>100</v>
      </c>
    </row>
    <row r="4130" spans="1:4" x14ac:dyDescent="0.2">
      <c r="A4130" s="12" t="s">
        <v>9630</v>
      </c>
      <c r="B4130" s="12" t="s">
        <v>9629</v>
      </c>
      <c r="C4130" s="12">
        <v>1000</v>
      </c>
      <c r="D4130" s="12">
        <v>100</v>
      </c>
    </row>
    <row r="4131" spans="1:4" x14ac:dyDescent="0.2">
      <c r="A4131" s="12" t="s">
        <v>9802</v>
      </c>
      <c r="B4131" s="12" t="s">
        <v>9801</v>
      </c>
      <c r="C4131" s="12">
        <v>3500</v>
      </c>
      <c r="D4131" s="12">
        <v>350</v>
      </c>
    </row>
    <row r="4132" spans="1:4" x14ac:dyDescent="0.2">
      <c r="A4132" s="12" t="s">
        <v>10733</v>
      </c>
      <c r="B4132" s="12" t="s">
        <v>10732</v>
      </c>
      <c r="C4132" s="12">
        <v>1000</v>
      </c>
      <c r="D4132" s="12">
        <v>100</v>
      </c>
    </row>
    <row r="4133" spans="1:4" x14ac:dyDescent="0.2">
      <c r="A4133" s="12" t="s">
        <v>10835</v>
      </c>
      <c r="B4133" s="12" t="s">
        <v>10834</v>
      </c>
      <c r="C4133" s="12">
        <v>3500</v>
      </c>
      <c r="D4133" s="12">
        <v>350</v>
      </c>
    </row>
    <row r="4134" spans="1:4" x14ac:dyDescent="0.2">
      <c r="A4134" s="12" t="s">
        <v>10754</v>
      </c>
      <c r="B4134" s="12" t="s">
        <v>10753</v>
      </c>
      <c r="C4134" s="12">
        <v>3500</v>
      </c>
      <c r="D4134" s="12">
        <v>350</v>
      </c>
    </row>
    <row r="4135" spans="1:4" x14ac:dyDescent="0.2">
      <c r="A4135" s="12" t="s">
        <v>6807</v>
      </c>
      <c r="B4135" s="12" t="s">
        <v>6806</v>
      </c>
      <c r="C4135" s="12">
        <v>2560</v>
      </c>
      <c r="D4135" s="12">
        <v>256</v>
      </c>
    </row>
    <row r="4136" spans="1:4" x14ac:dyDescent="0.2">
      <c r="A4136" s="12" t="s">
        <v>11217</v>
      </c>
      <c r="B4136" s="12" t="s">
        <v>11216</v>
      </c>
      <c r="C4136" s="12">
        <v>650</v>
      </c>
      <c r="D4136" s="12">
        <v>65</v>
      </c>
    </row>
    <row r="4137" spans="1:4" x14ac:dyDescent="0.2">
      <c r="A4137" s="12" t="s">
        <v>9039</v>
      </c>
      <c r="B4137" s="12" t="s">
        <v>9038</v>
      </c>
      <c r="C4137" s="12">
        <v>1000</v>
      </c>
      <c r="D4137" s="12">
        <v>100</v>
      </c>
    </row>
    <row r="4138" spans="1:4" x14ac:dyDescent="0.2">
      <c r="A4138" s="12" t="s">
        <v>7387</v>
      </c>
      <c r="B4138" s="12" t="s">
        <v>7386</v>
      </c>
      <c r="C4138" s="12">
        <v>1000</v>
      </c>
      <c r="D4138" s="12">
        <v>100</v>
      </c>
    </row>
    <row r="4139" spans="1:4" x14ac:dyDescent="0.2">
      <c r="A4139" s="12" t="s">
        <v>9806</v>
      </c>
      <c r="B4139" s="12" t="s">
        <v>9805</v>
      </c>
      <c r="C4139" s="12">
        <v>1000</v>
      </c>
      <c r="D4139" s="12">
        <v>100</v>
      </c>
    </row>
    <row r="4140" spans="1:4" x14ac:dyDescent="0.2">
      <c r="A4140" s="12" t="s">
        <v>9043</v>
      </c>
      <c r="B4140" s="12" t="s">
        <v>9042</v>
      </c>
      <c r="C4140" s="12">
        <v>4200</v>
      </c>
      <c r="D4140" s="12">
        <v>420</v>
      </c>
    </row>
    <row r="4141" spans="1:4" x14ac:dyDescent="0.2">
      <c r="A4141" s="12" t="s">
        <v>9037</v>
      </c>
      <c r="B4141" s="12" t="s">
        <v>9036</v>
      </c>
      <c r="C4141" s="12">
        <v>1000</v>
      </c>
      <c r="D4141" s="12">
        <v>100</v>
      </c>
    </row>
    <row r="4142" spans="1:4" x14ac:dyDescent="0.2">
      <c r="A4142" s="12" t="s">
        <v>3488</v>
      </c>
      <c r="B4142" s="12" t="s">
        <v>3487</v>
      </c>
      <c r="C4142" s="12">
        <v>1000</v>
      </c>
      <c r="D4142" s="12">
        <v>100</v>
      </c>
    </row>
    <row r="4143" spans="1:4" x14ac:dyDescent="0.2">
      <c r="A4143" s="12" t="s">
        <v>6343</v>
      </c>
      <c r="B4143" s="12" t="s">
        <v>6342</v>
      </c>
      <c r="C4143" s="12">
        <v>1000</v>
      </c>
      <c r="D4143" s="12">
        <v>100</v>
      </c>
    </row>
    <row r="4144" spans="1:4" x14ac:dyDescent="0.2">
      <c r="A4144" s="12" t="s">
        <v>7280</v>
      </c>
      <c r="B4144" s="12" t="s">
        <v>7279</v>
      </c>
      <c r="C4144" s="12">
        <v>1000</v>
      </c>
      <c r="D4144" s="12">
        <v>100</v>
      </c>
    </row>
    <row r="4145" spans="1:4" x14ac:dyDescent="0.2">
      <c r="A4145" s="12" t="s">
        <v>3627</v>
      </c>
      <c r="B4145" s="12" t="s">
        <v>3626</v>
      </c>
      <c r="C4145" s="12">
        <v>2450</v>
      </c>
      <c r="D4145" s="12">
        <v>245</v>
      </c>
    </row>
    <row r="4146" spans="1:4" x14ac:dyDescent="0.2">
      <c r="A4146" s="12" t="s">
        <v>6367</v>
      </c>
      <c r="B4146" s="12" t="s">
        <v>6366</v>
      </c>
      <c r="C4146" s="12">
        <v>3500</v>
      </c>
      <c r="D4146" s="12">
        <v>350</v>
      </c>
    </row>
    <row r="4147" spans="1:4" x14ac:dyDescent="0.2">
      <c r="A4147" s="12" t="s">
        <v>10731</v>
      </c>
      <c r="B4147" s="12" t="s">
        <v>10730</v>
      </c>
      <c r="C4147" s="12">
        <v>1000</v>
      </c>
      <c r="D4147" s="12">
        <v>100</v>
      </c>
    </row>
    <row r="4148" spans="1:4" x14ac:dyDescent="0.2">
      <c r="A4148" s="12" t="s">
        <v>9624</v>
      </c>
      <c r="B4148" s="12" t="s">
        <v>9623</v>
      </c>
      <c r="C4148" s="12">
        <v>20</v>
      </c>
      <c r="D4148" s="12">
        <v>2</v>
      </c>
    </row>
    <row r="4149" spans="1:4" x14ac:dyDescent="0.2">
      <c r="A4149" s="12" t="s">
        <v>9625</v>
      </c>
      <c r="B4149" s="12" t="s">
        <v>9623</v>
      </c>
      <c r="C4149" s="12">
        <v>1000</v>
      </c>
      <c r="D4149" s="12">
        <v>100</v>
      </c>
    </row>
    <row r="4150" spans="1:4" x14ac:dyDescent="0.2">
      <c r="A4150" s="12" t="s">
        <v>7629</v>
      </c>
      <c r="B4150" s="12" t="s">
        <v>7628</v>
      </c>
      <c r="C4150" s="12">
        <v>3500</v>
      </c>
      <c r="D4150" s="12">
        <v>350</v>
      </c>
    </row>
    <row r="4151" spans="1:4" x14ac:dyDescent="0.2">
      <c r="A4151" s="12" t="s">
        <v>6351</v>
      </c>
      <c r="B4151" s="12" t="s">
        <v>6350</v>
      </c>
      <c r="C4151" s="12">
        <v>3500</v>
      </c>
      <c r="D4151" s="12">
        <v>350</v>
      </c>
    </row>
    <row r="4152" spans="1:4" x14ac:dyDescent="0.2">
      <c r="A4152" s="12" t="s">
        <v>9018</v>
      </c>
      <c r="B4152" s="12" t="s">
        <v>9017</v>
      </c>
      <c r="C4152" s="12">
        <v>3000</v>
      </c>
      <c r="D4152" s="12">
        <v>300</v>
      </c>
    </row>
    <row r="4153" spans="1:4" x14ac:dyDescent="0.2">
      <c r="A4153" s="12" t="s">
        <v>9008</v>
      </c>
      <c r="B4153" s="12" t="s">
        <v>9007</v>
      </c>
      <c r="C4153" s="12">
        <v>3500</v>
      </c>
      <c r="D4153" s="12">
        <v>350</v>
      </c>
    </row>
    <row r="4154" spans="1:4" x14ac:dyDescent="0.2">
      <c r="A4154" s="12" t="s">
        <v>7621</v>
      </c>
      <c r="B4154" s="12" t="s">
        <v>7620</v>
      </c>
      <c r="C4154" s="12">
        <v>3500</v>
      </c>
      <c r="D4154" s="12">
        <v>350</v>
      </c>
    </row>
    <row r="4155" spans="1:4" x14ac:dyDescent="0.2">
      <c r="A4155" s="12" t="s">
        <v>7625</v>
      </c>
      <c r="B4155" s="12" t="s">
        <v>7624</v>
      </c>
      <c r="C4155" s="12">
        <v>1000</v>
      </c>
      <c r="D4155" s="12">
        <v>100</v>
      </c>
    </row>
    <row r="4156" spans="1:4" x14ac:dyDescent="0.2">
      <c r="A4156" s="12" t="s">
        <v>7389</v>
      </c>
      <c r="B4156" s="12" t="s">
        <v>7388</v>
      </c>
      <c r="C4156" s="12">
        <v>1000</v>
      </c>
      <c r="D4156" s="12">
        <v>100</v>
      </c>
    </row>
    <row r="4157" spans="1:4" x14ac:dyDescent="0.2">
      <c r="A4157" s="12" t="s">
        <v>7627</v>
      </c>
      <c r="B4157" s="12" t="s">
        <v>7626</v>
      </c>
      <c r="C4157" s="12">
        <v>1000</v>
      </c>
      <c r="D4157" s="12">
        <v>100</v>
      </c>
    </row>
    <row r="4158" spans="1:4" x14ac:dyDescent="0.2">
      <c r="A4158" s="12" t="s">
        <v>11223</v>
      </c>
      <c r="B4158" s="12" t="s">
        <v>11222</v>
      </c>
      <c r="C4158" s="12">
        <v>1000</v>
      </c>
      <c r="D4158" s="12">
        <v>100</v>
      </c>
    </row>
    <row r="4159" spans="1:4" x14ac:dyDescent="0.2">
      <c r="A4159" s="12" t="s">
        <v>7631</v>
      </c>
      <c r="B4159" s="12" t="s">
        <v>7630</v>
      </c>
      <c r="C4159" s="12">
        <v>3500</v>
      </c>
      <c r="D4159" s="12">
        <v>350</v>
      </c>
    </row>
    <row r="4160" spans="1:4" x14ac:dyDescent="0.2">
      <c r="A4160" s="12" t="s">
        <v>8163</v>
      </c>
      <c r="B4160" s="12" t="s">
        <v>8162</v>
      </c>
      <c r="C4160" s="12">
        <v>1000</v>
      </c>
      <c r="D4160" s="12">
        <v>100</v>
      </c>
    </row>
    <row r="4161" spans="1:4" x14ac:dyDescent="0.2">
      <c r="A4161" s="12" t="s">
        <v>9632</v>
      </c>
      <c r="B4161" s="12" t="s">
        <v>9631</v>
      </c>
      <c r="C4161" s="12">
        <v>1000</v>
      </c>
      <c r="D4161" s="12">
        <v>100</v>
      </c>
    </row>
    <row r="4162" spans="1:4" x14ac:dyDescent="0.2">
      <c r="A4162" s="12" t="s">
        <v>9461</v>
      </c>
      <c r="B4162" s="12" t="s">
        <v>9460</v>
      </c>
      <c r="C4162" s="12">
        <v>1000</v>
      </c>
      <c r="D4162" s="12">
        <v>100</v>
      </c>
    </row>
    <row r="4163" spans="1:4" x14ac:dyDescent="0.2">
      <c r="A4163" s="12" t="s">
        <v>6357</v>
      </c>
      <c r="B4163" s="12" t="s">
        <v>6356</v>
      </c>
      <c r="C4163" s="12">
        <v>3500</v>
      </c>
      <c r="D4163" s="12">
        <v>350</v>
      </c>
    </row>
    <row r="4164" spans="1:4" x14ac:dyDescent="0.2">
      <c r="A4164" s="12" t="s">
        <v>6339</v>
      </c>
      <c r="B4164" s="12" t="s">
        <v>6338</v>
      </c>
      <c r="C4164" s="12">
        <v>1000</v>
      </c>
      <c r="D4164" s="12">
        <v>100</v>
      </c>
    </row>
    <row r="4165" spans="1:4" x14ac:dyDescent="0.2">
      <c r="A4165" s="12" t="s">
        <v>4988</v>
      </c>
      <c r="B4165" s="12" t="s">
        <v>4987</v>
      </c>
      <c r="C4165" s="12">
        <v>1000</v>
      </c>
      <c r="D4165" s="12">
        <v>100</v>
      </c>
    </row>
    <row r="4166" spans="1:4" x14ac:dyDescent="0.2">
      <c r="A4166" s="12" t="s">
        <v>7581</v>
      </c>
      <c r="B4166" s="12" t="s">
        <v>7580</v>
      </c>
      <c r="C4166" s="12">
        <v>2560</v>
      </c>
      <c r="D4166" s="12">
        <v>256</v>
      </c>
    </row>
    <row r="4167" spans="1:4" x14ac:dyDescent="0.2">
      <c r="A4167" s="12" t="s">
        <v>7579</v>
      </c>
      <c r="B4167" s="12" t="s">
        <v>7578</v>
      </c>
      <c r="C4167" s="12">
        <v>1000</v>
      </c>
      <c r="D4167" s="12">
        <v>100</v>
      </c>
    </row>
    <row r="4168" spans="1:4" x14ac:dyDescent="0.2">
      <c r="A4168" s="12" t="s">
        <v>9002</v>
      </c>
      <c r="B4168" s="12" t="s">
        <v>9001</v>
      </c>
      <c r="C4168" s="12">
        <v>3500</v>
      </c>
      <c r="D4168" s="12">
        <v>350</v>
      </c>
    </row>
    <row r="4169" spans="1:4" x14ac:dyDescent="0.2">
      <c r="A4169" s="12" t="s">
        <v>8288</v>
      </c>
      <c r="B4169" s="12" t="s">
        <v>8287</v>
      </c>
      <c r="C4169" s="12">
        <v>3500</v>
      </c>
      <c r="D4169" s="12">
        <v>350</v>
      </c>
    </row>
    <row r="4170" spans="1:4" x14ac:dyDescent="0.2">
      <c r="A4170" s="12" t="s">
        <v>8093</v>
      </c>
      <c r="B4170" s="12" t="s">
        <v>8092</v>
      </c>
      <c r="C4170" s="12">
        <v>3500</v>
      </c>
      <c r="D4170" s="12">
        <v>350</v>
      </c>
    </row>
    <row r="4171" spans="1:4" x14ac:dyDescent="0.2">
      <c r="A4171" s="12" t="s">
        <v>4936</v>
      </c>
      <c r="B4171" s="12" t="s">
        <v>4935</v>
      </c>
      <c r="C4171" s="12">
        <v>1000</v>
      </c>
      <c r="D4171" s="12">
        <v>100</v>
      </c>
    </row>
    <row r="4172" spans="1:4" x14ac:dyDescent="0.2">
      <c r="A4172" s="12" t="s">
        <v>4121</v>
      </c>
      <c r="B4172" s="12" t="s">
        <v>4120</v>
      </c>
      <c r="C4172" s="12">
        <v>2560</v>
      </c>
      <c r="D4172" s="12">
        <v>256</v>
      </c>
    </row>
    <row r="4173" spans="1:4" x14ac:dyDescent="0.2">
      <c r="A4173" s="12" t="s">
        <v>11213</v>
      </c>
      <c r="B4173" s="12" t="s">
        <v>11212</v>
      </c>
      <c r="C4173" s="12">
        <v>4400</v>
      </c>
      <c r="D4173" s="12">
        <v>54</v>
      </c>
    </row>
    <row r="4174" spans="1:4" x14ac:dyDescent="0.2">
      <c r="A4174" s="12" t="s">
        <v>7381</v>
      </c>
      <c r="B4174" s="12" t="s">
        <v>7380</v>
      </c>
      <c r="C4174" s="12">
        <v>2560</v>
      </c>
      <c r="D4174" s="12">
        <v>256</v>
      </c>
    </row>
    <row r="4175" spans="1:4" x14ac:dyDescent="0.2">
      <c r="A4175" s="12" t="s">
        <v>6369</v>
      </c>
      <c r="B4175" s="12" t="s">
        <v>6368</v>
      </c>
      <c r="C4175" s="12">
        <v>1250</v>
      </c>
      <c r="D4175" s="12">
        <v>125</v>
      </c>
    </row>
    <row r="4176" spans="1:4" x14ac:dyDescent="0.2">
      <c r="A4176" s="12" t="s">
        <v>3643</v>
      </c>
      <c r="B4176" s="12" t="s">
        <v>3642</v>
      </c>
      <c r="C4176" s="12">
        <v>5700</v>
      </c>
      <c r="D4176" s="12">
        <v>570</v>
      </c>
    </row>
    <row r="4177" spans="1:4" x14ac:dyDescent="0.2">
      <c r="A4177" s="12" t="s">
        <v>9792</v>
      </c>
      <c r="B4177" s="12" t="s">
        <v>9791</v>
      </c>
      <c r="C4177" s="12">
        <v>50</v>
      </c>
      <c r="D4177" s="12">
        <v>5</v>
      </c>
    </row>
    <row r="4178" spans="1:4" x14ac:dyDescent="0.2">
      <c r="A4178" s="12" t="s">
        <v>7072</v>
      </c>
      <c r="B4178" s="12" t="s">
        <v>7071</v>
      </c>
      <c r="C4178" s="12" t="s">
        <v>59</v>
      </c>
      <c r="D4178" s="12" t="s">
        <v>59</v>
      </c>
    </row>
    <row r="4179" spans="1:4" x14ac:dyDescent="0.2">
      <c r="A4179" s="12" t="s">
        <v>7073</v>
      </c>
      <c r="B4179" s="12" t="s">
        <v>7071</v>
      </c>
      <c r="C4179" s="12">
        <v>1000</v>
      </c>
      <c r="D4179" s="12">
        <v>100</v>
      </c>
    </row>
    <row r="4180" spans="1:4" x14ac:dyDescent="0.2">
      <c r="A4180" s="12" t="s">
        <v>6986</v>
      </c>
      <c r="B4180" s="12" t="s">
        <v>6985</v>
      </c>
      <c r="C4180" s="12" t="s">
        <v>59</v>
      </c>
      <c r="D4180" s="12" t="s">
        <v>59</v>
      </c>
    </row>
    <row r="4181" spans="1:4" x14ac:dyDescent="0.2">
      <c r="A4181" s="12" t="s">
        <v>6987</v>
      </c>
      <c r="B4181" s="12" t="s">
        <v>6985</v>
      </c>
      <c r="C4181" s="12">
        <v>1000</v>
      </c>
      <c r="D4181" s="12">
        <v>100</v>
      </c>
    </row>
    <row r="4182" spans="1:4" x14ac:dyDescent="0.2">
      <c r="A4182" s="12" t="s">
        <v>6953</v>
      </c>
      <c r="B4182" s="12" t="s">
        <v>6952</v>
      </c>
      <c r="C4182" s="12" t="s">
        <v>59</v>
      </c>
      <c r="D4182" s="12" t="s">
        <v>59</v>
      </c>
    </row>
    <row r="4183" spans="1:4" x14ac:dyDescent="0.2">
      <c r="A4183" s="12" t="s">
        <v>6954</v>
      </c>
      <c r="B4183" s="12" t="s">
        <v>6952</v>
      </c>
      <c r="C4183" s="12">
        <v>1000</v>
      </c>
      <c r="D4183" s="12">
        <v>100</v>
      </c>
    </row>
    <row r="4184" spans="1:4" x14ac:dyDescent="0.2">
      <c r="A4184" s="12" t="s">
        <v>6869</v>
      </c>
      <c r="B4184" s="12" t="s">
        <v>6868</v>
      </c>
      <c r="C4184" s="12" t="s">
        <v>59</v>
      </c>
      <c r="D4184" s="12" t="s">
        <v>59</v>
      </c>
    </row>
    <row r="4185" spans="1:4" x14ac:dyDescent="0.2">
      <c r="A4185" s="12" t="s">
        <v>6870</v>
      </c>
      <c r="B4185" s="12" t="s">
        <v>6868</v>
      </c>
      <c r="C4185" s="12">
        <v>1000</v>
      </c>
      <c r="D4185" s="12">
        <v>100</v>
      </c>
    </row>
    <row r="4186" spans="1:4" x14ac:dyDescent="0.2">
      <c r="A4186" s="12" t="s">
        <v>12084</v>
      </c>
      <c r="B4186" s="12" t="s">
        <v>12083</v>
      </c>
      <c r="C4186" s="12">
        <v>4.2</v>
      </c>
      <c r="D4186" s="12">
        <v>0.42</v>
      </c>
    </row>
    <row r="4187" spans="1:4" x14ac:dyDescent="0.2">
      <c r="A4187" s="12" t="s">
        <v>9634</v>
      </c>
      <c r="B4187" s="12" t="s">
        <v>9633</v>
      </c>
      <c r="C4187" s="12">
        <v>3500</v>
      </c>
      <c r="D4187" s="12">
        <v>350</v>
      </c>
    </row>
    <row r="4188" spans="1:4" x14ac:dyDescent="0.2">
      <c r="A4188" s="12" t="s">
        <v>4032</v>
      </c>
      <c r="B4188" s="12" t="s">
        <v>4031</v>
      </c>
      <c r="C4188" s="12" t="s">
        <v>59</v>
      </c>
      <c r="D4188" s="12" t="s">
        <v>59</v>
      </c>
    </row>
    <row r="4189" spans="1:4" x14ac:dyDescent="0.2">
      <c r="A4189" s="12" t="s">
        <v>3780</v>
      </c>
      <c r="B4189" s="12" t="s">
        <v>3779</v>
      </c>
      <c r="C4189" s="12">
        <v>100</v>
      </c>
      <c r="D4189" s="12">
        <v>10</v>
      </c>
    </row>
    <row r="4190" spans="1:4" x14ac:dyDescent="0.2">
      <c r="A4190" s="12" t="s">
        <v>7861</v>
      </c>
      <c r="B4190" s="12" t="s">
        <v>7860</v>
      </c>
      <c r="C4190" s="12" t="s">
        <v>59</v>
      </c>
      <c r="D4190" s="12" t="s">
        <v>59</v>
      </c>
    </row>
    <row r="4191" spans="1:4" x14ac:dyDescent="0.2">
      <c r="A4191" s="12" t="s">
        <v>11197</v>
      </c>
      <c r="B4191" s="12" t="s">
        <v>11196</v>
      </c>
      <c r="C4191" s="12" t="s">
        <v>59</v>
      </c>
      <c r="D4191" s="12" t="s">
        <v>59</v>
      </c>
    </row>
    <row r="4192" spans="1:4" x14ac:dyDescent="0.2">
      <c r="A4192" s="12" t="s">
        <v>5724</v>
      </c>
      <c r="B4192" s="12" t="s">
        <v>5723</v>
      </c>
      <c r="C4192" s="12" t="s">
        <v>59</v>
      </c>
      <c r="D4192" s="12" t="s">
        <v>59</v>
      </c>
    </row>
    <row r="4193" spans="1:4" x14ac:dyDescent="0.2">
      <c r="A4193" s="12" t="s">
        <v>11457</v>
      </c>
      <c r="B4193" s="12" t="s">
        <v>11456</v>
      </c>
      <c r="C4193" s="12" t="s">
        <v>59</v>
      </c>
      <c r="D4193" s="12" t="s">
        <v>59</v>
      </c>
    </row>
    <row r="4194" spans="1:4" x14ac:dyDescent="0.2">
      <c r="A4194" s="12" t="s">
        <v>11458</v>
      </c>
      <c r="B4194" s="12" t="s">
        <v>11456</v>
      </c>
      <c r="C4194" s="12">
        <v>1000</v>
      </c>
      <c r="D4194" s="12">
        <v>100</v>
      </c>
    </row>
    <row r="4195" spans="1:4" x14ac:dyDescent="0.2">
      <c r="A4195" s="12" t="s">
        <v>4920</v>
      </c>
      <c r="B4195" s="12" t="s">
        <v>4919</v>
      </c>
      <c r="C4195" s="12" t="s">
        <v>59</v>
      </c>
      <c r="D4195" s="12" t="s">
        <v>59</v>
      </c>
    </row>
    <row r="4196" spans="1:4" x14ac:dyDescent="0.2">
      <c r="A4196" s="12" t="s">
        <v>1672</v>
      </c>
      <c r="B4196" s="12" t="s">
        <v>1671</v>
      </c>
      <c r="C4196" s="12" t="s">
        <v>59</v>
      </c>
      <c r="D4196" s="12" t="s">
        <v>59</v>
      </c>
    </row>
    <row r="4197" spans="1:4" x14ac:dyDescent="0.2">
      <c r="A4197" s="12" t="s">
        <v>10795</v>
      </c>
      <c r="B4197" s="12" t="s">
        <v>10794</v>
      </c>
      <c r="C4197" s="12">
        <v>1900</v>
      </c>
      <c r="D4197" s="12">
        <v>190</v>
      </c>
    </row>
    <row r="4198" spans="1:4" x14ac:dyDescent="0.2">
      <c r="A4198" s="12" t="s">
        <v>5722</v>
      </c>
      <c r="B4198" s="12" t="s">
        <v>5721</v>
      </c>
      <c r="C4198" s="12" t="s">
        <v>59</v>
      </c>
      <c r="D4198" s="12" t="s">
        <v>59</v>
      </c>
    </row>
    <row r="4199" spans="1:4" x14ac:dyDescent="0.2">
      <c r="A4199" s="12" t="s">
        <v>10052</v>
      </c>
      <c r="B4199" s="12" t="s">
        <v>10051</v>
      </c>
      <c r="C4199" s="12" t="s">
        <v>59</v>
      </c>
      <c r="D4199" s="12" t="s">
        <v>59</v>
      </c>
    </row>
    <row r="4200" spans="1:4" x14ac:dyDescent="0.2">
      <c r="A4200" s="12" t="s">
        <v>830</v>
      </c>
      <c r="B4200" s="12" t="s">
        <v>829</v>
      </c>
      <c r="C4200" s="12">
        <v>610</v>
      </c>
      <c r="D4200" s="12">
        <v>61</v>
      </c>
    </row>
    <row r="4201" spans="1:4" x14ac:dyDescent="0.2">
      <c r="A4201" s="12" t="s">
        <v>238</v>
      </c>
      <c r="B4201" s="12" t="s">
        <v>237</v>
      </c>
      <c r="C4201" s="12" t="s">
        <v>59</v>
      </c>
      <c r="D4201" s="12" t="s">
        <v>59</v>
      </c>
    </row>
    <row r="4202" spans="1:4" x14ac:dyDescent="0.2">
      <c r="A4202" s="12" t="s">
        <v>2500</v>
      </c>
      <c r="B4202" s="12" t="s">
        <v>2499</v>
      </c>
      <c r="C4202" s="12">
        <v>50</v>
      </c>
      <c r="D4202" s="12">
        <v>5</v>
      </c>
    </row>
    <row r="4203" spans="1:4" x14ac:dyDescent="0.2">
      <c r="A4203" s="12" t="s">
        <v>1932</v>
      </c>
      <c r="B4203" s="12" t="s">
        <v>1931</v>
      </c>
      <c r="C4203" s="12">
        <v>97</v>
      </c>
      <c r="D4203" s="12">
        <v>7</v>
      </c>
    </row>
    <row r="4204" spans="1:4" x14ac:dyDescent="0.2">
      <c r="A4204" s="12" t="s">
        <v>9041</v>
      </c>
      <c r="B4204" s="12" t="s">
        <v>9040</v>
      </c>
      <c r="C4204" s="12" t="s">
        <v>59</v>
      </c>
      <c r="D4204" s="12" t="s">
        <v>59</v>
      </c>
    </row>
    <row r="4205" spans="1:4" x14ac:dyDescent="0.2">
      <c r="A4205" s="12" t="s">
        <v>631</v>
      </c>
      <c r="B4205" s="12" t="s">
        <v>630</v>
      </c>
      <c r="C4205" s="12" t="s">
        <v>59</v>
      </c>
      <c r="D4205" s="12" t="s">
        <v>59</v>
      </c>
    </row>
    <row r="4206" spans="1:4" x14ac:dyDescent="0.2">
      <c r="A4206" s="12" t="s">
        <v>1312</v>
      </c>
      <c r="B4206" s="12" t="s">
        <v>1311</v>
      </c>
      <c r="C4206" s="12" t="s">
        <v>59</v>
      </c>
      <c r="D4206" s="12" t="s">
        <v>59</v>
      </c>
    </row>
    <row r="4207" spans="1:4" x14ac:dyDescent="0.2">
      <c r="A4207" s="12" t="s">
        <v>7144</v>
      </c>
      <c r="B4207" s="12" t="s">
        <v>7143</v>
      </c>
      <c r="C4207" s="12" t="s">
        <v>59</v>
      </c>
      <c r="D4207" s="12" t="s">
        <v>59</v>
      </c>
    </row>
    <row r="4208" spans="1:4" x14ac:dyDescent="0.2">
      <c r="A4208" s="12" t="s">
        <v>9378</v>
      </c>
      <c r="B4208" s="12" t="s">
        <v>9377</v>
      </c>
      <c r="C4208" s="12">
        <v>180</v>
      </c>
      <c r="D4208" s="12">
        <v>18</v>
      </c>
    </row>
    <row r="4209" spans="1:4" x14ac:dyDescent="0.2">
      <c r="A4209" s="12" t="s">
        <v>10193</v>
      </c>
      <c r="B4209" s="12" t="s">
        <v>10192</v>
      </c>
      <c r="C4209" s="12">
        <v>180</v>
      </c>
      <c r="D4209" s="12">
        <v>18</v>
      </c>
    </row>
    <row r="4210" spans="1:4" x14ac:dyDescent="0.2">
      <c r="A4210" s="12" t="s">
        <v>11167</v>
      </c>
      <c r="B4210" s="12" t="s">
        <v>11166</v>
      </c>
      <c r="C4210" s="12" t="s">
        <v>59</v>
      </c>
      <c r="D4210" s="12" t="s">
        <v>59</v>
      </c>
    </row>
    <row r="4211" spans="1:4" x14ac:dyDescent="0.2">
      <c r="A4211" s="12" t="s">
        <v>7158</v>
      </c>
      <c r="B4211" s="12" t="s">
        <v>7157</v>
      </c>
      <c r="C4211" s="12">
        <v>50</v>
      </c>
      <c r="D4211" s="12">
        <v>5</v>
      </c>
    </row>
    <row r="4212" spans="1:4" x14ac:dyDescent="0.2">
      <c r="A4212" s="12" t="s">
        <v>4309</v>
      </c>
      <c r="B4212" s="12" t="s">
        <v>4308</v>
      </c>
      <c r="C4212" s="12" t="s">
        <v>59</v>
      </c>
      <c r="D4212" s="12" t="s">
        <v>59</v>
      </c>
    </row>
    <row r="4213" spans="1:4" x14ac:dyDescent="0.2">
      <c r="A4213" s="12" t="s">
        <v>4310</v>
      </c>
      <c r="B4213" s="12" t="s">
        <v>4308</v>
      </c>
      <c r="C4213" s="12">
        <v>500</v>
      </c>
      <c r="D4213" s="12">
        <v>50</v>
      </c>
    </row>
    <row r="4214" spans="1:4" x14ac:dyDescent="0.2">
      <c r="A4214" s="12" t="s">
        <v>7901</v>
      </c>
      <c r="B4214" s="12" t="s">
        <v>7900</v>
      </c>
      <c r="C4214" s="12">
        <v>840</v>
      </c>
      <c r="D4214" s="12">
        <v>84</v>
      </c>
    </row>
    <row r="4215" spans="1:4" x14ac:dyDescent="0.2">
      <c r="A4215" s="12" t="s">
        <v>5295</v>
      </c>
      <c r="B4215" s="12" t="s">
        <v>5294</v>
      </c>
      <c r="C4215" s="12">
        <v>240</v>
      </c>
      <c r="D4215" s="12">
        <v>6.3</v>
      </c>
    </row>
    <row r="4216" spans="1:4" x14ac:dyDescent="0.2">
      <c r="A4216" s="12" t="s">
        <v>5289</v>
      </c>
      <c r="B4216" s="12" t="s">
        <v>5288</v>
      </c>
      <c r="C4216" s="12">
        <v>3500</v>
      </c>
      <c r="D4216" s="12">
        <v>350</v>
      </c>
    </row>
    <row r="4217" spans="1:4" x14ac:dyDescent="0.2">
      <c r="A4217" s="12" t="s">
        <v>5293</v>
      </c>
      <c r="B4217" s="12" t="s">
        <v>5292</v>
      </c>
      <c r="C4217" s="12">
        <v>3500</v>
      </c>
      <c r="D4217" s="12">
        <v>350</v>
      </c>
    </row>
    <row r="4218" spans="1:4" x14ac:dyDescent="0.2">
      <c r="A4218" s="12" t="s">
        <v>5297</v>
      </c>
      <c r="B4218" s="12" t="s">
        <v>5296</v>
      </c>
      <c r="C4218" s="12">
        <v>1</v>
      </c>
      <c r="D4218" s="12">
        <v>0.1</v>
      </c>
    </row>
    <row r="4219" spans="1:4" x14ac:dyDescent="0.2">
      <c r="A4219" s="12" t="s">
        <v>11518</v>
      </c>
      <c r="B4219" s="12" t="s">
        <v>11517</v>
      </c>
      <c r="C4219" s="12">
        <v>1120</v>
      </c>
      <c r="D4219" s="12">
        <v>112</v>
      </c>
    </row>
    <row r="4220" spans="1:4" x14ac:dyDescent="0.2">
      <c r="A4220" s="12" t="s">
        <v>11520</v>
      </c>
      <c r="B4220" s="12" t="s">
        <v>11519</v>
      </c>
      <c r="C4220" s="12">
        <v>1120</v>
      </c>
      <c r="D4220" s="12">
        <v>112</v>
      </c>
    </row>
    <row r="4221" spans="1:4" x14ac:dyDescent="0.2">
      <c r="A4221" s="12" t="s">
        <v>11522</v>
      </c>
      <c r="B4221" s="12" t="s">
        <v>11521</v>
      </c>
      <c r="C4221" s="12">
        <v>1100</v>
      </c>
      <c r="D4221" s="12">
        <v>110</v>
      </c>
    </row>
    <row r="4222" spans="1:4" x14ac:dyDescent="0.2">
      <c r="A4222" s="12" t="s">
        <v>11455</v>
      </c>
      <c r="B4222" s="12" t="s">
        <v>11454</v>
      </c>
      <c r="C4222" s="12" t="s">
        <v>59</v>
      </c>
      <c r="D4222" s="12" t="s">
        <v>59</v>
      </c>
    </row>
    <row r="4223" spans="1:4" x14ac:dyDescent="0.2">
      <c r="A4223" s="12" t="s">
        <v>7014</v>
      </c>
      <c r="B4223" s="12" t="s">
        <v>7013</v>
      </c>
      <c r="C4223" s="12" t="s">
        <v>59</v>
      </c>
      <c r="D4223" s="12" t="s">
        <v>59</v>
      </c>
    </row>
    <row r="4224" spans="1:4" x14ac:dyDescent="0.2">
      <c r="A4224" s="12" t="s">
        <v>7015</v>
      </c>
      <c r="B4224" s="12" t="s">
        <v>7013</v>
      </c>
      <c r="C4224" s="12">
        <v>1000</v>
      </c>
      <c r="D4224" s="12">
        <v>100</v>
      </c>
    </row>
    <row r="4225" spans="1:4" x14ac:dyDescent="0.2">
      <c r="A4225" s="12" t="s">
        <v>7237</v>
      </c>
      <c r="B4225" s="12" t="s">
        <v>7236</v>
      </c>
      <c r="C4225" s="12" t="s">
        <v>59</v>
      </c>
      <c r="D4225" s="12" t="s">
        <v>59</v>
      </c>
    </row>
    <row r="4226" spans="1:4" x14ac:dyDescent="0.2">
      <c r="A4226" s="12" t="s">
        <v>10767</v>
      </c>
      <c r="B4226" s="12" t="s">
        <v>10766</v>
      </c>
      <c r="C4226" s="12" t="s">
        <v>59</v>
      </c>
      <c r="D4226" s="12" t="s">
        <v>59</v>
      </c>
    </row>
    <row r="4227" spans="1:4" x14ac:dyDescent="0.2">
      <c r="A4227" s="12" t="s">
        <v>10763</v>
      </c>
      <c r="B4227" s="12" t="s">
        <v>10762</v>
      </c>
      <c r="C4227" s="12" t="s">
        <v>59</v>
      </c>
      <c r="D4227" s="12" t="s">
        <v>59</v>
      </c>
    </row>
    <row r="4228" spans="1:4" x14ac:dyDescent="0.2">
      <c r="A4228" s="12" t="s">
        <v>10372</v>
      </c>
      <c r="B4228" s="12" t="s">
        <v>10371</v>
      </c>
      <c r="C4228" s="12">
        <v>50</v>
      </c>
      <c r="D4228" s="12">
        <v>5</v>
      </c>
    </row>
    <row r="4229" spans="1:4" x14ac:dyDescent="0.2">
      <c r="A4229" s="12" t="s">
        <v>4819</v>
      </c>
      <c r="B4229" s="12" t="s">
        <v>4818</v>
      </c>
      <c r="C4229" s="12">
        <v>50</v>
      </c>
      <c r="D4229" s="12">
        <v>5</v>
      </c>
    </row>
    <row r="4230" spans="1:4" x14ac:dyDescent="0.2">
      <c r="A4230" s="12" t="s">
        <v>7146</v>
      </c>
      <c r="B4230" s="12" t="s">
        <v>7145</v>
      </c>
      <c r="C4230" s="12" t="s">
        <v>59</v>
      </c>
      <c r="D4230" s="12" t="s">
        <v>59</v>
      </c>
    </row>
    <row r="4231" spans="1:4" x14ac:dyDescent="0.2">
      <c r="A4231" s="12" t="s">
        <v>8054</v>
      </c>
      <c r="B4231" s="12" t="s">
        <v>8053</v>
      </c>
      <c r="C4231" s="12" t="s">
        <v>59</v>
      </c>
      <c r="D4231" s="12" t="s">
        <v>59</v>
      </c>
    </row>
    <row r="4232" spans="1:4" x14ac:dyDescent="0.2">
      <c r="A4232" s="12" t="s">
        <v>6549</v>
      </c>
      <c r="B4232" s="12" t="s">
        <v>6548</v>
      </c>
      <c r="C4232" s="12" t="s">
        <v>59</v>
      </c>
      <c r="D4232" s="12" t="s">
        <v>59</v>
      </c>
    </row>
    <row r="4233" spans="1:4" x14ac:dyDescent="0.2">
      <c r="A4233" s="12" t="s">
        <v>11267</v>
      </c>
      <c r="B4233" s="12" t="s">
        <v>11266</v>
      </c>
      <c r="C4233" s="12" t="s">
        <v>59</v>
      </c>
      <c r="D4233" s="12" t="s">
        <v>59</v>
      </c>
    </row>
    <row r="4234" spans="1:4" x14ac:dyDescent="0.2">
      <c r="A4234" s="12" t="s">
        <v>11462</v>
      </c>
      <c r="B4234" s="12" t="s">
        <v>11461</v>
      </c>
      <c r="C4234" s="12">
        <v>1000</v>
      </c>
      <c r="D4234" s="12">
        <v>100</v>
      </c>
    </row>
    <row r="4235" spans="1:4" x14ac:dyDescent="0.2">
      <c r="A4235" s="12" t="s">
        <v>6926</v>
      </c>
      <c r="B4235" s="12" t="s">
        <v>6925</v>
      </c>
      <c r="C4235" s="12" t="s">
        <v>59</v>
      </c>
      <c r="D4235" s="12" t="s">
        <v>59</v>
      </c>
    </row>
    <row r="4236" spans="1:4" x14ac:dyDescent="0.2">
      <c r="A4236" s="12" t="s">
        <v>6927</v>
      </c>
      <c r="B4236" s="12" t="s">
        <v>6925</v>
      </c>
      <c r="C4236" s="12">
        <v>1000</v>
      </c>
      <c r="D4236" s="12">
        <v>100</v>
      </c>
    </row>
    <row r="4237" spans="1:4" x14ac:dyDescent="0.2">
      <c r="A4237" s="12" t="s">
        <v>5389</v>
      </c>
      <c r="B4237" s="12" t="s">
        <v>5388</v>
      </c>
      <c r="C4237" s="12" t="s">
        <v>59</v>
      </c>
      <c r="D4237" s="12" t="s">
        <v>59</v>
      </c>
    </row>
    <row r="4238" spans="1:4" x14ac:dyDescent="0.2">
      <c r="A4238" s="12" t="s">
        <v>5391</v>
      </c>
      <c r="B4238" s="12" t="s">
        <v>5390</v>
      </c>
      <c r="C4238" s="12" t="s">
        <v>59</v>
      </c>
      <c r="D4238" s="12" t="s">
        <v>59</v>
      </c>
    </row>
    <row r="4239" spans="1:4" x14ac:dyDescent="0.2">
      <c r="A4239" s="12" t="s">
        <v>5392</v>
      </c>
      <c r="B4239" s="12" t="s">
        <v>5390</v>
      </c>
      <c r="C4239" s="12">
        <v>1000</v>
      </c>
      <c r="D4239" s="12">
        <v>100</v>
      </c>
    </row>
    <row r="4240" spans="1:4" x14ac:dyDescent="0.2">
      <c r="A4240" s="12" t="s">
        <v>11263</v>
      </c>
      <c r="B4240" s="12" t="s">
        <v>11262</v>
      </c>
      <c r="C4240" s="12">
        <v>1000</v>
      </c>
      <c r="D4240" s="12">
        <v>100</v>
      </c>
    </row>
    <row r="4241" spans="1:4" x14ac:dyDescent="0.2">
      <c r="A4241" s="12" t="s">
        <v>11364</v>
      </c>
      <c r="B4241" s="12" t="s">
        <v>11363</v>
      </c>
      <c r="C4241" s="12">
        <v>50</v>
      </c>
      <c r="D4241" s="12">
        <v>5</v>
      </c>
    </row>
    <row r="4242" spans="1:4" x14ac:dyDescent="0.2">
      <c r="A4242" s="12" t="s">
        <v>979</v>
      </c>
      <c r="B4242" s="12" t="s">
        <v>978</v>
      </c>
      <c r="C4242" s="12" t="s">
        <v>59</v>
      </c>
      <c r="D4242" s="12" t="s">
        <v>59</v>
      </c>
    </row>
    <row r="4243" spans="1:4" x14ac:dyDescent="0.2">
      <c r="A4243" s="12" t="s">
        <v>2514</v>
      </c>
      <c r="B4243" s="12" t="s">
        <v>2513</v>
      </c>
      <c r="C4243" s="12">
        <v>10000</v>
      </c>
      <c r="D4243" s="12">
        <v>1000</v>
      </c>
    </row>
    <row r="4244" spans="1:4" x14ac:dyDescent="0.2">
      <c r="A4244" s="12" t="s">
        <v>2562</v>
      </c>
      <c r="B4244" s="12" t="s">
        <v>2561</v>
      </c>
      <c r="C4244" s="12">
        <v>160</v>
      </c>
      <c r="D4244" s="12">
        <v>16</v>
      </c>
    </row>
    <row r="4245" spans="1:4" x14ac:dyDescent="0.2">
      <c r="A4245" s="12" t="s">
        <v>5609</v>
      </c>
      <c r="B4245" s="12" t="s">
        <v>5608</v>
      </c>
      <c r="C4245" s="12" t="s">
        <v>59</v>
      </c>
      <c r="D4245" s="12" t="s">
        <v>59</v>
      </c>
    </row>
    <row r="4246" spans="1:4" x14ac:dyDescent="0.2">
      <c r="A4246" s="12" t="s">
        <v>7489</v>
      </c>
      <c r="B4246" s="12" t="s">
        <v>7488</v>
      </c>
      <c r="C4246" s="12">
        <v>330</v>
      </c>
      <c r="D4246" s="12">
        <v>818</v>
      </c>
    </row>
    <row r="4247" spans="1:4" x14ac:dyDescent="0.2">
      <c r="A4247" s="12" t="s">
        <v>8474</v>
      </c>
      <c r="B4247" s="12" t="s">
        <v>8473</v>
      </c>
      <c r="C4247" s="12">
        <v>25</v>
      </c>
      <c r="D4247" s="12">
        <v>2.5</v>
      </c>
    </row>
    <row r="4248" spans="1:4" x14ac:dyDescent="0.2">
      <c r="A4248" s="12" t="s">
        <v>5761</v>
      </c>
      <c r="B4248" s="12" t="s">
        <v>5760</v>
      </c>
      <c r="C4248" s="12">
        <v>150</v>
      </c>
      <c r="D4248" s="12">
        <v>15</v>
      </c>
    </row>
    <row r="4249" spans="1:4" x14ac:dyDescent="0.2">
      <c r="A4249" s="12" t="s">
        <v>6134</v>
      </c>
      <c r="B4249" s="12" t="s">
        <v>6133</v>
      </c>
      <c r="C4249" s="12" t="s">
        <v>59</v>
      </c>
      <c r="D4249" s="12" t="s">
        <v>59</v>
      </c>
    </row>
    <row r="4250" spans="1:4" x14ac:dyDescent="0.2">
      <c r="A4250" s="12" t="s">
        <v>3560</v>
      </c>
      <c r="B4250" s="12" t="s">
        <v>3559</v>
      </c>
      <c r="C4250" s="12">
        <v>600</v>
      </c>
      <c r="D4250" s="12">
        <v>60</v>
      </c>
    </row>
    <row r="4251" spans="1:4" x14ac:dyDescent="0.2">
      <c r="A4251" s="12" t="s">
        <v>3544</v>
      </c>
      <c r="B4251" s="12" t="s">
        <v>3543</v>
      </c>
      <c r="C4251" s="12">
        <v>600</v>
      </c>
      <c r="D4251" s="12">
        <v>60</v>
      </c>
    </row>
    <row r="4252" spans="1:4" x14ac:dyDescent="0.2">
      <c r="A4252" s="12" t="s">
        <v>3609</v>
      </c>
      <c r="B4252" s="12" t="s">
        <v>3608</v>
      </c>
      <c r="C4252" s="12">
        <v>2000</v>
      </c>
      <c r="D4252" s="12">
        <v>200</v>
      </c>
    </row>
    <row r="4253" spans="1:4" x14ac:dyDescent="0.2">
      <c r="A4253" s="12" t="s">
        <v>8833</v>
      </c>
      <c r="B4253" s="12" t="s">
        <v>8832</v>
      </c>
      <c r="C4253" s="12">
        <v>20</v>
      </c>
      <c r="D4253" s="12">
        <v>2</v>
      </c>
    </row>
    <row r="4254" spans="1:4" x14ac:dyDescent="0.2">
      <c r="A4254" s="12" t="s">
        <v>1282</v>
      </c>
      <c r="B4254" s="12" t="s">
        <v>1281</v>
      </c>
      <c r="C4254" s="12">
        <v>50</v>
      </c>
      <c r="D4254" s="12">
        <v>5</v>
      </c>
    </row>
    <row r="4255" spans="1:4" x14ac:dyDescent="0.2">
      <c r="A4255" s="12" t="s">
        <v>370</v>
      </c>
      <c r="B4255" s="12" t="s">
        <v>369</v>
      </c>
      <c r="C4255" s="12">
        <v>5</v>
      </c>
      <c r="D4255" s="12">
        <v>0.5</v>
      </c>
    </row>
    <row r="4256" spans="1:4" x14ac:dyDescent="0.2">
      <c r="A4256" s="12" t="s">
        <v>12254</v>
      </c>
      <c r="B4256" s="12" t="s">
        <v>12253</v>
      </c>
      <c r="C4256" s="12">
        <v>0.8</v>
      </c>
      <c r="D4256" s="12">
        <v>0.08</v>
      </c>
    </row>
    <row r="4257" spans="1:4" x14ac:dyDescent="0.2">
      <c r="A4257" s="12" t="s">
        <v>9696</v>
      </c>
      <c r="B4257" s="12" t="s">
        <v>9695</v>
      </c>
      <c r="C4257" s="12" t="s">
        <v>59</v>
      </c>
      <c r="D4257" s="12" t="s">
        <v>59</v>
      </c>
    </row>
    <row r="4258" spans="1:4" x14ac:dyDescent="0.2">
      <c r="A4258" s="12" t="s">
        <v>1195</v>
      </c>
      <c r="B4258" s="12" t="s">
        <v>1194</v>
      </c>
      <c r="C4258" s="12">
        <v>500</v>
      </c>
      <c r="D4258" s="12">
        <v>50</v>
      </c>
    </row>
    <row r="4259" spans="1:4" x14ac:dyDescent="0.2">
      <c r="A4259" s="12" t="s">
        <v>5607</v>
      </c>
      <c r="B4259" s="12" t="s">
        <v>5606</v>
      </c>
      <c r="C4259" s="12" t="s">
        <v>59</v>
      </c>
      <c r="D4259" s="12" t="s">
        <v>59</v>
      </c>
    </row>
    <row r="4260" spans="1:4" x14ac:dyDescent="0.2">
      <c r="A4260" s="12" t="s">
        <v>11219</v>
      </c>
      <c r="B4260" s="12" t="s">
        <v>11218</v>
      </c>
      <c r="C4260" s="12" t="s">
        <v>59</v>
      </c>
      <c r="D4260" s="12" t="s">
        <v>59</v>
      </c>
    </row>
    <row r="4261" spans="1:4" x14ac:dyDescent="0.2">
      <c r="A4261" s="12" t="s">
        <v>11720</v>
      </c>
      <c r="B4261" s="12" t="s">
        <v>11719</v>
      </c>
      <c r="C4261" s="12">
        <v>100</v>
      </c>
      <c r="D4261" s="12">
        <v>10</v>
      </c>
    </row>
    <row r="4262" spans="1:4" x14ac:dyDescent="0.2">
      <c r="A4262" s="12" t="s">
        <v>884</v>
      </c>
      <c r="B4262" s="12" t="s">
        <v>883</v>
      </c>
      <c r="C4262" s="12">
        <v>20</v>
      </c>
      <c r="D4262" s="12">
        <v>2</v>
      </c>
    </row>
    <row r="4263" spans="1:4" x14ac:dyDescent="0.2">
      <c r="A4263" s="12" t="s">
        <v>10773</v>
      </c>
      <c r="B4263" s="12" t="s">
        <v>10772</v>
      </c>
      <c r="C4263" s="12" t="s">
        <v>59</v>
      </c>
      <c r="D4263" s="12" t="s">
        <v>59</v>
      </c>
    </row>
    <row r="4264" spans="1:4" x14ac:dyDescent="0.2">
      <c r="A4264" s="12" t="s">
        <v>7241</v>
      </c>
      <c r="B4264" s="12" t="s">
        <v>7240</v>
      </c>
      <c r="C4264" s="12">
        <v>27</v>
      </c>
      <c r="D4264" s="12">
        <v>2</v>
      </c>
    </row>
    <row r="4265" spans="1:4" x14ac:dyDescent="0.2">
      <c r="A4265" s="12" t="s">
        <v>1948</v>
      </c>
      <c r="B4265" s="12" t="s">
        <v>1947</v>
      </c>
      <c r="C4265" s="12">
        <v>2</v>
      </c>
      <c r="D4265" s="12">
        <v>0.2</v>
      </c>
    </row>
    <row r="4266" spans="1:4" x14ac:dyDescent="0.2">
      <c r="A4266" s="12" t="s">
        <v>7110</v>
      </c>
      <c r="B4266" s="12" t="s">
        <v>7109</v>
      </c>
      <c r="C4266" s="12">
        <v>50</v>
      </c>
      <c r="D4266" s="12">
        <v>5</v>
      </c>
    </row>
    <row r="4267" spans="1:4" x14ac:dyDescent="0.2">
      <c r="A4267" s="12" t="s">
        <v>378</v>
      </c>
      <c r="B4267" s="12" t="s">
        <v>377</v>
      </c>
      <c r="C4267" s="12">
        <v>100</v>
      </c>
      <c r="D4267" s="12">
        <v>10</v>
      </c>
    </row>
    <row r="4268" spans="1:4" x14ac:dyDescent="0.2">
      <c r="A4268" s="12" t="s">
        <v>12251</v>
      </c>
      <c r="B4268" s="12" t="s">
        <v>12250</v>
      </c>
      <c r="C4268" s="12">
        <v>2450</v>
      </c>
      <c r="D4268" s="12">
        <v>245</v>
      </c>
    </row>
    <row r="4269" spans="1:4" x14ac:dyDescent="0.2">
      <c r="A4269" s="12" t="s">
        <v>5972</v>
      </c>
      <c r="B4269" s="12" t="s">
        <v>5971</v>
      </c>
      <c r="C4269" s="12" t="s">
        <v>59</v>
      </c>
      <c r="D4269" s="12" t="s">
        <v>59</v>
      </c>
    </row>
    <row r="4270" spans="1:4" x14ac:dyDescent="0.2">
      <c r="A4270" s="12" t="s">
        <v>11893</v>
      </c>
      <c r="B4270" s="12" t="s">
        <v>11892</v>
      </c>
      <c r="C4270" s="12">
        <v>1700</v>
      </c>
      <c r="D4270" s="12">
        <v>170</v>
      </c>
    </row>
    <row r="4271" spans="1:4" x14ac:dyDescent="0.2">
      <c r="A4271" s="12" t="s">
        <v>5128</v>
      </c>
      <c r="B4271" s="12" t="s">
        <v>5127</v>
      </c>
      <c r="C4271" s="12" t="s">
        <v>59</v>
      </c>
      <c r="D4271" s="12" t="s">
        <v>59</v>
      </c>
    </row>
    <row r="4272" spans="1:4" x14ac:dyDescent="0.2">
      <c r="A4272" s="12" t="s">
        <v>3879</v>
      </c>
      <c r="B4272" s="12" t="s">
        <v>3878</v>
      </c>
      <c r="C4272" s="12">
        <v>14</v>
      </c>
      <c r="D4272" s="12">
        <v>1.4</v>
      </c>
    </row>
    <row r="4273" spans="1:4" x14ac:dyDescent="0.2">
      <c r="A4273" s="12" t="s">
        <v>2641</v>
      </c>
      <c r="B4273" s="12" t="s">
        <v>2640</v>
      </c>
      <c r="C4273" s="12">
        <v>1500</v>
      </c>
      <c r="D4273" s="12">
        <v>150</v>
      </c>
    </row>
    <row r="4274" spans="1:4" x14ac:dyDescent="0.2">
      <c r="A4274" s="12" t="s">
        <v>8343</v>
      </c>
      <c r="B4274" s="12" t="s">
        <v>8342</v>
      </c>
      <c r="C4274" s="12">
        <v>3900</v>
      </c>
      <c r="D4274" s="12">
        <v>2100</v>
      </c>
    </row>
    <row r="4275" spans="1:4" x14ac:dyDescent="0.2">
      <c r="A4275" s="12" t="s">
        <v>6585</v>
      </c>
      <c r="B4275" s="12" t="s">
        <v>6584</v>
      </c>
      <c r="C4275" s="12">
        <v>100</v>
      </c>
      <c r="D4275" s="12">
        <v>10</v>
      </c>
    </row>
    <row r="4276" spans="1:4" x14ac:dyDescent="0.2">
      <c r="A4276" s="12" t="s">
        <v>7914</v>
      </c>
      <c r="B4276" s="12" t="s">
        <v>7913</v>
      </c>
      <c r="C4276" s="12">
        <v>4920</v>
      </c>
      <c r="D4276" s="12">
        <v>492</v>
      </c>
    </row>
    <row r="4277" spans="1:4" x14ac:dyDescent="0.2">
      <c r="A4277" s="12" t="s">
        <v>3708</v>
      </c>
      <c r="B4277" s="12" t="s">
        <v>3707</v>
      </c>
      <c r="C4277" s="12">
        <v>280</v>
      </c>
      <c r="D4277" s="12">
        <v>28</v>
      </c>
    </row>
    <row r="4278" spans="1:4" x14ac:dyDescent="0.2">
      <c r="A4278" s="12" t="s">
        <v>3440</v>
      </c>
      <c r="B4278" s="12" t="s">
        <v>3439</v>
      </c>
      <c r="C4278" s="12">
        <v>7800</v>
      </c>
      <c r="D4278" s="12">
        <v>4800</v>
      </c>
    </row>
    <row r="4279" spans="1:4" x14ac:dyDescent="0.2">
      <c r="A4279" s="12" t="s">
        <v>11060</v>
      </c>
      <c r="B4279" s="12" t="s">
        <v>11059</v>
      </c>
      <c r="C4279" s="12" t="s">
        <v>59</v>
      </c>
      <c r="D4279" s="12" t="s">
        <v>59</v>
      </c>
    </row>
    <row r="4280" spans="1:4" x14ac:dyDescent="0.2">
      <c r="A4280" s="12" t="s">
        <v>1022</v>
      </c>
      <c r="B4280" s="12" t="s">
        <v>1021</v>
      </c>
      <c r="C4280" s="12">
        <v>5700</v>
      </c>
      <c r="D4280" s="12">
        <v>570</v>
      </c>
    </row>
    <row r="4281" spans="1:4" x14ac:dyDescent="0.2">
      <c r="A4281" s="12" t="s">
        <v>5085</v>
      </c>
      <c r="B4281" s="12" t="s">
        <v>5084</v>
      </c>
      <c r="C4281" s="12">
        <v>100</v>
      </c>
      <c r="D4281" s="12">
        <v>10</v>
      </c>
    </row>
    <row r="4282" spans="1:4" x14ac:dyDescent="0.2">
      <c r="A4282" s="12" t="s">
        <v>6113</v>
      </c>
      <c r="B4282" s="12" t="s">
        <v>6112</v>
      </c>
      <c r="C4282" s="12">
        <v>1600</v>
      </c>
      <c r="D4282" s="12">
        <v>160</v>
      </c>
    </row>
    <row r="4283" spans="1:4" x14ac:dyDescent="0.2">
      <c r="A4283" s="12" t="s">
        <v>8616</v>
      </c>
      <c r="B4283" s="12" t="s">
        <v>8615</v>
      </c>
      <c r="C4283" s="12">
        <v>3</v>
      </c>
      <c r="D4283" s="12">
        <v>0.3</v>
      </c>
    </row>
    <row r="4284" spans="1:4" x14ac:dyDescent="0.2">
      <c r="A4284" s="12" t="s">
        <v>6934</v>
      </c>
      <c r="B4284" s="12" t="s">
        <v>6933</v>
      </c>
      <c r="C4284" s="12" t="s">
        <v>59</v>
      </c>
      <c r="D4284" s="12" t="s">
        <v>59</v>
      </c>
    </row>
    <row r="4285" spans="1:4" x14ac:dyDescent="0.2">
      <c r="A4285" s="12" t="s">
        <v>6935</v>
      </c>
      <c r="B4285" s="12" t="s">
        <v>6933</v>
      </c>
      <c r="C4285" s="12">
        <v>1000</v>
      </c>
      <c r="D4285" s="12">
        <v>100</v>
      </c>
    </row>
    <row r="4286" spans="1:4" x14ac:dyDescent="0.2">
      <c r="A4286" s="12" t="s">
        <v>7099</v>
      </c>
      <c r="B4286" s="12" t="s">
        <v>7098</v>
      </c>
      <c r="C4286" s="12" t="s">
        <v>59</v>
      </c>
      <c r="D4286" s="12" t="s">
        <v>59</v>
      </c>
    </row>
    <row r="4287" spans="1:4" x14ac:dyDescent="0.2">
      <c r="A4287" s="12" t="s">
        <v>7100</v>
      </c>
      <c r="B4287" s="12" t="s">
        <v>7098</v>
      </c>
      <c r="C4287" s="12">
        <v>1000</v>
      </c>
      <c r="D4287" s="12">
        <v>100</v>
      </c>
    </row>
    <row r="4288" spans="1:4" x14ac:dyDescent="0.2">
      <c r="A4288" s="12" t="s">
        <v>6838</v>
      </c>
      <c r="B4288" s="12" t="s">
        <v>6837</v>
      </c>
      <c r="C4288" s="12" t="s">
        <v>59</v>
      </c>
      <c r="D4288" s="12" t="s">
        <v>59</v>
      </c>
    </row>
    <row r="4289" spans="1:4" x14ac:dyDescent="0.2">
      <c r="A4289" s="12" t="s">
        <v>6839</v>
      </c>
      <c r="B4289" s="12" t="s">
        <v>6837</v>
      </c>
      <c r="C4289" s="12">
        <v>1000</v>
      </c>
      <c r="D4289" s="12">
        <v>100</v>
      </c>
    </row>
    <row r="4290" spans="1:4" x14ac:dyDescent="0.2">
      <c r="A4290" s="12" t="s">
        <v>6939</v>
      </c>
      <c r="B4290" s="12" t="s">
        <v>6938</v>
      </c>
      <c r="C4290" s="12" t="s">
        <v>59</v>
      </c>
      <c r="D4290" s="12" t="s">
        <v>59</v>
      </c>
    </row>
    <row r="4291" spans="1:4" x14ac:dyDescent="0.2">
      <c r="A4291" s="12" t="s">
        <v>6940</v>
      </c>
      <c r="B4291" s="12" t="s">
        <v>6938</v>
      </c>
      <c r="C4291" s="12">
        <v>1000</v>
      </c>
      <c r="D4291" s="12">
        <v>100</v>
      </c>
    </row>
    <row r="4292" spans="1:4" x14ac:dyDescent="0.2">
      <c r="A4292" s="12" t="s">
        <v>6917</v>
      </c>
      <c r="B4292" s="12" t="s">
        <v>6916</v>
      </c>
      <c r="C4292" s="12" t="s">
        <v>59</v>
      </c>
      <c r="D4292" s="12" t="s">
        <v>59</v>
      </c>
    </row>
    <row r="4293" spans="1:4" x14ac:dyDescent="0.2">
      <c r="A4293" s="12" t="s">
        <v>6918</v>
      </c>
      <c r="B4293" s="12" t="s">
        <v>6916</v>
      </c>
      <c r="C4293" s="12">
        <v>1000</v>
      </c>
      <c r="D4293" s="12">
        <v>100</v>
      </c>
    </row>
    <row r="4294" spans="1:4" x14ac:dyDescent="0.2">
      <c r="A4294" s="12" t="s">
        <v>6111</v>
      </c>
      <c r="B4294" s="12" t="s">
        <v>6110</v>
      </c>
      <c r="C4294" s="12">
        <v>1000</v>
      </c>
      <c r="D4294" s="12">
        <v>100</v>
      </c>
    </row>
    <row r="4295" spans="1:4" x14ac:dyDescent="0.2">
      <c r="A4295" s="12" t="s">
        <v>7424</v>
      </c>
      <c r="B4295" s="12" t="s">
        <v>7423</v>
      </c>
      <c r="C4295" s="12" t="s">
        <v>59</v>
      </c>
      <c r="D4295" s="12" t="s">
        <v>59</v>
      </c>
    </row>
    <row r="4296" spans="1:4" x14ac:dyDescent="0.2">
      <c r="A4296" s="12" t="s">
        <v>2512</v>
      </c>
      <c r="B4296" s="12" t="s">
        <v>2511</v>
      </c>
      <c r="C4296" s="12">
        <v>10000</v>
      </c>
      <c r="D4296" s="12">
        <v>1000</v>
      </c>
    </row>
    <row r="4297" spans="1:4" x14ac:dyDescent="0.2">
      <c r="A4297" s="12" t="s">
        <v>5387</v>
      </c>
      <c r="B4297" s="12" t="s">
        <v>5386</v>
      </c>
      <c r="C4297" s="12" t="s">
        <v>59</v>
      </c>
      <c r="D4297" s="12" t="s">
        <v>59</v>
      </c>
    </row>
    <row r="4298" spans="1:4" x14ac:dyDescent="0.2">
      <c r="A4298" s="12" t="s">
        <v>8128</v>
      </c>
      <c r="B4298" s="12" t="s">
        <v>8127</v>
      </c>
      <c r="C4298" s="12">
        <v>1000</v>
      </c>
      <c r="D4298" s="12">
        <v>100</v>
      </c>
    </row>
    <row r="4299" spans="1:4" x14ac:dyDescent="0.2">
      <c r="A4299" s="12" t="s">
        <v>4766</v>
      </c>
      <c r="B4299" s="12" t="s">
        <v>4765</v>
      </c>
      <c r="C4299" s="12" t="s">
        <v>59</v>
      </c>
      <c r="D4299" s="12" t="s">
        <v>59</v>
      </c>
    </row>
    <row r="4300" spans="1:4" x14ac:dyDescent="0.2">
      <c r="A4300" s="12" t="s">
        <v>4767</v>
      </c>
      <c r="B4300" s="12" t="s">
        <v>4765</v>
      </c>
      <c r="C4300" s="12">
        <v>1000</v>
      </c>
      <c r="D4300" s="12">
        <v>100</v>
      </c>
    </row>
    <row r="4301" spans="1:4" x14ac:dyDescent="0.2">
      <c r="A4301" s="12" t="s">
        <v>5011</v>
      </c>
      <c r="B4301" s="12" t="s">
        <v>5010</v>
      </c>
      <c r="C4301" s="12">
        <v>1500</v>
      </c>
      <c r="D4301" s="12">
        <v>150</v>
      </c>
    </row>
    <row r="4302" spans="1:4" x14ac:dyDescent="0.2">
      <c r="A4302" s="12" t="s">
        <v>5012</v>
      </c>
      <c r="B4302" s="12" t="s">
        <v>5010</v>
      </c>
      <c r="C4302" s="12" t="s">
        <v>59</v>
      </c>
      <c r="D4302" s="12" t="s">
        <v>59</v>
      </c>
    </row>
    <row r="4303" spans="1:4" x14ac:dyDescent="0.2">
      <c r="A4303" s="12" t="s">
        <v>7103</v>
      </c>
      <c r="B4303" s="12" t="s">
        <v>7102</v>
      </c>
      <c r="C4303" s="12" t="s">
        <v>59</v>
      </c>
      <c r="D4303" s="12" t="s">
        <v>59</v>
      </c>
    </row>
    <row r="4304" spans="1:4" x14ac:dyDescent="0.2">
      <c r="A4304" s="12" t="s">
        <v>6929</v>
      </c>
      <c r="B4304" s="12" t="s">
        <v>6928</v>
      </c>
      <c r="C4304" s="12" t="s">
        <v>59</v>
      </c>
      <c r="D4304" s="12" t="s">
        <v>59</v>
      </c>
    </row>
    <row r="4305" spans="1:4" x14ac:dyDescent="0.2">
      <c r="A4305" s="12" t="s">
        <v>6930</v>
      </c>
      <c r="B4305" s="12" t="s">
        <v>6928</v>
      </c>
      <c r="C4305" s="12">
        <v>1000</v>
      </c>
      <c r="D4305" s="12">
        <v>100</v>
      </c>
    </row>
    <row r="4306" spans="1:4" x14ac:dyDescent="0.2">
      <c r="A4306" s="12" t="s">
        <v>8413</v>
      </c>
      <c r="B4306" s="12" t="s">
        <v>8412</v>
      </c>
      <c r="C4306" s="12">
        <v>1000</v>
      </c>
      <c r="D4306" s="12">
        <v>100</v>
      </c>
    </row>
    <row r="4307" spans="1:4" x14ac:dyDescent="0.2">
      <c r="A4307" s="12" t="s">
        <v>6849</v>
      </c>
      <c r="B4307" s="12" t="s">
        <v>6848</v>
      </c>
      <c r="C4307" s="12">
        <v>1000</v>
      </c>
      <c r="D4307" s="12">
        <v>100</v>
      </c>
    </row>
    <row r="4308" spans="1:4" x14ac:dyDescent="0.2">
      <c r="A4308" s="12" t="s">
        <v>6961</v>
      </c>
      <c r="B4308" s="12" t="s">
        <v>6960</v>
      </c>
      <c r="C4308" s="12">
        <v>1000</v>
      </c>
      <c r="D4308" s="12">
        <v>100</v>
      </c>
    </row>
    <row r="4309" spans="1:4" x14ac:dyDescent="0.2">
      <c r="A4309" s="12" t="s">
        <v>3546</v>
      </c>
      <c r="B4309" s="12" t="s">
        <v>3545</v>
      </c>
      <c r="C4309" s="12">
        <v>2000</v>
      </c>
      <c r="D4309" s="12">
        <v>200</v>
      </c>
    </row>
    <row r="4310" spans="1:4" x14ac:dyDescent="0.2">
      <c r="A4310" s="12" t="s">
        <v>240</v>
      </c>
      <c r="B4310" s="12" t="s">
        <v>239</v>
      </c>
      <c r="C4310" s="12" t="s">
        <v>59</v>
      </c>
      <c r="D4310" s="12" t="s">
        <v>59</v>
      </c>
    </row>
    <row r="4311" spans="1:4" x14ac:dyDescent="0.2">
      <c r="A4311" s="12" t="s">
        <v>241</v>
      </c>
      <c r="B4311" s="12" t="s">
        <v>239</v>
      </c>
      <c r="C4311" s="12">
        <v>700</v>
      </c>
      <c r="D4311" s="12">
        <v>70</v>
      </c>
    </row>
    <row r="4312" spans="1:4" x14ac:dyDescent="0.2">
      <c r="A4312" s="12" t="s">
        <v>3666</v>
      </c>
      <c r="B4312" s="12" t="s">
        <v>3665</v>
      </c>
      <c r="C4312" s="12">
        <v>240</v>
      </c>
      <c r="D4312" s="12">
        <v>24</v>
      </c>
    </row>
    <row r="4313" spans="1:4" x14ac:dyDescent="0.2">
      <c r="A4313" s="12" t="s">
        <v>10923</v>
      </c>
      <c r="B4313" s="12" t="s">
        <v>10922</v>
      </c>
      <c r="C4313" s="12" t="s">
        <v>59</v>
      </c>
      <c r="D4313" s="12" t="s">
        <v>59</v>
      </c>
    </row>
    <row r="4314" spans="1:4" x14ac:dyDescent="0.2">
      <c r="A4314" s="12" t="s">
        <v>10924</v>
      </c>
      <c r="B4314" s="12" t="s">
        <v>10922</v>
      </c>
      <c r="C4314" s="12">
        <v>1000</v>
      </c>
      <c r="D4314" s="12">
        <v>100</v>
      </c>
    </row>
    <row r="4315" spans="1:4" x14ac:dyDescent="0.2">
      <c r="A4315" s="12" t="s">
        <v>7243</v>
      </c>
      <c r="B4315" s="12" t="s">
        <v>7242</v>
      </c>
      <c r="C4315" s="12">
        <v>27</v>
      </c>
      <c r="D4315" s="12">
        <v>2</v>
      </c>
    </row>
    <row r="4316" spans="1:4" x14ac:dyDescent="0.2">
      <c r="A4316" s="12" t="s">
        <v>10914</v>
      </c>
      <c r="B4316" s="12" t="s">
        <v>10913</v>
      </c>
      <c r="C4316" s="12" t="s">
        <v>59</v>
      </c>
      <c r="D4316" s="12" t="s">
        <v>59</v>
      </c>
    </row>
    <row r="4317" spans="1:4" x14ac:dyDescent="0.2">
      <c r="A4317" s="12" t="s">
        <v>10915</v>
      </c>
      <c r="B4317" s="12" t="s">
        <v>10913</v>
      </c>
      <c r="C4317" s="12">
        <v>1000</v>
      </c>
      <c r="D4317" s="12">
        <v>100</v>
      </c>
    </row>
    <row r="4318" spans="1:4" x14ac:dyDescent="0.2">
      <c r="A4318" s="12" t="s">
        <v>6571</v>
      </c>
      <c r="B4318" s="12" t="s">
        <v>6570</v>
      </c>
      <c r="C4318" s="12" t="s">
        <v>59</v>
      </c>
      <c r="D4318" s="12" t="s">
        <v>59</v>
      </c>
    </row>
    <row r="4319" spans="1:4" x14ac:dyDescent="0.2">
      <c r="A4319" s="12" t="s">
        <v>6572</v>
      </c>
      <c r="B4319" s="12" t="s">
        <v>6570</v>
      </c>
      <c r="C4319" s="12">
        <v>1000</v>
      </c>
      <c r="D4319" s="12">
        <v>100</v>
      </c>
    </row>
    <row r="4320" spans="1:4" x14ac:dyDescent="0.2">
      <c r="A4320" s="12" t="s">
        <v>4243</v>
      </c>
      <c r="B4320" s="12" t="s">
        <v>4241</v>
      </c>
      <c r="C4320" s="12">
        <v>2450</v>
      </c>
      <c r="D4320" s="12">
        <v>245</v>
      </c>
    </row>
    <row r="4321" spans="1:4" x14ac:dyDescent="0.2">
      <c r="A4321" s="12" t="s">
        <v>7090</v>
      </c>
      <c r="B4321" s="12" t="s">
        <v>7089</v>
      </c>
      <c r="C4321" s="12" t="s">
        <v>59</v>
      </c>
      <c r="D4321" s="12" t="s">
        <v>59</v>
      </c>
    </row>
    <row r="4322" spans="1:4" x14ac:dyDescent="0.2">
      <c r="A4322" s="12" t="s">
        <v>7091</v>
      </c>
      <c r="B4322" s="12" t="s">
        <v>7089</v>
      </c>
      <c r="C4322" s="12">
        <v>1000</v>
      </c>
      <c r="D4322" s="12">
        <v>100</v>
      </c>
    </row>
    <row r="4323" spans="1:4" x14ac:dyDescent="0.2">
      <c r="A4323" s="12" t="s">
        <v>11257</v>
      </c>
      <c r="B4323" s="12" t="s">
        <v>11256</v>
      </c>
      <c r="C4323" s="12">
        <v>1000</v>
      </c>
      <c r="D4323" s="12">
        <v>100</v>
      </c>
    </row>
    <row r="4324" spans="1:4" x14ac:dyDescent="0.2">
      <c r="A4324" s="12" t="s">
        <v>8614</v>
      </c>
      <c r="B4324" s="12" t="s">
        <v>8613</v>
      </c>
      <c r="C4324" s="12">
        <v>290</v>
      </c>
      <c r="D4324" s="12">
        <v>3.3</v>
      </c>
    </row>
    <row r="4325" spans="1:4" x14ac:dyDescent="0.2">
      <c r="A4325" s="12" t="s">
        <v>554</v>
      </c>
      <c r="B4325" s="12" t="s">
        <v>553</v>
      </c>
      <c r="C4325" s="12">
        <v>1000</v>
      </c>
      <c r="D4325" s="12">
        <v>100</v>
      </c>
    </row>
    <row r="4326" spans="1:4" x14ac:dyDescent="0.2">
      <c r="A4326" s="12" t="s">
        <v>4712</v>
      </c>
      <c r="B4326" s="12" t="s">
        <v>4711</v>
      </c>
      <c r="C4326" s="12">
        <v>20</v>
      </c>
      <c r="D4326" s="12">
        <v>2</v>
      </c>
    </row>
    <row r="4327" spans="1:4" x14ac:dyDescent="0.2">
      <c r="A4327" s="12" t="s">
        <v>8330</v>
      </c>
      <c r="B4327" s="12" t="s">
        <v>8329</v>
      </c>
      <c r="C4327" s="12" t="s">
        <v>59</v>
      </c>
      <c r="D4327" s="12" t="s">
        <v>59</v>
      </c>
    </row>
    <row r="4328" spans="1:4" x14ac:dyDescent="0.2">
      <c r="A4328" s="12" t="s">
        <v>6143</v>
      </c>
      <c r="B4328" s="12" t="s">
        <v>6142</v>
      </c>
      <c r="C4328" s="12" t="s">
        <v>59</v>
      </c>
      <c r="D4328" s="12" t="s">
        <v>59</v>
      </c>
    </row>
    <row r="4329" spans="1:4" x14ac:dyDescent="0.2">
      <c r="A4329" s="12" t="s">
        <v>3369</v>
      </c>
      <c r="B4329" s="12" t="s">
        <v>3368</v>
      </c>
      <c r="C4329" s="12" t="s">
        <v>59</v>
      </c>
      <c r="D4329" s="12" t="s">
        <v>59</v>
      </c>
    </row>
    <row r="4330" spans="1:4" x14ac:dyDescent="0.2">
      <c r="A4330" s="12" t="s">
        <v>3370</v>
      </c>
      <c r="B4330" s="12" t="s">
        <v>3368</v>
      </c>
      <c r="C4330" s="12">
        <v>1000</v>
      </c>
      <c r="D4330" s="12">
        <v>100</v>
      </c>
    </row>
    <row r="4331" spans="1:4" x14ac:dyDescent="0.2">
      <c r="A4331" s="12" t="s">
        <v>4115</v>
      </c>
      <c r="B4331" s="12" t="s">
        <v>4114</v>
      </c>
      <c r="C4331" s="12">
        <v>2450</v>
      </c>
      <c r="D4331" s="12">
        <v>245</v>
      </c>
    </row>
    <row r="4332" spans="1:4" x14ac:dyDescent="0.2">
      <c r="A4332" s="12" t="s">
        <v>8095</v>
      </c>
      <c r="B4332" s="12" t="s">
        <v>8094</v>
      </c>
      <c r="C4332" s="12">
        <v>1250</v>
      </c>
      <c r="D4332" s="12">
        <v>125</v>
      </c>
    </row>
    <row r="4333" spans="1:4" x14ac:dyDescent="0.2">
      <c r="A4333" s="12" t="s">
        <v>11845</v>
      </c>
      <c r="B4333" s="12" t="s">
        <v>11844</v>
      </c>
      <c r="C4333" s="12">
        <v>8.1</v>
      </c>
      <c r="D4333" s="12">
        <v>0.55000000000000004</v>
      </c>
    </row>
    <row r="4334" spans="1:4" x14ac:dyDescent="0.2">
      <c r="A4334" s="12" t="s">
        <v>11259</v>
      </c>
      <c r="B4334" s="12" t="s">
        <v>11258</v>
      </c>
      <c r="C4334" s="12" t="s">
        <v>59</v>
      </c>
      <c r="D4334" s="12" t="s">
        <v>59</v>
      </c>
    </row>
    <row r="4335" spans="1:4" x14ac:dyDescent="0.2">
      <c r="A4335" s="12" t="s">
        <v>4977</v>
      </c>
      <c r="B4335" s="12" t="s">
        <v>4976</v>
      </c>
      <c r="C4335" s="12" t="s">
        <v>59</v>
      </c>
      <c r="D4335" s="12" t="s">
        <v>59</v>
      </c>
    </row>
    <row r="4336" spans="1:4" x14ac:dyDescent="0.2">
      <c r="A4336" s="12" t="s">
        <v>74</v>
      </c>
      <c r="B4336" s="12" t="s">
        <v>73</v>
      </c>
      <c r="C4336" s="12" t="s">
        <v>59</v>
      </c>
      <c r="D4336" s="12" t="s">
        <v>59</v>
      </c>
    </row>
    <row r="4337" spans="1:4" x14ac:dyDescent="0.2">
      <c r="A4337" s="12" t="s">
        <v>1337</v>
      </c>
      <c r="B4337" s="12" t="s">
        <v>1336</v>
      </c>
      <c r="C4337" s="12">
        <v>100</v>
      </c>
      <c r="D4337" s="12">
        <v>10</v>
      </c>
    </row>
    <row r="4338" spans="1:4" x14ac:dyDescent="0.2">
      <c r="A4338" s="12" t="s">
        <v>8878</v>
      </c>
      <c r="B4338" s="12" t="s">
        <v>8877</v>
      </c>
      <c r="C4338" s="12" t="s">
        <v>59</v>
      </c>
      <c r="D4338" s="12" t="s">
        <v>59</v>
      </c>
    </row>
    <row r="4339" spans="1:4" x14ac:dyDescent="0.2">
      <c r="A4339" s="12" t="s">
        <v>10811</v>
      </c>
      <c r="B4339" s="12" t="s">
        <v>10810</v>
      </c>
      <c r="C4339" s="12">
        <v>1800</v>
      </c>
      <c r="D4339" s="12">
        <v>180</v>
      </c>
    </row>
    <row r="4340" spans="1:4" x14ac:dyDescent="0.2">
      <c r="A4340" s="12" t="s">
        <v>6909</v>
      </c>
      <c r="B4340" s="12" t="s">
        <v>6908</v>
      </c>
      <c r="C4340" s="12" t="s">
        <v>59</v>
      </c>
      <c r="D4340" s="12" t="s">
        <v>59</v>
      </c>
    </row>
    <row r="4341" spans="1:4" x14ac:dyDescent="0.2">
      <c r="A4341" s="12" t="s">
        <v>6910</v>
      </c>
      <c r="B4341" s="12" t="s">
        <v>6908</v>
      </c>
      <c r="C4341" s="12">
        <v>1000</v>
      </c>
      <c r="D4341" s="12">
        <v>100</v>
      </c>
    </row>
    <row r="4342" spans="1:4" x14ac:dyDescent="0.2">
      <c r="A4342" s="12" t="s">
        <v>6881</v>
      </c>
      <c r="B4342" s="12" t="s">
        <v>6880</v>
      </c>
      <c r="C4342" s="12" t="s">
        <v>59</v>
      </c>
      <c r="D4342" s="12" t="s">
        <v>59</v>
      </c>
    </row>
    <row r="4343" spans="1:4" x14ac:dyDescent="0.2">
      <c r="A4343" s="12" t="s">
        <v>6882</v>
      </c>
      <c r="B4343" s="12" t="s">
        <v>6880</v>
      </c>
      <c r="C4343" s="12">
        <v>1000</v>
      </c>
      <c r="D4343" s="12">
        <v>100</v>
      </c>
    </row>
    <row r="4344" spans="1:4" x14ac:dyDescent="0.2">
      <c r="A4344" s="12" t="s">
        <v>6768</v>
      </c>
      <c r="B4344" s="12" t="s">
        <v>6767</v>
      </c>
      <c r="C4344" s="12">
        <v>10</v>
      </c>
      <c r="D4344" s="12">
        <v>1</v>
      </c>
    </row>
    <row r="4345" spans="1:4" x14ac:dyDescent="0.2">
      <c r="A4345" s="12" t="s">
        <v>6251</v>
      </c>
      <c r="B4345" s="12" t="s">
        <v>6250</v>
      </c>
      <c r="C4345" s="12" t="s">
        <v>59</v>
      </c>
      <c r="D4345" s="12" t="s">
        <v>59</v>
      </c>
    </row>
    <row r="4346" spans="1:4" x14ac:dyDescent="0.2">
      <c r="A4346" s="12" t="s">
        <v>6980</v>
      </c>
      <c r="B4346" s="12" t="s">
        <v>6979</v>
      </c>
      <c r="C4346" s="12" t="s">
        <v>59</v>
      </c>
      <c r="D4346" s="12" t="s">
        <v>59</v>
      </c>
    </row>
    <row r="4347" spans="1:4" x14ac:dyDescent="0.2">
      <c r="A4347" s="12" t="s">
        <v>6981</v>
      </c>
      <c r="B4347" s="12" t="s">
        <v>6979</v>
      </c>
      <c r="C4347" s="12">
        <v>1000</v>
      </c>
      <c r="D4347" s="12">
        <v>100</v>
      </c>
    </row>
    <row r="4348" spans="1:4" x14ac:dyDescent="0.2">
      <c r="A4348" s="12" t="s">
        <v>3590</v>
      </c>
      <c r="B4348" s="12" t="s">
        <v>3589</v>
      </c>
      <c r="C4348" s="12">
        <v>600</v>
      </c>
      <c r="D4348" s="12">
        <v>60</v>
      </c>
    </row>
    <row r="4349" spans="1:4" x14ac:dyDescent="0.2">
      <c r="A4349" s="12" t="s">
        <v>3548</v>
      </c>
      <c r="B4349" s="12" t="s">
        <v>3547</v>
      </c>
      <c r="C4349" s="12">
        <v>600</v>
      </c>
      <c r="D4349" s="12">
        <v>60</v>
      </c>
    </row>
    <row r="4350" spans="1:4" x14ac:dyDescent="0.2">
      <c r="A4350" s="12" t="s">
        <v>1252</v>
      </c>
      <c r="B4350" s="12" t="s">
        <v>1251</v>
      </c>
      <c r="C4350" s="12">
        <v>600</v>
      </c>
      <c r="D4350" s="12">
        <v>60</v>
      </c>
    </row>
    <row r="4351" spans="1:4" ht="28.5" x14ac:dyDescent="0.2">
      <c r="A4351" s="12" t="s">
        <v>8598</v>
      </c>
      <c r="B4351" s="12" t="s">
        <v>8597</v>
      </c>
      <c r="C4351" s="12" t="s">
        <v>59</v>
      </c>
      <c r="D4351" s="12" t="s">
        <v>59</v>
      </c>
    </row>
    <row r="4352" spans="1:4" ht="28.5" x14ac:dyDescent="0.2">
      <c r="A4352" s="12" t="s">
        <v>8599</v>
      </c>
      <c r="B4352" s="12" t="s">
        <v>8597</v>
      </c>
      <c r="C4352" s="12">
        <v>1000</v>
      </c>
      <c r="D4352" s="12">
        <v>100</v>
      </c>
    </row>
    <row r="4353" spans="1:4" x14ac:dyDescent="0.2">
      <c r="A4353" s="12" t="s">
        <v>8581</v>
      </c>
      <c r="B4353" s="12" t="s">
        <v>8580</v>
      </c>
      <c r="C4353" s="12" t="s">
        <v>59</v>
      </c>
      <c r="D4353" s="12" t="s">
        <v>59</v>
      </c>
    </row>
    <row r="4354" spans="1:4" x14ac:dyDescent="0.2">
      <c r="A4354" s="12" t="s">
        <v>8582</v>
      </c>
      <c r="B4354" s="12" t="s">
        <v>8580</v>
      </c>
      <c r="C4354" s="12">
        <v>1000</v>
      </c>
      <c r="D4354" s="12">
        <v>100</v>
      </c>
    </row>
    <row r="4355" spans="1:4" x14ac:dyDescent="0.2">
      <c r="A4355" s="12" t="s">
        <v>5108</v>
      </c>
      <c r="B4355" s="12" t="s">
        <v>5107</v>
      </c>
      <c r="C4355" s="12" t="s">
        <v>59</v>
      </c>
      <c r="D4355" s="12" t="s">
        <v>59</v>
      </c>
    </row>
    <row r="4356" spans="1:4" x14ac:dyDescent="0.2">
      <c r="A4356" s="12" t="s">
        <v>1774</v>
      </c>
      <c r="B4356" s="12" t="s">
        <v>1773</v>
      </c>
      <c r="C4356" s="12" t="s">
        <v>59</v>
      </c>
      <c r="D4356" s="12" t="s">
        <v>59</v>
      </c>
    </row>
    <row r="4357" spans="1:4" x14ac:dyDescent="0.2">
      <c r="A4357" s="12" t="s">
        <v>11371</v>
      </c>
      <c r="B4357" s="12" t="s">
        <v>11370</v>
      </c>
      <c r="C4357" s="12" t="s">
        <v>59</v>
      </c>
      <c r="D4357" s="12" t="s">
        <v>59</v>
      </c>
    </row>
    <row r="4358" spans="1:4" x14ac:dyDescent="0.2">
      <c r="A4358" s="12" t="s">
        <v>11372</v>
      </c>
      <c r="B4358" s="12" t="s">
        <v>11370</v>
      </c>
      <c r="C4358" s="12">
        <v>600</v>
      </c>
      <c r="D4358" s="12">
        <v>60</v>
      </c>
    </row>
    <row r="4359" spans="1:4" x14ac:dyDescent="0.2">
      <c r="A4359" s="12" t="s">
        <v>9357</v>
      </c>
      <c r="B4359" s="12" t="s">
        <v>9356</v>
      </c>
      <c r="C4359" s="12">
        <v>400</v>
      </c>
      <c r="D4359" s="12">
        <v>40</v>
      </c>
    </row>
    <row r="4360" spans="1:4" x14ac:dyDescent="0.2">
      <c r="A4360" s="12" t="s">
        <v>5596</v>
      </c>
      <c r="B4360" s="12" t="s">
        <v>5595</v>
      </c>
      <c r="C4360" s="12" t="s">
        <v>59</v>
      </c>
      <c r="D4360" s="12" t="s">
        <v>59</v>
      </c>
    </row>
    <row r="4361" spans="1:4" x14ac:dyDescent="0.2">
      <c r="A4361" s="12" t="s">
        <v>5597</v>
      </c>
      <c r="B4361" s="12" t="s">
        <v>5595</v>
      </c>
      <c r="C4361" s="12">
        <v>1000</v>
      </c>
      <c r="D4361" s="12">
        <v>100</v>
      </c>
    </row>
    <row r="4362" spans="1:4" x14ac:dyDescent="0.2">
      <c r="A4362" s="12" t="s">
        <v>10941</v>
      </c>
      <c r="B4362" s="12" t="s">
        <v>10940</v>
      </c>
      <c r="C4362" s="12" t="s">
        <v>59</v>
      </c>
      <c r="D4362" s="12" t="s">
        <v>59</v>
      </c>
    </row>
    <row r="4363" spans="1:4" x14ac:dyDescent="0.2">
      <c r="A4363" s="12" t="s">
        <v>10942</v>
      </c>
      <c r="B4363" s="12" t="s">
        <v>10940</v>
      </c>
      <c r="C4363" s="12">
        <v>1000</v>
      </c>
      <c r="D4363" s="12">
        <v>100</v>
      </c>
    </row>
    <row r="4364" spans="1:4" x14ac:dyDescent="0.2">
      <c r="A4364" s="12" t="s">
        <v>6645</v>
      </c>
      <c r="B4364" s="12" t="s">
        <v>6644</v>
      </c>
      <c r="C4364" s="12" t="s">
        <v>59</v>
      </c>
      <c r="D4364" s="12" t="s">
        <v>59</v>
      </c>
    </row>
    <row r="4365" spans="1:4" x14ac:dyDescent="0.2">
      <c r="A4365" s="12" t="s">
        <v>6646</v>
      </c>
      <c r="B4365" s="12" t="s">
        <v>6644</v>
      </c>
      <c r="C4365" s="12">
        <v>1000</v>
      </c>
      <c r="D4365" s="12">
        <v>100</v>
      </c>
    </row>
    <row r="4366" spans="1:4" x14ac:dyDescent="0.2">
      <c r="A4366" s="12" t="s">
        <v>6233</v>
      </c>
      <c r="B4366" s="12" t="s">
        <v>6232</v>
      </c>
      <c r="C4366" s="12" t="s">
        <v>59</v>
      </c>
      <c r="D4366" s="12" t="s">
        <v>59</v>
      </c>
    </row>
    <row r="4367" spans="1:4" x14ac:dyDescent="0.2">
      <c r="A4367" s="12" t="s">
        <v>6234</v>
      </c>
      <c r="B4367" s="12" t="s">
        <v>6232</v>
      </c>
      <c r="C4367" s="12">
        <v>1000</v>
      </c>
      <c r="D4367" s="12">
        <v>100</v>
      </c>
    </row>
    <row r="4368" spans="1:4" x14ac:dyDescent="0.2">
      <c r="A4368" s="12" t="s">
        <v>10947</v>
      </c>
      <c r="B4368" s="12" t="s">
        <v>10946</v>
      </c>
      <c r="C4368" s="12">
        <v>1000</v>
      </c>
      <c r="D4368" s="12">
        <v>100</v>
      </c>
    </row>
    <row r="4369" spans="1:4" x14ac:dyDescent="0.2">
      <c r="A4369" s="12" t="s">
        <v>3924</v>
      </c>
      <c r="B4369" s="12" t="s">
        <v>3923</v>
      </c>
      <c r="C4369" s="12">
        <v>100</v>
      </c>
      <c r="D4369" s="12">
        <v>10</v>
      </c>
    </row>
    <row r="4370" spans="1:4" x14ac:dyDescent="0.2">
      <c r="A4370" s="12" t="s">
        <v>7028</v>
      </c>
      <c r="B4370" s="12" t="s">
        <v>7027</v>
      </c>
      <c r="C4370" s="12" t="s">
        <v>59</v>
      </c>
      <c r="D4370" s="12" t="s">
        <v>59</v>
      </c>
    </row>
    <row r="4371" spans="1:4" x14ac:dyDescent="0.2">
      <c r="A4371" s="12" t="s">
        <v>11261</v>
      </c>
      <c r="B4371" s="12" t="s">
        <v>11260</v>
      </c>
      <c r="C4371" s="12" t="s">
        <v>59</v>
      </c>
      <c r="D4371" s="12" t="s">
        <v>59</v>
      </c>
    </row>
    <row r="4372" spans="1:4" x14ac:dyDescent="0.2">
      <c r="A4372" s="12" t="s">
        <v>1005</v>
      </c>
      <c r="B4372" s="12" t="s">
        <v>1004</v>
      </c>
      <c r="C4372" s="12">
        <v>150</v>
      </c>
      <c r="D4372" s="12">
        <v>15</v>
      </c>
    </row>
    <row r="4373" spans="1:4" x14ac:dyDescent="0.2">
      <c r="A4373" s="12" t="s">
        <v>8855</v>
      </c>
      <c r="B4373" s="12" t="s">
        <v>8854</v>
      </c>
      <c r="C4373" s="12" t="s">
        <v>59</v>
      </c>
      <c r="D4373" s="12" t="s">
        <v>59</v>
      </c>
    </row>
    <row r="4374" spans="1:4" x14ac:dyDescent="0.2">
      <c r="A4374" s="12" t="s">
        <v>11033</v>
      </c>
      <c r="B4374" s="12" t="s">
        <v>11032</v>
      </c>
      <c r="C4374" s="12" t="s">
        <v>59</v>
      </c>
      <c r="D4374" s="12" t="s">
        <v>59</v>
      </c>
    </row>
    <row r="4375" spans="1:4" x14ac:dyDescent="0.2">
      <c r="A4375" s="12" t="s">
        <v>1388</v>
      </c>
      <c r="B4375" s="12" t="s">
        <v>1387</v>
      </c>
      <c r="C4375" s="12">
        <v>220</v>
      </c>
      <c r="D4375" s="12">
        <v>22</v>
      </c>
    </row>
    <row r="4376" spans="1:4" x14ac:dyDescent="0.2">
      <c r="A4376" s="12" t="s">
        <v>6912</v>
      </c>
      <c r="B4376" s="12" t="s">
        <v>6911</v>
      </c>
      <c r="C4376" s="12" t="s">
        <v>59</v>
      </c>
      <c r="D4376" s="12" t="s">
        <v>59</v>
      </c>
    </row>
    <row r="4377" spans="1:4" x14ac:dyDescent="0.2">
      <c r="A4377" s="12" t="s">
        <v>6913</v>
      </c>
      <c r="B4377" s="12" t="s">
        <v>6911</v>
      </c>
      <c r="C4377" s="12">
        <v>1000</v>
      </c>
      <c r="D4377" s="12">
        <v>100</v>
      </c>
    </row>
    <row r="4378" spans="1:4" x14ac:dyDescent="0.2">
      <c r="A4378" s="12" t="s">
        <v>11265</v>
      </c>
      <c r="B4378" s="12" t="s">
        <v>11264</v>
      </c>
      <c r="C4378" s="12">
        <v>1000</v>
      </c>
      <c r="D4378" s="12">
        <v>100</v>
      </c>
    </row>
    <row r="4379" spans="1:4" x14ac:dyDescent="0.2">
      <c r="A4379" s="12" t="s">
        <v>4279</v>
      </c>
      <c r="B4379" s="12" t="s">
        <v>4278</v>
      </c>
      <c r="C4379" s="12" t="s">
        <v>59</v>
      </c>
      <c r="D4379" s="12" t="s">
        <v>59</v>
      </c>
    </row>
    <row r="4380" spans="1:4" x14ac:dyDescent="0.2">
      <c r="A4380" s="12" t="s">
        <v>4280</v>
      </c>
      <c r="B4380" s="12" t="s">
        <v>4278</v>
      </c>
      <c r="C4380" s="12">
        <v>600</v>
      </c>
      <c r="D4380" s="12">
        <v>60</v>
      </c>
    </row>
    <row r="4381" spans="1:4" x14ac:dyDescent="0.2">
      <c r="A4381" s="12" t="s">
        <v>8706</v>
      </c>
      <c r="B4381" s="12" t="s">
        <v>8705</v>
      </c>
      <c r="C4381" s="12" t="s">
        <v>59</v>
      </c>
      <c r="D4381" s="12" t="s">
        <v>59</v>
      </c>
    </row>
    <row r="4382" spans="1:4" x14ac:dyDescent="0.2">
      <c r="A4382" s="12" t="s">
        <v>8707</v>
      </c>
      <c r="B4382" s="12" t="s">
        <v>8705</v>
      </c>
      <c r="C4382" s="12">
        <v>1000</v>
      </c>
      <c r="D4382" s="12">
        <v>100</v>
      </c>
    </row>
    <row r="4383" spans="1:4" x14ac:dyDescent="0.2">
      <c r="A4383" s="12" t="s">
        <v>6884</v>
      </c>
      <c r="B4383" s="12" t="s">
        <v>6883</v>
      </c>
      <c r="C4383" s="12" t="s">
        <v>59</v>
      </c>
      <c r="D4383" s="12" t="s">
        <v>59</v>
      </c>
    </row>
    <row r="4384" spans="1:4" x14ac:dyDescent="0.2">
      <c r="A4384" s="12" t="s">
        <v>6885</v>
      </c>
      <c r="B4384" s="12" t="s">
        <v>6883</v>
      </c>
      <c r="C4384" s="12">
        <v>1000</v>
      </c>
      <c r="D4384" s="12">
        <v>100</v>
      </c>
    </row>
    <row r="4385" spans="1:4" x14ac:dyDescent="0.2">
      <c r="A4385" s="12" t="s">
        <v>10129</v>
      </c>
      <c r="B4385" s="12" t="s">
        <v>10128</v>
      </c>
      <c r="C4385" s="12">
        <v>1000</v>
      </c>
      <c r="D4385" s="12">
        <v>100</v>
      </c>
    </row>
    <row r="4386" spans="1:4" ht="28.5" x14ac:dyDescent="0.2">
      <c r="A4386" s="12" t="s">
        <v>2428</v>
      </c>
      <c r="B4386" s="12" t="s">
        <v>2427</v>
      </c>
      <c r="C4386" s="12">
        <v>8.1</v>
      </c>
      <c r="D4386" s="12">
        <v>0.55000000000000004</v>
      </c>
    </row>
    <row r="4387" spans="1:4" x14ac:dyDescent="0.2">
      <c r="A4387" s="12" t="s">
        <v>922</v>
      </c>
      <c r="B4387" s="12" t="s">
        <v>921</v>
      </c>
      <c r="C4387" s="12">
        <v>25</v>
      </c>
      <c r="D4387" s="12">
        <v>2.5</v>
      </c>
    </row>
    <row r="4388" spans="1:4" x14ac:dyDescent="0.2">
      <c r="A4388" s="12" t="s">
        <v>5917</v>
      </c>
      <c r="B4388" s="12" t="s">
        <v>5916</v>
      </c>
      <c r="C4388" s="12">
        <v>100</v>
      </c>
      <c r="D4388" s="12">
        <v>10</v>
      </c>
    </row>
    <row r="4389" spans="1:4" x14ac:dyDescent="0.2">
      <c r="A4389" s="12" t="s">
        <v>5918</v>
      </c>
      <c r="B4389" s="12" t="s">
        <v>5916</v>
      </c>
      <c r="C4389" s="12" t="s">
        <v>59</v>
      </c>
      <c r="D4389" s="12" t="s">
        <v>59</v>
      </c>
    </row>
    <row r="4390" spans="1:4" x14ac:dyDescent="0.2">
      <c r="A4390" s="12" t="s">
        <v>11776</v>
      </c>
      <c r="B4390" s="12" t="s">
        <v>11775</v>
      </c>
      <c r="C4390" s="12">
        <v>0.75</v>
      </c>
      <c r="D4390" s="12">
        <v>4</v>
      </c>
    </row>
    <row r="4391" spans="1:4" x14ac:dyDescent="0.2">
      <c r="A4391" s="12" t="s">
        <v>6154</v>
      </c>
      <c r="B4391" s="12" t="s">
        <v>6153</v>
      </c>
      <c r="C4391" s="12">
        <v>300</v>
      </c>
      <c r="D4391" s="12">
        <v>30</v>
      </c>
    </row>
    <row r="4392" spans="1:4" x14ac:dyDescent="0.2">
      <c r="A4392" s="12" t="s">
        <v>4159</v>
      </c>
      <c r="B4392" s="12" t="s">
        <v>4158</v>
      </c>
      <c r="C4392" s="12" t="s">
        <v>59</v>
      </c>
      <c r="D4392" s="12" t="s">
        <v>59</v>
      </c>
    </row>
    <row r="4393" spans="1:4" x14ac:dyDescent="0.2">
      <c r="A4393" s="12" t="s">
        <v>9034</v>
      </c>
      <c r="B4393" s="12" t="s">
        <v>9033</v>
      </c>
      <c r="C4393" s="12">
        <v>1000</v>
      </c>
      <c r="D4393" s="12">
        <v>100</v>
      </c>
    </row>
    <row r="4394" spans="1:4" x14ac:dyDescent="0.2">
      <c r="A4394" s="12" t="s">
        <v>9035</v>
      </c>
      <c r="B4394" s="12" t="s">
        <v>9033</v>
      </c>
      <c r="C4394" s="12">
        <v>50</v>
      </c>
      <c r="D4394" s="12">
        <v>5</v>
      </c>
    </row>
    <row r="4395" spans="1:4" x14ac:dyDescent="0.2">
      <c r="A4395" s="12" t="s">
        <v>7201</v>
      </c>
      <c r="B4395" s="12" t="s">
        <v>7200</v>
      </c>
      <c r="C4395" s="12">
        <v>20</v>
      </c>
      <c r="D4395" s="12">
        <v>2</v>
      </c>
    </row>
    <row r="4396" spans="1:4" x14ac:dyDescent="0.2">
      <c r="A4396" s="12" t="s">
        <v>3570</v>
      </c>
      <c r="B4396" s="12" t="s">
        <v>3569</v>
      </c>
      <c r="C4396" s="12">
        <v>600</v>
      </c>
      <c r="D4396" s="12">
        <v>60</v>
      </c>
    </row>
    <row r="4397" spans="1:4" x14ac:dyDescent="0.2">
      <c r="A4397" s="12" t="s">
        <v>3701</v>
      </c>
      <c r="B4397" s="12" t="s">
        <v>3700</v>
      </c>
      <c r="C4397" s="12" t="s">
        <v>59</v>
      </c>
      <c r="D4397" s="12" t="s">
        <v>59</v>
      </c>
    </row>
    <row r="4398" spans="1:4" x14ac:dyDescent="0.2">
      <c r="A4398" s="12" t="s">
        <v>3702</v>
      </c>
      <c r="B4398" s="12" t="s">
        <v>3700</v>
      </c>
      <c r="C4398" s="12">
        <v>600</v>
      </c>
      <c r="D4398" s="12">
        <v>60</v>
      </c>
    </row>
    <row r="4399" spans="1:4" x14ac:dyDescent="0.2">
      <c r="A4399" s="12" t="s">
        <v>10329</v>
      </c>
      <c r="B4399" s="12" t="s">
        <v>10328</v>
      </c>
      <c r="C4399" s="12">
        <v>10</v>
      </c>
      <c r="D4399" s="12">
        <v>1</v>
      </c>
    </row>
    <row r="4400" spans="1:4" x14ac:dyDescent="0.2">
      <c r="A4400" s="12" t="s">
        <v>10270</v>
      </c>
      <c r="B4400" s="12" t="s">
        <v>10269</v>
      </c>
      <c r="C4400" s="12">
        <v>100</v>
      </c>
      <c r="D4400" s="12">
        <v>10</v>
      </c>
    </row>
    <row r="4401" spans="1:4" x14ac:dyDescent="0.2">
      <c r="A4401" s="12" t="s">
        <v>5284</v>
      </c>
      <c r="B4401" s="12" t="s">
        <v>5283</v>
      </c>
      <c r="C4401" s="12" t="s">
        <v>59</v>
      </c>
      <c r="D4401" s="12"/>
    </row>
    <row r="4402" spans="1:4" x14ac:dyDescent="0.2">
      <c r="A4402" s="12" t="s">
        <v>5285</v>
      </c>
      <c r="B4402" s="12" t="s">
        <v>5283</v>
      </c>
      <c r="C4402" s="12"/>
      <c r="D4402" s="12">
        <v>0.9</v>
      </c>
    </row>
    <row r="4403" spans="1:4" x14ac:dyDescent="0.2">
      <c r="A4403" s="12" t="s">
        <v>6361</v>
      </c>
      <c r="B4403" s="12" t="s">
        <v>6360</v>
      </c>
      <c r="C4403" s="12">
        <v>3500</v>
      </c>
      <c r="D4403" s="12">
        <v>350</v>
      </c>
    </row>
    <row r="4404" spans="1:4" x14ac:dyDescent="0.2">
      <c r="A4404" s="12" t="s">
        <v>9813</v>
      </c>
      <c r="B4404" s="12" t="s">
        <v>9812</v>
      </c>
      <c r="C4404" s="12">
        <v>2450</v>
      </c>
      <c r="D4404" s="12">
        <v>245</v>
      </c>
    </row>
    <row r="4405" spans="1:4" x14ac:dyDescent="0.2">
      <c r="A4405" s="12" t="s">
        <v>11211</v>
      </c>
      <c r="B4405" s="12" t="s">
        <v>11210</v>
      </c>
      <c r="C4405" s="12" t="s">
        <v>59</v>
      </c>
      <c r="D4405" s="12" t="s">
        <v>59</v>
      </c>
    </row>
    <row r="4406" spans="1:4" x14ac:dyDescent="0.2">
      <c r="A4406" s="12" t="s">
        <v>10326</v>
      </c>
      <c r="B4406" s="12" t="s">
        <v>10325</v>
      </c>
      <c r="C4406" s="12" t="s">
        <v>59</v>
      </c>
      <c r="D4406" s="12" t="s">
        <v>59</v>
      </c>
    </row>
    <row r="4407" spans="1:4" x14ac:dyDescent="0.2">
      <c r="A4407" s="12" t="s">
        <v>10327</v>
      </c>
      <c r="B4407" s="12" t="s">
        <v>10325</v>
      </c>
      <c r="C4407" s="12">
        <v>600</v>
      </c>
      <c r="D4407" s="12">
        <v>60</v>
      </c>
    </row>
    <row r="4408" spans="1:4" x14ac:dyDescent="0.2">
      <c r="A4408" s="12" t="s">
        <v>7081</v>
      </c>
      <c r="B4408" s="12" t="s">
        <v>7080</v>
      </c>
      <c r="C4408" s="12" t="s">
        <v>59</v>
      </c>
      <c r="D4408" s="12" t="s">
        <v>59</v>
      </c>
    </row>
    <row r="4409" spans="1:4" x14ac:dyDescent="0.2">
      <c r="A4409" s="12" t="s">
        <v>7082</v>
      </c>
      <c r="B4409" s="12" t="s">
        <v>7080</v>
      </c>
      <c r="C4409" s="12">
        <v>1000</v>
      </c>
      <c r="D4409" s="12">
        <v>100</v>
      </c>
    </row>
    <row r="4410" spans="1:4" x14ac:dyDescent="0.2">
      <c r="A4410" s="12" t="s">
        <v>6823</v>
      </c>
      <c r="B4410" s="12" t="s">
        <v>6822</v>
      </c>
      <c r="C4410" s="12" t="s">
        <v>59</v>
      </c>
      <c r="D4410" s="12" t="s">
        <v>59</v>
      </c>
    </row>
    <row r="4411" spans="1:4" x14ac:dyDescent="0.2">
      <c r="A4411" s="12" t="s">
        <v>6824</v>
      </c>
      <c r="B4411" s="12" t="s">
        <v>6822</v>
      </c>
      <c r="C4411" s="12">
        <v>1000</v>
      </c>
      <c r="D4411" s="12">
        <v>100</v>
      </c>
    </row>
    <row r="4412" spans="1:4" x14ac:dyDescent="0.2">
      <c r="A4412" s="12" t="s">
        <v>6983</v>
      </c>
      <c r="B4412" s="12" t="s">
        <v>6982</v>
      </c>
      <c r="C4412" s="12" t="s">
        <v>59</v>
      </c>
      <c r="D4412" s="12" t="s">
        <v>59</v>
      </c>
    </row>
    <row r="4413" spans="1:4" x14ac:dyDescent="0.2">
      <c r="A4413" s="12" t="s">
        <v>6984</v>
      </c>
      <c r="B4413" s="12" t="s">
        <v>6982</v>
      </c>
      <c r="C4413" s="12">
        <v>1000</v>
      </c>
      <c r="D4413" s="12">
        <v>100</v>
      </c>
    </row>
    <row r="4414" spans="1:4" x14ac:dyDescent="0.2">
      <c r="A4414" s="12" t="s">
        <v>11469</v>
      </c>
      <c r="B4414" s="12" t="s">
        <v>11468</v>
      </c>
      <c r="C4414" s="12">
        <v>400</v>
      </c>
      <c r="D4414" s="12">
        <v>40</v>
      </c>
    </row>
    <row r="4415" spans="1:4" x14ac:dyDescent="0.2">
      <c r="A4415" s="12" t="s">
        <v>2440</v>
      </c>
      <c r="B4415" s="12" t="s">
        <v>2439</v>
      </c>
      <c r="C4415" s="12" t="s">
        <v>59</v>
      </c>
      <c r="D4415" s="12" t="s">
        <v>59</v>
      </c>
    </row>
    <row r="4416" spans="1:4" x14ac:dyDescent="0.2">
      <c r="A4416" s="12" t="s">
        <v>1910</v>
      </c>
      <c r="B4416" s="12" t="s">
        <v>1909</v>
      </c>
      <c r="C4416" s="12" t="s">
        <v>59</v>
      </c>
      <c r="D4416" s="12" t="s">
        <v>59</v>
      </c>
    </row>
    <row r="4417" spans="1:4" x14ac:dyDescent="0.2">
      <c r="A4417" s="12" t="s">
        <v>1278</v>
      </c>
      <c r="B4417" s="12" t="s">
        <v>1277</v>
      </c>
      <c r="C4417" s="12" t="s">
        <v>59</v>
      </c>
      <c r="D4417" s="12" t="s">
        <v>59</v>
      </c>
    </row>
    <row r="4418" spans="1:4" x14ac:dyDescent="0.2">
      <c r="A4418" s="12" t="s">
        <v>5352</v>
      </c>
      <c r="B4418" s="12" t="s">
        <v>5351</v>
      </c>
      <c r="C4418" s="12" t="s">
        <v>59</v>
      </c>
      <c r="D4418" s="12" t="s">
        <v>59</v>
      </c>
    </row>
    <row r="4419" spans="1:4" x14ac:dyDescent="0.2">
      <c r="A4419" s="12" t="s">
        <v>5353</v>
      </c>
      <c r="B4419" s="12" t="s">
        <v>5351</v>
      </c>
      <c r="C4419" s="12">
        <v>600</v>
      </c>
      <c r="D4419" s="12">
        <v>60</v>
      </c>
    </row>
    <row r="4420" spans="1:4" x14ac:dyDescent="0.2">
      <c r="A4420" s="12" t="s">
        <v>6907</v>
      </c>
      <c r="B4420" s="12" t="s">
        <v>6906</v>
      </c>
      <c r="C4420" s="12" t="s">
        <v>59</v>
      </c>
      <c r="D4420" s="12" t="s">
        <v>59</v>
      </c>
    </row>
    <row r="4421" spans="1:4" x14ac:dyDescent="0.2">
      <c r="A4421" s="12" t="s">
        <v>7020</v>
      </c>
      <c r="B4421" s="12" t="s">
        <v>7019</v>
      </c>
      <c r="C4421" s="12">
        <v>1000</v>
      </c>
      <c r="D4421" s="12">
        <v>100</v>
      </c>
    </row>
    <row r="4422" spans="1:4" x14ac:dyDescent="0.2">
      <c r="A4422" s="12" t="s">
        <v>5350</v>
      </c>
      <c r="B4422" s="12" t="s">
        <v>5349</v>
      </c>
      <c r="C4422" s="12">
        <v>100</v>
      </c>
      <c r="D4422" s="12">
        <v>10</v>
      </c>
    </row>
    <row r="4423" spans="1:4" x14ac:dyDescent="0.2">
      <c r="A4423" s="12" t="s">
        <v>8972</v>
      </c>
      <c r="B4423" s="12" t="s">
        <v>8971</v>
      </c>
      <c r="C4423" s="12">
        <v>100</v>
      </c>
      <c r="D4423" s="12">
        <v>10</v>
      </c>
    </row>
    <row r="4424" spans="1:4" x14ac:dyDescent="0.2">
      <c r="A4424" s="12" t="s">
        <v>3008</v>
      </c>
      <c r="B4424" s="12" t="s">
        <v>3007</v>
      </c>
      <c r="C4424" s="12">
        <v>50</v>
      </c>
      <c r="D4424" s="12">
        <v>5</v>
      </c>
    </row>
    <row r="4425" spans="1:4" x14ac:dyDescent="0.2">
      <c r="A4425" s="12" t="s">
        <v>3009</v>
      </c>
      <c r="B4425" s="12" t="s">
        <v>3007</v>
      </c>
      <c r="C4425" s="12">
        <v>100</v>
      </c>
      <c r="D4425" s="12">
        <v>10</v>
      </c>
    </row>
    <row r="4426" spans="1:4" x14ac:dyDescent="0.2">
      <c r="A4426" s="12" t="s">
        <v>1339</v>
      </c>
      <c r="B4426" s="12" t="s">
        <v>1338</v>
      </c>
      <c r="C4426" s="12">
        <v>100</v>
      </c>
      <c r="D4426" s="12">
        <v>10</v>
      </c>
    </row>
    <row r="4427" spans="1:4" x14ac:dyDescent="0.2">
      <c r="A4427" s="12" t="s">
        <v>3079</v>
      </c>
      <c r="B4427" s="12" t="s">
        <v>3078</v>
      </c>
      <c r="C4427" s="12">
        <v>600</v>
      </c>
      <c r="D4427" s="12">
        <v>60</v>
      </c>
    </row>
    <row r="4428" spans="1:4" x14ac:dyDescent="0.2">
      <c r="A4428" s="12" t="s">
        <v>7055</v>
      </c>
      <c r="B4428" s="12" t="s">
        <v>7054</v>
      </c>
      <c r="C4428" s="12" t="s">
        <v>59</v>
      </c>
      <c r="D4428" s="12" t="s">
        <v>59</v>
      </c>
    </row>
    <row r="4429" spans="1:4" x14ac:dyDescent="0.2">
      <c r="A4429" s="12" t="s">
        <v>7056</v>
      </c>
      <c r="B4429" s="12" t="s">
        <v>7054</v>
      </c>
      <c r="C4429" s="12">
        <v>1000</v>
      </c>
      <c r="D4429" s="12">
        <v>100</v>
      </c>
    </row>
    <row r="4430" spans="1:4" x14ac:dyDescent="0.2">
      <c r="A4430" s="12" t="s">
        <v>7093</v>
      </c>
      <c r="B4430" s="12" t="s">
        <v>7092</v>
      </c>
      <c r="C4430" s="12" t="s">
        <v>59</v>
      </c>
      <c r="D4430" s="12" t="s">
        <v>59</v>
      </c>
    </row>
    <row r="4431" spans="1:4" x14ac:dyDescent="0.2">
      <c r="A4431" s="12" t="s">
        <v>7094</v>
      </c>
      <c r="B4431" s="12" t="s">
        <v>7092</v>
      </c>
      <c r="C4431" s="12">
        <v>1000</v>
      </c>
      <c r="D4431" s="12">
        <v>100</v>
      </c>
    </row>
    <row r="4432" spans="1:4" x14ac:dyDescent="0.2">
      <c r="A4432" s="12" t="s">
        <v>9349</v>
      </c>
      <c r="B4432" s="12" t="s">
        <v>9348</v>
      </c>
      <c r="C4432" s="12">
        <v>400</v>
      </c>
      <c r="D4432" s="12">
        <v>40</v>
      </c>
    </row>
    <row r="4433" spans="1:4" x14ac:dyDescent="0.2">
      <c r="A4433" s="12" t="s">
        <v>9351</v>
      </c>
      <c r="B4433" s="12" t="s">
        <v>9350</v>
      </c>
      <c r="C4433" s="12">
        <v>400</v>
      </c>
      <c r="D4433" s="12">
        <v>40</v>
      </c>
    </row>
    <row r="4434" spans="1:4" x14ac:dyDescent="0.2">
      <c r="A4434" s="12" t="s">
        <v>6948</v>
      </c>
      <c r="B4434" s="12" t="s">
        <v>6947</v>
      </c>
      <c r="C4434" s="12" t="s">
        <v>59</v>
      </c>
      <c r="D4434" s="12" t="s">
        <v>59</v>
      </c>
    </row>
    <row r="4435" spans="1:4" x14ac:dyDescent="0.2">
      <c r="A4435" s="12" t="s">
        <v>6949</v>
      </c>
      <c r="B4435" s="12" t="s">
        <v>6947</v>
      </c>
      <c r="C4435" s="12">
        <v>1000</v>
      </c>
      <c r="D4435" s="12">
        <v>100</v>
      </c>
    </row>
    <row r="4436" spans="1:4" x14ac:dyDescent="0.2">
      <c r="A4436" s="12" t="s">
        <v>4312</v>
      </c>
      <c r="B4436" s="12" t="s">
        <v>4311</v>
      </c>
      <c r="C4436" s="12" t="s">
        <v>59</v>
      </c>
      <c r="D4436" s="12" t="s">
        <v>59</v>
      </c>
    </row>
    <row r="4437" spans="1:4" x14ac:dyDescent="0.2">
      <c r="A4437" s="12" t="s">
        <v>4313</v>
      </c>
      <c r="B4437" s="12" t="s">
        <v>4311</v>
      </c>
      <c r="C4437" s="12">
        <v>1000</v>
      </c>
      <c r="D4437" s="12">
        <v>100</v>
      </c>
    </row>
    <row r="4438" spans="1:4" x14ac:dyDescent="0.2">
      <c r="A4438" s="12" t="s">
        <v>6857</v>
      </c>
      <c r="B4438" s="12" t="s">
        <v>6856</v>
      </c>
      <c r="C4438" s="12">
        <v>1000</v>
      </c>
      <c r="D4438" s="12">
        <v>100</v>
      </c>
    </row>
    <row r="4439" spans="1:4" x14ac:dyDescent="0.2">
      <c r="A4439" s="12" t="s">
        <v>6859</v>
      </c>
      <c r="B4439" s="12" t="s">
        <v>6858</v>
      </c>
      <c r="C4439" s="12">
        <v>1000</v>
      </c>
      <c r="D4439" s="12">
        <v>100</v>
      </c>
    </row>
    <row r="4440" spans="1:4" x14ac:dyDescent="0.2">
      <c r="A4440" s="12" t="s">
        <v>6867</v>
      </c>
      <c r="B4440" s="12" t="s">
        <v>6866</v>
      </c>
      <c r="C4440" s="12">
        <v>1000</v>
      </c>
      <c r="D4440" s="12">
        <v>100</v>
      </c>
    </row>
    <row r="4441" spans="1:4" x14ac:dyDescent="0.2">
      <c r="A4441" s="12" t="s">
        <v>3552</v>
      </c>
      <c r="B4441" s="12" t="s">
        <v>3551</v>
      </c>
      <c r="C4441" s="12">
        <v>600</v>
      </c>
      <c r="D4441" s="12">
        <v>60</v>
      </c>
    </row>
    <row r="4442" spans="1:4" x14ac:dyDescent="0.2">
      <c r="A4442" s="12" t="s">
        <v>3584</v>
      </c>
      <c r="B4442" s="12" t="s">
        <v>3583</v>
      </c>
      <c r="C4442" s="12">
        <v>600</v>
      </c>
      <c r="D4442" s="12">
        <v>60</v>
      </c>
    </row>
    <row r="4443" spans="1:4" x14ac:dyDescent="0.2">
      <c r="A4443" s="12" t="s">
        <v>8894</v>
      </c>
      <c r="B4443" s="12" t="s">
        <v>8893</v>
      </c>
      <c r="C4443" s="12">
        <v>100</v>
      </c>
      <c r="D4443" s="12">
        <v>10</v>
      </c>
    </row>
    <row r="4444" spans="1:4" x14ac:dyDescent="0.2">
      <c r="A4444" s="12" t="s">
        <v>8974</v>
      </c>
      <c r="B4444" s="12" t="s">
        <v>8973</v>
      </c>
      <c r="C4444" s="12">
        <v>100</v>
      </c>
      <c r="D4444" s="12">
        <v>10</v>
      </c>
    </row>
    <row r="4445" spans="1:4" x14ac:dyDescent="0.2">
      <c r="A4445" s="12" t="s">
        <v>3893</v>
      </c>
      <c r="B4445" s="12" t="s">
        <v>3892</v>
      </c>
      <c r="C4445" s="12" t="s">
        <v>59</v>
      </c>
      <c r="D4445" s="12" t="s">
        <v>59</v>
      </c>
    </row>
    <row r="4446" spans="1:4" x14ac:dyDescent="0.2">
      <c r="A4446" s="12" t="s">
        <v>3894</v>
      </c>
      <c r="B4446" s="12" t="s">
        <v>3892</v>
      </c>
      <c r="C4446" s="12">
        <v>1000</v>
      </c>
      <c r="D4446" s="12">
        <v>100</v>
      </c>
    </row>
    <row r="4447" spans="1:4" x14ac:dyDescent="0.2">
      <c r="A4447" s="12" t="s">
        <v>3899</v>
      </c>
      <c r="B4447" s="12" t="s">
        <v>3898</v>
      </c>
      <c r="C4447" s="12" t="s">
        <v>59</v>
      </c>
      <c r="D4447" s="12" t="s">
        <v>59</v>
      </c>
    </row>
    <row r="4448" spans="1:4" x14ac:dyDescent="0.2">
      <c r="A4448" s="12" t="s">
        <v>3900</v>
      </c>
      <c r="B4448" s="12" t="s">
        <v>3898</v>
      </c>
      <c r="C4448" s="12">
        <v>1000</v>
      </c>
      <c r="D4448" s="12">
        <v>100</v>
      </c>
    </row>
    <row r="4449" spans="1:4" x14ac:dyDescent="0.2">
      <c r="A4449" s="12" t="s">
        <v>3896</v>
      </c>
      <c r="B4449" s="12" t="s">
        <v>3895</v>
      </c>
      <c r="C4449" s="12" t="s">
        <v>59</v>
      </c>
      <c r="D4449" s="12" t="s">
        <v>59</v>
      </c>
    </row>
    <row r="4450" spans="1:4" x14ac:dyDescent="0.2">
      <c r="A4450" s="12" t="s">
        <v>3897</v>
      </c>
      <c r="B4450" s="12" t="s">
        <v>3895</v>
      </c>
      <c r="C4450" s="12">
        <v>1000</v>
      </c>
      <c r="D4450" s="12">
        <v>100</v>
      </c>
    </row>
    <row r="4451" spans="1:4" x14ac:dyDescent="0.2">
      <c r="A4451" s="12" t="s">
        <v>1341</v>
      </c>
      <c r="B4451" s="12" t="s">
        <v>1340</v>
      </c>
      <c r="C4451" s="12">
        <v>100</v>
      </c>
      <c r="D4451" s="12">
        <v>10</v>
      </c>
    </row>
    <row r="4452" spans="1:4" x14ac:dyDescent="0.2">
      <c r="A4452" s="12" t="s">
        <v>1342</v>
      </c>
      <c r="B4452" s="12" t="s">
        <v>1340</v>
      </c>
      <c r="C4452" s="12" t="s">
        <v>59</v>
      </c>
      <c r="D4452" s="12" t="s">
        <v>59</v>
      </c>
    </row>
    <row r="4453" spans="1:4" x14ac:dyDescent="0.2">
      <c r="A4453" s="12" t="s">
        <v>11708</v>
      </c>
      <c r="B4453" s="12" t="s">
        <v>11707</v>
      </c>
      <c r="C4453" s="12">
        <v>360</v>
      </c>
      <c r="D4453" s="12">
        <v>13</v>
      </c>
    </row>
    <row r="4454" spans="1:4" x14ac:dyDescent="0.2">
      <c r="A4454" s="12" t="s">
        <v>9920</v>
      </c>
      <c r="B4454" s="12" t="s">
        <v>9919</v>
      </c>
      <c r="C4454" s="12" t="s">
        <v>59</v>
      </c>
      <c r="D4454" s="12" t="s">
        <v>59</v>
      </c>
    </row>
    <row r="4455" spans="1:4" x14ac:dyDescent="0.2">
      <c r="A4455" s="12" t="s">
        <v>8589</v>
      </c>
      <c r="B4455" s="12" t="s">
        <v>8588</v>
      </c>
      <c r="C4455" s="12" t="s">
        <v>59</v>
      </c>
      <c r="D4455" s="12" t="s">
        <v>59</v>
      </c>
    </row>
    <row r="4456" spans="1:4" x14ac:dyDescent="0.2">
      <c r="A4456" s="12" t="s">
        <v>8590</v>
      </c>
      <c r="B4456" s="12" t="s">
        <v>8588</v>
      </c>
      <c r="C4456" s="12">
        <v>1000</v>
      </c>
      <c r="D4456" s="12">
        <v>100</v>
      </c>
    </row>
    <row r="4457" spans="1:4" x14ac:dyDescent="0.2">
      <c r="A4457" s="12" t="s">
        <v>11273</v>
      </c>
      <c r="B4457" s="12" t="s">
        <v>11272</v>
      </c>
      <c r="C4457" s="12">
        <v>0.21</v>
      </c>
      <c r="D4457" s="12">
        <v>1.6999999999999999E-3</v>
      </c>
    </row>
    <row r="4458" spans="1:4" x14ac:dyDescent="0.2">
      <c r="A4458" s="12" t="s">
        <v>7739</v>
      </c>
      <c r="B4458" s="12" t="s">
        <v>7738</v>
      </c>
      <c r="C4458" s="12">
        <v>3.6</v>
      </c>
      <c r="D4458" s="12">
        <v>4.1000000000000002E-2</v>
      </c>
    </row>
    <row r="4459" spans="1:4" x14ac:dyDescent="0.2">
      <c r="A4459" s="12" t="s">
        <v>4680</v>
      </c>
      <c r="B4459" s="12" t="s">
        <v>4679</v>
      </c>
      <c r="C4459" s="12">
        <v>3.6</v>
      </c>
      <c r="D4459" s="12">
        <v>4.1000000000000002E-2</v>
      </c>
    </row>
    <row r="4460" spans="1:4" x14ac:dyDescent="0.2">
      <c r="A4460" s="12" t="s">
        <v>4674</v>
      </c>
      <c r="B4460" s="12" t="s">
        <v>4673</v>
      </c>
      <c r="C4460" s="12">
        <v>3.6</v>
      </c>
      <c r="D4460" s="12">
        <v>4.1000000000000002E-2</v>
      </c>
    </row>
    <row r="4461" spans="1:4" x14ac:dyDescent="0.2">
      <c r="A4461" s="12" t="s">
        <v>7712</v>
      </c>
      <c r="B4461" s="12" t="s">
        <v>7711</v>
      </c>
      <c r="C4461" s="12">
        <v>50</v>
      </c>
      <c r="D4461" s="12">
        <v>5</v>
      </c>
    </row>
    <row r="4462" spans="1:4" x14ac:dyDescent="0.2">
      <c r="A4462" s="12" t="s">
        <v>4682</v>
      </c>
      <c r="B4462" s="12" t="s">
        <v>4681</v>
      </c>
      <c r="C4462" s="12">
        <v>3.6</v>
      </c>
      <c r="D4462" s="12">
        <v>4.1000000000000002E-2</v>
      </c>
    </row>
    <row r="4463" spans="1:4" x14ac:dyDescent="0.2">
      <c r="A4463" s="12" t="s">
        <v>5311</v>
      </c>
      <c r="B4463" s="12" t="s">
        <v>5310</v>
      </c>
      <c r="C4463" s="12">
        <v>3.6</v>
      </c>
      <c r="D4463" s="12">
        <v>4.1000000000000002E-2</v>
      </c>
    </row>
    <row r="4464" spans="1:4" x14ac:dyDescent="0.2">
      <c r="A4464" s="12" t="s">
        <v>4776</v>
      </c>
      <c r="B4464" s="12" t="s">
        <v>4775</v>
      </c>
      <c r="C4464" s="12">
        <v>140</v>
      </c>
      <c r="D4464" s="12">
        <v>14</v>
      </c>
    </row>
    <row r="4465" spans="1:4" x14ac:dyDescent="0.2">
      <c r="A4465" s="12" t="s">
        <v>5309</v>
      </c>
      <c r="B4465" s="12" t="s">
        <v>5308</v>
      </c>
      <c r="C4465" s="12">
        <v>3.6</v>
      </c>
      <c r="D4465" s="12">
        <v>4.1000000000000002E-2</v>
      </c>
    </row>
    <row r="4466" spans="1:4" x14ac:dyDescent="0.2">
      <c r="A4466" s="12" t="s">
        <v>7716</v>
      </c>
      <c r="B4466" s="12" t="s">
        <v>7715</v>
      </c>
      <c r="C4466" s="12">
        <v>0.21</v>
      </c>
      <c r="D4466" s="12">
        <v>1.6999999999999999E-3</v>
      </c>
    </row>
    <row r="4467" spans="1:4" x14ac:dyDescent="0.2">
      <c r="A4467" s="12" t="s">
        <v>12435</v>
      </c>
      <c r="B4467" s="12" t="s">
        <v>12434</v>
      </c>
      <c r="C4467" s="12">
        <v>20</v>
      </c>
      <c r="D4467" s="12">
        <v>2</v>
      </c>
    </row>
    <row r="4468" spans="1:4" x14ac:dyDescent="0.2">
      <c r="A4468" s="12" t="s">
        <v>11795</v>
      </c>
      <c r="B4468" s="12" t="s">
        <v>11794</v>
      </c>
      <c r="C4468" s="12">
        <v>1</v>
      </c>
      <c r="D4468" s="12">
        <v>0.1</v>
      </c>
    </row>
    <row r="4469" spans="1:4" x14ac:dyDescent="0.2">
      <c r="A4469" s="12" t="s">
        <v>10072</v>
      </c>
      <c r="B4469" s="12" t="s">
        <v>10071</v>
      </c>
      <c r="C4469" s="12">
        <v>0.5</v>
      </c>
      <c r="D4469" s="12">
        <v>0.05</v>
      </c>
    </row>
    <row r="4470" spans="1:4" x14ac:dyDescent="0.2">
      <c r="A4470" s="12" t="s">
        <v>11361</v>
      </c>
      <c r="B4470" s="12" t="s">
        <v>11360</v>
      </c>
      <c r="C4470" s="12">
        <v>1000</v>
      </c>
      <c r="D4470" s="12">
        <v>100</v>
      </c>
    </row>
    <row r="4471" spans="1:4" x14ac:dyDescent="0.2">
      <c r="A4471" s="12" t="s">
        <v>4981</v>
      </c>
      <c r="B4471" s="12" t="s">
        <v>4980</v>
      </c>
      <c r="C4471" s="12">
        <v>1000</v>
      </c>
      <c r="D4471" s="12">
        <v>100</v>
      </c>
    </row>
    <row r="4472" spans="1:4" x14ac:dyDescent="0.2">
      <c r="A4472" s="12" t="s">
        <v>10741</v>
      </c>
      <c r="B4472" s="12" t="s">
        <v>10740</v>
      </c>
      <c r="C4472" s="12">
        <v>5</v>
      </c>
      <c r="D4472" s="12">
        <v>0.5</v>
      </c>
    </row>
    <row r="4473" spans="1:4" x14ac:dyDescent="0.2">
      <c r="A4473" s="12" t="s">
        <v>11249</v>
      </c>
      <c r="B4473" s="12" t="s">
        <v>11248</v>
      </c>
      <c r="C4473" s="12">
        <v>100</v>
      </c>
      <c r="D4473" s="12">
        <v>10</v>
      </c>
    </row>
    <row r="4474" spans="1:4" x14ac:dyDescent="0.2">
      <c r="A4474" s="12" t="s">
        <v>7046</v>
      </c>
      <c r="B4474" s="12" t="s">
        <v>7045</v>
      </c>
      <c r="C4474" s="12" t="s">
        <v>59</v>
      </c>
      <c r="D4474" s="12" t="s">
        <v>59</v>
      </c>
    </row>
    <row r="4475" spans="1:4" x14ac:dyDescent="0.2">
      <c r="A4475" s="12" t="s">
        <v>7047</v>
      </c>
      <c r="B4475" s="12" t="s">
        <v>7045</v>
      </c>
      <c r="C4475" s="12">
        <v>1000</v>
      </c>
      <c r="D4475" s="12">
        <v>100</v>
      </c>
    </row>
    <row r="4476" spans="1:4" x14ac:dyDescent="0.2">
      <c r="A4476" s="12" t="s">
        <v>10719</v>
      </c>
      <c r="B4476" s="12" t="s">
        <v>10718</v>
      </c>
      <c r="C4476" s="12" t="s">
        <v>59</v>
      </c>
      <c r="D4476" s="12" t="s">
        <v>59</v>
      </c>
    </row>
    <row r="4477" spans="1:4" x14ac:dyDescent="0.2">
      <c r="A4477" s="12" t="s">
        <v>3932</v>
      </c>
      <c r="B4477" s="12" t="s">
        <v>3931</v>
      </c>
      <c r="C4477" s="12">
        <v>100</v>
      </c>
      <c r="D4477" s="12">
        <v>10</v>
      </c>
    </row>
    <row r="4478" spans="1:4" x14ac:dyDescent="0.2">
      <c r="A4478" s="12" t="s">
        <v>866</v>
      </c>
      <c r="B4478" s="12" t="s">
        <v>865</v>
      </c>
      <c r="C4478" s="12">
        <v>100</v>
      </c>
      <c r="D4478" s="12">
        <v>10</v>
      </c>
    </row>
    <row r="4479" spans="1:4" x14ac:dyDescent="0.2">
      <c r="A4479" s="12" t="s">
        <v>11742</v>
      </c>
      <c r="B4479" s="12" t="s">
        <v>11741</v>
      </c>
      <c r="C4479" s="12">
        <v>1000</v>
      </c>
      <c r="D4479" s="12">
        <v>100</v>
      </c>
    </row>
    <row r="4480" spans="1:4" x14ac:dyDescent="0.2">
      <c r="A4480" s="12" t="s">
        <v>3580</v>
      </c>
      <c r="B4480" s="12" t="s">
        <v>3579</v>
      </c>
      <c r="C4480" s="12">
        <v>600</v>
      </c>
      <c r="D4480" s="12">
        <v>60</v>
      </c>
    </row>
    <row r="4481" spans="1:4" x14ac:dyDescent="0.2">
      <c r="A4481" s="12" t="s">
        <v>9250</v>
      </c>
      <c r="B4481" s="12" t="s">
        <v>9249</v>
      </c>
      <c r="C4481" s="12">
        <v>100</v>
      </c>
      <c r="D4481" s="12">
        <v>10</v>
      </c>
    </row>
    <row r="4482" spans="1:4" ht="28.5" x14ac:dyDescent="0.2">
      <c r="A4482" s="12" t="s">
        <v>3777</v>
      </c>
      <c r="B4482" s="12" t="s">
        <v>3776</v>
      </c>
      <c r="C4482" s="12" t="s">
        <v>59</v>
      </c>
      <c r="D4482" s="12" t="s">
        <v>59</v>
      </c>
    </row>
    <row r="4483" spans="1:4" ht="28.5" x14ac:dyDescent="0.2">
      <c r="A4483" s="12" t="s">
        <v>3778</v>
      </c>
      <c r="B4483" s="12" t="s">
        <v>3776</v>
      </c>
      <c r="C4483" s="12">
        <v>1000</v>
      </c>
      <c r="D4483" s="12">
        <v>100</v>
      </c>
    </row>
    <row r="4484" spans="1:4" x14ac:dyDescent="0.2">
      <c r="A4484" s="12" t="s">
        <v>1730</v>
      </c>
      <c r="B4484" s="12" t="s">
        <v>1729</v>
      </c>
      <c r="C4484" s="12" t="s">
        <v>59</v>
      </c>
      <c r="D4484" s="12" t="s">
        <v>59</v>
      </c>
    </row>
    <row r="4485" spans="1:4" x14ac:dyDescent="0.2">
      <c r="A4485" s="12" t="s">
        <v>3743</v>
      </c>
      <c r="B4485" s="12" t="s">
        <v>3742</v>
      </c>
      <c r="C4485" s="12" t="s">
        <v>59</v>
      </c>
      <c r="D4485" s="12" t="s">
        <v>59</v>
      </c>
    </row>
    <row r="4486" spans="1:4" x14ac:dyDescent="0.2">
      <c r="A4486" s="12" t="s">
        <v>2128</v>
      </c>
      <c r="B4486" s="12" t="s">
        <v>2127</v>
      </c>
      <c r="C4486" s="12">
        <v>0.7</v>
      </c>
      <c r="D4486" s="12">
        <v>0.1</v>
      </c>
    </row>
    <row r="4487" spans="1:4" x14ac:dyDescent="0.2">
      <c r="A4487" s="12" t="s">
        <v>10012</v>
      </c>
      <c r="B4487" s="12" t="s">
        <v>10011</v>
      </c>
      <c r="C4487" s="12" t="s">
        <v>59</v>
      </c>
      <c r="D4487" s="12" t="s">
        <v>59</v>
      </c>
    </row>
    <row r="4488" spans="1:4" x14ac:dyDescent="0.2">
      <c r="A4488" s="12" t="s">
        <v>3974</v>
      </c>
      <c r="B4488" s="12" t="s">
        <v>3973</v>
      </c>
      <c r="C4488" s="12" t="s">
        <v>59</v>
      </c>
      <c r="D4488" s="12" t="s">
        <v>59</v>
      </c>
    </row>
    <row r="4489" spans="1:4" x14ac:dyDescent="0.2">
      <c r="A4489" s="12" t="s">
        <v>3975</v>
      </c>
      <c r="B4489" s="12" t="s">
        <v>3973</v>
      </c>
      <c r="C4489" s="12">
        <v>1000</v>
      </c>
      <c r="D4489" s="12">
        <v>100</v>
      </c>
    </row>
    <row r="4490" spans="1:4" x14ac:dyDescent="0.2">
      <c r="A4490" s="12" t="s">
        <v>4040</v>
      </c>
      <c r="B4490" s="12" t="s">
        <v>4039</v>
      </c>
      <c r="C4490" s="12" t="s">
        <v>59</v>
      </c>
      <c r="D4490" s="12" t="s">
        <v>59</v>
      </c>
    </row>
    <row r="4491" spans="1:4" x14ac:dyDescent="0.2">
      <c r="A4491" s="12" t="s">
        <v>4041</v>
      </c>
      <c r="B4491" s="12" t="s">
        <v>4039</v>
      </c>
      <c r="C4491" s="12">
        <v>1000</v>
      </c>
      <c r="D4491" s="12">
        <v>100</v>
      </c>
    </row>
    <row r="4492" spans="1:4" x14ac:dyDescent="0.2">
      <c r="A4492" s="12" t="s">
        <v>3971</v>
      </c>
      <c r="B4492" s="12" t="s">
        <v>3970</v>
      </c>
      <c r="C4492" s="12" t="s">
        <v>59</v>
      </c>
      <c r="D4492" s="12" t="s">
        <v>59</v>
      </c>
    </row>
    <row r="4493" spans="1:4" x14ac:dyDescent="0.2">
      <c r="A4493" s="12" t="s">
        <v>3972</v>
      </c>
      <c r="B4493" s="12" t="s">
        <v>3970</v>
      </c>
      <c r="C4493" s="12">
        <v>1000</v>
      </c>
      <c r="D4493" s="12">
        <v>100</v>
      </c>
    </row>
    <row r="4494" spans="1:4" x14ac:dyDescent="0.2">
      <c r="A4494" s="12" t="s">
        <v>3968</v>
      </c>
      <c r="B4494" s="12" t="s">
        <v>3967</v>
      </c>
      <c r="C4494" s="12" t="s">
        <v>59</v>
      </c>
      <c r="D4494" s="12" t="s">
        <v>59</v>
      </c>
    </row>
    <row r="4495" spans="1:4" x14ac:dyDescent="0.2">
      <c r="A4495" s="12" t="s">
        <v>3969</v>
      </c>
      <c r="B4495" s="12" t="s">
        <v>3967</v>
      </c>
      <c r="C4495" s="12">
        <v>1000</v>
      </c>
      <c r="D4495" s="12">
        <v>100</v>
      </c>
    </row>
    <row r="4496" spans="1:4" x14ac:dyDescent="0.2">
      <c r="A4496" s="12" t="s">
        <v>1883</v>
      </c>
      <c r="B4496" s="12" t="s">
        <v>1882</v>
      </c>
      <c r="C4496" s="12">
        <v>1000</v>
      </c>
      <c r="D4496" s="12">
        <v>100</v>
      </c>
    </row>
    <row r="4497" spans="1:4" x14ac:dyDescent="0.2">
      <c r="A4497" s="12" t="s">
        <v>6322</v>
      </c>
      <c r="B4497" s="12" t="s">
        <v>6321</v>
      </c>
      <c r="C4497" s="12" t="s">
        <v>59</v>
      </c>
      <c r="D4497" s="12" t="s">
        <v>59</v>
      </c>
    </row>
    <row r="4498" spans="1:4" x14ac:dyDescent="0.2">
      <c r="A4498" s="12" t="s">
        <v>11542</v>
      </c>
      <c r="B4498" s="12" t="s">
        <v>11541</v>
      </c>
      <c r="C4498" s="12">
        <v>100</v>
      </c>
      <c r="D4498" s="12">
        <v>10</v>
      </c>
    </row>
    <row r="4499" spans="1:4" x14ac:dyDescent="0.2">
      <c r="A4499" s="12" t="s">
        <v>3948</v>
      </c>
      <c r="B4499" s="12" t="s">
        <v>3947</v>
      </c>
      <c r="C4499" s="12">
        <v>400</v>
      </c>
      <c r="D4499" s="12">
        <v>40</v>
      </c>
    </row>
    <row r="4500" spans="1:4" x14ac:dyDescent="0.2">
      <c r="A4500" s="12" t="s">
        <v>3490</v>
      </c>
      <c r="B4500" s="12" t="s">
        <v>3489</v>
      </c>
      <c r="C4500" s="12" t="s">
        <v>59</v>
      </c>
      <c r="D4500" s="12" t="s">
        <v>59</v>
      </c>
    </row>
    <row r="4501" spans="1:4" x14ac:dyDescent="0.2">
      <c r="A4501" s="12" t="s">
        <v>3491</v>
      </c>
      <c r="B4501" s="12" t="s">
        <v>3489</v>
      </c>
      <c r="C4501" s="12">
        <v>1000</v>
      </c>
      <c r="D4501" s="12">
        <v>100</v>
      </c>
    </row>
    <row r="4502" spans="1:4" x14ac:dyDescent="0.2">
      <c r="A4502" s="12" t="s">
        <v>7312</v>
      </c>
      <c r="B4502" s="12" t="s">
        <v>7311</v>
      </c>
      <c r="C4502" s="12">
        <v>1000</v>
      </c>
      <c r="D4502" s="12">
        <v>100</v>
      </c>
    </row>
    <row r="4503" spans="1:4" x14ac:dyDescent="0.2">
      <c r="A4503" s="12" t="s">
        <v>11271</v>
      </c>
      <c r="B4503" s="12" t="s">
        <v>11270</v>
      </c>
      <c r="C4503" s="12" t="s">
        <v>59</v>
      </c>
      <c r="D4503" s="12" t="s">
        <v>59</v>
      </c>
    </row>
    <row r="4504" spans="1:4" x14ac:dyDescent="0.2">
      <c r="A4504" s="12" t="s">
        <v>6128</v>
      </c>
      <c r="B4504" s="12" t="s">
        <v>6127</v>
      </c>
      <c r="C4504" s="12">
        <v>100</v>
      </c>
      <c r="D4504" s="12">
        <v>10</v>
      </c>
    </row>
    <row r="4505" spans="1:4" x14ac:dyDescent="0.2">
      <c r="A4505" s="12" t="s">
        <v>6875</v>
      </c>
      <c r="B4505" s="12" t="s">
        <v>6874</v>
      </c>
      <c r="C4505" s="12" t="s">
        <v>59</v>
      </c>
      <c r="D4505" s="12" t="s">
        <v>59</v>
      </c>
    </row>
    <row r="4506" spans="1:4" x14ac:dyDescent="0.2">
      <c r="A4506" s="12" t="s">
        <v>6876</v>
      </c>
      <c r="B4506" s="12" t="s">
        <v>6874</v>
      </c>
      <c r="C4506" s="12">
        <v>1000</v>
      </c>
      <c r="D4506" s="12">
        <v>100</v>
      </c>
    </row>
    <row r="4507" spans="1:4" x14ac:dyDescent="0.2">
      <c r="A4507" s="12" t="s">
        <v>7032</v>
      </c>
      <c r="B4507" s="12" t="s">
        <v>7031</v>
      </c>
      <c r="C4507" s="12" t="s">
        <v>59</v>
      </c>
      <c r="D4507" s="12" t="s">
        <v>59</v>
      </c>
    </row>
    <row r="4508" spans="1:4" x14ac:dyDescent="0.2">
      <c r="A4508" s="12" t="s">
        <v>7033</v>
      </c>
      <c r="B4508" s="12" t="s">
        <v>7031</v>
      </c>
      <c r="C4508" s="12">
        <v>1000</v>
      </c>
      <c r="D4508" s="12">
        <v>100</v>
      </c>
    </row>
    <row r="4509" spans="1:4" x14ac:dyDescent="0.2">
      <c r="A4509" s="12" t="s">
        <v>1864</v>
      </c>
      <c r="B4509" s="12" t="s">
        <v>1863</v>
      </c>
      <c r="C4509" s="12" t="s">
        <v>59</v>
      </c>
      <c r="D4509" s="12" t="s">
        <v>59</v>
      </c>
    </row>
    <row r="4510" spans="1:4" x14ac:dyDescent="0.2">
      <c r="A4510" s="12" t="s">
        <v>8592</v>
      </c>
      <c r="B4510" s="12" t="s">
        <v>8591</v>
      </c>
      <c r="C4510" s="12" t="s">
        <v>59</v>
      </c>
      <c r="D4510" s="12" t="s">
        <v>59</v>
      </c>
    </row>
    <row r="4511" spans="1:4" x14ac:dyDescent="0.2">
      <c r="A4511" s="12" t="s">
        <v>8593</v>
      </c>
      <c r="B4511" s="12" t="s">
        <v>8591</v>
      </c>
      <c r="C4511" s="12">
        <v>1000</v>
      </c>
      <c r="D4511" s="12">
        <v>100</v>
      </c>
    </row>
    <row r="4512" spans="1:4" x14ac:dyDescent="0.2">
      <c r="A4512" s="12" t="s">
        <v>4049</v>
      </c>
      <c r="B4512" s="12" t="s">
        <v>4048</v>
      </c>
      <c r="C4512" s="12" t="s">
        <v>59</v>
      </c>
      <c r="D4512" s="12" t="s">
        <v>59</v>
      </c>
    </row>
    <row r="4513" spans="1:4" x14ac:dyDescent="0.2">
      <c r="A4513" s="12" t="s">
        <v>5383</v>
      </c>
      <c r="B4513" s="12" t="s">
        <v>5382</v>
      </c>
      <c r="C4513" s="12">
        <v>100</v>
      </c>
      <c r="D4513" s="12">
        <v>10</v>
      </c>
    </row>
    <row r="4514" spans="1:4" x14ac:dyDescent="0.2">
      <c r="A4514" s="12" t="s">
        <v>10265</v>
      </c>
      <c r="B4514" s="12" t="s">
        <v>10264</v>
      </c>
      <c r="C4514" s="12">
        <v>100</v>
      </c>
      <c r="D4514" s="12">
        <v>10</v>
      </c>
    </row>
    <row r="4515" spans="1:4" x14ac:dyDescent="0.2">
      <c r="A4515" s="12" t="s">
        <v>96</v>
      </c>
      <c r="B4515" s="12" t="s">
        <v>95</v>
      </c>
      <c r="C4515" s="12">
        <v>2500</v>
      </c>
      <c r="D4515" s="12">
        <v>250</v>
      </c>
    </row>
    <row r="4516" spans="1:4" x14ac:dyDescent="0.2">
      <c r="A4516" s="12" t="s">
        <v>6826</v>
      </c>
      <c r="B4516" s="12" t="s">
        <v>6825</v>
      </c>
      <c r="C4516" s="12" t="s">
        <v>59</v>
      </c>
      <c r="D4516" s="12" t="s">
        <v>59</v>
      </c>
    </row>
    <row r="4517" spans="1:4" x14ac:dyDescent="0.2">
      <c r="A4517" s="12" t="s">
        <v>6827</v>
      </c>
      <c r="B4517" s="12" t="s">
        <v>6825</v>
      </c>
      <c r="C4517" s="12">
        <v>1000</v>
      </c>
      <c r="D4517" s="12">
        <v>100</v>
      </c>
    </row>
    <row r="4518" spans="1:4" x14ac:dyDescent="0.2">
      <c r="A4518" s="12" t="s">
        <v>5872</v>
      </c>
      <c r="B4518" s="12" t="s">
        <v>5871</v>
      </c>
      <c r="C4518" s="12">
        <v>1000</v>
      </c>
      <c r="D4518" s="12">
        <v>100</v>
      </c>
    </row>
    <row r="4519" spans="1:4" x14ac:dyDescent="0.2">
      <c r="A4519" s="12" t="s">
        <v>11119</v>
      </c>
      <c r="B4519" s="12" t="s">
        <v>11118</v>
      </c>
      <c r="C4519" s="12" t="s">
        <v>59</v>
      </c>
      <c r="D4519" s="12" t="s">
        <v>59</v>
      </c>
    </row>
    <row r="4520" spans="1:4" x14ac:dyDescent="0.2">
      <c r="A4520" s="12" t="s">
        <v>5601</v>
      </c>
      <c r="B4520" s="12" t="s">
        <v>5600</v>
      </c>
      <c r="C4520" s="12" t="s">
        <v>59</v>
      </c>
      <c r="D4520" s="12" t="s">
        <v>59</v>
      </c>
    </row>
    <row r="4521" spans="1:4" x14ac:dyDescent="0.2">
      <c r="A4521" s="12" t="s">
        <v>3317</v>
      </c>
      <c r="B4521" s="12" t="s">
        <v>3316</v>
      </c>
      <c r="C4521" s="12">
        <v>1500</v>
      </c>
      <c r="D4521" s="12">
        <v>150</v>
      </c>
    </row>
    <row r="4522" spans="1:4" x14ac:dyDescent="0.2">
      <c r="A4522" s="12" t="s">
        <v>5556</v>
      </c>
      <c r="B4522" s="12" t="s">
        <v>5555</v>
      </c>
      <c r="C4522" s="12">
        <v>80</v>
      </c>
      <c r="D4522" s="12">
        <v>8</v>
      </c>
    </row>
    <row r="4523" spans="1:4" x14ac:dyDescent="0.2">
      <c r="A4523" s="12" t="s">
        <v>249</v>
      </c>
      <c r="B4523" s="12" t="s">
        <v>248</v>
      </c>
      <c r="C4523" s="12">
        <v>50</v>
      </c>
      <c r="D4523" s="12">
        <v>5</v>
      </c>
    </row>
    <row r="4524" spans="1:4" x14ac:dyDescent="0.2">
      <c r="A4524" s="12" t="s">
        <v>6854</v>
      </c>
      <c r="B4524" s="12" t="s">
        <v>6853</v>
      </c>
      <c r="C4524" s="12" t="s">
        <v>59</v>
      </c>
      <c r="D4524" s="12" t="s">
        <v>59</v>
      </c>
    </row>
    <row r="4525" spans="1:4" x14ac:dyDescent="0.2">
      <c r="A4525" s="12" t="s">
        <v>6855</v>
      </c>
      <c r="B4525" s="12" t="s">
        <v>6853</v>
      </c>
      <c r="C4525" s="12">
        <v>1000</v>
      </c>
      <c r="D4525" s="12">
        <v>100</v>
      </c>
    </row>
    <row r="4526" spans="1:4" x14ac:dyDescent="0.2">
      <c r="A4526" s="12" t="s">
        <v>10674</v>
      </c>
      <c r="B4526" s="12" t="s">
        <v>10673</v>
      </c>
      <c r="C4526" s="12" t="s">
        <v>59</v>
      </c>
      <c r="D4526" s="12" t="s">
        <v>59</v>
      </c>
    </row>
    <row r="4527" spans="1:4" x14ac:dyDescent="0.2">
      <c r="A4527" s="12" t="s">
        <v>4762</v>
      </c>
      <c r="B4527" s="12" t="s">
        <v>4761</v>
      </c>
      <c r="C4527" s="12">
        <v>100</v>
      </c>
      <c r="D4527" s="12">
        <v>10</v>
      </c>
    </row>
    <row r="4528" spans="1:4" x14ac:dyDescent="0.2">
      <c r="A4528" s="12" t="s">
        <v>10641</v>
      </c>
      <c r="B4528" s="12" t="s">
        <v>10640</v>
      </c>
      <c r="C4528" s="12">
        <v>30</v>
      </c>
      <c r="D4528" s="12">
        <v>3</v>
      </c>
    </row>
    <row r="4529" spans="1:4" x14ac:dyDescent="0.2">
      <c r="A4529" s="12" t="s">
        <v>9587</v>
      </c>
      <c r="B4529" s="12" t="s">
        <v>9586</v>
      </c>
      <c r="C4529" s="12" t="s">
        <v>59</v>
      </c>
      <c r="D4529" s="12" t="s">
        <v>59</v>
      </c>
    </row>
    <row r="4530" spans="1:4" x14ac:dyDescent="0.2">
      <c r="A4530" s="12" t="s">
        <v>1299</v>
      </c>
      <c r="B4530" s="12" t="s">
        <v>1298</v>
      </c>
      <c r="C4530" s="12" t="s">
        <v>59</v>
      </c>
      <c r="D4530" s="12" t="s">
        <v>59</v>
      </c>
    </row>
    <row r="4531" spans="1:4" x14ac:dyDescent="0.2">
      <c r="A4531" s="12" t="s">
        <v>1300</v>
      </c>
      <c r="B4531" s="12" t="s">
        <v>1298</v>
      </c>
      <c r="C4531" s="12">
        <v>1000</v>
      </c>
      <c r="D4531" s="12">
        <v>100</v>
      </c>
    </row>
    <row r="4532" spans="1:4" x14ac:dyDescent="0.2">
      <c r="A4532" s="12" t="s">
        <v>1296</v>
      </c>
      <c r="B4532" s="12" t="s">
        <v>1295</v>
      </c>
      <c r="C4532" s="12" t="s">
        <v>59</v>
      </c>
      <c r="D4532" s="12" t="s">
        <v>59</v>
      </c>
    </row>
    <row r="4533" spans="1:4" x14ac:dyDescent="0.2">
      <c r="A4533" s="12" t="s">
        <v>1297</v>
      </c>
      <c r="B4533" s="12" t="s">
        <v>1295</v>
      </c>
      <c r="C4533" s="12">
        <v>1000</v>
      </c>
      <c r="D4533" s="12">
        <v>100</v>
      </c>
    </row>
    <row r="4534" spans="1:4" x14ac:dyDescent="0.2">
      <c r="A4534" s="12" t="s">
        <v>6349</v>
      </c>
      <c r="B4534" s="12" t="s">
        <v>6348</v>
      </c>
      <c r="C4534" s="12">
        <v>3500</v>
      </c>
      <c r="D4534" s="12">
        <v>350</v>
      </c>
    </row>
    <row r="4535" spans="1:4" x14ac:dyDescent="0.2">
      <c r="A4535" s="12" t="s">
        <v>6359</v>
      </c>
      <c r="B4535" s="12" t="s">
        <v>6358</v>
      </c>
      <c r="C4535" s="12">
        <v>3500</v>
      </c>
      <c r="D4535" s="12">
        <v>350</v>
      </c>
    </row>
    <row r="4536" spans="1:4" x14ac:dyDescent="0.2">
      <c r="A4536" s="12" t="s">
        <v>6878</v>
      </c>
      <c r="B4536" s="12" t="s">
        <v>6877</v>
      </c>
      <c r="C4536" s="12" t="s">
        <v>59</v>
      </c>
      <c r="D4536" s="12" t="s">
        <v>59</v>
      </c>
    </row>
    <row r="4537" spans="1:4" x14ac:dyDescent="0.2">
      <c r="A4537" s="12" t="s">
        <v>6879</v>
      </c>
      <c r="B4537" s="12" t="s">
        <v>6877</v>
      </c>
      <c r="C4537" s="12">
        <v>1000</v>
      </c>
      <c r="D4537" s="12">
        <v>100</v>
      </c>
    </row>
    <row r="4538" spans="1:4" x14ac:dyDescent="0.2">
      <c r="A4538" s="12" t="s">
        <v>10267</v>
      </c>
      <c r="B4538" s="12" t="s">
        <v>10266</v>
      </c>
      <c r="C4538" s="12" t="s">
        <v>59</v>
      </c>
      <c r="D4538" s="12" t="s">
        <v>59</v>
      </c>
    </row>
    <row r="4539" spans="1:4" x14ac:dyDescent="0.2">
      <c r="A4539" s="12" t="s">
        <v>10268</v>
      </c>
      <c r="B4539" s="12" t="s">
        <v>10266</v>
      </c>
      <c r="C4539" s="12">
        <v>1000</v>
      </c>
      <c r="D4539" s="12">
        <v>100</v>
      </c>
    </row>
    <row r="4540" spans="1:4" x14ac:dyDescent="0.2">
      <c r="A4540" s="12" t="s">
        <v>9049</v>
      </c>
      <c r="B4540" s="12" t="s">
        <v>9048</v>
      </c>
      <c r="C4540" s="12">
        <v>18000</v>
      </c>
      <c r="D4540" s="12">
        <v>1800</v>
      </c>
    </row>
    <row r="4541" spans="1:4" x14ac:dyDescent="0.2">
      <c r="A4541" s="12" t="s">
        <v>8399</v>
      </c>
      <c r="B4541" s="12" t="s">
        <v>8398</v>
      </c>
      <c r="C4541" s="12" t="s">
        <v>59</v>
      </c>
      <c r="D4541" s="12" t="s">
        <v>59</v>
      </c>
    </row>
    <row r="4542" spans="1:4" x14ac:dyDescent="0.2">
      <c r="A4542" s="12" t="s">
        <v>10668</v>
      </c>
      <c r="B4542" s="12" t="s">
        <v>10667</v>
      </c>
      <c r="C4542" s="12" t="s">
        <v>59</v>
      </c>
      <c r="D4542" s="12" t="s">
        <v>59</v>
      </c>
    </row>
    <row r="4543" spans="1:4" x14ac:dyDescent="0.2">
      <c r="A4543" s="12" t="s">
        <v>4238</v>
      </c>
      <c r="B4543" s="12" t="s">
        <v>4237</v>
      </c>
      <c r="C4543" s="12">
        <v>3500</v>
      </c>
      <c r="D4543" s="12">
        <v>350</v>
      </c>
    </row>
    <row r="4544" spans="1:4" x14ac:dyDescent="0.2">
      <c r="A4544" s="12" t="s">
        <v>7623</v>
      </c>
      <c r="B4544" s="12" t="s">
        <v>7622</v>
      </c>
      <c r="C4544" s="12">
        <v>1000</v>
      </c>
      <c r="D4544" s="12">
        <v>100</v>
      </c>
    </row>
    <row r="4545" spans="1:4" x14ac:dyDescent="0.2">
      <c r="A4545" s="12" t="s">
        <v>4576</v>
      </c>
      <c r="B4545" s="12" t="s">
        <v>4575</v>
      </c>
      <c r="C4545" s="12">
        <v>3300</v>
      </c>
      <c r="D4545" s="12">
        <v>30</v>
      </c>
    </row>
    <row r="4546" spans="1:4" x14ac:dyDescent="0.2">
      <c r="A4546" s="12" t="s">
        <v>6459</v>
      </c>
      <c r="B4546" s="12" t="s">
        <v>6458</v>
      </c>
      <c r="C4546" s="12" t="s">
        <v>59</v>
      </c>
      <c r="D4546" s="12" t="s">
        <v>59</v>
      </c>
    </row>
    <row r="4547" spans="1:4" x14ac:dyDescent="0.2">
      <c r="A4547" s="12" t="s">
        <v>6460</v>
      </c>
      <c r="B4547" s="12" t="s">
        <v>6458</v>
      </c>
      <c r="C4547" s="12">
        <v>600</v>
      </c>
      <c r="D4547" s="12">
        <v>60</v>
      </c>
    </row>
    <row r="4548" spans="1:4" x14ac:dyDescent="0.2">
      <c r="A4548" s="12" t="s">
        <v>9315</v>
      </c>
      <c r="B4548" s="12" t="s">
        <v>9314</v>
      </c>
      <c r="C4548" s="12" t="s">
        <v>59</v>
      </c>
      <c r="D4548" s="12" t="s">
        <v>59</v>
      </c>
    </row>
    <row r="4549" spans="1:4" x14ac:dyDescent="0.2">
      <c r="A4549" s="12" t="s">
        <v>6181</v>
      </c>
      <c r="B4549" s="12" t="s">
        <v>6180</v>
      </c>
      <c r="C4549" s="12" t="s">
        <v>59</v>
      </c>
      <c r="D4549" s="12" t="s">
        <v>59</v>
      </c>
    </row>
    <row r="4550" spans="1:4" x14ac:dyDescent="0.2">
      <c r="A4550" s="12" t="s">
        <v>9242</v>
      </c>
      <c r="B4550" s="12" t="s">
        <v>9241</v>
      </c>
      <c r="C4550" s="12" t="s">
        <v>59</v>
      </c>
      <c r="D4550" s="12" t="s">
        <v>59</v>
      </c>
    </row>
    <row r="4551" spans="1:4" x14ac:dyDescent="0.2">
      <c r="A4551" s="12" t="s">
        <v>1897</v>
      </c>
      <c r="B4551" s="12" t="s">
        <v>1896</v>
      </c>
      <c r="C4551" s="12">
        <v>40</v>
      </c>
      <c r="D4551" s="12">
        <v>4</v>
      </c>
    </row>
    <row r="4552" spans="1:4" x14ac:dyDescent="0.2">
      <c r="A4552" s="12" t="s">
        <v>4464</v>
      </c>
      <c r="B4552" s="12" t="s">
        <v>4463</v>
      </c>
      <c r="C4552" s="12">
        <v>30</v>
      </c>
      <c r="D4552" s="12">
        <v>3</v>
      </c>
    </row>
    <row r="4553" spans="1:4" x14ac:dyDescent="0.2">
      <c r="A4553" s="12" t="s">
        <v>7615</v>
      </c>
      <c r="B4553" s="12" t="s">
        <v>7614</v>
      </c>
      <c r="C4553" s="12">
        <v>850</v>
      </c>
      <c r="D4553" s="12">
        <v>85</v>
      </c>
    </row>
    <row r="4554" spans="1:4" x14ac:dyDescent="0.2">
      <c r="A4554" s="12" t="s">
        <v>3767</v>
      </c>
      <c r="B4554" s="12" t="s">
        <v>3766</v>
      </c>
      <c r="C4554" s="12" t="s">
        <v>59</v>
      </c>
      <c r="D4554" s="12" t="s">
        <v>59</v>
      </c>
    </row>
    <row r="4555" spans="1:4" x14ac:dyDescent="0.2">
      <c r="A4555" s="12" t="s">
        <v>9299</v>
      </c>
      <c r="B4555" s="12" t="s">
        <v>9298</v>
      </c>
      <c r="C4555" s="12" t="s">
        <v>59</v>
      </c>
      <c r="D4555" s="12" t="s">
        <v>59</v>
      </c>
    </row>
    <row r="4556" spans="1:4" x14ac:dyDescent="0.2">
      <c r="A4556" s="12" t="s">
        <v>11269</v>
      </c>
      <c r="B4556" s="12" t="s">
        <v>11268</v>
      </c>
      <c r="C4556" s="12" t="s">
        <v>59</v>
      </c>
      <c r="D4556" s="12" t="s">
        <v>59</v>
      </c>
    </row>
    <row r="4557" spans="1:4" x14ac:dyDescent="0.2">
      <c r="A4557" s="12" t="s">
        <v>8817</v>
      </c>
      <c r="B4557" s="12" t="s">
        <v>8816</v>
      </c>
      <c r="C4557" s="12">
        <v>100</v>
      </c>
      <c r="D4557" s="12">
        <v>10</v>
      </c>
    </row>
    <row r="4558" spans="1:4" x14ac:dyDescent="0.2">
      <c r="A4558" s="12" t="s">
        <v>7444</v>
      </c>
      <c r="B4558" s="12" t="s">
        <v>7443</v>
      </c>
      <c r="C4558" s="12">
        <v>7</v>
      </c>
      <c r="D4558" s="12">
        <v>0.7</v>
      </c>
    </row>
    <row r="4559" spans="1:4" x14ac:dyDescent="0.2">
      <c r="A4559" s="12" t="s">
        <v>11736</v>
      </c>
      <c r="B4559" s="12" t="s">
        <v>11735</v>
      </c>
      <c r="C4559" s="12">
        <v>440</v>
      </c>
      <c r="D4559" s="12">
        <v>44</v>
      </c>
    </row>
    <row r="4560" spans="1:4" x14ac:dyDescent="0.2">
      <c r="A4560" s="12" t="s">
        <v>10225</v>
      </c>
      <c r="B4560" s="12" t="s">
        <v>10224</v>
      </c>
      <c r="C4560" s="12" t="s">
        <v>59</v>
      </c>
      <c r="D4560" s="12" t="s">
        <v>59</v>
      </c>
    </row>
    <row r="4561" spans="1:4" x14ac:dyDescent="0.2">
      <c r="A4561" s="12" t="s">
        <v>6915</v>
      </c>
      <c r="B4561" s="12" t="s">
        <v>6914</v>
      </c>
      <c r="C4561" s="12" t="s">
        <v>59</v>
      </c>
      <c r="D4561" s="12" t="s">
        <v>59</v>
      </c>
    </row>
    <row r="4562" spans="1:4" x14ac:dyDescent="0.2">
      <c r="A4562" s="12" t="s">
        <v>4771</v>
      </c>
      <c r="B4562" s="12" t="s">
        <v>4770</v>
      </c>
      <c r="C4562" s="12">
        <v>600</v>
      </c>
      <c r="D4562" s="12">
        <v>60</v>
      </c>
    </row>
    <row r="4563" spans="1:4" x14ac:dyDescent="0.2">
      <c r="A4563" s="12" t="s">
        <v>10672</v>
      </c>
      <c r="B4563" s="12" t="s">
        <v>10671</v>
      </c>
      <c r="C4563" s="12" t="s">
        <v>59</v>
      </c>
      <c r="D4563" s="12" t="s">
        <v>59</v>
      </c>
    </row>
    <row r="4564" spans="1:4" x14ac:dyDescent="0.2">
      <c r="A4564" s="12" t="s">
        <v>5363</v>
      </c>
      <c r="B4564" s="12" t="s">
        <v>5362</v>
      </c>
      <c r="C4564" s="12" t="s">
        <v>59</v>
      </c>
      <c r="D4564" s="12" t="s">
        <v>59</v>
      </c>
    </row>
    <row r="4565" spans="1:4" x14ac:dyDescent="0.2">
      <c r="A4565" s="12" t="s">
        <v>5364</v>
      </c>
      <c r="B4565" s="12" t="s">
        <v>5362</v>
      </c>
      <c r="C4565" s="12">
        <v>600</v>
      </c>
      <c r="D4565" s="12">
        <v>60</v>
      </c>
    </row>
    <row r="4566" spans="1:4" x14ac:dyDescent="0.2">
      <c r="A4566" s="12" t="s">
        <v>10702</v>
      </c>
      <c r="B4566" s="12" t="s">
        <v>10701</v>
      </c>
      <c r="C4566" s="12" t="s">
        <v>59</v>
      </c>
      <c r="D4566" s="12" t="s">
        <v>59</v>
      </c>
    </row>
    <row r="4567" spans="1:4" x14ac:dyDescent="0.2">
      <c r="A4567" s="12" t="s">
        <v>10765</v>
      </c>
      <c r="B4567" s="12" t="s">
        <v>10764</v>
      </c>
      <c r="C4567" s="12" t="s">
        <v>59</v>
      </c>
      <c r="D4567" s="12" t="s">
        <v>59</v>
      </c>
    </row>
    <row r="4568" spans="1:4" x14ac:dyDescent="0.2">
      <c r="A4568" s="12" t="s">
        <v>6388</v>
      </c>
      <c r="B4568" s="12" t="s">
        <v>6387</v>
      </c>
      <c r="C4568" s="12">
        <v>140</v>
      </c>
      <c r="D4568" s="12">
        <v>14</v>
      </c>
    </row>
    <row r="4569" spans="1:4" x14ac:dyDescent="0.2">
      <c r="A4569" s="12" t="s">
        <v>9051</v>
      </c>
      <c r="B4569" s="12" t="s">
        <v>9050</v>
      </c>
      <c r="C4569" s="12">
        <v>3500</v>
      </c>
      <c r="D4569" s="12">
        <v>350</v>
      </c>
    </row>
    <row r="4570" spans="1:4" x14ac:dyDescent="0.2">
      <c r="A4570" s="12" t="s">
        <v>6059</v>
      </c>
      <c r="B4570" s="12" t="s">
        <v>6058</v>
      </c>
      <c r="C4570" s="12">
        <v>700</v>
      </c>
      <c r="D4570" s="12">
        <v>70</v>
      </c>
    </row>
    <row r="4571" spans="1:4" x14ac:dyDescent="0.2">
      <c r="A4571" s="12" t="s">
        <v>6060</v>
      </c>
      <c r="B4571" s="12" t="s">
        <v>6058</v>
      </c>
      <c r="C4571" s="12" t="s">
        <v>59</v>
      </c>
      <c r="D4571" s="12" t="s">
        <v>59</v>
      </c>
    </row>
    <row r="4572" spans="1:4" x14ac:dyDescent="0.2">
      <c r="A4572" s="12" t="s">
        <v>6541</v>
      </c>
      <c r="B4572" s="12" t="s">
        <v>6540</v>
      </c>
      <c r="C4572" s="12">
        <v>20</v>
      </c>
      <c r="D4572" s="12">
        <v>2</v>
      </c>
    </row>
    <row r="4573" spans="1:4" x14ac:dyDescent="0.2">
      <c r="A4573" s="12" t="s">
        <v>6241</v>
      </c>
      <c r="B4573" s="12" t="s">
        <v>6240</v>
      </c>
      <c r="C4573" s="12">
        <v>1000</v>
      </c>
      <c r="D4573" s="12">
        <v>100</v>
      </c>
    </row>
    <row r="4574" spans="1:4" x14ac:dyDescent="0.2">
      <c r="A4574" s="12" t="s">
        <v>10169</v>
      </c>
      <c r="B4574" s="12" t="s">
        <v>10168</v>
      </c>
      <c r="C4574" s="12" t="s">
        <v>59</v>
      </c>
      <c r="D4574" s="12" t="s">
        <v>59</v>
      </c>
    </row>
    <row r="4575" spans="1:4" x14ac:dyDescent="0.2">
      <c r="A4575" s="12" t="s">
        <v>3741</v>
      </c>
      <c r="B4575" s="12" t="s">
        <v>3740</v>
      </c>
      <c r="C4575" s="12" t="s">
        <v>59</v>
      </c>
      <c r="D4575" s="12" t="s">
        <v>59</v>
      </c>
    </row>
    <row r="4576" spans="1:4" x14ac:dyDescent="0.2">
      <c r="A4576" s="12" t="s">
        <v>3596</v>
      </c>
      <c r="B4576" s="12" t="s">
        <v>3595</v>
      </c>
      <c r="C4576" s="12">
        <v>600</v>
      </c>
      <c r="D4576" s="12">
        <v>60</v>
      </c>
    </row>
    <row r="4577" spans="1:4" x14ac:dyDescent="0.2">
      <c r="A4577" s="12" t="s">
        <v>3611</v>
      </c>
      <c r="B4577" s="12" t="s">
        <v>3610</v>
      </c>
      <c r="C4577" s="12">
        <v>600</v>
      </c>
      <c r="D4577" s="12">
        <v>60</v>
      </c>
    </row>
    <row r="4578" spans="1:4" x14ac:dyDescent="0.2">
      <c r="A4578" s="12" t="s">
        <v>3586</v>
      </c>
      <c r="B4578" s="12" t="s">
        <v>3585</v>
      </c>
      <c r="C4578" s="12">
        <v>600</v>
      </c>
      <c r="D4578" s="12">
        <v>60</v>
      </c>
    </row>
    <row r="4579" spans="1:4" x14ac:dyDescent="0.2">
      <c r="A4579" s="12" t="s">
        <v>3562</v>
      </c>
      <c r="B4579" s="12" t="s">
        <v>3561</v>
      </c>
      <c r="C4579" s="12">
        <v>600</v>
      </c>
      <c r="D4579" s="12">
        <v>60</v>
      </c>
    </row>
    <row r="4580" spans="1:4" x14ac:dyDescent="0.2">
      <c r="A4580" s="12" t="s">
        <v>3564</v>
      </c>
      <c r="B4580" s="12" t="s">
        <v>3563</v>
      </c>
      <c r="C4580" s="12">
        <v>600</v>
      </c>
      <c r="D4580" s="12">
        <v>60</v>
      </c>
    </row>
    <row r="4581" spans="1:4" x14ac:dyDescent="0.2">
      <c r="A4581" s="12" t="s">
        <v>11014</v>
      </c>
      <c r="B4581" s="12" t="s">
        <v>11013</v>
      </c>
      <c r="C4581" s="12" t="s">
        <v>59</v>
      </c>
      <c r="D4581" s="12" t="s">
        <v>59</v>
      </c>
    </row>
    <row r="4582" spans="1:4" x14ac:dyDescent="0.2">
      <c r="A4582" s="12" t="s">
        <v>11015</v>
      </c>
      <c r="B4582" s="12" t="s">
        <v>11013</v>
      </c>
      <c r="C4582" s="12">
        <v>600</v>
      </c>
      <c r="D4582" s="12">
        <v>60</v>
      </c>
    </row>
    <row r="4583" spans="1:4" x14ac:dyDescent="0.2">
      <c r="A4583" s="12" t="s">
        <v>3922</v>
      </c>
      <c r="B4583" s="12" t="s">
        <v>3921</v>
      </c>
      <c r="C4583" s="12">
        <v>100</v>
      </c>
      <c r="D4583" s="12">
        <v>10</v>
      </c>
    </row>
    <row r="4584" spans="1:4" x14ac:dyDescent="0.2">
      <c r="A4584" s="12" t="s">
        <v>4986</v>
      </c>
      <c r="B4584" s="12" t="s">
        <v>4985</v>
      </c>
      <c r="C4584" s="12">
        <v>1000</v>
      </c>
      <c r="D4584" s="12">
        <v>100</v>
      </c>
    </row>
    <row r="4585" spans="1:4" x14ac:dyDescent="0.2">
      <c r="A4585" s="12" t="s">
        <v>6966</v>
      </c>
      <c r="B4585" s="12" t="s">
        <v>6965</v>
      </c>
      <c r="C4585" s="12" t="s">
        <v>59</v>
      </c>
      <c r="D4585" s="12" t="s">
        <v>59</v>
      </c>
    </row>
    <row r="4586" spans="1:4" x14ac:dyDescent="0.2">
      <c r="A4586" s="12" t="s">
        <v>6967</v>
      </c>
      <c r="B4586" s="12" t="s">
        <v>6965</v>
      </c>
      <c r="C4586" s="12">
        <v>1000</v>
      </c>
      <c r="D4586" s="12">
        <v>100</v>
      </c>
    </row>
    <row r="4587" spans="1:4" x14ac:dyDescent="0.2">
      <c r="A4587" s="12" t="s">
        <v>2199</v>
      </c>
      <c r="B4587" s="12" t="s">
        <v>2198</v>
      </c>
      <c r="C4587" s="12">
        <v>100</v>
      </c>
      <c r="D4587" s="12">
        <v>10</v>
      </c>
    </row>
    <row r="4588" spans="1:4" x14ac:dyDescent="0.2">
      <c r="A4588" s="12" t="s">
        <v>7096</v>
      </c>
      <c r="B4588" s="12" t="s">
        <v>7095</v>
      </c>
      <c r="C4588" s="12" t="s">
        <v>59</v>
      </c>
      <c r="D4588" s="12" t="s">
        <v>59</v>
      </c>
    </row>
    <row r="4589" spans="1:4" x14ac:dyDescent="0.2">
      <c r="A4589" s="12" t="s">
        <v>7097</v>
      </c>
      <c r="B4589" s="12" t="s">
        <v>7095</v>
      </c>
      <c r="C4589" s="12">
        <v>1000</v>
      </c>
      <c r="D4589" s="12">
        <v>100</v>
      </c>
    </row>
    <row r="4590" spans="1:4" x14ac:dyDescent="0.2">
      <c r="A4590" s="12" t="s">
        <v>6815</v>
      </c>
      <c r="B4590" s="12" t="s">
        <v>6814</v>
      </c>
      <c r="C4590" s="12">
        <v>1000</v>
      </c>
      <c r="D4590" s="12">
        <v>100</v>
      </c>
    </row>
    <row r="4591" spans="1:4" x14ac:dyDescent="0.2">
      <c r="A4591" s="12" t="s">
        <v>10929</v>
      </c>
      <c r="B4591" s="12" t="s">
        <v>10928</v>
      </c>
      <c r="C4591" s="12" t="s">
        <v>59</v>
      </c>
      <c r="D4591" s="12" t="s">
        <v>59</v>
      </c>
    </row>
    <row r="4592" spans="1:4" x14ac:dyDescent="0.2">
      <c r="A4592" s="12" t="s">
        <v>10930</v>
      </c>
      <c r="B4592" s="12" t="s">
        <v>10928</v>
      </c>
      <c r="C4592" s="12">
        <v>1000</v>
      </c>
      <c r="D4592" s="12">
        <v>100</v>
      </c>
    </row>
    <row r="4593" spans="1:4" x14ac:dyDescent="0.2">
      <c r="A4593" s="12" t="s">
        <v>8494</v>
      </c>
      <c r="B4593" s="12" t="s">
        <v>8493</v>
      </c>
      <c r="C4593" s="12" t="s">
        <v>59</v>
      </c>
      <c r="D4593" s="12" t="s">
        <v>59</v>
      </c>
    </row>
    <row r="4594" spans="1:4" x14ac:dyDescent="0.2">
      <c r="A4594" s="12" t="s">
        <v>8495</v>
      </c>
      <c r="B4594" s="12" t="s">
        <v>8493</v>
      </c>
      <c r="C4594" s="12">
        <v>1000</v>
      </c>
      <c r="D4594" s="12">
        <v>100</v>
      </c>
    </row>
    <row r="4595" spans="1:4" x14ac:dyDescent="0.2">
      <c r="A4595" s="12" t="s">
        <v>10305</v>
      </c>
      <c r="B4595" s="12" t="s">
        <v>10304</v>
      </c>
      <c r="C4595" s="12" t="s">
        <v>59</v>
      </c>
      <c r="D4595" s="12" t="s">
        <v>59</v>
      </c>
    </row>
    <row r="4596" spans="1:4" x14ac:dyDescent="0.2">
      <c r="A4596" s="12" t="s">
        <v>10306</v>
      </c>
      <c r="B4596" s="12" t="s">
        <v>10304</v>
      </c>
      <c r="C4596" s="12">
        <v>1000</v>
      </c>
      <c r="D4596" s="12">
        <v>100</v>
      </c>
    </row>
    <row r="4597" spans="1:4" x14ac:dyDescent="0.2">
      <c r="A4597" s="12" t="s">
        <v>5504</v>
      </c>
      <c r="B4597" s="12" t="s">
        <v>5503</v>
      </c>
      <c r="C4597" s="12" t="s">
        <v>59</v>
      </c>
      <c r="D4597" s="12" t="s">
        <v>59</v>
      </c>
    </row>
    <row r="4598" spans="1:4" x14ac:dyDescent="0.2">
      <c r="A4598" s="12" t="s">
        <v>6547</v>
      </c>
      <c r="B4598" s="12" t="s">
        <v>6546</v>
      </c>
      <c r="C4598" s="12" t="s">
        <v>59</v>
      </c>
      <c r="D4598" s="12" t="s">
        <v>59</v>
      </c>
    </row>
    <row r="4599" spans="1:4" x14ac:dyDescent="0.2">
      <c r="A4599" s="12" t="s">
        <v>11328</v>
      </c>
      <c r="B4599" s="12" t="s">
        <v>11327</v>
      </c>
      <c r="C4599" s="12">
        <v>100</v>
      </c>
      <c r="D4599" s="12">
        <v>10</v>
      </c>
    </row>
    <row r="4600" spans="1:4" x14ac:dyDescent="0.2">
      <c r="A4600" s="12" t="s">
        <v>4253</v>
      </c>
      <c r="B4600" s="12" t="s">
        <v>4252</v>
      </c>
      <c r="C4600" s="12">
        <v>2450</v>
      </c>
      <c r="D4600" s="12">
        <v>245</v>
      </c>
    </row>
    <row r="4601" spans="1:4" x14ac:dyDescent="0.2">
      <c r="A4601" s="12" t="s">
        <v>4890</v>
      </c>
      <c r="B4601" s="12" t="s">
        <v>4889</v>
      </c>
      <c r="C4601" s="12" t="s">
        <v>59</v>
      </c>
      <c r="D4601" s="12" t="s">
        <v>59</v>
      </c>
    </row>
    <row r="4602" spans="1:4" x14ac:dyDescent="0.2">
      <c r="A4602" s="12" t="s">
        <v>7207</v>
      </c>
      <c r="B4602" s="12" t="s">
        <v>7206</v>
      </c>
      <c r="C4602" s="12" t="s">
        <v>59</v>
      </c>
      <c r="D4602" s="12" t="s">
        <v>59</v>
      </c>
    </row>
    <row r="4603" spans="1:4" x14ac:dyDescent="0.2">
      <c r="A4603" s="12" t="s">
        <v>7208</v>
      </c>
      <c r="B4603" s="12" t="s">
        <v>7206</v>
      </c>
      <c r="C4603" s="12">
        <v>2300</v>
      </c>
      <c r="D4603" s="12">
        <v>230</v>
      </c>
    </row>
    <row r="4604" spans="1:4" x14ac:dyDescent="0.2">
      <c r="A4604" s="12" t="s">
        <v>3005</v>
      </c>
      <c r="B4604" s="12" t="s">
        <v>3004</v>
      </c>
      <c r="C4604" s="12">
        <v>50</v>
      </c>
      <c r="D4604" s="12">
        <v>5</v>
      </c>
    </row>
    <row r="4605" spans="1:4" x14ac:dyDescent="0.2">
      <c r="A4605" s="12" t="s">
        <v>3006</v>
      </c>
      <c r="B4605" s="12" t="s">
        <v>3004</v>
      </c>
      <c r="C4605" s="12">
        <v>100</v>
      </c>
      <c r="D4605" s="12">
        <v>10</v>
      </c>
    </row>
    <row r="4606" spans="1:4" x14ac:dyDescent="0.2">
      <c r="A4606" s="12" t="s">
        <v>8248</v>
      </c>
      <c r="B4606" s="12" t="s">
        <v>8247</v>
      </c>
      <c r="C4606" s="12">
        <v>1</v>
      </c>
      <c r="D4606" s="12">
        <v>0.1</v>
      </c>
    </row>
    <row r="4607" spans="1:4" x14ac:dyDescent="0.2">
      <c r="A4607" s="12" t="s">
        <v>2665</v>
      </c>
      <c r="B4607" s="12" t="s">
        <v>2664</v>
      </c>
      <c r="C4607" s="12" t="s">
        <v>59</v>
      </c>
      <c r="D4607" s="12" t="s">
        <v>59</v>
      </c>
    </row>
    <row r="4608" spans="1:4" x14ac:dyDescent="0.2">
      <c r="A4608" s="12" t="s">
        <v>12395</v>
      </c>
      <c r="B4608" s="12" t="s">
        <v>12394</v>
      </c>
      <c r="C4608" s="12" t="s">
        <v>59</v>
      </c>
      <c r="D4608" s="12" t="s">
        <v>59</v>
      </c>
    </row>
    <row r="4609" spans="1:4" x14ac:dyDescent="0.2">
      <c r="A4609" s="12" t="s">
        <v>12396</v>
      </c>
      <c r="B4609" s="12" t="s">
        <v>12394</v>
      </c>
      <c r="C4609" s="12">
        <v>1500</v>
      </c>
      <c r="D4609" s="12">
        <v>150</v>
      </c>
    </row>
    <row r="4610" spans="1:4" x14ac:dyDescent="0.2">
      <c r="A4610" s="12" t="s">
        <v>4983</v>
      </c>
      <c r="B4610" s="12" t="s">
        <v>4982</v>
      </c>
      <c r="C4610" s="12" t="s">
        <v>59</v>
      </c>
      <c r="D4610" s="12" t="s">
        <v>59</v>
      </c>
    </row>
    <row r="4611" spans="1:4" x14ac:dyDescent="0.2">
      <c r="A4611" s="12" t="s">
        <v>4984</v>
      </c>
      <c r="B4611" s="12" t="s">
        <v>4982</v>
      </c>
      <c r="C4611" s="12">
        <v>1000</v>
      </c>
      <c r="D4611" s="12">
        <v>100</v>
      </c>
    </row>
    <row r="4612" spans="1:4" x14ac:dyDescent="0.2">
      <c r="A4612" s="12" t="s">
        <v>3655</v>
      </c>
      <c r="B4612" s="12" t="s">
        <v>3654</v>
      </c>
      <c r="C4612" s="12" t="s">
        <v>59</v>
      </c>
      <c r="D4612" s="12" t="s">
        <v>59</v>
      </c>
    </row>
    <row r="4613" spans="1:4" x14ac:dyDescent="0.2">
      <c r="A4613" s="12" t="s">
        <v>1390</v>
      </c>
      <c r="B4613" s="12" t="s">
        <v>1389</v>
      </c>
      <c r="C4613" s="12">
        <v>440</v>
      </c>
      <c r="D4613" s="12">
        <v>44</v>
      </c>
    </row>
    <row r="4614" spans="1:4" x14ac:dyDescent="0.2">
      <c r="A4614" s="12" t="s">
        <v>10322</v>
      </c>
      <c r="B4614" s="12" t="s">
        <v>10321</v>
      </c>
      <c r="C4614" s="12" t="s">
        <v>59</v>
      </c>
      <c r="D4614" s="12" t="s">
        <v>59</v>
      </c>
    </row>
    <row r="4615" spans="1:4" x14ac:dyDescent="0.2">
      <c r="A4615" s="12" t="s">
        <v>4780</v>
      </c>
      <c r="B4615" s="12" t="s">
        <v>4779</v>
      </c>
      <c r="C4615" s="12">
        <v>66000</v>
      </c>
      <c r="D4615" s="12">
        <v>7100</v>
      </c>
    </row>
    <row r="4616" spans="1:4" x14ac:dyDescent="0.2">
      <c r="A4616" s="12" t="s">
        <v>6901</v>
      </c>
      <c r="B4616" s="12" t="s">
        <v>6900</v>
      </c>
      <c r="C4616" s="12" t="s">
        <v>59</v>
      </c>
      <c r="D4616" s="12" t="s">
        <v>59</v>
      </c>
    </row>
    <row r="4617" spans="1:4" x14ac:dyDescent="0.2">
      <c r="A4617" s="12" t="s">
        <v>6902</v>
      </c>
      <c r="B4617" s="12" t="s">
        <v>6900</v>
      </c>
      <c r="C4617" s="12">
        <v>1000</v>
      </c>
      <c r="D4617" s="12">
        <v>100</v>
      </c>
    </row>
    <row r="4618" spans="1:4" x14ac:dyDescent="0.2">
      <c r="A4618" s="12" t="s">
        <v>10382</v>
      </c>
      <c r="B4618" s="12" t="s">
        <v>10381</v>
      </c>
      <c r="C4618" s="12">
        <v>50</v>
      </c>
      <c r="D4618" s="12">
        <v>5</v>
      </c>
    </row>
    <row r="4619" spans="1:4" x14ac:dyDescent="0.2">
      <c r="A4619" s="12" t="s">
        <v>7225</v>
      </c>
      <c r="B4619" s="12" t="s">
        <v>7224</v>
      </c>
      <c r="C4619" s="12">
        <v>1000</v>
      </c>
      <c r="D4619" s="12">
        <v>100</v>
      </c>
    </row>
    <row r="4620" spans="1:4" x14ac:dyDescent="0.2">
      <c r="A4620" s="12" t="s">
        <v>7227</v>
      </c>
      <c r="B4620" s="12" t="s">
        <v>7226</v>
      </c>
      <c r="C4620" s="12">
        <v>1000</v>
      </c>
      <c r="D4620" s="12">
        <v>100</v>
      </c>
    </row>
    <row r="4621" spans="1:4" x14ac:dyDescent="0.2">
      <c r="A4621" s="12" t="s">
        <v>7229</v>
      </c>
      <c r="B4621" s="12" t="s">
        <v>7228</v>
      </c>
      <c r="C4621" s="12">
        <v>1000</v>
      </c>
      <c r="D4621" s="12">
        <v>100</v>
      </c>
    </row>
    <row r="4622" spans="1:4" x14ac:dyDescent="0.2">
      <c r="A4622" s="12" t="s">
        <v>5874</v>
      </c>
      <c r="B4622" s="12" t="s">
        <v>5873</v>
      </c>
      <c r="C4622" s="12">
        <v>1000</v>
      </c>
      <c r="D4622" s="12">
        <v>100</v>
      </c>
    </row>
    <row r="4623" spans="1:4" x14ac:dyDescent="0.2">
      <c r="A4623" s="12" t="s">
        <v>10723</v>
      </c>
      <c r="B4623" s="12" t="s">
        <v>10722</v>
      </c>
      <c r="C4623" s="12">
        <v>3500</v>
      </c>
      <c r="D4623" s="12">
        <v>350</v>
      </c>
    </row>
    <row r="4624" spans="1:4" x14ac:dyDescent="0.2">
      <c r="A4624" s="12" t="s">
        <v>5465</v>
      </c>
      <c r="B4624" s="12" t="s">
        <v>5464</v>
      </c>
      <c r="C4624" s="12">
        <v>25</v>
      </c>
      <c r="D4624" s="12">
        <v>2.5</v>
      </c>
    </row>
    <row r="4625" spans="1:4" x14ac:dyDescent="0.2">
      <c r="A4625" s="12" t="s">
        <v>8685</v>
      </c>
      <c r="B4625" s="12" t="s">
        <v>8684</v>
      </c>
      <c r="C4625" s="12">
        <v>1000</v>
      </c>
      <c r="D4625" s="12">
        <v>100</v>
      </c>
    </row>
    <row r="4626" spans="1:4" x14ac:dyDescent="0.2">
      <c r="A4626" s="12" t="s">
        <v>5287</v>
      </c>
      <c r="B4626" s="12" t="s">
        <v>5286</v>
      </c>
      <c r="C4626" s="12" t="s">
        <v>59</v>
      </c>
      <c r="D4626" s="12" t="s">
        <v>59</v>
      </c>
    </row>
    <row r="4627" spans="1:4" x14ac:dyDescent="0.2">
      <c r="A4627" s="12" t="s">
        <v>6347</v>
      </c>
      <c r="B4627" s="12" t="s">
        <v>6346</v>
      </c>
      <c r="C4627" s="12">
        <v>1250</v>
      </c>
      <c r="D4627" s="12">
        <v>125</v>
      </c>
    </row>
    <row r="4628" spans="1:4" x14ac:dyDescent="0.2">
      <c r="A4628" s="12" t="s">
        <v>6365</v>
      </c>
      <c r="B4628" s="12" t="s">
        <v>6364</v>
      </c>
      <c r="C4628" s="12">
        <v>1250</v>
      </c>
      <c r="D4628" s="12">
        <v>125</v>
      </c>
    </row>
    <row r="4629" spans="1:4" x14ac:dyDescent="0.2">
      <c r="A4629" s="12" t="s">
        <v>6345</v>
      </c>
      <c r="B4629" s="12" t="s">
        <v>6344</v>
      </c>
      <c r="C4629" s="12">
        <v>260</v>
      </c>
      <c r="D4629" s="12">
        <v>26</v>
      </c>
    </row>
    <row r="4630" spans="1:4" x14ac:dyDescent="0.2">
      <c r="A4630" s="12" t="s">
        <v>6371</v>
      </c>
      <c r="B4630" s="12" t="s">
        <v>6370</v>
      </c>
      <c r="C4630" s="12">
        <v>2450</v>
      </c>
      <c r="D4630" s="12">
        <v>245</v>
      </c>
    </row>
    <row r="4631" spans="1:4" x14ac:dyDescent="0.2">
      <c r="A4631" s="12" t="s">
        <v>9024</v>
      </c>
      <c r="B4631" s="12" t="s">
        <v>9023</v>
      </c>
      <c r="C4631" s="12">
        <v>1800</v>
      </c>
      <c r="D4631" s="12">
        <v>180</v>
      </c>
    </row>
    <row r="4632" spans="1:4" x14ac:dyDescent="0.2">
      <c r="A4632" s="12" t="s">
        <v>9815</v>
      </c>
      <c r="B4632" s="12" t="s">
        <v>9814</v>
      </c>
      <c r="C4632" s="12">
        <v>3500</v>
      </c>
      <c r="D4632" s="12">
        <v>350</v>
      </c>
    </row>
    <row r="4633" spans="1:4" x14ac:dyDescent="0.2">
      <c r="A4633" s="12" t="s">
        <v>7636</v>
      </c>
      <c r="B4633" s="12" t="s">
        <v>7635</v>
      </c>
      <c r="C4633" s="12">
        <v>18000</v>
      </c>
      <c r="D4633" s="12">
        <v>1800</v>
      </c>
    </row>
    <row r="4634" spans="1:4" x14ac:dyDescent="0.2">
      <c r="A4634" s="12" t="s">
        <v>5348</v>
      </c>
      <c r="B4634" s="12" t="s">
        <v>5347</v>
      </c>
      <c r="C4634" s="12">
        <v>0.21</v>
      </c>
      <c r="D4634" s="12">
        <v>1.6999999999999999E-3</v>
      </c>
    </row>
    <row r="4635" spans="1:4" x14ac:dyDescent="0.2">
      <c r="A4635" s="12" t="s">
        <v>180</v>
      </c>
      <c r="B4635" s="12" t="s">
        <v>179</v>
      </c>
      <c r="C4635" s="12">
        <v>50</v>
      </c>
      <c r="D4635" s="12">
        <v>5</v>
      </c>
    </row>
    <row r="4636" spans="1:4" x14ac:dyDescent="0.2">
      <c r="A4636" s="12" t="s">
        <v>1490</v>
      </c>
      <c r="B4636" s="12" t="s">
        <v>1489</v>
      </c>
      <c r="C4636" s="12" t="s">
        <v>59</v>
      </c>
      <c r="D4636" s="12" t="s">
        <v>59</v>
      </c>
    </row>
    <row r="4637" spans="1:4" x14ac:dyDescent="0.2">
      <c r="A4637" s="12" t="s">
        <v>10086</v>
      </c>
      <c r="B4637" s="12" t="s">
        <v>10085</v>
      </c>
      <c r="C4637" s="12">
        <v>0.02</v>
      </c>
      <c r="D4637" s="12">
        <v>2E-3</v>
      </c>
    </row>
    <row r="4638" spans="1:4" x14ac:dyDescent="0.2">
      <c r="A4638" s="12" t="s">
        <v>3372</v>
      </c>
      <c r="B4638" s="12" t="s">
        <v>3371</v>
      </c>
      <c r="C4638" s="12" t="s">
        <v>59</v>
      </c>
      <c r="D4638" s="12" t="s">
        <v>59</v>
      </c>
    </row>
    <row r="4639" spans="1:4" x14ac:dyDescent="0.2">
      <c r="A4639" s="12" t="s">
        <v>3373</v>
      </c>
      <c r="B4639" s="12" t="s">
        <v>3371</v>
      </c>
      <c r="C4639" s="12">
        <v>600</v>
      </c>
      <c r="D4639" s="12">
        <v>60</v>
      </c>
    </row>
    <row r="4640" spans="1:4" x14ac:dyDescent="0.2">
      <c r="A4640" s="12" t="s">
        <v>3363</v>
      </c>
      <c r="B4640" s="12" t="s">
        <v>3362</v>
      </c>
      <c r="C4640" s="12" t="s">
        <v>59</v>
      </c>
      <c r="D4640" s="12" t="s">
        <v>59</v>
      </c>
    </row>
    <row r="4641" spans="1:4" x14ac:dyDescent="0.2">
      <c r="A4641" s="12" t="s">
        <v>3364</v>
      </c>
      <c r="B4641" s="12" t="s">
        <v>3362</v>
      </c>
      <c r="C4641" s="12">
        <v>1000</v>
      </c>
      <c r="D4641" s="12">
        <v>100</v>
      </c>
    </row>
    <row r="4642" spans="1:4" x14ac:dyDescent="0.2">
      <c r="A4642" s="12" t="s">
        <v>8785</v>
      </c>
      <c r="B4642" s="12" t="s">
        <v>8784</v>
      </c>
      <c r="C4642" s="12" t="s">
        <v>59</v>
      </c>
      <c r="D4642" s="12" t="s">
        <v>59</v>
      </c>
    </row>
    <row r="4643" spans="1:4" ht="28.5" x14ac:dyDescent="0.2">
      <c r="A4643" s="12" t="s">
        <v>3782</v>
      </c>
      <c r="B4643" s="12" t="s">
        <v>3781</v>
      </c>
      <c r="C4643" s="12">
        <v>8.1</v>
      </c>
      <c r="D4643" s="12">
        <v>0.55000000000000004</v>
      </c>
    </row>
    <row r="4644" spans="1:4" x14ac:dyDescent="0.2">
      <c r="A4644" s="12" t="s">
        <v>5964</v>
      </c>
      <c r="B4644" s="12" t="s">
        <v>5963</v>
      </c>
      <c r="C4644" s="12">
        <v>90</v>
      </c>
      <c r="D4644" s="12">
        <v>9</v>
      </c>
    </row>
    <row r="4645" spans="1:4" x14ac:dyDescent="0.2">
      <c r="A4645" s="12" t="s">
        <v>1539</v>
      </c>
      <c r="B4645" s="12" t="s">
        <v>1538</v>
      </c>
      <c r="C4645" s="12" t="s">
        <v>59</v>
      </c>
      <c r="D4645" s="12" t="s">
        <v>59</v>
      </c>
    </row>
    <row r="4646" spans="1:4" x14ac:dyDescent="0.2">
      <c r="A4646" s="12" t="s">
        <v>1540</v>
      </c>
      <c r="B4646" s="12" t="s">
        <v>1538</v>
      </c>
      <c r="C4646" s="12">
        <v>1000</v>
      </c>
      <c r="D4646" s="12">
        <v>100</v>
      </c>
    </row>
    <row r="4647" spans="1:4" x14ac:dyDescent="0.2">
      <c r="A4647" s="12" t="s">
        <v>10165</v>
      </c>
      <c r="B4647" s="12" t="s">
        <v>10164</v>
      </c>
      <c r="C4647" s="12" t="s">
        <v>59</v>
      </c>
      <c r="D4647" s="12" t="s">
        <v>59</v>
      </c>
    </row>
    <row r="4648" spans="1:4" x14ac:dyDescent="0.2">
      <c r="A4648" s="12" t="s">
        <v>11419</v>
      </c>
      <c r="B4648" s="12" t="s">
        <v>11418</v>
      </c>
      <c r="C4648" s="12">
        <v>1400</v>
      </c>
      <c r="D4648" s="12">
        <v>140</v>
      </c>
    </row>
    <row r="4649" spans="1:4" x14ac:dyDescent="0.2">
      <c r="A4649" s="12" t="s">
        <v>4166</v>
      </c>
      <c r="B4649" s="12" t="s">
        <v>4165</v>
      </c>
      <c r="C4649" s="12">
        <v>0.33</v>
      </c>
      <c r="D4649" s="12">
        <v>5.8999999999999997E-2</v>
      </c>
    </row>
    <row r="4650" spans="1:4" x14ac:dyDescent="0.2">
      <c r="A4650" s="12" t="s">
        <v>482</v>
      </c>
      <c r="B4650" s="12" t="s">
        <v>481</v>
      </c>
      <c r="C4650" s="12">
        <v>1250</v>
      </c>
      <c r="D4650" s="12">
        <v>125</v>
      </c>
    </row>
    <row r="4651" spans="1:4" x14ac:dyDescent="0.2">
      <c r="A4651" s="12" t="s">
        <v>8620</v>
      </c>
      <c r="B4651" s="12" t="s">
        <v>8619</v>
      </c>
      <c r="C4651" s="12">
        <v>100</v>
      </c>
      <c r="D4651" s="12">
        <v>10</v>
      </c>
    </row>
    <row r="4652" spans="1:4" x14ac:dyDescent="0.2">
      <c r="A4652" s="12" t="s">
        <v>8130</v>
      </c>
      <c r="B4652" s="12" t="s">
        <v>8129</v>
      </c>
      <c r="C4652" s="12" t="s">
        <v>59</v>
      </c>
      <c r="D4652" s="12" t="s">
        <v>59</v>
      </c>
    </row>
    <row r="4653" spans="1:4" x14ac:dyDescent="0.2">
      <c r="A4653" s="12" t="s">
        <v>8131</v>
      </c>
      <c r="B4653" s="12" t="s">
        <v>8129</v>
      </c>
      <c r="C4653" s="12">
        <v>1000</v>
      </c>
      <c r="D4653" s="12">
        <v>100</v>
      </c>
    </row>
    <row r="4654" spans="1:4" x14ac:dyDescent="0.2">
      <c r="A4654" s="12" t="s">
        <v>11287</v>
      </c>
      <c r="B4654" s="12" t="s">
        <v>11286</v>
      </c>
      <c r="C4654" s="12">
        <v>1000</v>
      </c>
      <c r="D4654" s="12">
        <v>100</v>
      </c>
    </row>
    <row r="4655" spans="1:4" x14ac:dyDescent="0.2">
      <c r="A4655" s="12" t="s">
        <v>10426</v>
      </c>
      <c r="B4655" s="12" t="s">
        <v>10425</v>
      </c>
      <c r="C4655" s="12" t="s">
        <v>59</v>
      </c>
      <c r="D4655" s="12" t="s">
        <v>59</v>
      </c>
    </row>
    <row r="4656" spans="1:4" x14ac:dyDescent="0.2">
      <c r="A4656" s="12" t="s">
        <v>9819</v>
      </c>
      <c r="B4656" s="12" t="s">
        <v>9818</v>
      </c>
      <c r="C4656" s="12">
        <v>1250</v>
      </c>
      <c r="D4656" s="12">
        <v>125</v>
      </c>
    </row>
    <row r="4657" spans="1:4" x14ac:dyDescent="0.2">
      <c r="A4657" s="12" t="s">
        <v>7219</v>
      </c>
      <c r="B4657" s="12" t="s">
        <v>7218</v>
      </c>
      <c r="C4657" s="12">
        <v>2450</v>
      </c>
      <c r="D4657" s="12">
        <v>245</v>
      </c>
    </row>
    <row r="4658" spans="1:4" x14ac:dyDescent="0.2">
      <c r="A4658" s="12" t="s">
        <v>9969</v>
      </c>
      <c r="B4658" s="12" t="s">
        <v>9968</v>
      </c>
      <c r="C4658" s="12">
        <v>50</v>
      </c>
      <c r="D4658" s="12">
        <v>5</v>
      </c>
    </row>
    <row r="4659" spans="1:4" x14ac:dyDescent="0.2">
      <c r="A4659" s="12" t="s">
        <v>517</v>
      </c>
      <c r="B4659" s="12" t="s">
        <v>516</v>
      </c>
      <c r="C4659" s="12">
        <v>50</v>
      </c>
      <c r="D4659" s="12">
        <v>5</v>
      </c>
    </row>
    <row r="4660" spans="1:4" x14ac:dyDescent="0.2">
      <c r="A4660" s="12" t="s">
        <v>515</v>
      </c>
      <c r="B4660" s="12" t="s">
        <v>514</v>
      </c>
      <c r="C4660" s="12">
        <v>50</v>
      </c>
      <c r="D4660" s="12">
        <v>5</v>
      </c>
    </row>
    <row r="4661" spans="1:4" x14ac:dyDescent="0.2">
      <c r="A4661" s="12" t="s">
        <v>5704</v>
      </c>
      <c r="B4661" s="12" t="s">
        <v>5703</v>
      </c>
      <c r="C4661" s="12">
        <v>50</v>
      </c>
      <c r="D4661" s="12">
        <v>5</v>
      </c>
    </row>
    <row r="4662" spans="1:4" x14ac:dyDescent="0.2">
      <c r="A4662" s="12" t="s">
        <v>531</v>
      </c>
      <c r="B4662" s="12" t="s">
        <v>530</v>
      </c>
      <c r="C4662" s="12">
        <v>50</v>
      </c>
      <c r="D4662" s="12">
        <v>5</v>
      </c>
    </row>
    <row r="4663" spans="1:4" x14ac:dyDescent="0.2">
      <c r="A4663" s="12" t="s">
        <v>535</v>
      </c>
      <c r="B4663" s="12" t="s">
        <v>534</v>
      </c>
      <c r="C4663" s="12">
        <v>50</v>
      </c>
      <c r="D4663" s="12">
        <v>5</v>
      </c>
    </row>
    <row r="4664" spans="1:4" x14ac:dyDescent="0.2">
      <c r="A4664" s="12" t="s">
        <v>519</v>
      </c>
      <c r="B4664" s="12" t="s">
        <v>518</v>
      </c>
      <c r="C4664" s="12">
        <v>50</v>
      </c>
      <c r="D4664" s="12">
        <v>5</v>
      </c>
    </row>
    <row r="4665" spans="1:4" x14ac:dyDescent="0.2">
      <c r="A4665" s="12" t="s">
        <v>521</v>
      </c>
      <c r="B4665" s="12" t="s">
        <v>520</v>
      </c>
      <c r="C4665" s="12">
        <v>50</v>
      </c>
      <c r="D4665" s="12">
        <v>5</v>
      </c>
    </row>
    <row r="4666" spans="1:4" x14ac:dyDescent="0.2">
      <c r="A4666" s="12" t="s">
        <v>509</v>
      </c>
      <c r="B4666" s="12" t="s">
        <v>508</v>
      </c>
      <c r="C4666" s="12">
        <v>50</v>
      </c>
      <c r="D4666" s="12">
        <v>5</v>
      </c>
    </row>
    <row r="4667" spans="1:4" x14ac:dyDescent="0.2">
      <c r="A4667" s="12" t="s">
        <v>7496</v>
      </c>
      <c r="B4667" s="12" t="s">
        <v>7495</v>
      </c>
      <c r="C4667" s="12">
        <v>4300</v>
      </c>
      <c r="D4667" s="12">
        <v>430</v>
      </c>
    </row>
    <row r="4668" spans="1:4" x14ac:dyDescent="0.2">
      <c r="A4668" s="12" t="s">
        <v>7497</v>
      </c>
      <c r="B4668" s="12" t="s">
        <v>7495</v>
      </c>
      <c r="C4668" s="12" t="s">
        <v>59</v>
      </c>
      <c r="D4668" s="12" t="s">
        <v>59</v>
      </c>
    </row>
    <row r="4669" spans="1:4" x14ac:dyDescent="0.2">
      <c r="A4669" s="12" t="s">
        <v>7883</v>
      </c>
      <c r="B4669" s="12" t="s">
        <v>7882</v>
      </c>
      <c r="C4669" s="12">
        <v>1500</v>
      </c>
      <c r="D4669" s="12">
        <v>150</v>
      </c>
    </row>
    <row r="4670" spans="1:4" x14ac:dyDescent="0.2">
      <c r="A4670" s="12" t="s">
        <v>10044</v>
      </c>
      <c r="B4670" s="12" t="s">
        <v>10043</v>
      </c>
      <c r="C4670" s="12" t="s">
        <v>59</v>
      </c>
      <c r="D4670" s="12" t="s">
        <v>59</v>
      </c>
    </row>
    <row r="4671" spans="1:4" x14ac:dyDescent="0.2">
      <c r="A4671" s="12" t="s">
        <v>3891</v>
      </c>
      <c r="B4671" s="12" t="s">
        <v>3890</v>
      </c>
      <c r="C4671" s="12">
        <v>100</v>
      </c>
      <c r="D4671" s="12">
        <v>10</v>
      </c>
    </row>
    <row r="4672" spans="1:4" x14ac:dyDescent="0.2">
      <c r="A4672" s="12" t="s">
        <v>6977</v>
      </c>
      <c r="B4672" s="12" t="s">
        <v>6976</v>
      </c>
      <c r="C4672" s="12" t="s">
        <v>59</v>
      </c>
      <c r="D4672" s="12" t="s">
        <v>59</v>
      </c>
    </row>
    <row r="4673" spans="1:4" x14ac:dyDescent="0.2">
      <c r="A4673" s="12" t="s">
        <v>6978</v>
      </c>
      <c r="B4673" s="12" t="s">
        <v>6976</v>
      </c>
      <c r="C4673" s="12">
        <v>1000</v>
      </c>
      <c r="D4673" s="12">
        <v>100</v>
      </c>
    </row>
    <row r="4674" spans="1:4" x14ac:dyDescent="0.2">
      <c r="A4674" s="12" t="s">
        <v>7524</v>
      </c>
      <c r="B4674" s="12" t="s">
        <v>7523</v>
      </c>
      <c r="C4674" s="12">
        <v>1700</v>
      </c>
      <c r="D4674" s="12">
        <v>170</v>
      </c>
    </row>
    <row r="4675" spans="1:4" x14ac:dyDescent="0.2">
      <c r="A4675" s="12" t="s">
        <v>3659</v>
      </c>
      <c r="B4675" s="12" t="s">
        <v>3658</v>
      </c>
      <c r="C4675" s="12">
        <v>3400</v>
      </c>
      <c r="D4675" s="12">
        <v>340</v>
      </c>
    </row>
    <row r="4676" spans="1:4" x14ac:dyDescent="0.2">
      <c r="A4676" s="12" t="s">
        <v>3661</v>
      </c>
      <c r="B4676" s="12" t="s">
        <v>3660</v>
      </c>
      <c r="C4676" s="12">
        <v>3400</v>
      </c>
      <c r="D4676" s="12">
        <v>340</v>
      </c>
    </row>
    <row r="4677" spans="1:4" x14ac:dyDescent="0.2">
      <c r="A4677" s="12" t="s">
        <v>3663</v>
      </c>
      <c r="B4677" s="12" t="s">
        <v>3662</v>
      </c>
      <c r="C4677" s="12">
        <v>5700</v>
      </c>
      <c r="D4677" s="12">
        <v>570</v>
      </c>
    </row>
    <row r="4678" spans="1:4" x14ac:dyDescent="0.2">
      <c r="A4678" s="12" t="s">
        <v>3647</v>
      </c>
      <c r="B4678" s="12" t="s">
        <v>3646</v>
      </c>
      <c r="C4678" s="12">
        <v>5700</v>
      </c>
      <c r="D4678" s="12">
        <v>570</v>
      </c>
    </row>
    <row r="4679" spans="1:4" x14ac:dyDescent="0.2">
      <c r="A4679" s="12" t="s">
        <v>7755</v>
      </c>
      <c r="B4679" s="12" t="s">
        <v>7754</v>
      </c>
      <c r="C4679" s="12">
        <v>2700</v>
      </c>
      <c r="D4679" s="12">
        <v>270</v>
      </c>
    </row>
    <row r="4680" spans="1:4" x14ac:dyDescent="0.2">
      <c r="A4680" s="12" t="s">
        <v>7757</v>
      </c>
      <c r="B4680" s="12" t="s">
        <v>7756</v>
      </c>
      <c r="C4680" s="12">
        <v>2700</v>
      </c>
      <c r="D4680" s="12">
        <v>270</v>
      </c>
    </row>
    <row r="4681" spans="1:4" x14ac:dyDescent="0.2">
      <c r="A4681" s="12" t="s">
        <v>7979</v>
      </c>
      <c r="B4681" s="12" t="s">
        <v>7978</v>
      </c>
      <c r="C4681" s="12">
        <v>1500</v>
      </c>
      <c r="D4681" s="12">
        <v>150</v>
      </c>
    </row>
    <row r="4682" spans="1:4" ht="28.5" x14ac:dyDescent="0.2">
      <c r="A4682" s="12" t="s">
        <v>9004</v>
      </c>
      <c r="B4682" s="12" t="s">
        <v>9003</v>
      </c>
      <c r="C4682" s="12" t="s">
        <v>59</v>
      </c>
      <c r="D4682" s="12" t="s">
        <v>59</v>
      </c>
    </row>
    <row r="4683" spans="1:4" x14ac:dyDescent="0.2">
      <c r="A4683" s="12" t="s">
        <v>4782</v>
      </c>
      <c r="B4683" s="12" t="s">
        <v>4781</v>
      </c>
      <c r="C4683" s="12">
        <v>3500</v>
      </c>
      <c r="D4683" s="12">
        <v>350</v>
      </c>
    </row>
    <row r="4684" spans="1:4" x14ac:dyDescent="0.2">
      <c r="A4684" s="12" t="s">
        <v>11788</v>
      </c>
      <c r="B4684" s="12" t="s">
        <v>11787</v>
      </c>
      <c r="C4684" s="12" t="s">
        <v>59</v>
      </c>
      <c r="D4684" s="12" t="s">
        <v>59</v>
      </c>
    </row>
    <row r="4685" spans="1:4" x14ac:dyDescent="0.2">
      <c r="A4685" s="12" t="s">
        <v>263</v>
      </c>
      <c r="B4685" s="12" t="s">
        <v>262</v>
      </c>
      <c r="C4685" s="12">
        <v>42</v>
      </c>
      <c r="D4685" s="12">
        <v>4.2</v>
      </c>
    </row>
    <row r="4686" spans="1:4" x14ac:dyDescent="0.2">
      <c r="A4686" s="12" t="s">
        <v>1906</v>
      </c>
      <c r="B4686" s="12" t="s">
        <v>1905</v>
      </c>
      <c r="C4686" s="12" t="s">
        <v>59</v>
      </c>
      <c r="D4686" s="12" t="s">
        <v>59</v>
      </c>
    </row>
    <row r="4687" spans="1:4" x14ac:dyDescent="0.2">
      <c r="A4687" s="12" t="s">
        <v>1211</v>
      </c>
      <c r="B4687" s="12" t="s">
        <v>1210</v>
      </c>
      <c r="C4687" s="12">
        <v>1400</v>
      </c>
      <c r="D4687" s="12">
        <v>140</v>
      </c>
    </row>
    <row r="4688" spans="1:4" x14ac:dyDescent="0.2">
      <c r="A4688" s="12" t="s">
        <v>3574</v>
      </c>
      <c r="B4688" s="12" t="s">
        <v>3573</v>
      </c>
      <c r="C4688" s="12">
        <v>600</v>
      </c>
      <c r="D4688" s="12">
        <v>60</v>
      </c>
    </row>
    <row r="4689" spans="1:4" x14ac:dyDescent="0.2">
      <c r="A4689" s="12" t="s">
        <v>7767</v>
      </c>
      <c r="B4689" s="12" t="s">
        <v>7766</v>
      </c>
      <c r="C4689" s="12">
        <v>3500</v>
      </c>
      <c r="D4689" s="12">
        <v>350</v>
      </c>
    </row>
    <row r="4690" spans="1:4" x14ac:dyDescent="0.2">
      <c r="A4690" s="12" t="s">
        <v>7769</v>
      </c>
      <c r="B4690" s="12" t="s">
        <v>7768</v>
      </c>
      <c r="C4690" s="12">
        <v>3500</v>
      </c>
      <c r="D4690" s="12">
        <v>350</v>
      </c>
    </row>
    <row r="4691" spans="1:4" x14ac:dyDescent="0.2">
      <c r="A4691" s="12" t="s">
        <v>7759</v>
      </c>
      <c r="B4691" s="12" t="s">
        <v>7758</v>
      </c>
      <c r="C4691" s="12">
        <v>3500</v>
      </c>
      <c r="D4691" s="12">
        <v>350</v>
      </c>
    </row>
    <row r="4692" spans="1:4" x14ac:dyDescent="0.2">
      <c r="A4692" s="12" t="s">
        <v>7761</v>
      </c>
      <c r="B4692" s="12" t="s">
        <v>7760</v>
      </c>
      <c r="C4692" s="12">
        <v>3500</v>
      </c>
      <c r="D4692" s="12">
        <v>350</v>
      </c>
    </row>
    <row r="4693" spans="1:4" x14ac:dyDescent="0.2">
      <c r="A4693" s="12" t="s">
        <v>7763</v>
      </c>
      <c r="B4693" s="12" t="s">
        <v>7762</v>
      </c>
      <c r="C4693" s="12">
        <v>3500</v>
      </c>
      <c r="D4693" s="12">
        <v>350</v>
      </c>
    </row>
    <row r="4694" spans="1:4" x14ac:dyDescent="0.2">
      <c r="A4694" s="12" t="s">
        <v>3694</v>
      </c>
      <c r="B4694" s="12" t="s">
        <v>3693</v>
      </c>
      <c r="C4694" s="12">
        <v>400</v>
      </c>
      <c r="D4694" s="12">
        <v>40</v>
      </c>
    </row>
    <row r="4695" spans="1:4" x14ac:dyDescent="0.2">
      <c r="A4695" s="12" t="s">
        <v>6932</v>
      </c>
      <c r="B4695" s="12" t="s">
        <v>6931</v>
      </c>
      <c r="C4695" s="12">
        <v>1</v>
      </c>
      <c r="D4695" s="12">
        <v>0.1</v>
      </c>
    </row>
    <row r="4696" spans="1:4" x14ac:dyDescent="0.2">
      <c r="A4696" s="12" t="s">
        <v>12455</v>
      </c>
      <c r="B4696" s="12" t="s">
        <v>12454</v>
      </c>
      <c r="C4696" s="12">
        <v>20</v>
      </c>
      <c r="D4696" s="12">
        <v>2</v>
      </c>
    </row>
    <row r="4697" spans="1:4" x14ac:dyDescent="0.2">
      <c r="A4697" s="12" t="s">
        <v>6872</v>
      </c>
      <c r="B4697" s="12" t="s">
        <v>6871</v>
      </c>
      <c r="C4697" s="12" t="s">
        <v>59</v>
      </c>
      <c r="D4697" s="12" t="s">
        <v>59</v>
      </c>
    </row>
    <row r="4698" spans="1:4" x14ac:dyDescent="0.2">
      <c r="A4698" s="12" t="s">
        <v>6873</v>
      </c>
      <c r="B4698" s="12" t="s">
        <v>6871</v>
      </c>
      <c r="C4698" s="12">
        <v>1000</v>
      </c>
      <c r="D4698" s="12">
        <v>100</v>
      </c>
    </row>
    <row r="4699" spans="1:4" x14ac:dyDescent="0.2">
      <c r="A4699" s="12" t="s">
        <v>6899</v>
      </c>
      <c r="B4699" s="12" t="s">
        <v>6898</v>
      </c>
      <c r="C4699" s="12">
        <v>1000</v>
      </c>
      <c r="D4699" s="12">
        <v>100</v>
      </c>
    </row>
    <row r="4700" spans="1:4" x14ac:dyDescent="0.2">
      <c r="A4700" s="12" t="s">
        <v>6994</v>
      </c>
      <c r="B4700" s="12" t="s">
        <v>6993</v>
      </c>
      <c r="C4700" s="12" t="s">
        <v>59</v>
      </c>
      <c r="D4700" s="12" t="s">
        <v>59</v>
      </c>
    </row>
    <row r="4701" spans="1:4" x14ac:dyDescent="0.2">
      <c r="A4701" s="12" t="s">
        <v>6995</v>
      </c>
      <c r="B4701" s="12" t="s">
        <v>6993</v>
      </c>
      <c r="C4701" s="12">
        <v>1000</v>
      </c>
      <c r="D4701" s="12">
        <v>100</v>
      </c>
    </row>
    <row r="4702" spans="1:4" x14ac:dyDescent="0.2">
      <c r="A4702" s="12" t="s">
        <v>7569</v>
      </c>
      <c r="B4702" s="12" t="s">
        <v>7568</v>
      </c>
      <c r="C4702" s="12">
        <v>1250</v>
      </c>
      <c r="D4702" s="12">
        <v>125</v>
      </c>
    </row>
    <row r="4703" spans="1:4" x14ac:dyDescent="0.2">
      <c r="A4703" s="12" t="s">
        <v>8896</v>
      </c>
      <c r="B4703" s="12" t="s">
        <v>8895</v>
      </c>
      <c r="C4703" s="12" t="s">
        <v>59</v>
      </c>
      <c r="D4703" s="12" t="s">
        <v>59</v>
      </c>
    </row>
    <row r="4704" spans="1:4" x14ac:dyDescent="0.2">
      <c r="A4704" s="12" t="s">
        <v>7442</v>
      </c>
      <c r="B4704" s="12" t="s">
        <v>7441</v>
      </c>
      <c r="C4704" s="12" t="s">
        <v>59</v>
      </c>
      <c r="D4704" s="12" t="s">
        <v>59</v>
      </c>
    </row>
    <row r="4705" spans="1:4" x14ac:dyDescent="0.2">
      <c r="A4705" s="12" t="s">
        <v>11706</v>
      </c>
      <c r="B4705" s="12" t="s">
        <v>11705</v>
      </c>
      <c r="C4705" s="12">
        <v>27</v>
      </c>
      <c r="D4705" s="12">
        <v>2</v>
      </c>
    </row>
    <row r="4706" spans="1:4" x14ac:dyDescent="0.2">
      <c r="A4706" s="12" t="s">
        <v>4914</v>
      </c>
      <c r="B4706" s="12" t="s">
        <v>4913</v>
      </c>
      <c r="C4706" s="12">
        <v>600</v>
      </c>
      <c r="D4706" s="12">
        <v>60</v>
      </c>
    </row>
    <row r="4707" spans="1:4" x14ac:dyDescent="0.2">
      <c r="A4707" s="12" t="s">
        <v>4265</v>
      </c>
      <c r="B4707" s="12" t="s">
        <v>4264</v>
      </c>
      <c r="C4707" s="12" t="s">
        <v>59</v>
      </c>
      <c r="D4707" s="12" t="s">
        <v>59</v>
      </c>
    </row>
    <row r="4708" spans="1:4" x14ac:dyDescent="0.2">
      <c r="A4708" s="12" t="s">
        <v>4266</v>
      </c>
      <c r="B4708" s="12" t="s">
        <v>4264</v>
      </c>
      <c r="C4708" s="12">
        <v>600</v>
      </c>
      <c r="D4708" s="12">
        <v>60</v>
      </c>
    </row>
    <row r="4709" spans="1:4" x14ac:dyDescent="0.2">
      <c r="A4709" s="12" t="s">
        <v>4271</v>
      </c>
      <c r="B4709" s="12" t="s">
        <v>4270</v>
      </c>
      <c r="C4709" s="12">
        <v>900</v>
      </c>
      <c r="D4709" s="12">
        <v>90</v>
      </c>
    </row>
    <row r="4710" spans="1:4" x14ac:dyDescent="0.2">
      <c r="A4710" s="12" t="s">
        <v>4268</v>
      </c>
      <c r="B4710" s="12" t="s">
        <v>4267</v>
      </c>
      <c r="C4710" s="12" t="s">
        <v>59</v>
      </c>
      <c r="D4710" s="12" t="s">
        <v>59</v>
      </c>
    </row>
    <row r="4711" spans="1:4" x14ac:dyDescent="0.2">
      <c r="A4711" s="12" t="s">
        <v>4269</v>
      </c>
      <c r="B4711" s="12" t="s">
        <v>4267</v>
      </c>
      <c r="C4711" s="12">
        <v>600</v>
      </c>
      <c r="D4711" s="12">
        <v>60</v>
      </c>
    </row>
    <row r="4712" spans="1:4" x14ac:dyDescent="0.2">
      <c r="A4712" s="12" t="s">
        <v>11107</v>
      </c>
      <c r="B4712" s="12" t="s">
        <v>11106</v>
      </c>
      <c r="C4712" s="12" t="s">
        <v>59</v>
      </c>
      <c r="D4712" s="12" t="s">
        <v>59</v>
      </c>
    </row>
    <row r="4713" spans="1:4" x14ac:dyDescent="0.2">
      <c r="A4713" s="12" t="s">
        <v>11412</v>
      </c>
      <c r="B4713" s="12" t="s">
        <v>11411</v>
      </c>
      <c r="C4713" s="12" t="s">
        <v>59</v>
      </c>
      <c r="D4713" s="12" t="s">
        <v>59</v>
      </c>
    </row>
    <row r="4714" spans="1:4" x14ac:dyDescent="0.2">
      <c r="A4714" s="12" t="s">
        <v>11413</v>
      </c>
      <c r="B4714" s="12" t="s">
        <v>11411</v>
      </c>
      <c r="C4714" s="12">
        <v>600</v>
      </c>
      <c r="D4714" s="12">
        <v>60</v>
      </c>
    </row>
    <row r="4715" spans="1:4" x14ac:dyDescent="0.2">
      <c r="A4715" s="12" t="s">
        <v>12070</v>
      </c>
      <c r="B4715" s="12" t="s">
        <v>12069</v>
      </c>
      <c r="C4715" s="12">
        <v>50</v>
      </c>
      <c r="D4715" s="12">
        <v>5</v>
      </c>
    </row>
    <row r="4716" spans="1:4" x14ac:dyDescent="0.2">
      <c r="A4716" s="12" t="s">
        <v>6355</v>
      </c>
      <c r="B4716" s="12" t="s">
        <v>6354</v>
      </c>
      <c r="C4716" s="12">
        <v>1000</v>
      </c>
      <c r="D4716" s="12">
        <v>100</v>
      </c>
    </row>
    <row r="4717" spans="1:4" x14ac:dyDescent="0.2">
      <c r="A4717" s="12" t="s">
        <v>9014</v>
      </c>
      <c r="B4717" s="12" t="s">
        <v>9013</v>
      </c>
      <c r="C4717" s="12">
        <v>3500</v>
      </c>
      <c r="D4717" s="12">
        <v>350</v>
      </c>
    </row>
    <row r="4718" spans="1:4" x14ac:dyDescent="0.2">
      <c r="A4718" s="12" t="s">
        <v>3600</v>
      </c>
      <c r="B4718" s="12" t="s">
        <v>3599</v>
      </c>
      <c r="C4718" s="12">
        <v>2000</v>
      </c>
      <c r="D4718" s="12">
        <v>200</v>
      </c>
    </row>
    <row r="4719" spans="1:4" x14ac:dyDescent="0.2">
      <c r="A4719" s="12" t="s">
        <v>3578</v>
      </c>
      <c r="B4719" s="12" t="s">
        <v>3577</v>
      </c>
      <c r="C4719" s="12">
        <v>2000</v>
      </c>
      <c r="D4719" s="12">
        <v>200</v>
      </c>
    </row>
    <row r="4720" spans="1:4" x14ac:dyDescent="0.2">
      <c r="A4720" s="12" t="s">
        <v>3588</v>
      </c>
      <c r="B4720" s="12" t="s">
        <v>3587</v>
      </c>
      <c r="C4720" s="12">
        <v>2000</v>
      </c>
      <c r="D4720" s="12">
        <v>200</v>
      </c>
    </row>
    <row r="4721" spans="1:4" x14ac:dyDescent="0.2">
      <c r="A4721" s="12" t="s">
        <v>8682</v>
      </c>
      <c r="B4721" s="12" t="s">
        <v>8681</v>
      </c>
      <c r="C4721" s="12">
        <v>100</v>
      </c>
      <c r="D4721" s="12">
        <v>10</v>
      </c>
    </row>
    <row r="4722" spans="1:4" x14ac:dyDescent="0.2">
      <c r="A4722" s="12" t="s">
        <v>6818</v>
      </c>
      <c r="B4722" s="12" t="s">
        <v>6817</v>
      </c>
      <c r="C4722" s="12">
        <v>100</v>
      </c>
      <c r="D4722" s="12">
        <v>10</v>
      </c>
    </row>
    <row r="4723" spans="1:4" x14ac:dyDescent="0.2">
      <c r="A4723" s="12" t="s">
        <v>4788</v>
      </c>
      <c r="B4723" s="12" t="s">
        <v>4787</v>
      </c>
      <c r="C4723" s="12" t="s">
        <v>59</v>
      </c>
      <c r="D4723" s="12" t="s">
        <v>59</v>
      </c>
    </row>
    <row r="4724" spans="1:4" x14ac:dyDescent="0.2">
      <c r="A4724" s="12" t="s">
        <v>5379</v>
      </c>
      <c r="B4724" s="12" t="s">
        <v>5378</v>
      </c>
      <c r="C4724" s="12">
        <v>100</v>
      </c>
      <c r="D4724" s="12">
        <v>10</v>
      </c>
    </row>
    <row r="4725" spans="1:4" x14ac:dyDescent="0.2">
      <c r="A4725" s="12" t="s">
        <v>3944</v>
      </c>
      <c r="B4725" s="12" t="s">
        <v>3943</v>
      </c>
      <c r="C4725" s="12">
        <v>400</v>
      </c>
      <c r="D4725" s="12">
        <v>40</v>
      </c>
    </row>
    <row r="4726" spans="1:4" x14ac:dyDescent="0.2">
      <c r="A4726" s="12" t="s">
        <v>10663</v>
      </c>
      <c r="B4726" s="12" t="s">
        <v>10662</v>
      </c>
      <c r="C4726" s="12" t="s">
        <v>59</v>
      </c>
      <c r="D4726" s="12" t="s">
        <v>59</v>
      </c>
    </row>
    <row r="4727" spans="1:4" x14ac:dyDescent="0.2">
      <c r="A4727" s="12" t="s">
        <v>9345</v>
      </c>
      <c r="B4727" s="12" t="s">
        <v>9344</v>
      </c>
      <c r="C4727" s="12">
        <v>400</v>
      </c>
      <c r="D4727" s="12">
        <v>40</v>
      </c>
    </row>
    <row r="4728" spans="1:4" x14ac:dyDescent="0.2">
      <c r="A4728" s="12" t="s">
        <v>6835</v>
      </c>
      <c r="B4728" s="12" t="s">
        <v>6834</v>
      </c>
      <c r="C4728" s="12" t="s">
        <v>59</v>
      </c>
      <c r="D4728" s="12" t="s">
        <v>59</v>
      </c>
    </row>
    <row r="4729" spans="1:4" x14ac:dyDescent="0.2">
      <c r="A4729" s="12" t="s">
        <v>6836</v>
      </c>
      <c r="B4729" s="12" t="s">
        <v>6834</v>
      </c>
      <c r="C4729" s="12">
        <v>1000</v>
      </c>
      <c r="D4729" s="12">
        <v>100</v>
      </c>
    </row>
    <row r="4730" spans="1:4" x14ac:dyDescent="0.2">
      <c r="A4730" s="12" t="s">
        <v>11998</v>
      </c>
      <c r="B4730" s="12" t="s">
        <v>11997</v>
      </c>
      <c r="C4730" s="12" t="s">
        <v>59</v>
      </c>
      <c r="D4730" s="12" t="s">
        <v>59</v>
      </c>
    </row>
    <row r="4731" spans="1:4" x14ac:dyDescent="0.2">
      <c r="A4731" s="12" t="s">
        <v>11999</v>
      </c>
      <c r="B4731" s="12" t="s">
        <v>11997</v>
      </c>
      <c r="C4731" s="12">
        <v>1000</v>
      </c>
      <c r="D4731" s="12">
        <v>100</v>
      </c>
    </row>
    <row r="4732" spans="1:4" x14ac:dyDescent="0.2">
      <c r="A4732" s="12" t="s">
        <v>6951</v>
      </c>
      <c r="B4732" s="12" t="s">
        <v>6950</v>
      </c>
      <c r="C4732" s="12" t="s">
        <v>59</v>
      </c>
      <c r="D4732" s="12" t="s">
        <v>59</v>
      </c>
    </row>
    <row r="4733" spans="1:4" x14ac:dyDescent="0.2">
      <c r="A4733" s="12" t="s">
        <v>7075</v>
      </c>
      <c r="B4733" s="12" t="s">
        <v>7074</v>
      </c>
      <c r="C4733" s="12" t="s">
        <v>59</v>
      </c>
      <c r="D4733" s="12" t="s">
        <v>59</v>
      </c>
    </row>
    <row r="4734" spans="1:4" x14ac:dyDescent="0.2">
      <c r="A4734" s="12" t="s">
        <v>7076</v>
      </c>
      <c r="B4734" s="12" t="s">
        <v>7074</v>
      </c>
      <c r="C4734" s="12">
        <v>1000</v>
      </c>
      <c r="D4734" s="12">
        <v>100</v>
      </c>
    </row>
    <row r="4735" spans="1:4" x14ac:dyDescent="0.2">
      <c r="A4735" s="12" t="s">
        <v>7286</v>
      </c>
      <c r="B4735" s="12" t="s">
        <v>7285</v>
      </c>
      <c r="C4735" s="12">
        <v>240</v>
      </c>
      <c r="D4735" s="12">
        <v>6.4</v>
      </c>
    </row>
    <row r="4736" spans="1:4" x14ac:dyDescent="0.2">
      <c r="A4736" s="12" t="s">
        <v>10637</v>
      </c>
      <c r="B4736" s="12" t="s">
        <v>10636</v>
      </c>
      <c r="C4736" s="12">
        <v>30</v>
      </c>
      <c r="D4736" s="12">
        <v>3</v>
      </c>
    </row>
    <row r="4737" spans="1:4" x14ac:dyDescent="0.2">
      <c r="A4737" s="12" t="s">
        <v>10666</v>
      </c>
      <c r="B4737" s="12" t="s">
        <v>10665</v>
      </c>
      <c r="C4737" s="12" t="s">
        <v>59</v>
      </c>
      <c r="D4737" s="12" t="s">
        <v>59</v>
      </c>
    </row>
    <row r="4738" spans="1:4" x14ac:dyDescent="0.2">
      <c r="A4738" s="12" t="s">
        <v>10944</v>
      </c>
      <c r="B4738" s="12" t="s">
        <v>10943</v>
      </c>
      <c r="C4738" s="12" t="s">
        <v>59</v>
      </c>
      <c r="D4738" s="12" t="s">
        <v>59</v>
      </c>
    </row>
    <row r="4739" spans="1:4" x14ac:dyDescent="0.2">
      <c r="A4739" s="12" t="s">
        <v>10945</v>
      </c>
      <c r="B4739" s="12" t="s">
        <v>10943</v>
      </c>
      <c r="C4739" s="12">
        <v>1000</v>
      </c>
      <c r="D4739" s="12">
        <v>100</v>
      </c>
    </row>
    <row r="4740" spans="1:4" x14ac:dyDescent="0.2">
      <c r="A4740" s="12" t="s">
        <v>9824</v>
      </c>
      <c r="B4740" s="12" t="s">
        <v>9823</v>
      </c>
      <c r="C4740" s="12">
        <v>1000</v>
      </c>
      <c r="D4740" s="12">
        <v>100</v>
      </c>
    </row>
    <row r="4741" spans="1:4" x14ac:dyDescent="0.2">
      <c r="A4741" s="12" t="s">
        <v>12222</v>
      </c>
      <c r="B4741" s="12" t="s">
        <v>12221</v>
      </c>
      <c r="C4741" s="12" t="s">
        <v>59</v>
      </c>
      <c r="D4741" s="12" t="s">
        <v>59</v>
      </c>
    </row>
    <row r="4742" spans="1:4" x14ac:dyDescent="0.2">
      <c r="A4742" s="12" t="s">
        <v>4379</v>
      </c>
      <c r="B4742" s="12" t="s">
        <v>4378</v>
      </c>
      <c r="C4742" s="12">
        <v>600</v>
      </c>
      <c r="D4742" s="12">
        <v>60</v>
      </c>
    </row>
    <row r="4743" spans="1:4" x14ac:dyDescent="0.2">
      <c r="A4743" s="12" t="s">
        <v>4755</v>
      </c>
      <c r="B4743" s="12" t="s">
        <v>4754</v>
      </c>
      <c r="C4743" s="12">
        <v>600</v>
      </c>
      <c r="D4743" s="12">
        <v>60</v>
      </c>
    </row>
    <row r="4744" spans="1:4" x14ac:dyDescent="0.2">
      <c r="A4744" s="12" t="s">
        <v>4282</v>
      </c>
      <c r="B4744" s="12" t="s">
        <v>4281</v>
      </c>
      <c r="C4744" s="12" t="s">
        <v>59</v>
      </c>
      <c r="D4744" s="12" t="s">
        <v>59</v>
      </c>
    </row>
    <row r="4745" spans="1:4" x14ac:dyDescent="0.2">
      <c r="A4745" s="12" t="s">
        <v>4283</v>
      </c>
      <c r="B4745" s="12" t="s">
        <v>4281</v>
      </c>
      <c r="C4745" s="12">
        <v>600</v>
      </c>
      <c r="D4745" s="12">
        <v>60</v>
      </c>
    </row>
    <row r="4746" spans="1:4" x14ac:dyDescent="0.2">
      <c r="A4746" s="12" t="s">
        <v>5525</v>
      </c>
      <c r="B4746" s="12" t="s">
        <v>5524</v>
      </c>
      <c r="C4746" s="12">
        <v>3400</v>
      </c>
      <c r="D4746" s="12">
        <v>340</v>
      </c>
    </row>
    <row r="4747" spans="1:4" ht="28.5" x14ac:dyDescent="0.2">
      <c r="A4747" s="12" t="s">
        <v>547</v>
      </c>
      <c r="B4747" s="12" t="s">
        <v>546</v>
      </c>
      <c r="C4747" s="12" t="s">
        <v>59</v>
      </c>
      <c r="D4747" s="12" t="s">
        <v>59</v>
      </c>
    </row>
    <row r="4748" spans="1:4" x14ac:dyDescent="0.2">
      <c r="A4748" s="12" t="s">
        <v>3243</v>
      </c>
      <c r="B4748" s="12" t="s">
        <v>3242</v>
      </c>
      <c r="C4748" s="12" t="s">
        <v>59</v>
      </c>
      <c r="D4748" s="12" t="s">
        <v>59</v>
      </c>
    </row>
    <row r="4749" spans="1:4" x14ac:dyDescent="0.2">
      <c r="A4749" s="12" t="s">
        <v>1327</v>
      </c>
      <c r="B4749" s="12" t="s">
        <v>1326</v>
      </c>
      <c r="C4749" s="12" t="s">
        <v>59</v>
      </c>
      <c r="D4749" s="12" t="s">
        <v>59</v>
      </c>
    </row>
    <row r="4750" spans="1:4" x14ac:dyDescent="0.2">
      <c r="A4750" s="12" t="s">
        <v>1782</v>
      </c>
      <c r="B4750" s="12" t="s">
        <v>1781</v>
      </c>
      <c r="C4750" s="12" t="s">
        <v>59</v>
      </c>
      <c r="D4750" s="12" t="s">
        <v>59</v>
      </c>
    </row>
    <row r="4751" spans="1:4" x14ac:dyDescent="0.2">
      <c r="A4751" s="12" t="s">
        <v>1783</v>
      </c>
      <c r="B4751" s="12" t="s">
        <v>1781</v>
      </c>
      <c r="C4751" s="12">
        <v>1000</v>
      </c>
      <c r="D4751" s="12">
        <v>100</v>
      </c>
    </row>
    <row r="4752" spans="1:4" x14ac:dyDescent="0.2">
      <c r="A4752" s="12" t="s">
        <v>7549</v>
      </c>
      <c r="B4752" s="12" t="s">
        <v>7548</v>
      </c>
      <c r="C4752" s="12">
        <v>540</v>
      </c>
      <c r="D4752" s="12">
        <v>54</v>
      </c>
    </row>
    <row r="4753" spans="1:4" x14ac:dyDescent="0.2">
      <c r="A4753" s="12" t="s">
        <v>7329</v>
      </c>
      <c r="B4753" s="12" t="s">
        <v>7328</v>
      </c>
      <c r="C4753" s="12">
        <v>1000</v>
      </c>
      <c r="D4753" s="12">
        <v>100</v>
      </c>
    </row>
    <row r="4754" spans="1:4" x14ac:dyDescent="0.2">
      <c r="A4754" s="12" t="s">
        <v>2938</v>
      </c>
      <c r="B4754" s="12" t="s">
        <v>2937</v>
      </c>
      <c r="C4754" s="12">
        <v>38</v>
      </c>
      <c r="D4754" s="12">
        <v>3.8</v>
      </c>
    </row>
    <row r="4755" spans="1:4" x14ac:dyDescent="0.2">
      <c r="A4755" s="12" t="s">
        <v>10167</v>
      </c>
      <c r="B4755" s="12" t="s">
        <v>10166</v>
      </c>
      <c r="C4755" s="12">
        <v>180</v>
      </c>
      <c r="D4755" s="12">
        <v>18</v>
      </c>
    </row>
    <row r="4756" spans="1:4" x14ac:dyDescent="0.2">
      <c r="A4756" s="12" t="s">
        <v>10122</v>
      </c>
      <c r="B4756" s="12" t="s">
        <v>10121</v>
      </c>
      <c r="C4756" s="12" t="s">
        <v>59</v>
      </c>
      <c r="D4756" s="12" t="s">
        <v>59</v>
      </c>
    </row>
    <row r="4757" spans="1:4" x14ac:dyDescent="0.2">
      <c r="A4757" s="12" t="s">
        <v>1908</v>
      </c>
      <c r="B4757" s="12" t="s">
        <v>1907</v>
      </c>
      <c r="C4757" s="12" t="s">
        <v>59</v>
      </c>
      <c r="D4757" s="12" t="s">
        <v>59</v>
      </c>
    </row>
    <row r="4758" spans="1:4" x14ac:dyDescent="0.2">
      <c r="A4758" s="12" t="s">
        <v>8200</v>
      </c>
      <c r="B4758" s="12" t="s">
        <v>8199</v>
      </c>
      <c r="C4758" s="12">
        <v>40</v>
      </c>
      <c r="D4758" s="12">
        <v>4</v>
      </c>
    </row>
    <row r="4759" spans="1:4" x14ac:dyDescent="0.2">
      <c r="A4759" s="12" t="s">
        <v>5398</v>
      </c>
      <c r="B4759" s="12" t="s">
        <v>5397</v>
      </c>
      <c r="C4759" s="12">
        <v>27</v>
      </c>
      <c r="D4759" s="12">
        <v>2</v>
      </c>
    </row>
    <row r="4760" spans="1:4" x14ac:dyDescent="0.2">
      <c r="A4760" s="12" t="s">
        <v>474</v>
      </c>
      <c r="B4760" s="12" t="s">
        <v>473</v>
      </c>
      <c r="C4760" s="12" t="s">
        <v>59</v>
      </c>
      <c r="D4760" s="12" t="s">
        <v>59</v>
      </c>
    </row>
    <row r="4761" spans="1:4" x14ac:dyDescent="0.2">
      <c r="A4761" s="12" t="s">
        <v>11536</v>
      </c>
      <c r="B4761" s="12" t="s">
        <v>11535</v>
      </c>
      <c r="C4761" s="12">
        <v>100</v>
      </c>
      <c r="D4761" s="12">
        <v>10</v>
      </c>
    </row>
    <row r="4762" spans="1:4" x14ac:dyDescent="0.2">
      <c r="A4762" s="12" t="s">
        <v>2980</v>
      </c>
      <c r="B4762" s="12" t="s">
        <v>2979</v>
      </c>
      <c r="C4762" s="12">
        <v>100</v>
      </c>
      <c r="D4762" s="12">
        <v>10</v>
      </c>
    </row>
    <row r="4763" spans="1:4" x14ac:dyDescent="0.2">
      <c r="A4763" s="12" t="s">
        <v>3930</v>
      </c>
      <c r="B4763" s="12" t="s">
        <v>3929</v>
      </c>
      <c r="C4763" s="12">
        <v>100</v>
      </c>
      <c r="D4763" s="12">
        <v>10</v>
      </c>
    </row>
    <row r="4764" spans="1:4" x14ac:dyDescent="0.2">
      <c r="A4764" s="12" t="s">
        <v>6893</v>
      </c>
      <c r="B4764" s="12" t="s">
        <v>6892</v>
      </c>
      <c r="C4764" s="12" t="s">
        <v>59</v>
      </c>
      <c r="D4764" s="12" t="s">
        <v>59</v>
      </c>
    </row>
    <row r="4765" spans="1:4" x14ac:dyDescent="0.2">
      <c r="A4765" s="12" t="s">
        <v>6894</v>
      </c>
      <c r="B4765" s="12" t="s">
        <v>6892</v>
      </c>
      <c r="C4765" s="12">
        <v>1000</v>
      </c>
      <c r="D4765" s="12">
        <v>100</v>
      </c>
    </row>
    <row r="4766" spans="1:4" x14ac:dyDescent="0.2">
      <c r="A4766" s="12" t="s">
        <v>11516</v>
      </c>
      <c r="B4766" s="12" t="s">
        <v>11515</v>
      </c>
      <c r="C4766" s="12">
        <v>1100</v>
      </c>
      <c r="D4766" s="12">
        <v>110</v>
      </c>
    </row>
    <row r="4767" spans="1:4" x14ac:dyDescent="0.2">
      <c r="A4767" s="12" t="s">
        <v>11482</v>
      </c>
      <c r="B4767" s="12" t="s">
        <v>11481</v>
      </c>
      <c r="C4767" s="12">
        <v>100</v>
      </c>
      <c r="D4767" s="12">
        <v>10</v>
      </c>
    </row>
    <row r="4768" spans="1:4" x14ac:dyDescent="0.2">
      <c r="A4768" s="12" t="s">
        <v>11443</v>
      </c>
      <c r="B4768" s="12" t="s">
        <v>11442</v>
      </c>
      <c r="C4768" s="12">
        <v>1000</v>
      </c>
      <c r="D4768" s="12">
        <v>100</v>
      </c>
    </row>
    <row r="4769" spans="1:4" x14ac:dyDescent="0.2">
      <c r="A4769" s="12" t="s">
        <v>11445</v>
      </c>
      <c r="B4769" s="12" t="s">
        <v>11444</v>
      </c>
      <c r="C4769" s="12">
        <v>1000</v>
      </c>
      <c r="D4769" s="12">
        <v>100</v>
      </c>
    </row>
    <row r="4770" spans="1:4" x14ac:dyDescent="0.2">
      <c r="A4770" s="12" t="s">
        <v>7049</v>
      </c>
      <c r="B4770" s="12" t="s">
        <v>7048</v>
      </c>
      <c r="C4770" s="12" t="s">
        <v>59</v>
      </c>
      <c r="D4770" s="12" t="s">
        <v>59</v>
      </c>
    </row>
    <row r="4771" spans="1:4" x14ac:dyDescent="0.2">
      <c r="A4771" s="12" t="s">
        <v>7050</v>
      </c>
      <c r="B4771" s="12" t="s">
        <v>7048</v>
      </c>
      <c r="C4771" s="12">
        <v>1000</v>
      </c>
      <c r="D4771" s="12">
        <v>100</v>
      </c>
    </row>
    <row r="4772" spans="1:4" x14ac:dyDescent="0.2">
      <c r="A4772" s="12" t="s">
        <v>3417</v>
      </c>
      <c r="B4772" s="12" t="s">
        <v>3416</v>
      </c>
      <c r="C4772" s="12" t="s">
        <v>59</v>
      </c>
      <c r="D4772" s="12" t="s">
        <v>59</v>
      </c>
    </row>
    <row r="4773" spans="1:4" x14ac:dyDescent="0.2">
      <c r="A4773" s="12" t="s">
        <v>4240</v>
      </c>
      <c r="B4773" s="12" t="s">
        <v>4239</v>
      </c>
      <c r="C4773" s="12">
        <v>2450</v>
      </c>
      <c r="D4773" s="12">
        <v>245</v>
      </c>
    </row>
    <row r="4774" spans="1:4" x14ac:dyDescent="0.2">
      <c r="A4774" s="12" t="s">
        <v>4288</v>
      </c>
      <c r="B4774" s="12" t="s">
        <v>4287</v>
      </c>
      <c r="C4774" s="12" t="s">
        <v>59</v>
      </c>
      <c r="D4774" s="12" t="s">
        <v>59</v>
      </c>
    </row>
    <row r="4775" spans="1:4" x14ac:dyDescent="0.2">
      <c r="A4775" s="12" t="s">
        <v>4289</v>
      </c>
      <c r="B4775" s="12" t="s">
        <v>4287</v>
      </c>
      <c r="C4775" s="12">
        <v>600</v>
      </c>
      <c r="D4775" s="12">
        <v>60</v>
      </c>
    </row>
    <row r="4776" spans="1:4" x14ac:dyDescent="0.2">
      <c r="A4776" s="12" t="s">
        <v>12391</v>
      </c>
      <c r="B4776" s="12" t="s">
        <v>12390</v>
      </c>
      <c r="C4776" s="12">
        <v>20</v>
      </c>
      <c r="D4776" s="12">
        <v>2</v>
      </c>
    </row>
    <row r="4777" spans="1:4" x14ac:dyDescent="0.2">
      <c r="A4777" s="12" t="s">
        <v>1934</v>
      </c>
      <c r="B4777" s="12" t="s">
        <v>1933</v>
      </c>
      <c r="C4777" s="12">
        <v>97</v>
      </c>
      <c r="D4777" s="12">
        <v>7</v>
      </c>
    </row>
    <row r="4778" spans="1:4" x14ac:dyDescent="0.2">
      <c r="A4778" s="12" t="s">
        <v>9627</v>
      </c>
      <c r="B4778" s="12" t="s">
        <v>9626</v>
      </c>
      <c r="C4778" s="12" t="s">
        <v>59</v>
      </c>
      <c r="D4778" s="12" t="s">
        <v>59</v>
      </c>
    </row>
    <row r="4779" spans="1:4" x14ac:dyDescent="0.2">
      <c r="A4779" s="12" t="s">
        <v>9628</v>
      </c>
      <c r="B4779" s="12" t="s">
        <v>9626</v>
      </c>
      <c r="C4779" s="12">
        <v>1000</v>
      </c>
      <c r="D4779" s="12">
        <v>100</v>
      </c>
    </row>
    <row r="4780" spans="1:4" x14ac:dyDescent="0.2">
      <c r="A4780" s="12" t="s">
        <v>6904</v>
      </c>
      <c r="B4780" s="12" t="s">
        <v>6903</v>
      </c>
      <c r="C4780" s="12" t="s">
        <v>59</v>
      </c>
      <c r="D4780" s="12" t="s">
        <v>59</v>
      </c>
    </row>
    <row r="4781" spans="1:4" x14ac:dyDescent="0.2">
      <c r="A4781" s="12" t="s">
        <v>6905</v>
      </c>
      <c r="B4781" s="12" t="s">
        <v>6903</v>
      </c>
      <c r="C4781" s="12">
        <v>1000</v>
      </c>
      <c r="D4781" s="12">
        <v>100</v>
      </c>
    </row>
    <row r="4782" spans="1:4" x14ac:dyDescent="0.2">
      <c r="A4782" s="12" t="s">
        <v>12054</v>
      </c>
      <c r="B4782" s="12" t="s">
        <v>12053</v>
      </c>
      <c r="C4782" s="12" t="s">
        <v>59</v>
      </c>
      <c r="D4782" s="12" t="s">
        <v>59</v>
      </c>
    </row>
    <row r="4783" spans="1:4" x14ac:dyDescent="0.2">
      <c r="A4783" s="12" t="s">
        <v>674</v>
      </c>
      <c r="B4783" s="12" t="s">
        <v>673</v>
      </c>
      <c r="C4783" s="12">
        <v>50</v>
      </c>
      <c r="D4783" s="12">
        <v>5</v>
      </c>
    </row>
    <row r="4784" spans="1:4" x14ac:dyDescent="0.2">
      <c r="A4784" s="12" t="s">
        <v>8968</v>
      </c>
      <c r="B4784" s="12" t="s">
        <v>8967</v>
      </c>
      <c r="C4784" s="12" t="s">
        <v>59</v>
      </c>
      <c r="D4784" s="12" t="s">
        <v>59</v>
      </c>
    </row>
    <row r="4785" spans="1:4" x14ac:dyDescent="0.2">
      <c r="A4785" s="12" t="s">
        <v>11860</v>
      </c>
      <c r="B4785" s="12" t="s">
        <v>11859</v>
      </c>
      <c r="C4785" s="12">
        <v>3400</v>
      </c>
      <c r="D4785" s="12">
        <v>340</v>
      </c>
    </row>
    <row r="4786" spans="1:4" x14ac:dyDescent="0.2">
      <c r="A4786" s="12" t="s">
        <v>6328</v>
      </c>
      <c r="B4786" s="12" t="s">
        <v>6327</v>
      </c>
      <c r="C4786" s="12">
        <v>100</v>
      </c>
      <c r="D4786" s="12">
        <v>10</v>
      </c>
    </row>
    <row r="4787" spans="1:4" x14ac:dyDescent="0.2">
      <c r="A4787" s="12" t="s">
        <v>6064</v>
      </c>
      <c r="B4787" s="12" t="s">
        <v>6063</v>
      </c>
      <c r="C4787" s="12" t="s">
        <v>59</v>
      </c>
      <c r="D4787" s="12" t="s">
        <v>59</v>
      </c>
    </row>
    <row r="4788" spans="1:4" x14ac:dyDescent="0.2">
      <c r="A4788" s="12" t="s">
        <v>6065</v>
      </c>
      <c r="B4788" s="12" t="s">
        <v>6063</v>
      </c>
      <c r="C4788" s="12">
        <v>1000</v>
      </c>
      <c r="D4788" s="12">
        <v>100</v>
      </c>
    </row>
    <row r="4789" spans="1:4" x14ac:dyDescent="0.2">
      <c r="A4789" s="12" t="s">
        <v>11378</v>
      </c>
      <c r="B4789" s="12" t="s">
        <v>11377</v>
      </c>
      <c r="C4789" s="12" t="s">
        <v>59</v>
      </c>
      <c r="D4789" s="12" t="s">
        <v>59</v>
      </c>
    </row>
    <row r="4790" spans="1:4" x14ac:dyDescent="0.2">
      <c r="A4790" s="12" t="s">
        <v>5992</v>
      </c>
      <c r="B4790" s="12" t="s">
        <v>5991</v>
      </c>
      <c r="C4790" s="12">
        <v>580</v>
      </c>
      <c r="D4790" s="12">
        <v>58</v>
      </c>
    </row>
    <row r="4791" spans="1:4" x14ac:dyDescent="0.2">
      <c r="A4791" s="12" t="s">
        <v>7513</v>
      </c>
      <c r="B4791" s="12" t="s">
        <v>7512</v>
      </c>
      <c r="C4791" s="12" t="s">
        <v>59</v>
      </c>
      <c r="D4791" s="12" t="s">
        <v>59</v>
      </c>
    </row>
    <row r="4792" spans="1:4" x14ac:dyDescent="0.2">
      <c r="A4792" s="12" t="s">
        <v>6175</v>
      </c>
      <c r="B4792" s="12" t="s">
        <v>6174</v>
      </c>
      <c r="C4792" s="12">
        <v>400</v>
      </c>
      <c r="D4792" s="12">
        <v>40</v>
      </c>
    </row>
    <row r="4793" spans="1:4" x14ac:dyDescent="0.2">
      <c r="A4793" s="12" t="s">
        <v>11954</v>
      </c>
      <c r="B4793" s="12" t="s">
        <v>11953</v>
      </c>
      <c r="C4793" s="12">
        <v>100</v>
      </c>
      <c r="D4793" s="12">
        <v>10</v>
      </c>
    </row>
    <row r="4794" spans="1:4" x14ac:dyDescent="0.2">
      <c r="A4794" s="12" t="s">
        <v>11460</v>
      </c>
      <c r="B4794" s="12" t="s">
        <v>11459</v>
      </c>
      <c r="C4794" s="12">
        <v>1000</v>
      </c>
      <c r="D4794" s="12">
        <v>100</v>
      </c>
    </row>
    <row r="4795" spans="1:4" x14ac:dyDescent="0.2">
      <c r="A4795" s="12" t="s">
        <v>5958</v>
      </c>
      <c r="B4795" s="12" t="s">
        <v>5957</v>
      </c>
      <c r="C4795" s="12">
        <v>500</v>
      </c>
      <c r="D4795" s="12">
        <v>50</v>
      </c>
    </row>
    <row r="4796" spans="1:4" x14ac:dyDescent="0.2">
      <c r="A4796" s="12" t="s">
        <v>1776</v>
      </c>
      <c r="B4796" s="12" t="s">
        <v>1775</v>
      </c>
      <c r="C4796" s="12" t="s">
        <v>59</v>
      </c>
      <c r="D4796" s="12" t="s">
        <v>59</v>
      </c>
    </row>
    <row r="4797" spans="1:4" x14ac:dyDescent="0.2">
      <c r="A4797" s="12" t="s">
        <v>4764</v>
      </c>
      <c r="B4797" s="12" t="s">
        <v>4763</v>
      </c>
      <c r="C4797" s="12">
        <v>2450</v>
      </c>
      <c r="D4797" s="12">
        <v>245</v>
      </c>
    </row>
    <row r="4798" spans="1:4" x14ac:dyDescent="0.2">
      <c r="A4798" s="12" t="s">
        <v>5728</v>
      </c>
      <c r="B4798" s="12" t="s">
        <v>5727</v>
      </c>
      <c r="C4798" s="12">
        <v>27</v>
      </c>
      <c r="D4798" s="12">
        <v>2</v>
      </c>
    </row>
    <row r="4799" spans="1:4" x14ac:dyDescent="0.2">
      <c r="A4799" s="12" t="s">
        <v>3582</v>
      </c>
      <c r="B4799" s="12" t="s">
        <v>3581</v>
      </c>
      <c r="C4799" s="12">
        <v>2000</v>
      </c>
      <c r="D4799" s="12">
        <v>200</v>
      </c>
    </row>
    <row r="4800" spans="1:4" x14ac:dyDescent="0.2">
      <c r="A4800" s="12" t="s">
        <v>6937</v>
      </c>
      <c r="B4800" s="12" t="s">
        <v>6936</v>
      </c>
      <c r="C4800" s="12">
        <v>1000</v>
      </c>
      <c r="D4800" s="12">
        <v>100</v>
      </c>
    </row>
    <row r="4801" spans="1:4" x14ac:dyDescent="0.2">
      <c r="A4801" s="12" t="s">
        <v>8154</v>
      </c>
      <c r="B4801" s="12" t="s">
        <v>8153</v>
      </c>
      <c r="C4801" s="12">
        <v>1100</v>
      </c>
      <c r="D4801" s="12">
        <v>110</v>
      </c>
    </row>
    <row r="4802" spans="1:4" x14ac:dyDescent="0.2">
      <c r="A4802" s="12" t="s">
        <v>1510</v>
      </c>
      <c r="B4802" s="12" t="s">
        <v>1509</v>
      </c>
      <c r="C4802" s="12">
        <v>100</v>
      </c>
      <c r="D4802" s="12">
        <v>10</v>
      </c>
    </row>
    <row r="4803" spans="1:4" x14ac:dyDescent="0.2">
      <c r="A4803" s="12" t="s">
        <v>6192</v>
      </c>
      <c r="B4803" s="12" t="s">
        <v>6191</v>
      </c>
      <c r="C4803" s="12">
        <v>600</v>
      </c>
      <c r="D4803" s="12">
        <v>60</v>
      </c>
    </row>
    <row r="4804" spans="1:4" x14ac:dyDescent="0.2">
      <c r="A4804" s="12" t="s">
        <v>3378</v>
      </c>
      <c r="B4804" s="12" t="s">
        <v>3377</v>
      </c>
      <c r="C4804" s="12" t="s">
        <v>59</v>
      </c>
      <c r="D4804" s="12" t="s">
        <v>59</v>
      </c>
    </row>
    <row r="4805" spans="1:4" x14ac:dyDescent="0.2">
      <c r="A4805" s="12" t="s">
        <v>3379</v>
      </c>
      <c r="B4805" s="12" t="s">
        <v>3377</v>
      </c>
      <c r="C4805" s="12">
        <v>1000</v>
      </c>
      <c r="D4805" s="12">
        <v>100</v>
      </c>
    </row>
    <row r="4806" spans="1:4" x14ac:dyDescent="0.2">
      <c r="A4806" s="12" t="s">
        <v>3604</v>
      </c>
      <c r="B4806" s="12" t="s">
        <v>3603</v>
      </c>
      <c r="C4806" s="12" t="s">
        <v>59</v>
      </c>
      <c r="D4806" s="12" t="s">
        <v>59</v>
      </c>
    </row>
    <row r="4807" spans="1:4" x14ac:dyDescent="0.2">
      <c r="A4807" s="12" t="s">
        <v>3605</v>
      </c>
      <c r="B4807" s="12" t="s">
        <v>3603</v>
      </c>
      <c r="C4807" s="12">
        <v>600</v>
      </c>
      <c r="D4807" s="12">
        <v>60</v>
      </c>
    </row>
    <row r="4808" spans="1:4" x14ac:dyDescent="0.2">
      <c r="A4808" s="12" t="s">
        <v>11162</v>
      </c>
      <c r="B4808" s="12" t="s">
        <v>11161</v>
      </c>
      <c r="C4808" s="12" t="s">
        <v>59</v>
      </c>
      <c r="D4808" s="12" t="s">
        <v>59</v>
      </c>
    </row>
    <row r="4809" spans="1:4" x14ac:dyDescent="0.2">
      <c r="A4809" s="12" t="s">
        <v>7002</v>
      </c>
      <c r="B4809" s="12" t="s">
        <v>7001</v>
      </c>
      <c r="C4809" s="12" t="s">
        <v>59</v>
      </c>
      <c r="D4809" s="12" t="s">
        <v>59</v>
      </c>
    </row>
    <row r="4810" spans="1:4" x14ac:dyDescent="0.2">
      <c r="A4810" s="12" t="s">
        <v>7003</v>
      </c>
      <c r="B4810" s="12" t="s">
        <v>7001</v>
      </c>
      <c r="C4810" s="12">
        <v>1000</v>
      </c>
      <c r="D4810" s="12">
        <v>100</v>
      </c>
    </row>
    <row r="4811" spans="1:4" x14ac:dyDescent="0.2">
      <c r="A4811" s="12" t="s">
        <v>8829</v>
      </c>
      <c r="B4811" s="12" t="s">
        <v>8828</v>
      </c>
      <c r="C4811" s="12">
        <v>14</v>
      </c>
      <c r="D4811" s="12">
        <v>1.4</v>
      </c>
    </row>
    <row r="4812" spans="1:4" x14ac:dyDescent="0.2">
      <c r="A4812" s="12" t="s">
        <v>9930</v>
      </c>
      <c r="B4812" s="12" t="s">
        <v>9929</v>
      </c>
      <c r="C4812" s="12">
        <v>100</v>
      </c>
      <c r="D4812" s="12">
        <v>10</v>
      </c>
    </row>
    <row r="4813" spans="1:4" x14ac:dyDescent="0.2">
      <c r="A4813" s="12" t="s">
        <v>267</v>
      </c>
      <c r="B4813" s="12" t="s">
        <v>266</v>
      </c>
      <c r="C4813" s="12">
        <v>30</v>
      </c>
      <c r="D4813" s="12">
        <v>3</v>
      </c>
    </row>
    <row r="4814" spans="1:4" x14ac:dyDescent="0.2">
      <c r="A4814" s="12" t="s">
        <v>7617</v>
      </c>
      <c r="B4814" s="12" t="s">
        <v>7616</v>
      </c>
      <c r="C4814" s="12">
        <v>27</v>
      </c>
      <c r="D4814" s="12">
        <v>2</v>
      </c>
    </row>
    <row r="4815" spans="1:4" x14ac:dyDescent="0.2">
      <c r="A4815" s="12" t="s">
        <v>1506</v>
      </c>
      <c r="B4815" s="12" t="s">
        <v>1505</v>
      </c>
      <c r="C4815" s="12">
        <v>100</v>
      </c>
      <c r="D4815" s="12">
        <v>10</v>
      </c>
    </row>
    <row r="4816" spans="1:4" x14ac:dyDescent="0.2">
      <c r="A4816" s="12" t="s">
        <v>1508</v>
      </c>
      <c r="B4816" s="12" t="s">
        <v>1507</v>
      </c>
      <c r="C4816" s="12">
        <v>1400</v>
      </c>
      <c r="D4816" s="12">
        <v>140</v>
      </c>
    </row>
    <row r="4817" spans="1:4" x14ac:dyDescent="0.2">
      <c r="A4817" s="12" t="s">
        <v>4276</v>
      </c>
      <c r="B4817" s="12" t="s">
        <v>4275</v>
      </c>
      <c r="C4817" s="12" t="s">
        <v>59</v>
      </c>
      <c r="D4817" s="12" t="s">
        <v>59</v>
      </c>
    </row>
    <row r="4818" spans="1:4" x14ac:dyDescent="0.2">
      <c r="A4818" s="12" t="s">
        <v>4277</v>
      </c>
      <c r="B4818" s="12" t="s">
        <v>4275</v>
      </c>
      <c r="C4818" s="12">
        <v>600</v>
      </c>
      <c r="D4818" s="12">
        <v>60</v>
      </c>
    </row>
    <row r="4819" spans="1:4" x14ac:dyDescent="0.2">
      <c r="A4819" s="12" t="s">
        <v>7067</v>
      </c>
      <c r="B4819" s="12" t="s">
        <v>7066</v>
      </c>
      <c r="C4819" s="12" t="s">
        <v>59</v>
      </c>
      <c r="D4819" s="12" t="s">
        <v>59</v>
      </c>
    </row>
    <row r="4820" spans="1:4" x14ac:dyDescent="0.2">
      <c r="A4820" s="12" t="s">
        <v>7068</v>
      </c>
      <c r="B4820" s="12" t="s">
        <v>7066</v>
      </c>
      <c r="C4820" s="12">
        <v>1000</v>
      </c>
      <c r="D4820" s="12">
        <v>100</v>
      </c>
    </row>
    <row r="4821" spans="1:4" x14ac:dyDescent="0.2">
      <c r="A4821" s="12" t="s">
        <v>7070</v>
      </c>
      <c r="B4821" s="12" t="s">
        <v>7069</v>
      </c>
      <c r="C4821" s="12">
        <v>400</v>
      </c>
      <c r="D4821" s="12">
        <v>40</v>
      </c>
    </row>
    <row r="4822" spans="1:4" x14ac:dyDescent="0.2">
      <c r="A4822" s="12" t="s">
        <v>11464</v>
      </c>
      <c r="B4822" s="12" t="s">
        <v>11463</v>
      </c>
      <c r="C4822" s="12" t="s">
        <v>59</v>
      </c>
      <c r="D4822" s="12" t="s">
        <v>59</v>
      </c>
    </row>
    <row r="4823" spans="1:4" x14ac:dyDescent="0.2">
      <c r="A4823" s="12" t="s">
        <v>11465</v>
      </c>
      <c r="B4823" s="12" t="s">
        <v>11463</v>
      </c>
      <c r="C4823" s="12">
        <v>1000</v>
      </c>
      <c r="D4823" s="12">
        <v>100</v>
      </c>
    </row>
    <row r="4824" spans="1:4" x14ac:dyDescent="0.2">
      <c r="A4824" s="12" t="s">
        <v>6864</v>
      </c>
      <c r="B4824" s="12" t="s">
        <v>6863</v>
      </c>
      <c r="C4824" s="12" t="s">
        <v>59</v>
      </c>
      <c r="D4824" s="12" t="s">
        <v>59</v>
      </c>
    </row>
    <row r="4825" spans="1:4" x14ac:dyDescent="0.2">
      <c r="A4825" s="12" t="s">
        <v>6865</v>
      </c>
      <c r="B4825" s="12" t="s">
        <v>6863</v>
      </c>
      <c r="C4825" s="12">
        <v>1000</v>
      </c>
      <c r="D4825" s="12">
        <v>100</v>
      </c>
    </row>
    <row r="4826" spans="1:4" x14ac:dyDescent="0.2">
      <c r="A4826" s="12" t="s">
        <v>6861</v>
      </c>
      <c r="B4826" s="12" t="s">
        <v>6860</v>
      </c>
      <c r="C4826" s="12" t="s">
        <v>59</v>
      </c>
      <c r="D4826" s="12" t="s">
        <v>59</v>
      </c>
    </row>
    <row r="4827" spans="1:4" x14ac:dyDescent="0.2">
      <c r="A4827" s="12" t="s">
        <v>6862</v>
      </c>
      <c r="B4827" s="12" t="s">
        <v>6860</v>
      </c>
      <c r="C4827" s="12">
        <v>1000</v>
      </c>
      <c r="D4827" s="12">
        <v>100</v>
      </c>
    </row>
    <row r="4828" spans="1:4" x14ac:dyDescent="0.2">
      <c r="A4828" s="12" t="s">
        <v>8815</v>
      </c>
      <c r="B4828" s="12" t="s">
        <v>8814</v>
      </c>
      <c r="C4828" s="12">
        <v>100</v>
      </c>
      <c r="D4828" s="12">
        <v>10</v>
      </c>
    </row>
    <row r="4829" spans="1:4" x14ac:dyDescent="0.2">
      <c r="A4829" s="12" t="s">
        <v>9091</v>
      </c>
      <c r="B4829" s="12" t="s">
        <v>9090</v>
      </c>
      <c r="C4829" s="12">
        <v>100</v>
      </c>
      <c r="D4829" s="12">
        <v>10</v>
      </c>
    </row>
    <row r="4830" spans="1:4" x14ac:dyDescent="0.2">
      <c r="A4830" s="12" t="s">
        <v>10678</v>
      </c>
      <c r="B4830" s="12" t="s">
        <v>10677</v>
      </c>
      <c r="C4830" s="12" t="s">
        <v>59</v>
      </c>
      <c r="D4830" s="12" t="s">
        <v>59</v>
      </c>
    </row>
    <row r="4831" spans="1:4" x14ac:dyDescent="0.2">
      <c r="A4831" s="12" t="s">
        <v>10331</v>
      </c>
      <c r="B4831" s="12" t="s">
        <v>10330</v>
      </c>
      <c r="C4831" s="12">
        <v>10</v>
      </c>
      <c r="D4831" s="12">
        <v>1</v>
      </c>
    </row>
    <row r="4832" spans="1:4" x14ac:dyDescent="0.2">
      <c r="A4832" s="12" t="s">
        <v>7357</v>
      </c>
      <c r="B4832" s="12" t="s">
        <v>7356</v>
      </c>
      <c r="C4832" s="12">
        <v>1100</v>
      </c>
      <c r="D4832" s="12">
        <v>110</v>
      </c>
    </row>
    <row r="4833" spans="1:4" x14ac:dyDescent="0.2">
      <c r="A4833" s="12" t="s">
        <v>8083</v>
      </c>
      <c r="B4833" s="12" t="s">
        <v>8082</v>
      </c>
      <c r="C4833" s="12">
        <v>1100</v>
      </c>
      <c r="D4833" s="12">
        <v>110</v>
      </c>
    </row>
    <row r="4834" spans="1:4" x14ac:dyDescent="0.2">
      <c r="A4834" s="12" t="s">
        <v>8108</v>
      </c>
      <c r="B4834" s="12" t="s">
        <v>8107</v>
      </c>
      <c r="C4834" s="12">
        <v>1100</v>
      </c>
      <c r="D4834" s="12">
        <v>110</v>
      </c>
    </row>
    <row r="4835" spans="1:4" x14ac:dyDescent="0.2">
      <c r="A4835" s="12" t="s">
        <v>12457</v>
      </c>
      <c r="B4835" s="12" t="s">
        <v>12456</v>
      </c>
      <c r="C4835" s="12">
        <v>20</v>
      </c>
      <c r="D4835" s="12">
        <v>2</v>
      </c>
    </row>
    <row r="4836" spans="1:4" x14ac:dyDescent="0.2">
      <c r="A4836" s="12" t="s">
        <v>9047</v>
      </c>
      <c r="B4836" s="12" t="s">
        <v>9046</v>
      </c>
      <c r="C4836" s="12">
        <v>3500</v>
      </c>
      <c r="D4836" s="12">
        <v>350</v>
      </c>
    </row>
    <row r="4837" spans="1:4" x14ac:dyDescent="0.2">
      <c r="A4837" s="12" t="s">
        <v>7040</v>
      </c>
      <c r="B4837" s="12" t="s">
        <v>7039</v>
      </c>
      <c r="C4837" s="12" t="s">
        <v>59</v>
      </c>
      <c r="D4837" s="12" t="s">
        <v>59</v>
      </c>
    </row>
    <row r="4838" spans="1:4" x14ac:dyDescent="0.2">
      <c r="A4838" s="12" t="s">
        <v>7041</v>
      </c>
      <c r="B4838" s="12" t="s">
        <v>7039</v>
      </c>
      <c r="C4838" s="12">
        <v>1000</v>
      </c>
      <c r="D4838" s="12">
        <v>100</v>
      </c>
    </row>
    <row r="4839" spans="1:4" x14ac:dyDescent="0.2">
      <c r="A4839" s="12" t="s">
        <v>11439</v>
      </c>
      <c r="B4839" s="12" t="s">
        <v>11438</v>
      </c>
      <c r="C4839" s="12">
        <v>1000</v>
      </c>
      <c r="D4839" s="12">
        <v>100</v>
      </c>
    </row>
    <row r="4840" spans="1:4" x14ac:dyDescent="0.2">
      <c r="A4840" s="12" t="s">
        <v>6997</v>
      </c>
      <c r="B4840" s="12" t="s">
        <v>6996</v>
      </c>
      <c r="C4840" s="12" t="s">
        <v>59</v>
      </c>
      <c r="D4840" s="12" t="s">
        <v>59</v>
      </c>
    </row>
    <row r="4841" spans="1:4" x14ac:dyDescent="0.2">
      <c r="A4841" s="12" t="s">
        <v>6998</v>
      </c>
      <c r="B4841" s="12" t="s">
        <v>6996</v>
      </c>
      <c r="C4841" s="12">
        <v>1000</v>
      </c>
      <c r="D4841" s="12">
        <v>100</v>
      </c>
    </row>
    <row r="4842" spans="1:4" x14ac:dyDescent="0.2">
      <c r="A4842" s="12" t="s">
        <v>7078</v>
      </c>
      <c r="B4842" s="12" t="s">
        <v>7077</v>
      </c>
      <c r="C4842" s="12" t="s">
        <v>59</v>
      </c>
      <c r="D4842" s="12" t="s">
        <v>59</v>
      </c>
    </row>
    <row r="4843" spans="1:4" x14ac:dyDescent="0.2">
      <c r="A4843" s="12" t="s">
        <v>7079</v>
      </c>
      <c r="B4843" s="12" t="s">
        <v>7077</v>
      </c>
      <c r="C4843" s="12">
        <v>1000</v>
      </c>
      <c r="D4843" s="12">
        <v>100</v>
      </c>
    </row>
    <row r="4844" spans="1:4" x14ac:dyDescent="0.2">
      <c r="A4844" s="12" t="s">
        <v>4176</v>
      </c>
      <c r="B4844" s="12" t="s">
        <v>4175</v>
      </c>
      <c r="C4844" s="12">
        <v>240</v>
      </c>
      <c r="D4844" s="12">
        <v>24</v>
      </c>
    </row>
    <row r="4845" spans="1:4" x14ac:dyDescent="0.2">
      <c r="A4845" s="12" t="s">
        <v>10528</v>
      </c>
      <c r="B4845" s="12" t="s">
        <v>10527</v>
      </c>
      <c r="C4845" s="12">
        <v>600</v>
      </c>
      <c r="D4845" s="12">
        <v>60</v>
      </c>
    </row>
    <row r="4846" spans="1:4" x14ac:dyDescent="0.2">
      <c r="A4846" s="12" t="s">
        <v>5033</v>
      </c>
      <c r="B4846" s="12" t="s">
        <v>5032</v>
      </c>
      <c r="C4846" s="12">
        <v>100</v>
      </c>
      <c r="D4846" s="12">
        <v>10</v>
      </c>
    </row>
    <row r="4847" spans="1:4" x14ac:dyDescent="0.2">
      <c r="A4847" s="12" t="s">
        <v>10651</v>
      </c>
      <c r="B4847" s="12" t="s">
        <v>10650</v>
      </c>
      <c r="C4847" s="12">
        <v>240</v>
      </c>
      <c r="D4847" s="12">
        <v>6.4</v>
      </c>
    </row>
    <row r="4848" spans="1:4" x14ac:dyDescent="0.2">
      <c r="A4848" s="12" t="s">
        <v>3360</v>
      </c>
      <c r="B4848" s="12" t="s">
        <v>3359</v>
      </c>
      <c r="C4848" s="12" t="s">
        <v>59</v>
      </c>
      <c r="D4848" s="12" t="s">
        <v>59</v>
      </c>
    </row>
    <row r="4849" spans="1:4" x14ac:dyDescent="0.2">
      <c r="A4849" s="12" t="s">
        <v>3361</v>
      </c>
      <c r="B4849" s="12" t="s">
        <v>3359</v>
      </c>
      <c r="C4849" s="12">
        <v>1000</v>
      </c>
      <c r="D4849" s="12">
        <v>100</v>
      </c>
    </row>
    <row r="4850" spans="1:4" x14ac:dyDescent="0.2">
      <c r="A4850" s="12" t="s">
        <v>7962</v>
      </c>
      <c r="B4850" s="12" t="s">
        <v>7961</v>
      </c>
      <c r="C4850" s="12">
        <v>290</v>
      </c>
      <c r="D4850" s="12">
        <v>3.3</v>
      </c>
    </row>
    <row r="4851" spans="1:4" x14ac:dyDescent="0.2">
      <c r="A4851" s="12" t="s">
        <v>10926</v>
      </c>
      <c r="B4851" s="12" t="s">
        <v>10925</v>
      </c>
      <c r="C4851" s="12" t="s">
        <v>59</v>
      </c>
      <c r="D4851" s="12" t="s">
        <v>59</v>
      </c>
    </row>
    <row r="4852" spans="1:4" x14ac:dyDescent="0.2">
      <c r="A4852" s="12" t="s">
        <v>10927</v>
      </c>
      <c r="B4852" s="12" t="s">
        <v>10925</v>
      </c>
      <c r="C4852" s="12">
        <v>1000</v>
      </c>
      <c r="D4852" s="12">
        <v>100</v>
      </c>
    </row>
    <row r="4853" spans="1:4" x14ac:dyDescent="0.2">
      <c r="A4853" s="12" t="s">
        <v>3598</v>
      </c>
      <c r="B4853" s="12" t="s">
        <v>3597</v>
      </c>
      <c r="C4853" s="12">
        <v>600</v>
      </c>
      <c r="D4853" s="12">
        <v>60</v>
      </c>
    </row>
    <row r="4854" spans="1:4" x14ac:dyDescent="0.2">
      <c r="A4854" s="12" t="s">
        <v>6832</v>
      </c>
      <c r="B4854" s="12" t="s">
        <v>6831</v>
      </c>
      <c r="C4854" s="12" t="s">
        <v>59</v>
      </c>
      <c r="D4854" s="12" t="s">
        <v>59</v>
      </c>
    </row>
    <row r="4855" spans="1:4" x14ac:dyDescent="0.2">
      <c r="A4855" s="12" t="s">
        <v>6833</v>
      </c>
      <c r="B4855" s="12" t="s">
        <v>6831</v>
      </c>
      <c r="C4855" s="12">
        <v>1000</v>
      </c>
      <c r="D4855" s="12">
        <v>100</v>
      </c>
    </row>
    <row r="4856" spans="1:4" x14ac:dyDescent="0.2">
      <c r="A4856" s="12" t="s">
        <v>6942</v>
      </c>
      <c r="B4856" s="12" t="s">
        <v>6941</v>
      </c>
      <c r="C4856" s="12" t="s">
        <v>59</v>
      </c>
      <c r="D4856" s="12" t="s">
        <v>59</v>
      </c>
    </row>
    <row r="4857" spans="1:4" x14ac:dyDescent="0.2">
      <c r="A4857" s="12" t="s">
        <v>6943</v>
      </c>
      <c r="B4857" s="12" t="s">
        <v>6941</v>
      </c>
      <c r="C4857" s="12">
        <v>1000</v>
      </c>
      <c r="D4857" s="12">
        <v>100</v>
      </c>
    </row>
    <row r="4858" spans="1:4" x14ac:dyDescent="0.2">
      <c r="A4858" s="12" t="s">
        <v>6887</v>
      </c>
      <c r="B4858" s="12" t="s">
        <v>6886</v>
      </c>
      <c r="C4858" s="12" t="s">
        <v>59</v>
      </c>
      <c r="D4858" s="12" t="s">
        <v>59</v>
      </c>
    </row>
    <row r="4859" spans="1:4" x14ac:dyDescent="0.2">
      <c r="A4859" s="12" t="s">
        <v>6888</v>
      </c>
      <c r="B4859" s="12" t="s">
        <v>6886</v>
      </c>
      <c r="C4859" s="12">
        <v>1000</v>
      </c>
      <c r="D4859" s="12">
        <v>100</v>
      </c>
    </row>
    <row r="4860" spans="1:4" x14ac:dyDescent="0.2">
      <c r="A4860" s="12" t="s">
        <v>11587</v>
      </c>
      <c r="B4860" s="12" t="s">
        <v>11586</v>
      </c>
      <c r="C4860" s="12">
        <v>140</v>
      </c>
      <c r="D4860" s="12">
        <v>14</v>
      </c>
    </row>
    <row r="4861" spans="1:4" x14ac:dyDescent="0.2">
      <c r="A4861" s="12" t="s">
        <v>3351</v>
      </c>
      <c r="B4861" s="12" t="s">
        <v>3350</v>
      </c>
      <c r="C4861" s="12" t="s">
        <v>59</v>
      </c>
      <c r="D4861" s="12" t="s">
        <v>59</v>
      </c>
    </row>
    <row r="4862" spans="1:4" x14ac:dyDescent="0.2">
      <c r="A4862" s="12" t="s">
        <v>3352</v>
      </c>
      <c r="B4862" s="12" t="s">
        <v>3350</v>
      </c>
      <c r="C4862" s="12">
        <v>1000</v>
      </c>
      <c r="D4862" s="12">
        <v>100</v>
      </c>
    </row>
    <row r="4863" spans="1:4" ht="28.5" x14ac:dyDescent="0.2">
      <c r="A4863" s="12" t="s">
        <v>6969</v>
      </c>
      <c r="B4863" s="12" t="s">
        <v>6968</v>
      </c>
      <c r="C4863" s="12" t="s">
        <v>59</v>
      </c>
      <c r="D4863" s="12" t="s">
        <v>59</v>
      </c>
    </row>
    <row r="4864" spans="1:4" ht="28.5" x14ac:dyDescent="0.2">
      <c r="A4864" s="12" t="s">
        <v>6970</v>
      </c>
      <c r="B4864" s="12" t="s">
        <v>6968</v>
      </c>
      <c r="C4864" s="12">
        <v>1000</v>
      </c>
      <c r="D4864" s="12">
        <v>100</v>
      </c>
    </row>
    <row r="4865" spans="1:4" x14ac:dyDescent="0.2">
      <c r="A4865" s="12" t="s">
        <v>10200</v>
      </c>
      <c r="B4865" s="12" t="s">
        <v>10199</v>
      </c>
      <c r="C4865" s="12" t="s">
        <v>59</v>
      </c>
      <c r="D4865" s="12" t="s">
        <v>59</v>
      </c>
    </row>
    <row r="4866" spans="1:4" x14ac:dyDescent="0.2">
      <c r="A4866" s="12" t="s">
        <v>10201</v>
      </c>
      <c r="B4866" s="12" t="s">
        <v>10199</v>
      </c>
      <c r="C4866" s="12">
        <v>1000</v>
      </c>
      <c r="D4866" s="12">
        <v>100</v>
      </c>
    </row>
    <row r="4867" spans="1:4" x14ac:dyDescent="0.2">
      <c r="A4867" s="12" t="s">
        <v>9341</v>
      </c>
      <c r="B4867" s="12" t="s">
        <v>9340</v>
      </c>
      <c r="C4867" s="12">
        <v>400</v>
      </c>
      <c r="D4867" s="12">
        <v>40</v>
      </c>
    </row>
    <row r="4868" spans="1:4" x14ac:dyDescent="0.2">
      <c r="A4868" s="12" t="s">
        <v>10352</v>
      </c>
      <c r="B4868" s="12" t="s">
        <v>10351</v>
      </c>
      <c r="C4868" s="12" t="s">
        <v>59</v>
      </c>
      <c r="D4868" s="12" t="s">
        <v>59</v>
      </c>
    </row>
    <row r="4869" spans="1:4" x14ac:dyDescent="0.2">
      <c r="A4869" s="12" t="s">
        <v>10353</v>
      </c>
      <c r="B4869" s="12" t="s">
        <v>10351</v>
      </c>
      <c r="C4869" s="12">
        <v>1000</v>
      </c>
      <c r="D4869" s="12">
        <v>100</v>
      </c>
    </row>
    <row r="4870" spans="1:4" x14ac:dyDescent="0.2">
      <c r="A4870" s="12" t="s">
        <v>12325</v>
      </c>
      <c r="B4870" s="12" t="s">
        <v>12324</v>
      </c>
      <c r="C4870" s="12" t="s">
        <v>59</v>
      </c>
      <c r="D4870" s="12" t="s">
        <v>59</v>
      </c>
    </row>
    <row r="4871" spans="1:4" x14ac:dyDescent="0.2">
      <c r="A4871" s="12" t="s">
        <v>6094</v>
      </c>
      <c r="B4871" s="12" t="s">
        <v>6093</v>
      </c>
      <c r="C4871" s="12">
        <v>1000</v>
      </c>
      <c r="D4871" s="12">
        <v>100</v>
      </c>
    </row>
    <row r="4872" spans="1:4" x14ac:dyDescent="0.2">
      <c r="A4872" s="12" t="s">
        <v>7005</v>
      </c>
      <c r="B4872" s="12" t="s">
        <v>7004</v>
      </c>
      <c r="C4872" s="12" t="s">
        <v>59</v>
      </c>
      <c r="D4872" s="12" t="s">
        <v>59</v>
      </c>
    </row>
    <row r="4873" spans="1:4" x14ac:dyDescent="0.2">
      <c r="A4873" s="12" t="s">
        <v>7006</v>
      </c>
      <c r="B4873" s="12" t="s">
        <v>7004</v>
      </c>
      <c r="C4873" s="12">
        <v>1000</v>
      </c>
      <c r="D4873" s="12">
        <v>100</v>
      </c>
    </row>
    <row r="4874" spans="1:4" x14ac:dyDescent="0.2">
      <c r="A4874" s="12" t="s">
        <v>7084</v>
      </c>
      <c r="B4874" s="12" t="s">
        <v>7083</v>
      </c>
      <c r="C4874" s="12" t="s">
        <v>59</v>
      </c>
      <c r="D4874" s="12" t="s">
        <v>59</v>
      </c>
    </row>
    <row r="4875" spans="1:4" x14ac:dyDescent="0.2">
      <c r="A4875" s="12" t="s">
        <v>7085</v>
      </c>
      <c r="B4875" s="12" t="s">
        <v>7083</v>
      </c>
      <c r="C4875" s="12">
        <v>1000</v>
      </c>
      <c r="D4875" s="12">
        <v>100</v>
      </c>
    </row>
    <row r="4876" spans="1:4" x14ac:dyDescent="0.2">
      <c r="A4876" s="12" t="s">
        <v>9515</v>
      </c>
      <c r="B4876" s="12" t="s">
        <v>9514</v>
      </c>
      <c r="C4876" s="12" t="s">
        <v>59</v>
      </c>
      <c r="D4876" s="12" t="s">
        <v>59</v>
      </c>
    </row>
    <row r="4877" spans="1:4" x14ac:dyDescent="0.2">
      <c r="A4877" s="12" t="s">
        <v>9562</v>
      </c>
      <c r="B4877" s="12" t="s">
        <v>9561</v>
      </c>
      <c r="C4877" s="12" t="s">
        <v>59</v>
      </c>
      <c r="D4877" s="12" t="s">
        <v>59</v>
      </c>
    </row>
    <row r="4878" spans="1:4" x14ac:dyDescent="0.2">
      <c r="A4878" s="12" t="s">
        <v>9563</v>
      </c>
      <c r="B4878" s="12" t="s">
        <v>9561</v>
      </c>
      <c r="C4878" s="12">
        <v>1000</v>
      </c>
      <c r="D4878" s="12">
        <v>100</v>
      </c>
    </row>
    <row r="4879" spans="1:4" x14ac:dyDescent="0.2">
      <c r="A4879" s="12" t="s">
        <v>5726</v>
      </c>
      <c r="B4879" s="12" t="s">
        <v>5725</v>
      </c>
      <c r="C4879" s="12" t="s">
        <v>59</v>
      </c>
      <c r="D4879" s="12" t="s">
        <v>59</v>
      </c>
    </row>
    <row r="4880" spans="1:4" x14ac:dyDescent="0.2">
      <c r="A4880" s="12" t="s">
        <v>4757</v>
      </c>
      <c r="B4880" s="12" t="s">
        <v>4756</v>
      </c>
      <c r="C4880" s="12" t="s">
        <v>59</v>
      </c>
      <c r="D4880" s="12" t="s">
        <v>59</v>
      </c>
    </row>
    <row r="4881" spans="1:4" x14ac:dyDescent="0.2">
      <c r="A4881" s="12" t="s">
        <v>4758</v>
      </c>
      <c r="B4881" s="12" t="s">
        <v>4756</v>
      </c>
      <c r="C4881" s="12">
        <v>600</v>
      </c>
      <c r="D4881" s="12">
        <v>60</v>
      </c>
    </row>
    <row r="4882" spans="1:4" x14ac:dyDescent="0.2">
      <c r="A4882" s="12" t="s">
        <v>6473</v>
      </c>
      <c r="B4882" s="12" t="s">
        <v>6472</v>
      </c>
      <c r="C4882" s="12">
        <v>2450</v>
      </c>
      <c r="D4882" s="12">
        <v>245</v>
      </c>
    </row>
    <row r="4883" spans="1:4" x14ac:dyDescent="0.2">
      <c r="A4883" s="12" t="s">
        <v>9821</v>
      </c>
      <c r="B4883" s="12" t="s">
        <v>9820</v>
      </c>
      <c r="C4883" s="12">
        <v>1000</v>
      </c>
      <c r="D4883" s="12">
        <v>100</v>
      </c>
    </row>
    <row r="4884" spans="1:4" x14ac:dyDescent="0.2">
      <c r="A4884" s="12" t="s">
        <v>9822</v>
      </c>
      <c r="B4884" s="12" t="s">
        <v>9820</v>
      </c>
      <c r="C4884" s="12" t="s">
        <v>59</v>
      </c>
      <c r="D4884" s="12" t="s">
        <v>59</v>
      </c>
    </row>
    <row r="4885" spans="1:4" x14ac:dyDescent="0.2">
      <c r="A4885" s="12" t="s">
        <v>9811</v>
      </c>
      <c r="B4885" s="12" t="s">
        <v>9810</v>
      </c>
      <c r="C4885" s="12">
        <v>1250</v>
      </c>
      <c r="D4885" s="12">
        <v>125</v>
      </c>
    </row>
    <row r="4886" spans="1:4" x14ac:dyDescent="0.2">
      <c r="A4886" s="12" t="s">
        <v>4760</v>
      </c>
      <c r="B4886" s="12" t="s">
        <v>4759</v>
      </c>
      <c r="C4886" s="12">
        <v>99</v>
      </c>
      <c r="D4886" s="12">
        <v>9.9</v>
      </c>
    </row>
    <row r="4887" spans="1:4" x14ac:dyDescent="0.2">
      <c r="A4887" s="12" t="s">
        <v>3928</v>
      </c>
      <c r="B4887" s="12" t="s">
        <v>3927</v>
      </c>
      <c r="C4887" s="12">
        <v>100</v>
      </c>
      <c r="D4887" s="12">
        <v>10</v>
      </c>
    </row>
    <row r="4888" spans="1:4" x14ac:dyDescent="0.2">
      <c r="A4888" s="12" t="s">
        <v>4778</v>
      </c>
      <c r="B4888" s="12" t="s">
        <v>4777</v>
      </c>
      <c r="C4888" s="12">
        <v>16</v>
      </c>
      <c r="D4888" s="12">
        <v>0.54</v>
      </c>
    </row>
    <row r="4889" spans="1:4" x14ac:dyDescent="0.2">
      <c r="A4889" s="12" t="s">
        <v>6478</v>
      </c>
      <c r="B4889" s="12" t="s">
        <v>6477</v>
      </c>
      <c r="C4889" s="12">
        <v>600</v>
      </c>
      <c r="D4889" s="12">
        <v>60</v>
      </c>
    </row>
    <row r="4890" spans="1:4" x14ac:dyDescent="0.2">
      <c r="A4890" s="12" t="s">
        <v>6479</v>
      </c>
      <c r="B4890" s="12" t="s">
        <v>6477</v>
      </c>
      <c r="C4890" s="12" t="s">
        <v>59</v>
      </c>
      <c r="D4890" s="12" t="s">
        <v>59</v>
      </c>
    </row>
    <row r="4891" spans="1:4" x14ac:dyDescent="0.2">
      <c r="A4891" s="12" t="s">
        <v>3946</v>
      </c>
      <c r="B4891" s="12" t="s">
        <v>3945</v>
      </c>
      <c r="C4891" s="12">
        <v>400</v>
      </c>
      <c r="D4891" s="12">
        <v>40</v>
      </c>
    </row>
    <row r="4892" spans="1:4" x14ac:dyDescent="0.2">
      <c r="A4892" s="12" t="s">
        <v>6841</v>
      </c>
      <c r="B4892" s="12" t="s">
        <v>6840</v>
      </c>
      <c r="C4892" s="12" t="s">
        <v>59</v>
      </c>
      <c r="D4892" s="12" t="s">
        <v>59</v>
      </c>
    </row>
    <row r="4893" spans="1:4" x14ac:dyDescent="0.2">
      <c r="A4893" s="12" t="s">
        <v>6842</v>
      </c>
      <c r="B4893" s="12" t="s">
        <v>6840</v>
      </c>
      <c r="C4893" s="12">
        <v>1000</v>
      </c>
      <c r="D4893" s="12">
        <v>100</v>
      </c>
    </row>
    <row r="4894" spans="1:4" x14ac:dyDescent="0.2">
      <c r="A4894" s="12" t="s">
        <v>6846</v>
      </c>
      <c r="B4894" s="12" t="s">
        <v>6845</v>
      </c>
      <c r="C4894" s="12" t="s">
        <v>59</v>
      </c>
      <c r="D4894" s="12" t="s">
        <v>59</v>
      </c>
    </row>
    <row r="4895" spans="1:4" x14ac:dyDescent="0.2">
      <c r="A4895" s="12" t="s">
        <v>6847</v>
      </c>
      <c r="B4895" s="12" t="s">
        <v>6845</v>
      </c>
      <c r="C4895" s="12">
        <v>1000</v>
      </c>
      <c r="D4895" s="12">
        <v>100</v>
      </c>
    </row>
    <row r="4896" spans="1:4" x14ac:dyDescent="0.2">
      <c r="A4896" s="12" t="s">
        <v>6923</v>
      </c>
      <c r="B4896" s="12" t="s">
        <v>6922</v>
      </c>
      <c r="C4896" s="12" t="s">
        <v>59</v>
      </c>
      <c r="D4896" s="12" t="s">
        <v>59</v>
      </c>
    </row>
    <row r="4897" spans="1:4" x14ac:dyDescent="0.2">
      <c r="A4897" s="12" t="s">
        <v>6924</v>
      </c>
      <c r="B4897" s="12" t="s">
        <v>6922</v>
      </c>
      <c r="C4897" s="12">
        <v>1000</v>
      </c>
      <c r="D4897" s="12">
        <v>100</v>
      </c>
    </row>
    <row r="4898" spans="1:4" x14ac:dyDescent="0.2">
      <c r="A4898" s="12" t="s">
        <v>6989</v>
      </c>
      <c r="B4898" s="12" t="s">
        <v>6988</v>
      </c>
      <c r="C4898" s="12" t="s">
        <v>59</v>
      </c>
      <c r="D4898" s="12" t="s">
        <v>59</v>
      </c>
    </row>
    <row r="4899" spans="1:4" x14ac:dyDescent="0.2">
      <c r="A4899" s="12" t="s">
        <v>6990</v>
      </c>
      <c r="B4899" s="12" t="s">
        <v>6988</v>
      </c>
      <c r="C4899" s="12">
        <v>1000</v>
      </c>
      <c r="D4899" s="12">
        <v>100</v>
      </c>
    </row>
    <row r="4900" spans="1:4" x14ac:dyDescent="0.2">
      <c r="A4900" s="12" t="s">
        <v>7030</v>
      </c>
      <c r="B4900" s="12" t="s">
        <v>7029</v>
      </c>
      <c r="C4900" s="12" t="s">
        <v>59</v>
      </c>
      <c r="D4900" s="12" t="s">
        <v>59</v>
      </c>
    </row>
    <row r="4901" spans="1:4" x14ac:dyDescent="0.2">
      <c r="A4901" s="12" t="s">
        <v>7043</v>
      </c>
      <c r="B4901" s="12" t="s">
        <v>7042</v>
      </c>
      <c r="C4901" s="12" t="s">
        <v>59</v>
      </c>
      <c r="D4901" s="12" t="s">
        <v>59</v>
      </c>
    </row>
    <row r="4902" spans="1:4" x14ac:dyDescent="0.2">
      <c r="A4902" s="12" t="s">
        <v>7044</v>
      </c>
      <c r="B4902" s="12" t="s">
        <v>7042</v>
      </c>
      <c r="C4902" s="12">
        <v>1000</v>
      </c>
      <c r="D4902" s="12">
        <v>100</v>
      </c>
    </row>
    <row r="4903" spans="1:4" x14ac:dyDescent="0.2">
      <c r="A4903" s="12" t="s">
        <v>7058</v>
      </c>
      <c r="B4903" s="12" t="s">
        <v>7057</v>
      </c>
      <c r="C4903" s="12" t="s">
        <v>59</v>
      </c>
      <c r="D4903" s="12" t="s">
        <v>59</v>
      </c>
    </row>
    <row r="4904" spans="1:4" x14ac:dyDescent="0.2">
      <c r="A4904" s="12" t="s">
        <v>7059</v>
      </c>
      <c r="B4904" s="12" t="s">
        <v>7057</v>
      </c>
      <c r="C4904" s="12">
        <v>1000</v>
      </c>
      <c r="D4904" s="12">
        <v>100</v>
      </c>
    </row>
    <row r="4905" spans="1:4" x14ac:dyDescent="0.2">
      <c r="A4905" s="12" t="s">
        <v>4784</v>
      </c>
      <c r="B4905" s="12" t="s">
        <v>4783</v>
      </c>
      <c r="C4905" s="12">
        <v>10000</v>
      </c>
      <c r="D4905" s="12">
        <v>480</v>
      </c>
    </row>
    <row r="4906" spans="1:4" x14ac:dyDescent="0.2">
      <c r="A4906" s="12" t="s">
        <v>6221</v>
      </c>
      <c r="B4906" s="12" t="s">
        <v>6220</v>
      </c>
      <c r="C4906" s="12">
        <v>1100</v>
      </c>
      <c r="D4906" s="12">
        <v>110</v>
      </c>
    </row>
    <row r="4907" spans="1:4" x14ac:dyDescent="0.2">
      <c r="A4907" s="12" t="s">
        <v>12288</v>
      </c>
      <c r="B4907" s="12" t="s">
        <v>12287</v>
      </c>
      <c r="C4907" s="12" t="s">
        <v>59</v>
      </c>
      <c r="D4907" s="12" t="s">
        <v>59</v>
      </c>
    </row>
    <row r="4908" spans="1:4" x14ac:dyDescent="0.2">
      <c r="A4908" s="12" t="s">
        <v>12289</v>
      </c>
      <c r="B4908" s="12" t="s">
        <v>12287</v>
      </c>
      <c r="C4908" s="12">
        <v>1000</v>
      </c>
      <c r="D4908" s="12">
        <v>100</v>
      </c>
    </row>
    <row r="4909" spans="1:4" x14ac:dyDescent="0.2">
      <c r="A4909" s="12" t="s">
        <v>9646</v>
      </c>
      <c r="B4909" s="12" t="s">
        <v>9645</v>
      </c>
      <c r="C4909" s="12" t="s">
        <v>59</v>
      </c>
      <c r="D4909" s="12" t="s">
        <v>59</v>
      </c>
    </row>
    <row r="4910" spans="1:4" x14ac:dyDescent="0.2">
      <c r="A4910" s="12" t="s">
        <v>1901</v>
      </c>
      <c r="B4910" s="12" t="s">
        <v>1900</v>
      </c>
      <c r="C4910" s="12" t="s">
        <v>59</v>
      </c>
      <c r="D4910" s="12" t="s">
        <v>59</v>
      </c>
    </row>
    <row r="4911" spans="1:4" x14ac:dyDescent="0.2">
      <c r="A4911" s="12" t="s">
        <v>10700</v>
      </c>
      <c r="B4911" s="12" t="s">
        <v>10699</v>
      </c>
      <c r="C4911" s="12" t="s">
        <v>59</v>
      </c>
      <c r="D4911" s="12" t="s">
        <v>59</v>
      </c>
    </row>
    <row r="4912" spans="1:4" x14ac:dyDescent="0.2">
      <c r="A4912" s="12" t="s">
        <v>6120</v>
      </c>
      <c r="B4912" s="12" t="s">
        <v>6119</v>
      </c>
      <c r="C4912" s="12">
        <v>1000</v>
      </c>
      <c r="D4912" s="12">
        <v>100</v>
      </c>
    </row>
    <row r="4913" spans="1:4" x14ac:dyDescent="0.2">
      <c r="A4913" s="12" t="s">
        <v>6563</v>
      </c>
      <c r="B4913" s="12" t="s">
        <v>6562</v>
      </c>
      <c r="C4913" s="12">
        <v>51</v>
      </c>
      <c r="D4913" s="12">
        <v>7.5</v>
      </c>
    </row>
    <row r="4914" spans="1:4" x14ac:dyDescent="0.2">
      <c r="A4914" s="12" t="s">
        <v>7166</v>
      </c>
      <c r="B4914" s="12" t="s">
        <v>7165</v>
      </c>
      <c r="C4914" s="12">
        <v>50</v>
      </c>
      <c r="D4914" s="12">
        <v>5</v>
      </c>
    </row>
    <row r="4915" spans="1:4" x14ac:dyDescent="0.2">
      <c r="A4915" s="12" t="s">
        <v>10272</v>
      </c>
      <c r="B4915" s="12" t="s">
        <v>10271</v>
      </c>
      <c r="C4915" s="12">
        <v>100</v>
      </c>
      <c r="D4915" s="12">
        <v>10</v>
      </c>
    </row>
    <row r="4916" spans="1:4" x14ac:dyDescent="0.2">
      <c r="A4916" s="12" t="s">
        <v>7337</v>
      </c>
      <c r="B4916" s="12" t="s">
        <v>7336</v>
      </c>
      <c r="C4916" s="12">
        <v>50</v>
      </c>
      <c r="D4916" s="12">
        <v>5</v>
      </c>
    </row>
    <row r="4917" spans="1:4" x14ac:dyDescent="0.2">
      <c r="A4917" s="12" t="s">
        <v>218</v>
      </c>
      <c r="B4917" s="12" t="s">
        <v>217</v>
      </c>
      <c r="C4917" s="12">
        <v>10</v>
      </c>
      <c r="D4917" s="12">
        <v>1</v>
      </c>
    </row>
    <row r="4918" spans="1:4" x14ac:dyDescent="0.2">
      <c r="A4918" s="12" t="s">
        <v>6565</v>
      </c>
      <c r="B4918" s="12" t="s">
        <v>6564</v>
      </c>
      <c r="C4918" s="12">
        <v>600</v>
      </c>
      <c r="D4918" s="12">
        <v>60</v>
      </c>
    </row>
    <row r="4919" spans="1:4" x14ac:dyDescent="0.2">
      <c r="A4919" s="12" t="s">
        <v>10841</v>
      </c>
      <c r="B4919" s="12" t="s">
        <v>10840</v>
      </c>
      <c r="C4919" s="12" t="s">
        <v>59</v>
      </c>
      <c r="D4919" s="12" t="s">
        <v>59</v>
      </c>
    </row>
    <row r="4920" spans="1:4" x14ac:dyDescent="0.2">
      <c r="A4920" s="12" t="s">
        <v>10670</v>
      </c>
      <c r="B4920" s="12" t="s">
        <v>10669</v>
      </c>
      <c r="C4920" s="12" t="s">
        <v>59</v>
      </c>
      <c r="D4920" s="12" t="s">
        <v>59</v>
      </c>
    </row>
    <row r="4921" spans="1:4" x14ac:dyDescent="0.2">
      <c r="A4921" s="12" t="s">
        <v>12383</v>
      </c>
      <c r="B4921" s="12" t="s">
        <v>12382</v>
      </c>
      <c r="C4921" s="12">
        <v>20</v>
      </c>
      <c r="D4921" s="12">
        <v>2</v>
      </c>
    </row>
    <row r="4922" spans="1:4" x14ac:dyDescent="0.2">
      <c r="A4922" s="12" t="s">
        <v>7061</v>
      </c>
      <c r="B4922" s="12" t="s">
        <v>7060</v>
      </c>
      <c r="C4922" s="12" t="s">
        <v>59</v>
      </c>
      <c r="D4922" s="12" t="s">
        <v>59</v>
      </c>
    </row>
    <row r="4923" spans="1:4" x14ac:dyDescent="0.2">
      <c r="A4923" s="12" t="s">
        <v>7062</v>
      </c>
      <c r="B4923" s="12" t="s">
        <v>7060</v>
      </c>
      <c r="C4923" s="12">
        <v>1000</v>
      </c>
      <c r="D4923" s="12">
        <v>100</v>
      </c>
    </row>
    <row r="4924" spans="1:4" x14ac:dyDescent="0.2">
      <c r="A4924" s="12" t="s">
        <v>12291</v>
      </c>
      <c r="B4924" s="12" t="s">
        <v>12290</v>
      </c>
      <c r="C4924" s="12" t="s">
        <v>59</v>
      </c>
      <c r="D4924" s="12" t="s">
        <v>59</v>
      </c>
    </row>
    <row r="4925" spans="1:4" x14ac:dyDescent="0.2">
      <c r="A4925" s="12" t="s">
        <v>12292</v>
      </c>
      <c r="B4925" s="12" t="s">
        <v>12290</v>
      </c>
      <c r="C4925" s="12">
        <v>1000</v>
      </c>
      <c r="D4925" s="12">
        <v>100</v>
      </c>
    </row>
    <row r="4926" spans="1:4" x14ac:dyDescent="0.2">
      <c r="A4926" s="12" t="s">
        <v>3645</v>
      </c>
      <c r="B4926" s="12" t="s">
        <v>3644</v>
      </c>
      <c r="C4926" s="12">
        <v>5700</v>
      </c>
      <c r="D4926" s="12">
        <v>570</v>
      </c>
    </row>
    <row r="4927" spans="1:4" x14ac:dyDescent="0.2">
      <c r="A4927" s="12" t="s">
        <v>943</v>
      </c>
      <c r="B4927" s="12" t="s">
        <v>942</v>
      </c>
      <c r="C4927" s="12">
        <v>16400</v>
      </c>
      <c r="D4927" s="12">
        <v>1640</v>
      </c>
    </row>
    <row r="4928" spans="1:4" x14ac:dyDescent="0.2">
      <c r="A4928" s="12" t="s">
        <v>6050</v>
      </c>
      <c r="B4928" s="12" t="s">
        <v>6049</v>
      </c>
      <c r="C4928" s="12">
        <v>13</v>
      </c>
      <c r="D4928" s="12">
        <v>1.3</v>
      </c>
    </row>
    <row r="4929" spans="1:4" x14ac:dyDescent="0.2">
      <c r="A4929" s="12" t="s">
        <v>10843</v>
      </c>
      <c r="B4929" s="12" t="s">
        <v>10842</v>
      </c>
      <c r="C4929" s="12">
        <v>27</v>
      </c>
      <c r="D4929" s="12">
        <v>2</v>
      </c>
    </row>
    <row r="4930" spans="1:4" x14ac:dyDescent="0.2">
      <c r="A4930" s="12" t="s">
        <v>3607</v>
      </c>
      <c r="B4930" s="12" t="s">
        <v>3606</v>
      </c>
      <c r="C4930" s="12">
        <v>600</v>
      </c>
      <c r="D4930" s="12">
        <v>60</v>
      </c>
    </row>
    <row r="4931" spans="1:4" x14ac:dyDescent="0.2">
      <c r="A4931" s="12" t="s">
        <v>3677</v>
      </c>
      <c r="B4931" s="12" t="s">
        <v>3676</v>
      </c>
      <c r="C4931" s="12">
        <v>600</v>
      </c>
      <c r="D4931" s="12">
        <v>60</v>
      </c>
    </row>
    <row r="4932" spans="1:4" x14ac:dyDescent="0.2">
      <c r="A4932" s="12" t="s">
        <v>10648</v>
      </c>
      <c r="B4932" s="12" t="s">
        <v>10647</v>
      </c>
      <c r="C4932" s="12">
        <v>250</v>
      </c>
      <c r="D4932" s="12">
        <v>25</v>
      </c>
    </row>
    <row r="4933" spans="1:4" x14ac:dyDescent="0.2">
      <c r="A4933" s="12" t="s">
        <v>10163</v>
      </c>
      <c r="B4933" s="12" t="s">
        <v>10162</v>
      </c>
      <c r="C4933" s="12" t="s">
        <v>59</v>
      </c>
      <c r="D4933" s="12" t="s">
        <v>59</v>
      </c>
    </row>
    <row r="4934" spans="1:4" x14ac:dyDescent="0.2">
      <c r="A4934" s="12" t="s">
        <v>294</v>
      </c>
      <c r="B4934" s="12" t="s">
        <v>293</v>
      </c>
      <c r="C4934" s="12">
        <v>62000</v>
      </c>
      <c r="D4934" s="12">
        <v>6200</v>
      </c>
    </row>
    <row r="4935" spans="1:4" x14ac:dyDescent="0.2">
      <c r="A4935" s="12" t="s">
        <v>11538</v>
      </c>
      <c r="B4935" s="12" t="s">
        <v>11537</v>
      </c>
      <c r="C4935" s="12">
        <v>100</v>
      </c>
      <c r="D4935" s="12">
        <v>10</v>
      </c>
    </row>
    <row r="4936" spans="1:4" x14ac:dyDescent="0.2">
      <c r="A4936" s="12" t="s">
        <v>7638</v>
      </c>
      <c r="B4936" s="12" t="s">
        <v>7637</v>
      </c>
      <c r="C4936" s="12">
        <v>100</v>
      </c>
      <c r="D4936" s="12">
        <v>10</v>
      </c>
    </row>
    <row r="4937" spans="1:4" x14ac:dyDescent="0.2">
      <c r="A4937" s="12" t="s">
        <v>3153</v>
      </c>
      <c r="B4937" s="12" t="s">
        <v>3152</v>
      </c>
      <c r="C4937" s="12">
        <v>1700</v>
      </c>
      <c r="D4937" s="12">
        <v>170</v>
      </c>
    </row>
    <row r="4938" spans="1:4" x14ac:dyDescent="0.2">
      <c r="A4938" s="12" t="s">
        <v>5247</v>
      </c>
      <c r="B4938" s="12" t="s">
        <v>5246</v>
      </c>
      <c r="C4938" s="12">
        <v>1700</v>
      </c>
      <c r="D4938" s="12">
        <v>170</v>
      </c>
    </row>
    <row r="4939" spans="1:4" x14ac:dyDescent="0.2">
      <c r="A4939" s="12" t="s">
        <v>8224</v>
      </c>
      <c r="B4939" s="12" t="s">
        <v>8223</v>
      </c>
      <c r="C4939" s="12">
        <v>25</v>
      </c>
      <c r="D4939" s="12">
        <v>2.5</v>
      </c>
    </row>
    <row r="4940" spans="1:4" x14ac:dyDescent="0.2">
      <c r="A4940" s="12" t="s">
        <v>7505</v>
      </c>
      <c r="B4940" s="12" t="s">
        <v>7504</v>
      </c>
      <c r="C4940" s="12" t="s">
        <v>59</v>
      </c>
      <c r="D4940" s="12" t="s">
        <v>59</v>
      </c>
    </row>
    <row r="4941" spans="1:4" x14ac:dyDescent="0.2">
      <c r="A4941" s="12" t="s">
        <v>10296</v>
      </c>
      <c r="B4941" s="12" t="s">
        <v>10295</v>
      </c>
      <c r="C4941" s="12">
        <v>100</v>
      </c>
      <c r="D4941" s="12">
        <v>10</v>
      </c>
    </row>
    <row r="4942" spans="1:4" x14ac:dyDescent="0.2">
      <c r="A4942" s="12" t="s">
        <v>3576</v>
      </c>
      <c r="B4942" s="12" t="s">
        <v>3575</v>
      </c>
      <c r="C4942" s="12">
        <v>600</v>
      </c>
      <c r="D4942" s="12">
        <v>60</v>
      </c>
    </row>
    <row r="4943" spans="1:4" x14ac:dyDescent="0.2">
      <c r="A4943" s="12" t="s">
        <v>3550</v>
      </c>
      <c r="B4943" s="12" t="s">
        <v>3549</v>
      </c>
      <c r="C4943" s="12">
        <v>600</v>
      </c>
      <c r="D4943" s="12">
        <v>60</v>
      </c>
    </row>
    <row r="4944" spans="1:4" x14ac:dyDescent="0.2">
      <c r="A4944" s="12" t="s">
        <v>8721</v>
      </c>
      <c r="B4944" s="12" t="s">
        <v>8720</v>
      </c>
      <c r="C4944" s="12">
        <v>2.5</v>
      </c>
      <c r="D4944" s="12">
        <v>0.25</v>
      </c>
    </row>
    <row r="4945" spans="1:4" x14ac:dyDescent="0.2">
      <c r="A4945" s="12" t="s">
        <v>4640</v>
      </c>
      <c r="B4945" s="12" t="s">
        <v>4639</v>
      </c>
      <c r="C4945" s="12">
        <v>40</v>
      </c>
      <c r="D4945" s="12">
        <v>4</v>
      </c>
    </row>
    <row r="4946" spans="1:4" x14ac:dyDescent="0.2">
      <c r="A4946" s="12" t="s">
        <v>7633</v>
      </c>
      <c r="B4946" s="12" t="s">
        <v>7632</v>
      </c>
      <c r="C4946" s="12" t="s">
        <v>59</v>
      </c>
      <c r="D4946" s="12" t="s">
        <v>59</v>
      </c>
    </row>
    <row r="4947" spans="1:4" x14ac:dyDescent="0.2">
      <c r="A4947" s="12" t="s">
        <v>7634</v>
      </c>
      <c r="B4947" s="12" t="s">
        <v>7632</v>
      </c>
      <c r="C4947" s="12">
        <v>1000</v>
      </c>
      <c r="D4947" s="12">
        <v>100</v>
      </c>
    </row>
    <row r="4948" spans="1:4" x14ac:dyDescent="0.2">
      <c r="A4948" s="12" t="s">
        <v>6417</v>
      </c>
      <c r="B4948" s="12" t="s">
        <v>6416</v>
      </c>
      <c r="C4948" s="12">
        <v>360</v>
      </c>
      <c r="D4948" s="12">
        <v>36</v>
      </c>
    </row>
    <row r="4949" spans="1:4" x14ac:dyDescent="0.2">
      <c r="A4949" s="12" t="s">
        <v>4573</v>
      </c>
      <c r="B4949" s="12" t="s">
        <v>4572</v>
      </c>
      <c r="C4949" s="12" t="s">
        <v>59</v>
      </c>
      <c r="D4949" s="12" t="s">
        <v>59</v>
      </c>
    </row>
    <row r="4950" spans="1:4" x14ac:dyDescent="0.2">
      <c r="A4950" s="12" t="s">
        <v>4574</v>
      </c>
      <c r="B4950" s="12" t="s">
        <v>4572</v>
      </c>
      <c r="C4950" s="12">
        <v>640</v>
      </c>
      <c r="D4950" s="12">
        <v>64</v>
      </c>
    </row>
    <row r="4951" spans="1:4" x14ac:dyDescent="0.2">
      <c r="A4951" s="12" t="s">
        <v>8482</v>
      </c>
      <c r="B4951" s="12" t="s">
        <v>8481</v>
      </c>
      <c r="C4951" s="12">
        <v>1000</v>
      </c>
      <c r="D4951" s="12">
        <v>100</v>
      </c>
    </row>
    <row r="4952" spans="1:4" x14ac:dyDescent="0.2">
      <c r="A4952" s="12" t="s">
        <v>9740</v>
      </c>
      <c r="B4952" s="12" t="s">
        <v>9739</v>
      </c>
      <c r="C4952" s="12">
        <v>1000</v>
      </c>
      <c r="D4952" s="12">
        <v>100</v>
      </c>
    </row>
    <row r="4953" spans="1:4" x14ac:dyDescent="0.2">
      <c r="A4953" s="12" t="s">
        <v>1116</v>
      </c>
      <c r="B4953" s="12" t="s">
        <v>1115</v>
      </c>
      <c r="C4953" s="12">
        <v>3700</v>
      </c>
      <c r="D4953" s="12">
        <v>370</v>
      </c>
    </row>
    <row r="4954" spans="1:4" x14ac:dyDescent="0.2">
      <c r="A4954" s="12" t="s">
        <v>2327</v>
      </c>
      <c r="B4954" s="12" t="s">
        <v>2326</v>
      </c>
      <c r="C4954" s="12">
        <v>100</v>
      </c>
      <c r="D4954" s="12">
        <v>10</v>
      </c>
    </row>
    <row r="4955" spans="1:4" x14ac:dyDescent="0.2">
      <c r="A4955" s="12" t="s">
        <v>8851</v>
      </c>
      <c r="B4955" s="12" t="s">
        <v>8850</v>
      </c>
      <c r="C4955" s="12" t="s">
        <v>59</v>
      </c>
      <c r="D4955" s="12" t="s">
        <v>59</v>
      </c>
    </row>
    <row r="4956" spans="1:4" x14ac:dyDescent="0.2">
      <c r="A4956" s="12" t="s">
        <v>6172</v>
      </c>
      <c r="B4956" s="12" t="s">
        <v>6171</v>
      </c>
      <c r="C4956" s="12" t="s">
        <v>59</v>
      </c>
      <c r="D4956" s="12" t="s">
        <v>59</v>
      </c>
    </row>
    <row r="4957" spans="1:4" x14ac:dyDescent="0.2">
      <c r="A4957" s="12" t="s">
        <v>6173</v>
      </c>
      <c r="B4957" s="12" t="s">
        <v>6171</v>
      </c>
      <c r="C4957" s="12">
        <v>1000</v>
      </c>
      <c r="D4957" s="12">
        <v>100</v>
      </c>
    </row>
    <row r="4958" spans="1:4" x14ac:dyDescent="0.2">
      <c r="A4958" s="12" t="s">
        <v>3623</v>
      </c>
      <c r="B4958" s="12" t="s">
        <v>3622</v>
      </c>
      <c r="C4958" s="12">
        <v>2450</v>
      </c>
      <c r="D4958" s="12">
        <v>245</v>
      </c>
    </row>
    <row r="4959" spans="1:4" x14ac:dyDescent="0.2">
      <c r="A4959" s="12" t="s">
        <v>7573</v>
      </c>
      <c r="B4959" s="12" t="s">
        <v>7572</v>
      </c>
      <c r="C4959" s="12" t="s">
        <v>59</v>
      </c>
      <c r="D4959" s="12" t="s">
        <v>59</v>
      </c>
    </row>
    <row r="4960" spans="1:4" x14ac:dyDescent="0.2">
      <c r="A4960" s="12" t="s">
        <v>10938</v>
      </c>
      <c r="B4960" s="12" t="s">
        <v>10937</v>
      </c>
      <c r="C4960" s="12" t="s">
        <v>59</v>
      </c>
      <c r="D4960" s="12" t="s">
        <v>59</v>
      </c>
    </row>
    <row r="4961" spans="1:4" x14ac:dyDescent="0.2">
      <c r="A4961" s="12" t="s">
        <v>10939</v>
      </c>
      <c r="B4961" s="12" t="s">
        <v>10937</v>
      </c>
      <c r="C4961" s="12">
        <v>1000</v>
      </c>
      <c r="D4961" s="12">
        <v>100</v>
      </c>
    </row>
    <row r="4962" spans="1:4" x14ac:dyDescent="0.2">
      <c r="A4962" s="12" t="s">
        <v>5527</v>
      </c>
      <c r="B4962" s="12" t="s">
        <v>5526</v>
      </c>
      <c r="C4962" s="12">
        <v>470</v>
      </c>
      <c r="D4962" s="12">
        <v>47</v>
      </c>
    </row>
    <row r="4963" spans="1:4" x14ac:dyDescent="0.2">
      <c r="A4963" s="12" t="s">
        <v>12331</v>
      </c>
      <c r="B4963" s="12" t="s">
        <v>12330</v>
      </c>
      <c r="C4963" s="12">
        <v>1200</v>
      </c>
      <c r="D4963" s="12">
        <v>120</v>
      </c>
    </row>
    <row r="4964" spans="1:4" x14ac:dyDescent="0.2">
      <c r="A4964" s="12" t="s">
        <v>9139</v>
      </c>
      <c r="B4964" s="12" t="s">
        <v>9138</v>
      </c>
      <c r="C4964" s="12" t="s">
        <v>59</v>
      </c>
      <c r="D4964" s="12" t="s">
        <v>59</v>
      </c>
    </row>
    <row r="4965" spans="1:4" x14ac:dyDescent="0.2">
      <c r="A4965" s="12" t="s">
        <v>10789</v>
      </c>
      <c r="B4965" s="12" t="s">
        <v>10788</v>
      </c>
      <c r="C4965" s="12">
        <v>50</v>
      </c>
      <c r="D4965" s="12">
        <v>5</v>
      </c>
    </row>
    <row r="4966" spans="1:4" x14ac:dyDescent="0.2">
      <c r="A4966" s="12" t="s">
        <v>3307</v>
      </c>
      <c r="B4966" s="12" t="s">
        <v>3306</v>
      </c>
      <c r="C4966" s="12">
        <v>1500</v>
      </c>
      <c r="D4966" s="12">
        <v>150</v>
      </c>
    </row>
    <row r="4967" spans="1:4" x14ac:dyDescent="0.2">
      <c r="A4967" s="12" t="s">
        <v>2308</v>
      </c>
      <c r="B4967" s="12" t="s">
        <v>2307</v>
      </c>
      <c r="C4967" s="12">
        <v>3500</v>
      </c>
      <c r="D4967" s="12">
        <v>350</v>
      </c>
    </row>
    <row r="4968" spans="1:4" x14ac:dyDescent="0.2">
      <c r="A4968" s="12" t="s">
        <v>8679</v>
      </c>
      <c r="B4968" s="12" t="s">
        <v>8678</v>
      </c>
      <c r="C4968" s="12" t="s">
        <v>59</v>
      </c>
      <c r="D4968" s="12" t="s">
        <v>59</v>
      </c>
    </row>
    <row r="4969" spans="1:4" x14ac:dyDescent="0.2">
      <c r="A4969" s="12" t="s">
        <v>2936</v>
      </c>
      <c r="B4969" s="12" t="s">
        <v>2935</v>
      </c>
      <c r="C4969" s="12">
        <v>80</v>
      </c>
      <c r="D4969" s="12">
        <v>8</v>
      </c>
    </row>
    <row r="4970" spans="1:4" x14ac:dyDescent="0.2">
      <c r="A4970" s="12" t="s">
        <v>9718</v>
      </c>
      <c r="B4970" s="12" t="s">
        <v>9717</v>
      </c>
      <c r="C4970" s="12">
        <v>1250</v>
      </c>
      <c r="D4970" s="12">
        <v>125</v>
      </c>
    </row>
    <row r="4971" spans="1:4" x14ac:dyDescent="0.2">
      <c r="A4971" s="12" t="s">
        <v>4285</v>
      </c>
      <c r="B4971" s="12" t="s">
        <v>4284</v>
      </c>
      <c r="C4971" s="12" t="s">
        <v>59</v>
      </c>
      <c r="D4971" s="12" t="s">
        <v>59</v>
      </c>
    </row>
    <row r="4972" spans="1:4" x14ac:dyDescent="0.2">
      <c r="A4972" s="12" t="s">
        <v>4286</v>
      </c>
      <c r="B4972" s="12" t="s">
        <v>4284</v>
      </c>
      <c r="C4972" s="12">
        <v>600</v>
      </c>
      <c r="D4972" s="12">
        <v>60</v>
      </c>
    </row>
    <row r="4973" spans="1:4" x14ac:dyDescent="0.2">
      <c r="A4973" s="12" t="s">
        <v>7765</v>
      </c>
      <c r="B4973" s="12" t="s">
        <v>7764</v>
      </c>
      <c r="C4973" s="12">
        <v>3500</v>
      </c>
      <c r="D4973" s="12">
        <v>350</v>
      </c>
    </row>
    <row r="4974" spans="1:4" x14ac:dyDescent="0.2">
      <c r="A4974" s="12" t="s">
        <v>3061</v>
      </c>
      <c r="B4974" s="12" t="s">
        <v>3060</v>
      </c>
      <c r="C4974" s="12">
        <v>5</v>
      </c>
      <c r="D4974" s="12">
        <v>0.5</v>
      </c>
    </row>
    <row r="4975" spans="1:4" x14ac:dyDescent="0.2">
      <c r="A4975" s="12" t="s">
        <v>2167</v>
      </c>
      <c r="B4975" s="12" t="s">
        <v>2166</v>
      </c>
      <c r="C4975" s="12" t="s">
        <v>59</v>
      </c>
      <c r="D4975" s="12" t="s">
        <v>59</v>
      </c>
    </row>
    <row r="4976" spans="1:4" x14ac:dyDescent="0.2">
      <c r="A4976" s="12" t="s">
        <v>10230</v>
      </c>
      <c r="B4976" s="12" t="s">
        <v>10229</v>
      </c>
      <c r="C4976" s="12" t="s">
        <v>59</v>
      </c>
      <c r="D4976" s="12" t="s">
        <v>59</v>
      </c>
    </row>
    <row r="4977" spans="1:4" x14ac:dyDescent="0.2">
      <c r="A4977" s="12" t="s">
        <v>10231</v>
      </c>
      <c r="B4977" s="12" t="s">
        <v>10229</v>
      </c>
      <c r="C4977" s="12">
        <v>1000</v>
      </c>
      <c r="D4977" s="12">
        <v>100</v>
      </c>
    </row>
    <row r="4978" spans="1:4" x14ac:dyDescent="0.2">
      <c r="A4978" s="12" t="s">
        <v>9886</v>
      </c>
      <c r="B4978" s="12" t="s">
        <v>9885</v>
      </c>
      <c r="C4978" s="12">
        <v>100</v>
      </c>
      <c r="D4978" s="12">
        <v>10</v>
      </c>
    </row>
    <row r="4979" spans="1:4" x14ac:dyDescent="0.2">
      <c r="A4979" s="12" t="s">
        <v>2413</v>
      </c>
      <c r="B4979" s="12" t="s">
        <v>2412</v>
      </c>
      <c r="C4979" s="12" t="s">
        <v>59</v>
      </c>
      <c r="D4979" s="12" t="s">
        <v>59</v>
      </c>
    </row>
    <row r="4980" spans="1:4" x14ac:dyDescent="0.2">
      <c r="A4980" s="12" t="s">
        <v>4708</v>
      </c>
      <c r="B4980" s="12" t="s">
        <v>4707</v>
      </c>
      <c r="C4980" s="12" t="s">
        <v>59</v>
      </c>
      <c r="D4980" s="12" t="s">
        <v>59</v>
      </c>
    </row>
    <row r="4981" spans="1:4" x14ac:dyDescent="0.2">
      <c r="A4981" s="12" t="s">
        <v>6963</v>
      </c>
      <c r="B4981" s="12" t="s">
        <v>6962</v>
      </c>
      <c r="C4981" s="12" t="s">
        <v>59</v>
      </c>
      <c r="D4981" s="12" t="s">
        <v>59</v>
      </c>
    </row>
    <row r="4982" spans="1:4" x14ac:dyDescent="0.2">
      <c r="A4982" s="12" t="s">
        <v>6964</v>
      </c>
      <c r="B4982" s="12" t="s">
        <v>6962</v>
      </c>
      <c r="C4982" s="12">
        <v>1000</v>
      </c>
      <c r="D4982" s="12">
        <v>100</v>
      </c>
    </row>
    <row r="4983" spans="1:4" x14ac:dyDescent="0.2">
      <c r="A4983" s="12" t="s">
        <v>9224</v>
      </c>
      <c r="B4983" s="12" t="s">
        <v>9223</v>
      </c>
      <c r="C4983" s="12">
        <v>30</v>
      </c>
      <c r="D4983" s="12">
        <v>3</v>
      </c>
    </row>
    <row r="4984" spans="1:4" x14ac:dyDescent="0.2">
      <c r="A4984" s="12" t="s">
        <v>3888</v>
      </c>
      <c r="B4984" s="12" t="s">
        <v>3887</v>
      </c>
      <c r="C4984" s="12" t="s">
        <v>59</v>
      </c>
      <c r="D4984" s="12" t="s">
        <v>59</v>
      </c>
    </row>
    <row r="4985" spans="1:4" x14ac:dyDescent="0.2">
      <c r="A4985" s="12" t="s">
        <v>3889</v>
      </c>
      <c r="B4985" s="12" t="s">
        <v>3887</v>
      </c>
      <c r="C4985" s="12">
        <v>1000</v>
      </c>
      <c r="D4985" s="12">
        <v>100</v>
      </c>
    </row>
    <row r="4986" spans="1:4" x14ac:dyDescent="0.2">
      <c r="A4986" s="12" t="s">
        <v>1262</v>
      </c>
      <c r="B4986" s="12" t="s">
        <v>1261</v>
      </c>
      <c r="C4986" s="12">
        <v>50</v>
      </c>
      <c r="D4986" s="12">
        <v>5</v>
      </c>
    </row>
    <row r="4987" spans="1:4" x14ac:dyDescent="0.2">
      <c r="A4987" s="12" t="s">
        <v>1263</v>
      </c>
      <c r="B4987" s="12" t="s">
        <v>1261</v>
      </c>
      <c r="C4987" s="12">
        <v>800</v>
      </c>
      <c r="D4987" s="12">
        <v>80</v>
      </c>
    </row>
    <row r="4988" spans="1:4" x14ac:dyDescent="0.2">
      <c r="A4988" s="12" t="s">
        <v>9474</v>
      </c>
      <c r="B4988" s="12" t="s">
        <v>9473</v>
      </c>
      <c r="C4988" s="12" t="s">
        <v>59</v>
      </c>
      <c r="D4988" s="12" t="s">
        <v>59</v>
      </c>
    </row>
    <row r="4989" spans="1:4" x14ac:dyDescent="0.2">
      <c r="A4989" s="12" t="s">
        <v>8338</v>
      </c>
      <c r="B4989" s="12" t="s">
        <v>8337</v>
      </c>
      <c r="C4989" s="12" t="s">
        <v>59</v>
      </c>
      <c r="D4989" s="12" t="s">
        <v>59</v>
      </c>
    </row>
    <row r="4990" spans="1:4" x14ac:dyDescent="0.2">
      <c r="A4990" s="12" t="s">
        <v>8339</v>
      </c>
      <c r="B4990" s="12" t="s">
        <v>8337</v>
      </c>
      <c r="C4990" s="12">
        <v>2500</v>
      </c>
      <c r="D4990" s="12">
        <v>250</v>
      </c>
    </row>
    <row r="4991" spans="1:4" x14ac:dyDescent="0.2">
      <c r="A4991" s="12" t="s">
        <v>6468</v>
      </c>
      <c r="B4991" s="12" t="s">
        <v>6467</v>
      </c>
      <c r="C4991" s="12" t="s">
        <v>59</v>
      </c>
      <c r="D4991" s="12" t="s">
        <v>59</v>
      </c>
    </row>
    <row r="4992" spans="1:4" x14ac:dyDescent="0.2">
      <c r="A4992" s="12" t="s">
        <v>10815</v>
      </c>
      <c r="B4992" s="12" t="s">
        <v>10814</v>
      </c>
      <c r="C4992" s="12">
        <v>3500</v>
      </c>
      <c r="D4992" s="12">
        <v>350</v>
      </c>
    </row>
    <row r="4993" spans="1:4" x14ac:dyDescent="0.2">
      <c r="A4993" s="12" t="s">
        <v>9800</v>
      </c>
      <c r="B4993" s="12" t="s">
        <v>9799</v>
      </c>
      <c r="C4993" s="12">
        <v>3500</v>
      </c>
      <c r="D4993" s="12">
        <v>350</v>
      </c>
    </row>
    <row r="4994" spans="1:4" x14ac:dyDescent="0.2">
      <c r="A4994" s="12" t="s">
        <v>6373</v>
      </c>
      <c r="B4994" s="12" t="s">
        <v>6372</v>
      </c>
      <c r="C4994" s="12">
        <v>3500</v>
      </c>
      <c r="D4994" s="12">
        <v>350</v>
      </c>
    </row>
    <row r="4995" spans="1:4" x14ac:dyDescent="0.2">
      <c r="A4995" s="12" t="s">
        <v>4753</v>
      </c>
      <c r="B4995" s="12" t="s">
        <v>4752</v>
      </c>
      <c r="C4995" s="12">
        <v>100</v>
      </c>
      <c r="D4995" s="12">
        <v>10</v>
      </c>
    </row>
    <row r="4996" spans="1:4" x14ac:dyDescent="0.2">
      <c r="A4996" s="12" t="s">
        <v>8291</v>
      </c>
      <c r="B4996" s="12" t="s">
        <v>8290</v>
      </c>
      <c r="C4996" s="12">
        <v>100</v>
      </c>
      <c r="D4996" s="12">
        <v>10</v>
      </c>
    </row>
    <row r="4997" spans="1:4" x14ac:dyDescent="0.2">
      <c r="A4997" s="12" t="s">
        <v>2203</v>
      </c>
      <c r="B4997" s="12" t="s">
        <v>2202</v>
      </c>
      <c r="C4997" s="12">
        <v>280</v>
      </c>
      <c r="D4997" s="12">
        <v>28</v>
      </c>
    </row>
    <row r="4998" spans="1:4" x14ac:dyDescent="0.2">
      <c r="A4998" s="12" t="s">
        <v>808</v>
      </c>
      <c r="B4998" s="12" t="s">
        <v>807</v>
      </c>
      <c r="C4998" s="12">
        <v>940</v>
      </c>
      <c r="D4998" s="12">
        <v>94</v>
      </c>
    </row>
    <row r="4999" spans="1:4" x14ac:dyDescent="0.2">
      <c r="A4999" s="12" t="s">
        <v>4119</v>
      </c>
      <c r="B4999" s="12" t="s">
        <v>4118</v>
      </c>
      <c r="C4999" s="12">
        <v>1250</v>
      </c>
      <c r="D4999" s="12">
        <v>125</v>
      </c>
    </row>
    <row r="5000" spans="1:4" x14ac:dyDescent="0.2">
      <c r="A5000" s="12" t="s">
        <v>10476</v>
      </c>
      <c r="B5000" s="12" t="s">
        <v>10475</v>
      </c>
      <c r="C5000" s="12" t="s">
        <v>59</v>
      </c>
      <c r="D5000" s="12" t="s">
        <v>59</v>
      </c>
    </row>
    <row r="5001" spans="1:4" x14ac:dyDescent="0.2">
      <c r="A5001" s="12" t="s">
        <v>9589</v>
      </c>
      <c r="B5001" s="12" t="s">
        <v>9588</v>
      </c>
      <c r="C5001" s="12" t="s">
        <v>59</v>
      </c>
      <c r="D5001" s="12" t="s">
        <v>59</v>
      </c>
    </row>
    <row r="5002" spans="1:4" x14ac:dyDescent="0.2">
      <c r="A5002" s="12" t="s">
        <v>8938</v>
      </c>
      <c r="B5002" s="12" t="s">
        <v>8937</v>
      </c>
      <c r="C5002" s="12">
        <v>10</v>
      </c>
      <c r="D5002" s="12">
        <v>1</v>
      </c>
    </row>
    <row r="5003" spans="1:4" x14ac:dyDescent="0.2">
      <c r="A5003" s="12" t="s">
        <v>12300</v>
      </c>
      <c r="B5003" s="12" t="s">
        <v>12299</v>
      </c>
      <c r="C5003" s="12" t="s">
        <v>59</v>
      </c>
      <c r="D5003" s="12" t="s">
        <v>59</v>
      </c>
    </row>
    <row r="5004" spans="1:4" x14ac:dyDescent="0.2">
      <c r="A5004" s="12" t="s">
        <v>3882</v>
      </c>
      <c r="B5004" s="12" t="s">
        <v>3881</v>
      </c>
      <c r="C5004" s="12" t="s">
        <v>59</v>
      </c>
      <c r="D5004" s="12" t="s">
        <v>59</v>
      </c>
    </row>
    <row r="5005" spans="1:4" x14ac:dyDescent="0.2">
      <c r="A5005" s="12" t="s">
        <v>3883</v>
      </c>
      <c r="B5005" s="12" t="s">
        <v>3881</v>
      </c>
      <c r="C5005" s="12">
        <v>600</v>
      </c>
      <c r="D5005" s="12">
        <v>60</v>
      </c>
    </row>
    <row r="5006" spans="1:4" x14ac:dyDescent="0.2">
      <c r="A5006" s="12" t="s">
        <v>4656</v>
      </c>
      <c r="B5006" s="12" t="s">
        <v>4655</v>
      </c>
      <c r="C5006" s="12">
        <v>0.21</v>
      </c>
      <c r="D5006" s="12">
        <v>1.6999999999999999E-3</v>
      </c>
    </row>
    <row r="5007" spans="1:4" x14ac:dyDescent="0.2">
      <c r="A5007" s="12" t="s">
        <v>6689</v>
      </c>
      <c r="B5007" s="12" t="s">
        <v>6688</v>
      </c>
      <c r="C5007" s="12">
        <v>10</v>
      </c>
      <c r="D5007" s="12">
        <v>1</v>
      </c>
    </row>
    <row r="5008" spans="1:4" x14ac:dyDescent="0.2">
      <c r="A5008" s="12" t="s">
        <v>8916</v>
      </c>
      <c r="B5008" s="12" t="s">
        <v>8915</v>
      </c>
      <c r="C5008" s="12">
        <v>125</v>
      </c>
      <c r="D5008" s="12">
        <v>12.5</v>
      </c>
    </row>
    <row r="5009" spans="1:4" x14ac:dyDescent="0.2">
      <c r="A5009" s="12" t="s">
        <v>900</v>
      </c>
      <c r="B5009" s="12" t="s">
        <v>899</v>
      </c>
      <c r="C5009" s="12" t="s">
        <v>59</v>
      </c>
      <c r="D5009" s="12" t="s">
        <v>59</v>
      </c>
    </row>
    <row r="5010" spans="1:4" x14ac:dyDescent="0.2">
      <c r="A5010" s="12" t="s">
        <v>3594</v>
      </c>
      <c r="B5010" s="12" t="s">
        <v>3593</v>
      </c>
      <c r="C5010" s="12">
        <v>600</v>
      </c>
      <c r="D5010" s="12">
        <v>60</v>
      </c>
    </row>
    <row r="5011" spans="1:4" x14ac:dyDescent="0.2">
      <c r="A5011" s="12" t="s">
        <v>8604</v>
      </c>
      <c r="B5011" s="12" t="s">
        <v>8603</v>
      </c>
      <c r="C5011" s="12" t="s">
        <v>59</v>
      </c>
      <c r="D5011" s="12" t="s">
        <v>59</v>
      </c>
    </row>
    <row r="5012" spans="1:4" x14ac:dyDescent="0.2">
      <c r="A5012" s="12" t="s">
        <v>8605</v>
      </c>
      <c r="B5012" s="12" t="s">
        <v>8603</v>
      </c>
      <c r="C5012" s="12">
        <v>1000</v>
      </c>
      <c r="D5012" s="12">
        <v>100</v>
      </c>
    </row>
    <row r="5013" spans="1:4" x14ac:dyDescent="0.2">
      <c r="A5013" s="12" t="s">
        <v>10274</v>
      </c>
      <c r="B5013" s="12" t="s">
        <v>10273</v>
      </c>
      <c r="C5013" s="12">
        <v>180</v>
      </c>
      <c r="D5013" s="12">
        <v>18</v>
      </c>
    </row>
    <row r="5014" spans="1:4" x14ac:dyDescent="0.2">
      <c r="A5014" s="12" t="s">
        <v>4773</v>
      </c>
      <c r="B5014" s="12" t="s">
        <v>4772</v>
      </c>
      <c r="C5014" s="12" t="s">
        <v>59</v>
      </c>
      <c r="D5014" s="12" t="s">
        <v>59</v>
      </c>
    </row>
    <row r="5015" spans="1:4" x14ac:dyDescent="0.2">
      <c r="A5015" s="12" t="s">
        <v>4774</v>
      </c>
      <c r="B5015" s="12" t="s">
        <v>4772</v>
      </c>
      <c r="C5015" s="12">
        <v>1000</v>
      </c>
      <c r="D5015" s="12">
        <v>100</v>
      </c>
    </row>
    <row r="5016" spans="1:4" x14ac:dyDescent="0.2">
      <c r="A5016" s="12" t="s">
        <v>8809</v>
      </c>
      <c r="B5016" s="12" t="s">
        <v>8808</v>
      </c>
      <c r="C5016" s="12" t="s">
        <v>59</v>
      </c>
      <c r="D5016" s="12" t="s">
        <v>59</v>
      </c>
    </row>
    <row r="5017" spans="1:4" x14ac:dyDescent="0.2">
      <c r="A5017" s="12" t="s">
        <v>336</v>
      </c>
      <c r="B5017" s="12" t="s">
        <v>335</v>
      </c>
      <c r="C5017" s="12">
        <v>3400</v>
      </c>
      <c r="D5017" s="12">
        <v>340</v>
      </c>
    </row>
    <row r="5018" spans="1:4" x14ac:dyDescent="0.2">
      <c r="A5018" s="12" t="s">
        <v>366</v>
      </c>
      <c r="B5018" s="12" t="s">
        <v>365</v>
      </c>
      <c r="C5018" s="12">
        <v>3400</v>
      </c>
      <c r="D5018" s="12">
        <v>340</v>
      </c>
    </row>
    <row r="5019" spans="1:4" x14ac:dyDescent="0.2">
      <c r="A5019" s="12" t="s">
        <v>7519</v>
      </c>
      <c r="B5019" s="12" t="s">
        <v>7518</v>
      </c>
      <c r="C5019" s="12" t="s">
        <v>59</v>
      </c>
      <c r="D5019" s="12" t="s">
        <v>59</v>
      </c>
    </row>
    <row r="5020" spans="1:4" x14ac:dyDescent="0.2">
      <c r="A5020" s="12" t="s">
        <v>7520</v>
      </c>
      <c r="B5020" s="12" t="s">
        <v>7518</v>
      </c>
      <c r="C5020" s="12">
        <v>1000</v>
      </c>
      <c r="D5020" s="12">
        <v>100</v>
      </c>
    </row>
    <row r="5021" spans="1:4" x14ac:dyDescent="0.2">
      <c r="A5021" s="12" t="s">
        <v>10497</v>
      </c>
      <c r="B5021" s="12" t="s">
        <v>10496</v>
      </c>
      <c r="C5021" s="12">
        <v>15</v>
      </c>
      <c r="D5021" s="12">
        <v>1.5</v>
      </c>
    </row>
    <row r="5022" spans="1:4" x14ac:dyDescent="0.2">
      <c r="A5022" s="12" t="s">
        <v>10689</v>
      </c>
      <c r="B5022" s="12" t="s">
        <v>10688</v>
      </c>
      <c r="C5022" s="12" t="s">
        <v>59</v>
      </c>
      <c r="D5022" s="12" t="s">
        <v>59</v>
      </c>
    </row>
    <row r="5023" spans="1:4" x14ac:dyDescent="0.2">
      <c r="A5023" s="12" t="s">
        <v>10685</v>
      </c>
      <c r="B5023" s="12" t="s">
        <v>10684</v>
      </c>
      <c r="C5023" s="12" t="s">
        <v>59</v>
      </c>
      <c r="D5023" s="12" t="s">
        <v>59</v>
      </c>
    </row>
    <row r="5024" spans="1:4" x14ac:dyDescent="0.2">
      <c r="A5024" s="12" t="s">
        <v>9517</v>
      </c>
      <c r="B5024" s="12" t="s">
        <v>9516</v>
      </c>
      <c r="C5024" s="12" t="s">
        <v>59</v>
      </c>
      <c r="D5024" s="12" t="s">
        <v>59</v>
      </c>
    </row>
    <row r="5025" spans="1:4" x14ac:dyDescent="0.2">
      <c r="A5025" s="12" t="s">
        <v>10698</v>
      </c>
      <c r="B5025" s="12" t="s">
        <v>10697</v>
      </c>
      <c r="C5025" s="12" t="s">
        <v>59</v>
      </c>
      <c r="D5025" s="12" t="s">
        <v>59</v>
      </c>
    </row>
    <row r="5026" spans="1:4" x14ac:dyDescent="0.2">
      <c r="A5026" s="12" t="s">
        <v>1416</v>
      </c>
      <c r="B5026" s="12" t="s">
        <v>1415</v>
      </c>
      <c r="C5026" s="12" t="s">
        <v>59</v>
      </c>
      <c r="D5026" s="12" t="s">
        <v>59</v>
      </c>
    </row>
    <row r="5027" spans="1:4" x14ac:dyDescent="0.2">
      <c r="A5027" s="12" t="s">
        <v>1417</v>
      </c>
      <c r="B5027" s="12" t="s">
        <v>1415</v>
      </c>
      <c r="C5027" s="12">
        <v>1000</v>
      </c>
      <c r="D5027" s="12">
        <v>100</v>
      </c>
    </row>
    <row r="5028" spans="1:4" x14ac:dyDescent="0.2">
      <c r="A5028" s="12" t="s">
        <v>3675</v>
      </c>
      <c r="B5028" s="12" t="s">
        <v>3674</v>
      </c>
      <c r="C5028" s="12">
        <v>600</v>
      </c>
      <c r="D5028" s="12">
        <v>60</v>
      </c>
    </row>
    <row r="5029" spans="1:4" x14ac:dyDescent="0.2">
      <c r="A5029" s="12" t="s">
        <v>1918</v>
      </c>
      <c r="B5029" s="12" t="s">
        <v>1917</v>
      </c>
      <c r="C5029" s="12">
        <v>20</v>
      </c>
      <c r="D5029" s="12">
        <v>2</v>
      </c>
    </row>
    <row r="5030" spans="1:4" x14ac:dyDescent="0.2">
      <c r="A5030" s="12" t="s">
        <v>4415</v>
      </c>
      <c r="B5030" s="12" t="s">
        <v>4414</v>
      </c>
      <c r="C5030" s="12">
        <v>420</v>
      </c>
      <c r="D5030" s="12">
        <v>42</v>
      </c>
    </row>
    <row r="5031" spans="1:4" x14ac:dyDescent="0.2">
      <c r="A5031" s="12" t="s">
        <v>10639</v>
      </c>
      <c r="B5031" s="12" t="s">
        <v>10638</v>
      </c>
      <c r="C5031" s="12">
        <v>30</v>
      </c>
      <c r="D5031" s="12">
        <v>3</v>
      </c>
    </row>
    <row r="5032" spans="1:4" x14ac:dyDescent="0.2">
      <c r="A5032" s="12" t="s">
        <v>7840</v>
      </c>
      <c r="B5032" s="12" t="s">
        <v>7839</v>
      </c>
      <c r="C5032" s="12">
        <v>0.7</v>
      </c>
      <c r="D5032" s="12">
        <v>0.1</v>
      </c>
    </row>
    <row r="5033" spans="1:4" x14ac:dyDescent="0.2">
      <c r="A5033" s="12" t="s">
        <v>6011</v>
      </c>
      <c r="B5033" s="12" t="s">
        <v>6010</v>
      </c>
      <c r="C5033" s="12">
        <v>100</v>
      </c>
      <c r="D5033" s="12">
        <v>10</v>
      </c>
    </row>
    <row r="5034" spans="1:4" x14ac:dyDescent="0.2">
      <c r="A5034" s="12" t="s">
        <v>269</v>
      </c>
      <c r="B5034" s="12" t="s">
        <v>268</v>
      </c>
      <c r="C5034" s="12" t="s">
        <v>59</v>
      </c>
      <c r="D5034" s="12" t="s">
        <v>59</v>
      </c>
    </row>
    <row r="5035" spans="1:4" x14ac:dyDescent="0.2">
      <c r="A5035" s="12" t="s">
        <v>9862</v>
      </c>
      <c r="B5035" s="12" t="s">
        <v>9861</v>
      </c>
      <c r="C5035" s="12">
        <v>50</v>
      </c>
      <c r="D5035" s="12">
        <v>5</v>
      </c>
    </row>
    <row r="5036" spans="1:4" x14ac:dyDescent="0.2">
      <c r="A5036" s="12" t="s">
        <v>1207</v>
      </c>
      <c r="B5036" s="12" t="s">
        <v>1206</v>
      </c>
      <c r="C5036" s="12">
        <v>2460</v>
      </c>
      <c r="D5036" s="12">
        <v>246</v>
      </c>
    </row>
    <row r="5037" spans="1:4" x14ac:dyDescent="0.2">
      <c r="A5037" s="12" t="s">
        <v>12046</v>
      </c>
      <c r="B5037" s="12" t="s">
        <v>12045</v>
      </c>
      <c r="C5037" s="12">
        <v>20</v>
      </c>
      <c r="D5037" s="12">
        <v>2</v>
      </c>
    </row>
    <row r="5038" spans="1:4" x14ac:dyDescent="0.2">
      <c r="A5038" s="12" t="s">
        <v>10911</v>
      </c>
      <c r="B5038" s="12" t="s">
        <v>10910</v>
      </c>
      <c r="C5038" s="12" t="s">
        <v>59</v>
      </c>
      <c r="D5038" s="12" t="s">
        <v>59</v>
      </c>
    </row>
    <row r="5039" spans="1:4" x14ac:dyDescent="0.2">
      <c r="A5039" s="12" t="s">
        <v>1732</v>
      </c>
      <c r="B5039" s="12" t="s">
        <v>1731</v>
      </c>
      <c r="C5039" s="12" t="s">
        <v>59</v>
      </c>
      <c r="D5039" s="12" t="s">
        <v>59</v>
      </c>
    </row>
    <row r="5040" spans="1:4" x14ac:dyDescent="0.2">
      <c r="A5040" s="12" t="s">
        <v>7577</v>
      </c>
      <c r="B5040" s="12" t="s">
        <v>7576</v>
      </c>
      <c r="C5040" s="12" t="s">
        <v>59</v>
      </c>
      <c r="D5040" s="12" t="s">
        <v>59</v>
      </c>
    </row>
    <row r="5041" spans="1:4" x14ac:dyDescent="0.2">
      <c r="A5041" s="12" t="s">
        <v>8674</v>
      </c>
      <c r="B5041" s="12" t="s">
        <v>8673</v>
      </c>
      <c r="C5041" s="12">
        <v>610</v>
      </c>
      <c r="D5041" s="12">
        <v>61</v>
      </c>
    </row>
    <row r="5042" spans="1:4" x14ac:dyDescent="0.2">
      <c r="A5042" s="12" t="s">
        <v>61</v>
      </c>
      <c r="B5042" s="12" t="s">
        <v>60</v>
      </c>
      <c r="C5042" s="12">
        <v>400</v>
      </c>
      <c r="D5042" s="12">
        <v>40</v>
      </c>
    </row>
    <row r="5043" spans="1:4" x14ac:dyDescent="0.2">
      <c r="A5043" s="12" t="s">
        <v>941</v>
      </c>
      <c r="B5043" s="12" t="s">
        <v>940</v>
      </c>
      <c r="C5043" s="12">
        <v>610</v>
      </c>
      <c r="D5043" s="12">
        <v>61</v>
      </c>
    </row>
    <row r="5044" spans="1:4" x14ac:dyDescent="0.2">
      <c r="A5044" s="12" t="s">
        <v>12121</v>
      </c>
      <c r="B5044" s="12" t="s">
        <v>12120</v>
      </c>
      <c r="C5044" s="12">
        <v>50</v>
      </c>
      <c r="D5044" s="12">
        <v>5</v>
      </c>
    </row>
    <row r="5045" spans="1:4" x14ac:dyDescent="0.2">
      <c r="A5045" s="12" t="s">
        <v>1183</v>
      </c>
      <c r="B5045" s="12" t="s">
        <v>1182</v>
      </c>
      <c r="C5045" s="12">
        <v>360</v>
      </c>
      <c r="D5045" s="12">
        <v>73</v>
      </c>
    </row>
    <row r="5046" spans="1:4" x14ac:dyDescent="0.2">
      <c r="A5046" s="12" t="s">
        <v>4234</v>
      </c>
      <c r="B5046" s="12" t="s">
        <v>4233</v>
      </c>
      <c r="C5046" s="12">
        <v>170</v>
      </c>
      <c r="D5046" s="12">
        <v>4.5</v>
      </c>
    </row>
    <row r="5047" spans="1:4" x14ac:dyDescent="0.2">
      <c r="A5047" s="12" t="s">
        <v>1603</v>
      </c>
      <c r="B5047" s="12" t="s">
        <v>1602</v>
      </c>
      <c r="C5047" s="12">
        <v>5700</v>
      </c>
      <c r="D5047" s="12">
        <v>570</v>
      </c>
    </row>
    <row r="5048" spans="1:4" x14ac:dyDescent="0.2">
      <c r="A5048" s="12" t="s">
        <v>1615</v>
      </c>
      <c r="B5048" s="12" t="s">
        <v>1614</v>
      </c>
      <c r="C5048" s="12">
        <v>1700</v>
      </c>
      <c r="D5048" s="12">
        <v>330</v>
      </c>
    </row>
    <row r="5049" spans="1:4" x14ac:dyDescent="0.2">
      <c r="A5049" s="12" t="s">
        <v>5322</v>
      </c>
      <c r="B5049" s="12" t="s">
        <v>5321</v>
      </c>
      <c r="C5049" s="12">
        <v>0.21</v>
      </c>
      <c r="D5049" s="12">
        <v>1.6999999999999999E-3</v>
      </c>
    </row>
    <row r="5050" spans="1:4" x14ac:dyDescent="0.2">
      <c r="A5050" s="12" t="s">
        <v>4453</v>
      </c>
      <c r="B5050" s="12" t="s">
        <v>4452</v>
      </c>
      <c r="C5050" s="12">
        <v>100</v>
      </c>
      <c r="D5050" s="12">
        <v>10</v>
      </c>
    </row>
    <row r="5051" spans="1:4" x14ac:dyDescent="0.2">
      <c r="A5051" s="12" t="s">
        <v>4454</v>
      </c>
      <c r="B5051" s="12" t="s">
        <v>4452</v>
      </c>
      <c r="C5051" s="12" t="s">
        <v>59</v>
      </c>
      <c r="D5051" s="12" t="s">
        <v>59</v>
      </c>
    </row>
    <row r="5052" spans="1:4" x14ac:dyDescent="0.2">
      <c r="A5052" s="12" t="s">
        <v>1354</v>
      </c>
      <c r="B5052" s="12" t="s">
        <v>1353</v>
      </c>
      <c r="C5052" s="12">
        <v>4800</v>
      </c>
      <c r="D5052" s="12">
        <v>450</v>
      </c>
    </row>
    <row r="5053" spans="1:4" x14ac:dyDescent="0.2">
      <c r="A5053" s="12" t="s">
        <v>2526</v>
      </c>
      <c r="B5053" s="12" t="s">
        <v>2525</v>
      </c>
      <c r="C5053" s="12">
        <v>1700</v>
      </c>
      <c r="D5053" s="12">
        <v>330</v>
      </c>
    </row>
    <row r="5054" spans="1:4" x14ac:dyDescent="0.2">
      <c r="A5054" s="12" t="s">
        <v>271</v>
      </c>
      <c r="B5054" s="12" t="s">
        <v>270</v>
      </c>
      <c r="C5054" s="12" t="s">
        <v>59</v>
      </c>
      <c r="D5054" s="12" t="s">
        <v>59</v>
      </c>
    </row>
    <row r="5055" spans="1:4" x14ac:dyDescent="0.2">
      <c r="A5055" s="12" t="s">
        <v>316</v>
      </c>
      <c r="B5055" s="12" t="s">
        <v>315</v>
      </c>
      <c r="C5055" s="12">
        <v>2800</v>
      </c>
      <c r="D5055" s="12">
        <v>1500</v>
      </c>
    </row>
    <row r="5056" spans="1:4" x14ac:dyDescent="0.2">
      <c r="A5056" s="12" t="s">
        <v>4748</v>
      </c>
      <c r="B5056" s="12" t="s">
        <v>4747</v>
      </c>
      <c r="C5056" s="12" t="s">
        <v>59</v>
      </c>
      <c r="D5056" s="12" t="s">
        <v>59</v>
      </c>
    </row>
    <row r="5057" spans="1:4" x14ac:dyDescent="0.2">
      <c r="A5057" s="12" t="s">
        <v>11982</v>
      </c>
      <c r="B5057" s="12" t="s">
        <v>11981</v>
      </c>
      <c r="C5057" s="12">
        <v>270</v>
      </c>
      <c r="D5057" s="12">
        <v>27</v>
      </c>
    </row>
    <row r="5058" spans="1:4" x14ac:dyDescent="0.2">
      <c r="A5058" s="12" t="s">
        <v>8978</v>
      </c>
      <c r="B5058" s="12" t="s">
        <v>8977</v>
      </c>
      <c r="C5058" s="12" t="s">
        <v>59</v>
      </c>
      <c r="D5058" s="12" t="s">
        <v>59</v>
      </c>
    </row>
    <row r="5059" spans="1:4" x14ac:dyDescent="0.2">
      <c r="A5059" s="12" t="s">
        <v>8979</v>
      </c>
      <c r="B5059" s="12" t="s">
        <v>8977</v>
      </c>
      <c r="C5059" s="12">
        <v>1000</v>
      </c>
      <c r="D5059" s="12">
        <v>100</v>
      </c>
    </row>
    <row r="5060" spans="1:4" x14ac:dyDescent="0.2">
      <c r="A5060" s="12" t="s">
        <v>5132</v>
      </c>
      <c r="B5060" s="12" t="s">
        <v>5131</v>
      </c>
      <c r="C5060" s="12">
        <v>3.6</v>
      </c>
      <c r="D5060" s="12">
        <v>4.1000000000000002E-2</v>
      </c>
    </row>
    <row r="5061" spans="1:4" x14ac:dyDescent="0.2">
      <c r="A5061" s="12" t="s">
        <v>4381</v>
      </c>
      <c r="B5061" s="12" t="s">
        <v>4380</v>
      </c>
      <c r="C5061" s="12" t="s">
        <v>59</v>
      </c>
      <c r="D5061" s="12" t="s">
        <v>59</v>
      </c>
    </row>
    <row r="5062" spans="1:4" ht="28.5" x14ac:dyDescent="0.2">
      <c r="A5062" s="12" t="s">
        <v>4478</v>
      </c>
      <c r="B5062" s="12" t="s">
        <v>4477</v>
      </c>
      <c r="C5062" s="12">
        <v>3.6</v>
      </c>
      <c r="D5062" s="12">
        <v>4.1000000000000002E-2</v>
      </c>
    </row>
    <row r="5063" spans="1:4" x14ac:dyDescent="0.2">
      <c r="A5063" s="12" t="s">
        <v>5861</v>
      </c>
      <c r="B5063" s="12" t="s">
        <v>5860</v>
      </c>
      <c r="C5063" s="12">
        <v>100</v>
      </c>
      <c r="D5063" s="12">
        <v>10</v>
      </c>
    </row>
    <row r="5064" spans="1:4" x14ac:dyDescent="0.2">
      <c r="A5064" s="12" t="s">
        <v>759</v>
      </c>
      <c r="B5064" s="12" t="s">
        <v>758</v>
      </c>
      <c r="C5064" s="12">
        <v>100</v>
      </c>
      <c r="D5064" s="12">
        <v>10</v>
      </c>
    </row>
    <row r="5065" spans="1:4" x14ac:dyDescent="0.2">
      <c r="A5065" s="12" t="s">
        <v>3381</v>
      </c>
      <c r="B5065" s="12" t="s">
        <v>3380</v>
      </c>
      <c r="C5065" s="12">
        <v>0.4</v>
      </c>
      <c r="D5065" s="12">
        <v>0.04</v>
      </c>
    </row>
    <row r="5066" spans="1:4" x14ac:dyDescent="0.2">
      <c r="A5066" s="12" t="s">
        <v>2472</v>
      </c>
      <c r="B5066" s="12" t="s">
        <v>2471</v>
      </c>
      <c r="C5066" s="12">
        <v>100</v>
      </c>
      <c r="D5066" s="12">
        <v>10</v>
      </c>
    </row>
    <row r="5067" spans="1:4" x14ac:dyDescent="0.2">
      <c r="A5067" s="12" t="s">
        <v>644</v>
      </c>
      <c r="B5067" s="12" t="s">
        <v>643</v>
      </c>
      <c r="C5067" s="12">
        <v>2450</v>
      </c>
      <c r="D5067" s="12">
        <v>245</v>
      </c>
    </row>
    <row r="5068" spans="1:4" x14ac:dyDescent="0.2">
      <c r="A5068" s="12" t="s">
        <v>8202</v>
      </c>
      <c r="B5068" s="12" t="s">
        <v>8201</v>
      </c>
      <c r="C5068" s="12">
        <v>40</v>
      </c>
      <c r="D5068" s="12">
        <v>4</v>
      </c>
    </row>
    <row r="5069" spans="1:4" x14ac:dyDescent="0.2">
      <c r="A5069" s="12" t="s">
        <v>8880</v>
      </c>
      <c r="B5069" s="12" t="s">
        <v>8879</v>
      </c>
      <c r="C5069" s="12">
        <v>100</v>
      </c>
      <c r="D5069" s="12">
        <v>10</v>
      </c>
    </row>
    <row r="5070" spans="1:4" x14ac:dyDescent="0.2">
      <c r="A5070" s="12" t="s">
        <v>7997</v>
      </c>
      <c r="B5070" s="12" t="s">
        <v>7996</v>
      </c>
      <c r="C5070" s="12">
        <v>1000</v>
      </c>
      <c r="D5070" s="12">
        <v>100</v>
      </c>
    </row>
    <row r="5071" spans="1:4" x14ac:dyDescent="0.2">
      <c r="A5071" s="12" t="s">
        <v>4742</v>
      </c>
      <c r="B5071" s="12" t="s">
        <v>4741</v>
      </c>
      <c r="C5071" s="12">
        <v>50</v>
      </c>
      <c r="D5071" s="12">
        <v>5</v>
      </c>
    </row>
    <row r="5072" spans="1:4" x14ac:dyDescent="0.2">
      <c r="A5072" s="12" t="s">
        <v>4744</v>
      </c>
      <c r="B5072" s="12" t="s">
        <v>4743</v>
      </c>
      <c r="C5072" s="12" t="s">
        <v>59</v>
      </c>
      <c r="D5072" s="12" t="s">
        <v>59</v>
      </c>
    </row>
    <row r="5073" spans="1:4" x14ac:dyDescent="0.2">
      <c r="A5073" s="12" t="s">
        <v>7017</v>
      </c>
      <c r="B5073" s="12" t="s">
        <v>7016</v>
      </c>
      <c r="C5073" s="12" t="s">
        <v>59</v>
      </c>
      <c r="D5073" s="12" t="s">
        <v>59</v>
      </c>
    </row>
    <row r="5074" spans="1:4" x14ac:dyDescent="0.2">
      <c r="A5074" s="12" t="s">
        <v>7018</v>
      </c>
      <c r="B5074" s="12" t="s">
        <v>7016</v>
      </c>
      <c r="C5074" s="12">
        <v>1000</v>
      </c>
      <c r="D5074" s="12">
        <v>100</v>
      </c>
    </row>
    <row r="5075" spans="1:4" x14ac:dyDescent="0.2">
      <c r="A5075" s="12" t="s">
        <v>513</v>
      </c>
      <c r="B5075" s="12" t="s">
        <v>512</v>
      </c>
      <c r="C5075" s="12">
        <v>50</v>
      </c>
      <c r="D5075" s="12">
        <v>5</v>
      </c>
    </row>
    <row r="5076" spans="1:4" x14ac:dyDescent="0.2">
      <c r="A5076" s="12" t="s">
        <v>11651</v>
      </c>
      <c r="B5076" s="12" t="s">
        <v>11650</v>
      </c>
      <c r="C5076" s="12">
        <v>100</v>
      </c>
      <c r="D5076" s="12">
        <v>10</v>
      </c>
    </row>
    <row r="5077" spans="1:4" x14ac:dyDescent="0.2">
      <c r="A5077" s="12" t="s">
        <v>3480</v>
      </c>
      <c r="B5077" s="12" t="s">
        <v>3479</v>
      </c>
      <c r="C5077" s="12">
        <v>3.6</v>
      </c>
      <c r="D5077" s="12">
        <v>4.1000000000000002E-2</v>
      </c>
    </row>
    <row r="5078" spans="1:4" x14ac:dyDescent="0.2">
      <c r="A5078" s="12" t="s">
        <v>132</v>
      </c>
      <c r="B5078" s="12" t="s">
        <v>131</v>
      </c>
      <c r="C5078" s="12">
        <v>5700</v>
      </c>
      <c r="D5078" s="12">
        <v>570</v>
      </c>
    </row>
    <row r="5079" spans="1:4" x14ac:dyDescent="0.2">
      <c r="A5079" s="12" t="s">
        <v>771</v>
      </c>
      <c r="B5079" s="12" t="s">
        <v>770</v>
      </c>
      <c r="C5079" s="12">
        <v>610</v>
      </c>
      <c r="D5079" s="12">
        <v>61</v>
      </c>
    </row>
    <row r="5080" spans="1:4" x14ac:dyDescent="0.2">
      <c r="A5080" s="12" t="s">
        <v>9988</v>
      </c>
      <c r="B5080" s="12" t="s">
        <v>9987</v>
      </c>
      <c r="C5080" s="12" t="s">
        <v>59</v>
      </c>
      <c r="D5080" s="12" t="s">
        <v>59</v>
      </c>
    </row>
    <row r="5081" spans="1:4" x14ac:dyDescent="0.2">
      <c r="A5081" s="12" t="s">
        <v>5671</v>
      </c>
      <c r="B5081" s="12" t="s">
        <v>5670</v>
      </c>
      <c r="C5081" s="12" t="s">
        <v>59</v>
      </c>
      <c r="D5081" s="12" t="s">
        <v>59</v>
      </c>
    </row>
    <row r="5082" spans="1:4" x14ac:dyDescent="0.2">
      <c r="A5082" s="12" t="s">
        <v>2757</v>
      </c>
      <c r="B5082" s="12" t="s">
        <v>2756</v>
      </c>
      <c r="C5082" s="12">
        <v>1700</v>
      </c>
      <c r="D5082" s="12">
        <v>330</v>
      </c>
    </row>
    <row r="5083" spans="1:4" x14ac:dyDescent="0.2">
      <c r="A5083" s="12" t="s">
        <v>6501</v>
      </c>
      <c r="B5083" s="12" t="s">
        <v>6500</v>
      </c>
      <c r="C5083" s="12">
        <v>1</v>
      </c>
      <c r="D5083" s="12">
        <v>0.1</v>
      </c>
    </row>
    <row r="5084" spans="1:4" x14ac:dyDescent="0.2">
      <c r="A5084" s="12" t="s">
        <v>11475</v>
      </c>
      <c r="B5084" s="12" t="s">
        <v>11474</v>
      </c>
      <c r="C5084" s="12">
        <v>50</v>
      </c>
      <c r="D5084" s="12">
        <v>5</v>
      </c>
    </row>
    <row r="5085" spans="1:4" ht="28.5" x14ac:dyDescent="0.2">
      <c r="A5085" s="12" t="s">
        <v>6544</v>
      </c>
      <c r="B5085" s="12" t="s">
        <v>6543</v>
      </c>
      <c r="C5085" s="12" t="s">
        <v>59</v>
      </c>
      <c r="D5085" s="12" t="s">
        <v>59</v>
      </c>
    </row>
    <row r="5086" spans="1:4" ht="28.5" x14ac:dyDescent="0.2">
      <c r="A5086" s="12" t="s">
        <v>6545</v>
      </c>
      <c r="B5086" s="12" t="s">
        <v>6543</v>
      </c>
      <c r="C5086" s="12">
        <v>500</v>
      </c>
      <c r="D5086" s="12">
        <v>50</v>
      </c>
    </row>
    <row r="5087" spans="1:4" x14ac:dyDescent="0.2">
      <c r="A5087" s="12" t="s">
        <v>3506</v>
      </c>
      <c r="B5087" s="12" t="s">
        <v>3505</v>
      </c>
      <c r="C5087" s="12">
        <v>10</v>
      </c>
      <c r="D5087" s="12">
        <v>1</v>
      </c>
    </row>
    <row r="5088" spans="1:4" x14ac:dyDescent="0.2">
      <c r="A5088" s="12" t="s">
        <v>12107</v>
      </c>
      <c r="B5088" s="12" t="s">
        <v>12106</v>
      </c>
      <c r="C5088" s="12">
        <v>2000</v>
      </c>
      <c r="D5088" s="12">
        <v>200</v>
      </c>
    </row>
    <row r="5089" spans="1:4" x14ac:dyDescent="0.2">
      <c r="A5089" s="12" t="s">
        <v>3919</v>
      </c>
      <c r="B5089" s="12" t="s">
        <v>3918</v>
      </c>
      <c r="C5089" s="12" t="s">
        <v>59</v>
      </c>
      <c r="D5089" s="12" t="s">
        <v>59</v>
      </c>
    </row>
    <row r="5090" spans="1:4" x14ac:dyDescent="0.2">
      <c r="A5090" s="12" t="s">
        <v>3920</v>
      </c>
      <c r="B5090" s="12" t="s">
        <v>3918</v>
      </c>
      <c r="C5090" s="12">
        <v>600</v>
      </c>
      <c r="D5090" s="12">
        <v>60</v>
      </c>
    </row>
    <row r="5091" spans="1:4" x14ac:dyDescent="0.2">
      <c r="A5091" s="12" t="s">
        <v>2041</v>
      </c>
      <c r="B5091" s="12" t="s">
        <v>2040</v>
      </c>
      <c r="C5091" s="12" t="s">
        <v>59</v>
      </c>
      <c r="D5091" s="12" t="s">
        <v>59</v>
      </c>
    </row>
    <row r="5092" spans="1:4" x14ac:dyDescent="0.2">
      <c r="A5092" s="12" t="s">
        <v>144</v>
      </c>
      <c r="B5092" s="12" t="s">
        <v>143</v>
      </c>
      <c r="C5092" s="12">
        <v>5700</v>
      </c>
      <c r="D5092" s="12">
        <v>570</v>
      </c>
    </row>
    <row r="5093" spans="1:4" x14ac:dyDescent="0.2">
      <c r="A5093" s="12" t="s">
        <v>8361</v>
      </c>
      <c r="B5093" s="12" t="s">
        <v>8360</v>
      </c>
      <c r="C5093" s="12" t="s">
        <v>59</v>
      </c>
      <c r="D5093" s="12" t="s">
        <v>59</v>
      </c>
    </row>
    <row r="5094" spans="1:4" x14ac:dyDescent="0.2">
      <c r="A5094" s="12" t="s">
        <v>6945</v>
      </c>
      <c r="B5094" s="12" t="s">
        <v>6944</v>
      </c>
      <c r="C5094" s="12" t="s">
        <v>59</v>
      </c>
      <c r="D5094" s="12" t="s">
        <v>59</v>
      </c>
    </row>
    <row r="5095" spans="1:4" x14ac:dyDescent="0.2">
      <c r="A5095" s="12" t="s">
        <v>6946</v>
      </c>
      <c r="B5095" s="12" t="s">
        <v>6944</v>
      </c>
      <c r="C5095" s="12">
        <v>1000</v>
      </c>
      <c r="D5095" s="12">
        <v>100</v>
      </c>
    </row>
    <row r="5096" spans="1:4" x14ac:dyDescent="0.2">
      <c r="A5096" s="12" t="s">
        <v>11494</v>
      </c>
      <c r="B5096" s="12" t="s">
        <v>11493</v>
      </c>
      <c r="C5096" s="12">
        <v>5</v>
      </c>
      <c r="D5096" s="12">
        <v>0.5</v>
      </c>
    </row>
    <row r="5097" spans="1:4" x14ac:dyDescent="0.2">
      <c r="A5097" s="12" t="s">
        <v>2958</v>
      </c>
      <c r="B5097" s="12" t="s">
        <v>2957</v>
      </c>
      <c r="C5097" s="12">
        <v>1</v>
      </c>
      <c r="D5097" s="12">
        <v>0.1</v>
      </c>
    </row>
    <row r="5098" spans="1:4" x14ac:dyDescent="0.2">
      <c r="A5098" s="12" t="s">
        <v>2960</v>
      </c>
      <c r="B5098" s="12" t="s">
        <v>2959</v>
      </c>
      <c r="C5098" s="12">
        <v>1</v>
      </c>
      <c r="D5098" s="12">
        <v>0.1</v>
      </c>
    </row>
    <row r="5099" spans="1:4" x14ac:dyDescent="0.2">
      <c r="A5099" s="12" t="s">
        <v>8161</v>
      </c>
      <c r="B5099" s="12" t="s">
        <v>8160</v>
      </c>
      <c r="C5099" s="12">
        <v>1000</v>
      </c>
      <c r="D5099" s="12">
        <v>100</v>
      </c>
    </row>
    <row r="5100" spans="1:4" x14ac:dyDescent="0.2">
      <c r="A5100" s="12" t="s">
        <v>4769</v>
      </c>
      <c r="B5100" s="12" t="s">
        <v>4768</v>
      </c>
      <c r="C5100" s="12">
        <v>1000</v>
      </c>
      <c r="D5100" s="12">
        <v>100</v>
      </c>
    </row>
    <row r="5101" spans="1:4" x14ac:dyDescent="0.2">
      <c r="A5101" s="12" t="s">
        <v>4668</v>
      </c>
      <c r="B5101" s="12" t="s">
        <v>4667</v>
      </c>
      <c r="C5101" s="12" t="s">
        <v>59</v>
      </c>
      <c r="D5101" s="12" t="s">
        <v>59</v>
      </c>
    </row>
    <row r="5102" spans="1:4" x14ac:dyDescent="0.2">
      <c r="A5102" s="12" t="s">
        <v>4750</v>
      </c>
      <c r="B5102" s="12" t="s">
        <v>4749</v>
      </c>
      <c r="C5102" s="12" t="s">
        <v>59</v>
      </c>
      <c r="D5102" s="12" t="s">
        <v>59</v>
      </c>
    </row>
    <row r="5103" spans="1:4" x14ac:dyDescent="0.2">
      <c r="A5103" s="12" t="s">
        <v>4751</v>
      </c>
      <c r="B5103" s="12" t="s">
        <v>4749</v>
      </c>
      <c r="C5103" s="12">
        <v>600</v>
      </c>
      <c r="D5103" s="12">
        <v>60</v>
      </c>
    </row>
    <row r="5104" spans="1:4" x14ac:dyDescent="0.2">
      <c r="A5104" s="12" t="s">
        <v>3950</v>
      </c>
      <c r="B5104" s="12" t="s">
        <v>3949</v>
      </c>
      <c r="C5104" s="12">
        <v>400</v>
      </c>
      <c r="D5104" s="12">
        <v>40</v>
      </c>
    </row>
    <row r="5105" spans="1:4" x14ac:dyDescent="0.2">
      <c r="A5105" s="12" t="s">
        <v>4377</v>
      </c>
      <c r="B5105" s="12" t="s">
        <v>4376</v>
      </c>
      <c r="C5105" s="12">
        <v>720</v>
      </c>
      <c r="D5105" s="12">
        <v>72</v>
      </c>
    </row>
    <row r="5106" spans="1:4" x14ac:dyDescent="0.2">
      <c r="A5106" s="12" t="s">
        <v>1440</v>
      </c>
      <c r="B5106" s="12" t="s">
        <v>1439</v>
      </c>
      <c r="C5106" s="12">
        <v>50</v>
      </c>
      <c r="D5106" s="12">
        <v>5</v>
      </c>
    </row>
    <row r="5107" spans="1:4" x14ac:dyDescent="0.2">
      <c r="A5107" s="12" t="s">
        <v>10082</v>
      </c>
      <c r="B5107" s="12" t="s">
        <v>10081</v>
      </c>
      <c r="C5107" s="12">
        <v>0.02</v>
      </c>
      <c r="D5107" s="12">
        <v>2E-3</v>
      </c>
    </row>
    <row r="5108" spans="1:4" x14ac:dyDescent="0.2">
      <c r="A5108" s="12" t="s">
        <v>3917</v>
      </c>
      <c r="B5108" s="12" t="s">
        <v>3916</v>
      </c>
      <c r="C5108" s="12">
        <v>100</v>
      </c>
      <c r="D5108" s="12">
        <v>10</v>
      </c>
    </row>
    <row r="5109" spans="1:4" x14ac:dyDescent="0.2">
      <c r="A5109" s="12" t="s">
        <v>7025</v>
      </c>
      <c r="B5109" s="12" t="s">
        <v>7024</v>
      </c>
      <c r="C5109" s="12" t="s">
        <v>59</v>
      </c>
      <c r="D5109" s="12" t="s">
        <v>59</v>
      </c>
    </row>
    <row r="5110" spans="1:4" x14ac:dyDescent="0.2">
      <c r="A5110" s="12" t="s">
        <v>7026</v>
      </c>
      <c r="B5110" s="12" t="s">
        <v>7024</v>
      </c>
      <c r="C5110" s="12">
        <v>1000</v>
      </c>
      <c r="D5110" s="12">
        <v>100</v>
      </c>
    </row>
    <row r="5111" spans="1:4" x14ac:dyDescent="0.2">
      <c r="A5111" s="12" t="s">
        <v>5376</v>
      </c>
      <c r="B5111" s="12" t="s">
        <v>5375</v>
      </c>
      <c r="C5111" s="12">
        <v>100</v>
      </c>
      <c r="D5111" s="12">
        <v>10</v>
      </c>
    </row>
    <row r="5112" spans="1:4" x14ac:dyDescent="0.2">
      <c r="A5112" s="12" t="s">
        <v>5377</v>
      </c>
      <c r="B5112" s="12" t="s">
        <v>5375</v>
      </c>
      <c r="C5112" s="12" t="s">
        <v>59</v>
      </c>
      <c r="D5112" s="12" t="s">
        <v>59</v>
      </c>
    </row>
    <row r="5113" spans="1:4" x14ac:dyDescent="0.2">
      <c r="A5113" s="12" t="s">
        <v>6249</v>
      </c>
      <c r="B5113" s="12" t="s">
        <v>6248</v>
      </c>
      <c r="C5113" s="12" t="s">
        <v>59</v>
      </c>
      <c r="D5113" s="12" t="s">
        <v>59</v>
      </c>
    </row>
    <row r="5114" spans="1:4" x14ac:dyDescent="0.2">
      <c r="A5114" s="12" t="s">
        <v>612</v>
      </c>
      <c r="B5114" s="12" t="s">
        <v>611</v>
      </c>
      <c r="C5114" s="12" t="s">
        <v>59</v>
      </c>
      <c r="D5114" s="12" t="s">
        <v>59</v>
      </c>
    </row>
    <row r="5115" spans="1:4" x14ac:dyDescent="0.2">
      <c r="A5115" s="12" t="s">
        <v>613</v>
      </c>
      <c r="B5115" s="12" t="s">
        <v>611</v>
      </c>
      <c r="C5115" s="12">
        <v>1000</v>
      </c>
      <c r="D5115" s="12">
        <v>100</v>
      </c>
    </row>
    <row r="5116" spans="1:4" x14ac:dyDescent="0.2">
      <c r="A5116" s="12" t="s">
        <v>9902</v>
      </c>
      <c r="B5116" s="12" t="s">
        <v>9901</v>
      </c>
      <c r="C5116" s="12">
        <v>20</v>
      </c>
      <c r="D5116" s="12">
        <v>2</v>
      </c>
    </row>
    <row r="5117" spans="1:4" x14ac:dyDescent="0.2">
      <c r="A5117" s="12" t="s">
        <v>1658</v>
      </c>
      <c r="B5117" s="12" t="s">
        <v>1657</v>
      </c>
      <c r="C5117" s="12">
        <v>290</v>
      </c>
      <c r="D5117" s="12">
        <v>3.3</v>
      </c>
    </row>
    <row r="5118" spans="1:4" x14ac:dyDescent="0.2">
      <c r="A5118" s="12" t="s">
        <v>2823</v>
      </c>
      <c r="B5118" s="12" t="s">
        <v>2822</v>
      </c>
      <c r="C5118" s="12" t="s">
        <v>59</v>
      </c>
      <c r="D5118" s="12" t="s">
        <v>59</v>
      </c>
    </row>
    <row r="5119" spans="1:4" x14ac:dyDescent="0.2">
      <c r="A5119" s="12" t="s">
        <v>9204</v>
      </c>
      <c r="B5119" s="12" t="s">
        <v>9203</v>
      </c>
      <c r="C5119" s="12" t="s">
        <v>59</v>
      </c>
      <c r="D5119" s="12" t="s">
        <v>59</v>
      </c>
    </row>
    <row r="5120" spans="1:4" x14ac:dyDescent="0.2">
      <c r="A5120" s="12" t="s">
        <v>1260</v>
      </c>
      <c r="B5120" s="12" t="s">
        <v>1259</v>
      </c>
      <c r="C5120" s="12">
        <v>10</v>
      </c>
      <c r="D5120" s="12">
        <v>1</v>
      </c>
    </row>
    <row r="5121" spans="1:4" x14ac:dyDescent="0.2">
      <c r="A5121" s="12" t="s">
        <v>4746</v>
      </c>
      <c r="B5121" s="12" t="s">
        <v>4745</v>
      </c>
      <c r="C5121" s="12">
        <v>3.6</v>
      </c>
      <c r="D5121" s="12">
        <v>4.1000000000000002E-2</v>
      </c>
    </row>
    <row r="5122" spans="1:4" ht="28.5" x14ac:dyDescent="0.2">
      <c r="A5122" s="12" t="s">
        <v>2432</v>
      </c>
      <c r="B5122" s="12" t="s">
        <v>2431</v>
      </c>
      <c r="C5122" s="12">
        <v>8.1</v>
      </c>
      <c r="D5122" s="12">
        <v>0.55000000000000004</v>
      </c>
    </row>
    <row r="5123" spans="1:4" x14ac:dyDescent="0.2">
      <c r="A5123" s="12" t="s">
        <v>4218</v>
      </c>
      <c r="B5123" s="12" t="s">
        <v>4217</v>
      </c>
      <c r="C5123" s="12" t="s">
        <v>59</v>
      </c>
      <c r="D5123" s="12" t="s">
        <v>59</v>
      </c>
    </row>
    <row r="5124" spans="1:4" x14ac:dyDescent="0.2">
      <c r="A5124" s="12" t="s">
        <v>3853</v>
      </c>
      <c r="B5124" s="12" t="s">
        <v>3852</v>
      </c>
      <c r="C5124" s="12">
        <v>50</v>
      </c>
      <c r="D5124" s="12">
        <v>5</v>
      </c>
    </row>
    <row r="5125" spans="1:4" x14ac:dyDescent="0.2">
      <c r="A5125" s="12" t="s">
        <v>2821</v>
      </c>
      <c r="B5125" s="12" t="s">
        <v>2820</v>
      </c>
      <c r="C5125" s="12">
        <v>20</v>
      </c>
      <c r="D5125" s="12">
        <v>2</v>
      </c>
    </row>
    <row r="5126" spans="1:4" x14ac:dyDescent="0.2">
      <c r="A5126" s="12" t="s">
        <v>1331</v>
      </c>
      <c r="B5126" s="12" t="s">
        <v>1330</v>
      </c>
      <c r="C5126" s="12">
        <v>51</v>
      </c>
      <c r="D5126" s="12">
        <v>7.5</v>
      </c>
    </row>
    <row r="5127" spans="1:4" x14ac:dyDescent="0.2">
      <c r="A5127" s="12" t="s">
        <v>5642</v>
      </c>
      <c r="B5127" s="12" t="s">
        <v>5641</v>
      </c>
      <c r="C5127" s="12" t="s">
        <v>59</v>
      </c>
      <c r="D5127" s="12" t="s">
        <v>59</v>
      </c>
    </row>
    <row r="5128" spans="1:4" x14ac:dyDescent="0.2">
      <c r="A5128" s="12" t="s">
        <v>5643</v>
      </c>
      <c r="B5128" s="12" t="s">
        <v>5641</v>
      </c>
      <c r="C5128" s="12">
        <v>600</v>
      </c>
      <c r="D5128" s="12">
        <v>60</v>
      </c>
    </row>
    <row r="5129" spans="1:4" x14ac:dyDescent="0.2">
      <c r="A5129" s="12" t="s">
        <v>9448</v>
      </c>
      <c r="B5129" s="12" t="s">
        <v>9447</v>
      </c>
      <c r="C5129" s="12" t="s">
        <v>59</v>
      </c>
      <c r="D5129" s="12" t="s">
        <v>59</v>
      </c>
    </row>
    <row r="5130" spans="1:4" x14ac:dyDescent="0.2">
      <c r="A5130" s="12" t="s">
        <v>9449</v>
      </c>
      <c r="B5130" s="12" t="s">
        <v>9447</v>
      </c>
      <c r="C5130" s="12">
        <v>600</v>
      </c>
      <c r="D5130" s="12">
        <v>60</v>
      </c>
    </row>
    <row r="5131" spans="1:4" x14ac:dyDescent="0.2">
      <c r="A5131" s="12" t="s">
        <v>6160</v>
      </c>
      <c r="B5131" s="12" t="s">
        <v>6159</v>
      </c>
      <c r="C5131" s="12">
        <v>100</v>
      </c>
      <c r="D5131" s="12">
        <v>10</v>
      </c>
    </row>
    <row r="5132" spans="1:4" x14ac:dyDescent="0.2">
      <c r="A5132" s="12" t="s">
        <v>2275</v>
      </c>
      <c r="B5132" s="12" t="s">
        <v>2274</v>
      </c>
      <c r="C5132" s="12">
        <v>125</v>
      </c>
      <c r="D5132" s="12">
        <v>12.5</v>
      </c>
    </row>
    <row r="5133" spans="1:4" x14ac:dyDescent="0.2">
      <c r="A5133" s="12" t="s">
        <v>6772</v>
      </c>
      <c r="B5133" s="12" t="s">
        <v>6771</v>
      </c>
      <c r="C5133" s="12" t="s">
        <v>59</v>
      </c>
      <c r="D5133" s="12" t="s">
        <v>59</v>
      </c>
    </row>
    <row r="5134" spans="1:4" x14ac:dyDescent="0.2">
      <c r="A5134" s="12" t="s">
        <v>172</v>
      </c>
      <c r="B5134" s="12" t="s">
        <v>171</v>
      </c>
      <c r="C5134" s="12">
        <v>5700</v>
      </c>
      <c r="D5134" s="12">
        <v>570</v>
      </c>
    </row>
    <row r="5135" spans="1:4" x14ac:dyDescent="0.2">
      <c r="A5135" s="12" t="s">
        <v>10716</v>
      </c>
      <c r="B5135" s="12" t="s">
        <v>10715</v>
      </c>
      <c r="C5135" s="12" t="s">
        <v>59</v>
      </c>
      <c r="D5135" s="12" t="s">
        <v>59</v>
      </c>
    </row>
    <row r="5136" spans="1:4" x14ac:dyDescent="0.2">
      <c r="A5136" s="12" t="s">
        <v>10717</v>
      </c>
      <c r="B5136" s="12" t="s">
        <v>10715</v>
      </c>
      <c r="C5136" s="12">
        <v>1000</v>
      </c>
      <c r="D5136" s="12">
        <v>100</v>
      </c>
    </row>
    <row r="5137" spans="1:4" x14ac:dyDescent="0.2">
      <c r="A5137" s="12" t="s">
        <v>1265</v>
      </c>
      <c r="B5137" s="12" t="s">
        <v>1264</v>
      </c>
      <c r="C5137" s="12">
        <v>120</v>
      </c>
      <c r="D5137" s="12">
        <v>12</v>
      </c>
    </row>
    <row r="5138" spans="1:4" x14ac:dyDescent="0.2">
      <c r="A5138" s="12" t="s">
        <v>5865</v>
      </c>
      <c r="B5138" s="12" t="s">
        <v>5864</v>
      </c>
      <c r="C5138" s="12">
        <v>100</v>
      </c>
      <c r="D5138" s="12">
        <v>10</v>
      </c>
    </row>
    <row r="5139" spans="1:4" x14ac:dyDescent="0.2">
      <c r="A5139" s="12" t="s">
        <v>4612</v>
      </c>
      <c r="B5139" s="12" t="s">
        <v>4611</v>
      </c>
      <c r="C5139" s="12">
        <v>270</v>
      </c>
      <c r="D5139" s="12">
        <v>27</v>
      </c>
    </row>
    <row r="5140" spans="1:4" x14ac:dyDescent="0.2">
      <c r="A5140" s="12" t="s">
        <v>5717</v>
      </c>
      <c r="B5140" s="12" t="s">
        <v>5716</v>
      </c>
      <c r="C5140" s="12" t="s">
        <v>59</v>
      </c>
      <c r="D5140" s="12" t="s">
        <v>59</v>
      </c>
    </row>
    <row r="5141" spans="1:4" x14ac:dyDescent="0.2">
      <c r="A5141" s="12" t="s">
        <v>1581</v>
      </c>
      <c r="B5141" s="12" t="s">
        <v>1580</v>
      </c>
      <c r="C5141" s="12">
        <v>70</v>
      </c>
      <c r="D5141" s="12">
        <v>7</v>
      </c>
    </row>
    <row r="5142" spans="1:4" x14ac:dyDescent="0.2">
      <c r="A5142" s="12" t="s">
        <v>698</v>
      </c>
      <c r="B5142" s="12" t="s">
        <v>697</v>
      </c>
      <c r="C5142" s="12">
        <v>160</v>
      </c>
      <c r="D5142" s="12">
        <v>16</v>
      </c>
    </row>
    <row r="5143" spans="1:4" x14ac:dyDescent="0.2">
      <c r="A5143" s="12" t="s">
        <v>11368</v>
      </c>
      <c r="B5143" s="12" t="s">
        <v>11367</v>
      </c>
      <c r="C5143" s="12">
        <v>100</v>
      </c>
      <c r="D5143" s="12">
        <v>10</v>
      </c>
    </row>
    <row r="5144" spans="1:4" x14ac:dyDescent="0.2">
      <c r="A5144" s="12" t="s">
        <v>3845</v>
      </c>
      <c r="B5144" s="12" t="s">
        <v>3844</v>
      </c>
      <c r="C5144" s="12">
        <v>50</v>
      </c>
      <c r="D5144" s="12">
        <v>5</v>
      </c>
    </row>
    <row r="5145" spans="1:4" x14ac:dyDescent="0.2">
      <c r="A5145" s="12" t="s">
        <v>11895</v>
      </c>
      <c r="B5145" s="12" t="s">
        <v>11894</v>
      </c>
      <c r="C5145" s="12">
        <v>5700</v>
      </c>
      <c r="D5145" s="12">
        <v>570</v>
      </c>
    </row>
    <row r="5146" spans="1:4" x14ac:dyDescent="0.2">
      <c r="A5146" s="12" t="s">
        <v>4692</v>
      </c>
      <c r="B5146" s="12" t="s">
        <v>4691</v>
      </c>
      <c r="C5146" s="12" t="s">
        <v>59</v>
      </c>
      <c r="D5146" s="12" t="s">
        <v>59</v>
      </c>
    </row>
    <row r="5147" spans="1:4" x14ac:dyDescent="0.2">
      <c r="A5147" s="12" t="s">
        <v>5249</v>
      </c>
      <c r="B5147" s="12" t="s">
        <v>5248</v>
      </c>
      <c r="C5147" s="12">
        <v>5700</v>
      </c>
      <c r="D5147" s="12">
        <v>570</v>
      </c>
    </row>
    <row r="5148" spans="1:4" x14ac:dyDescent="0.2">
      <c r="A5148" s="12" t="s">
        <v>7710</v>
      </c>
      <c r="B5148" s="12" t="s">
        <v>7709</v>
      </c>
      <c r="C5148" s="12" t="s">
        <v>59</v>
      </c>
      <c r="D5148" s="12" t="s">
        <v>59</v>
      </c>
    </row>
    <row r="5149" spans="1:4" x14ac:dyDescent="0.2">
      <c r="A5149" s="12" t="s">
        <v>8050</v>
      </c>
      <c r="B5149" s="12" t="s">
        <v>8049</v>
      </c>
      <c r="C5149" s="12"/>
      <c r="D5149" s="12" t="s">
        <v>59</v>
      </c>
    </row>
    <row r="5150" spans="1:4" x14ac:dyDescent="0.2">
      <c r="A5150" s="12" t="s">
        <v>8135</v>
      </c>
      <c r="B5150" s="12" t="s">
        <v>8134</v>
      </c>
      <c r="C5150" s="12">
        <v>2</v>
      </c>
      <c r="D5150" s="12">
        <v>0.2</v>
      </c>
    </row>
    <row r="5151" spans="1:4" x14ac:dyDescent="0.2">
      <c r="A5151" s="12" t="s">
        <v>8212</v>
      </c>
      <c r="B5151" s="12" t="s">
        <v>8211</v>
      </c>
      <c r="C5151" s="12">
        <v>40</v>
      </c>
      <c r="D5151" s="12">
        <v>4</v>
      </c>
    </row>
    <row r="5152" spans="1:4" x14ac:dyDescent="0.2">
      <c r="A5152" s="12" t="s">
        <v>8234</v>
      </c>
      <c r="B5152" s="12" t="s">
        <v>8233</v>
      </c>
      <c r="C5152" s="12">
        <v>2.7</v>
      </c>
      <c r="D5152" s="12">
        <v>0.25</v>
      </c>
    </row>
    <row r="5153" spans="1:4" x14ac:dyDescent="0.2">
      <c r="A5153" s="12" t="s">
        <v>8306</v>
      </c>
      <c r="B5153" s="12" t="s">
        <v>8305</v>
      </c>
      <c r="C5153" s="12">
        <v>0.25</v>
      </c>
      <c r="D5153" s="12">
        <v>2.5000000000000001E-2</v>
      </c>
    </row>
    <row r="5154" spans="1:4" x14ac:dyDescent="0.2">
      <c r="A5154" s="12" t="s">
        <v>8690</v>
      </c>
      <c r="B5154" s="12" t="s">
        <v>8689</v>
      </c>
      <c r="C5154" s="12">
        <v>30</v>
      </c>
      <c r="D5154" s="12">
        <v>3</v>
      </c>
    </row>
    <row r="5155" spans="1:4" x14ac:dyDescent="0.2">
      <c r="A5155" s="12" t="s">
        <v>9163</v>
      </c>
      <c r="B5155" s="12" t="s">
        <v>9162</v>
      </c>
      <c r="C5155" s="12">
        <v>0.33</v>
      </c>
      <c r="D5155" s="12">
        <v>5.8999999999999997E-2</v>
      </c>
    </row>
    <row r="5156" spans="1:4" x14ac:dyDescent="0.2">
      <c r="A5156" s="12" t="s">
        <v>9191</v>
      </c>
      <c r="B5156" s="12" t="s">
        <v>9190</v>
      </c>
      <c r="C5156" s="12">
        <v>50</v>
      </c>
      <c r="D5156" s="12">
        <v>5</v>
      </c>
    </row>
    <row r="5157" spans="1:4" x14ac:dyDescent="0.2">
      <c r="A5157" s="12" t="s">
        <v>9596</v>
      </c>
      <c r="B5157" s="12" t="s">
        <v>9595</v>
      </c>
      <c r="C5157" s="12">
        <v>50</v>
      </c>
      <c r="D5157" s="12">
        <v>5</v>
      </c>
    </row>
    <row r="5158" spans="1:4" x14ac:dyDescent="0.2">
      <c r="A5158" s="12" t="s">
        <v>10080</v>
      </c>
      <c r="B5158" s="12" t="s">
        <v>10079</v>
      </c>
      <c r="C5158" s="12">
        <v>10</v>
      </c>
      <c r="D5158" s="12">
        <v>1</v>
      </c>
    </row>
    <row r="5159" spans="1:4" x14ac:dyDescent="0.2">
      <c r="A5159" s="12" t="s">
        <v>10374</v>
      </c>
      <c r="B5159" s="12" t="s">
        <v>10373</v>
      </c>
      <c r="C5159" s="12">
        <v>20</v>
      </c>
      <c r="D5159" s="12">
        <v>2</v>
      </c>
    </row>
    <row r="5160" spans="1:4" x14ac:dyDescent="0.2">
      <c r="A5160" s="12" t="s">
        <v>10749</v>
      </c>
      <c r="B5160" s="12" t="s">
        <v>10748</v>
      </c>
      <c r="C5160" s="12">
        <v>1</v>
      </c>
      <c r="D5160" s="12">
        <v>0.1</v>
      </c>
    </row>
    <row r="5161" spans="1:4" x14ac:dyDescent="0.2">
      <c r="A5161" s="12" t="s">
        <v>10775</v>
      </c>
      <c r="B5161" s="12" t="s">
        <v>10774</v>
      </c>
      <c r="C5161" s="12">
        <v>25</v>
      </c>
      <c r="D5161" s="12">
        <v>2.5</v>
      </c>
    </row>
    <row r="5162" spans="1:4" x14ac:dyDescent="0.2">
      <c r="A5162" s="12" t="s">
        <v>10777</v>
      </c>
      <c r="B5162" s="12" t="s">
        <v>10776</v>
      </c>
      <c r="C5162" s="12">
        <v>30</v>
      </c>
      <c r="D5162" s="12">
        <v>3</v>
      </c>
    </row>
    <row r="5163" spans="1:4" x14ac:dyDescent="0.2">
      <c r="A5163" s="12" t="s">
        <v>10882</v>
      </c>
      <c r="B5163" s="12" t="s">
        <v>10881</v>
      </c>
      <c r="C5163" s="12" t="s">
        <v>59</v>
      </c>
      <c r="D5163" s="12" t="s">
        <v>59</v>
      </c>
    </row>
    <row r="5164" spans="1:4" x14ac:dyDescent="0.2">
      <c r="A5164" s="12" t="s">
        <v>10949</v>
      </c>
      <c r="B5164" s="12" t="s">
        <v>10948</v>
      </c>
      <c r="C5164" s="12">
        <v>0.1</v>
      </c>
      <c r="D5164" s="12">
        <v>0.01</v>
      </c>
    </row>
    <row r="5165" spans="1:4" x14ac:dyDescent="0.2">
      <c r="A5165" s="12" t="s">
        <v>10967</v>
      </c>
      <c r="B5165" s="12" t="s">
        <v>10966</v>
      </c>
      <c r="C5165" s="12" t="s">
        <v>59</v>
      </c>
      <c r="D5165" s="12" t="s">
        <v>59</v>
      </c>
    </row>
    <row r="5166" spans="1:4" x14ac:dyDescent="0.2">
      <c r="A5166" s="12" t="s">
        <v>11314</v>
      </c>
      <c r="B5166" s="12" t="s">
        <v>11313</v>
      </c>
      <c r="C5166" s="12">
        <v>20</v>
      </c>
      <c r="D5166" s="12">
        <v>2</v>
      </c>
    </row>
    <row r="5167" spans="1:4" x14ac:dyDescent="0.2">
      <c r="A5167" s="12" t="s">
        <v>11488</v>
      </c>
      <c r="B5167" s="12" t="s">
        <v>11487</v>
      </c>
      <c r="C5167" s="12">
        <v>50</v>
      </c>
      <c r="D5167" s="12">
        <v>5</v>
      </c>
    </row>
    <row r="5168" spans="1:4" x14ac:dyDescent="0.2">
      <c r="A5168" s="12" t="s">
        <v>11753</v>
      </c>
      <c r="B5168" s="12" t="s">
        <v>11752</v>
      </c>
      <c r="C5168" s="12">
        <v>1</v>
      </c>
      <c r="D5168" s="12">
        <v>0.1</v>
      </c>
    </row>
    <row r="5169" spans="1:4" x14ac:dyDescent="0.2">
      <c r="A5169" s="12" t="s">
        <v>11793</v>
      </c>
      <c r="B5169" s="12" t="s">
        <v>11792</v>
      </c>
      <c r="C5169" s="12">
        <v>20</v>
      </c>
      <c r="D5169" s="12">
        <v>2</v>
      </c>
    </row>
    <row r="5170" spans="1:4" x14ac:dyDescent="0.2">
      <c r="A5170" s="12" t="s">
        <v>11806</v>
      </c>
      <c r="B5170" s="12" t="s">
        <v>11805</v>
      </c>
      <c r="C5170" s="12">
        <v>50</v>
      </c>
      <c r="D5170" s="12">
        <v>5</v>
      </c>
    </row>
    <row r="5171" spans="1:4" x14ac:dyDescent="0.2">
      <c r="A5171" s="12" t="s">
        <v>12224</v>
      </c>
      <c r="B5171" s="12" t="s">
        <v>12223</v>
      </c>
      <c r="C5171" s="12">
        <v>50</v>
      </c>
      <c r="D5171" s="12">
        <v>5</v>
      </c>
    </row>
    <row r="5172" spans="1:4" x14ac:dyDescent="0.2">
      <c r="A5172" s="12" t="s">
        <v>4094</v>
      </c>
      <c r="B5172" s="12" t="s">
        <v>4093</v>
      </c>
      <c r="C5172" s="12">
        <v>5</v>
      </c>
      <c r="D5172" s="12">
        <v>0.5</v>
      </c>
    </row>
    <row r="5173" spans="1:4" x14ac:dyDescent="0.2">
      <c r="A5173" s="12" t="s">
        <v>4125</v>
      </c>
      <c r="B5173" s="12" t="s">
        <v>4124</v>
      </c>
      <c r="C5173" s="12">
        <v>3</v>
      </c>
      <c r="D5173" s="12">
        <v>6.7000000000000004E-2</v>
      </c>
    </row>
    <row r="5174" spans="1:4" x14ac:dyDescent="0.2">
      <c r="A5174" s="12" t="s">
        <v>4180</v>
      </c>
      <c r="B5174" s="12" t="s">
        <v>4179</v>
      </c>
      <c r="C5174" s="12">
        <v>5</v>
      </c>
      <c r="D5174" s="12">
        <v>0.5</v>
      </c>
    </row>
    <row r="5175" spans="1:4" x14ac:dyDescent="0.2">
      <c r="A5175" s="12" t="s">
        <v>4375</v>
      </c>
      <c r="B5175" s="12" t="s">
        <v>4374</v>
      </c>
      <c r="C5175" s="12">
        <v>0.02</v>
      </c>
      <c r="D5175" s="12">
        <v>2E-3</v>
      </c>
    </row>
    <row r="5176" spans="1:4" x14ac:dyDescent="0.2">
      <c r="A5176" s="12" t="s">
        <v>4516</v>
      </c>
      <c r="B5176" s="12" t="s">
        <v>4515</v>
      </c>
      <c r="C5176" s="12">
        <v>50</v>
      </c>
      <c r="D5176" s="12">
        <v>5</v>
      </c>
    </row>
    <row r="5177" spans="1:4" x14ac:dyDescent="0.2">
      <c r="A5177" s="12" t="s">
        <v>4797</v>
      </c>
      <c r="B5177" s="12" t="s">
        <v>4796</v>
      </c>
      <c r="C5177" s="12">
        <v>5.4</v>
      </c>
      <c r="D5177" s="12">
        <v>3.3E-3</v>
      </c>
    </row>
    <row r="5178" spans="1:4" x14ac:dyDescent="0.2">
      <c r="A5178" s="12" t="s">
        <v>4932</v>
      </c>
      <c r="B5178" s="12" t="s">
        <v>4931</v>
      </c>
      <c r="C5178" s="12" t="s">
        <v>59</v>
      </c>
      <c r="D5178" s="12" t="s">
        <v>59</v>
      </c>
    </row>
    <row r="5179" spans="1:4" x14ac:dyDescent="0.2">
      <c r="A5179" s="12" t="s">
        <v>5188</v>
      </c>
      <c r="B5179" s="12" t="s">
        <v>5187</v>
      </c>
      <c r="C5179" s="12">
        <v>3.6</v>
      </c>
      <c r="D5179" s="12">
        <v>4.1000000000000002E-2</v>
      </c>
    </row>
    <row r="5180" spans="1:4" x14ac:dyDescent="0.2">
      <c r="A5180" s="12" t="s">
        <v>5299</v>
      </c>
      <c r="B5180" s="12" t="s">
        <v>5298</v>
      </c>
      <c r="C5180" s="12">
        <v>0.21</v>
      </c>
      <c r="D5180" s="12">
        <v>1.6999999999999999E-3</v>
      </c>
    </row>
    <row r="5181" spans="1:4" x14ac:dyDescent="0.2">
      <c r="A5181" s="12" t="s">
        <v>5411</v>
      </c>
      <c r="B5181" s="12" t="s">
        <v>5410</v>
      </c>
      <c r="C5181" s="12">
        <v>10</v>
      </c>
      <c r="D5181" s="12">
        <v>1</v>
      </c>
    </row>
    <row r="5182" spans="1:4" x14ac:dyDescent="0.2">
      <c r="A5182" s="12" t="s">
        <v>7354</v>
      </c>
      <c r="B5182" s="12" t="s">
        <v>7353</v>
      </c>
      <c r="C5182" s="12">
        <v>25</v>
      </c>
      <c r="D5182" s="12">
        <v>2.5</v>
      </c>
    </row>
    <row r="5183" spans="1:4" x14ac:dyDescent="0.2">
      <c r="A5183" s="12" t="s">
        <v>7371</v>
      </c>
      <c r="B5183" s="12" t="s">
        <v>7370</v>
      </c>
      <c r="C5183" s="12">
        <v>5</v>
      </c>
      <c r="D5183" s="12">
        <v>0.5</v>
      </c>
    </row>
    <row r="5184" spans="1:4" x14ac:dyDescent="0.2">
      <c r="A5184" s="12" t="s">
        <v>12256</v>
      </c>
      <c r="B5184" s="12" t="s">
        <v>12255</v>
      </c>
      <c r="C5184" s="12">
        <v>2</v>
      </c>
      <c r="D5184" s="12">
        <v>0.2</v>
      </c>
    </row>
    <row r="5185" spans="1:4" x14ac:dyDescent="0.2">
      <c r="A5185" s="12" t="s">
        <v>12279</v>
      </c>
      <c r="B5185" s="12" t="s">
        <v>12278</v>
      </c>
      <c r="C5185" s="12">
        <v>20</v>
      </c>
      <c r="D5185" s="12">
        <v>2</v>
      </c>
    </row>
    <row r="5186" spans="1:4" x14ac:dyDescent="0.2">
      <c r="A5186" s="12" t="s">
        <v>12379</v>
      </c>
      <c r="B5186" s="12" t="s">
        <v>12378</v>
      </c>
      <c r="C5186" s="12">
        <v>10</v>
      </c>
      <c r="D5186" s="12">
        <v>1</v>
      </c>
    </row>
    <row r="5187" spans="1:4" x14ac:dyDescent="0.2">
      <c r="A5187" s="12" t="s">
        <v>12385</v>
      </c>
      <c r="B5187" s="12" t="s">
        <v>12384</v>
      </c>
      <c r="C5187" s="12">
        <v>20</v>
      </c>
      <c r="D5187" s="12">
        <v>2</v>
      </c>
    </row>
    <row r="5188" spans="1:4" x14ac:dyDescent="0.2">
      <c r="A5188" s="12" t="s">
        <v>12465</v>
      </c>
      <c r="B5188" s="12" t="s">
        <v>12464</v>
      </c>
      <c r="C5188" s="12">
        <v>50</v>
      </c>
      <c r="D5188" s="12">
        <v>5</v>
      </c>
    </row>
    <row r="5189" spans="1:4" x14ac:dyDescent="0.2">
      <c r="A5189" s="12" t="s">
        <v>4486</v>
      </c>
      <c r="B5189" s="12" t="s">
        <v>4485</v>
      </c>
      <c r="C5189" s="12">
        <v>50</v>
      </c>
      <c r="D5189" s="12">
        <v>5</v>
      </c>
    </row>
    <row r="5190" spans="1:4" x14ac:dyDescent="0.2">
      <c r="A5190" s="12" t="s">
        <v>7694</v>
      </c>
      <c r="B5190" s="12" t="s">
        <v>7693</v>
      </c>
      <c r="C5190" s="12">
        <v>1</v>
      </c>
      <c r="D5190" s="12">
        <v>0.1</v>
      </c>
    </row>
    <row r="5191" spans="1:4" x14ac:dyDescent="0.2">
      <c r="A5191" s="12" t="s">
        <v>3679</v>
      </c>
      <c r="B5191" s="12" t="s">
        <v>3678</v>
      </c>
      <c r="C5191" s="12">
        <v>600</v>
      </c>
      <c r="D5191" s="12">
        <v>60</v>
      </c>
    </row>
    <row r="5192" spans="1:4" x14ac:dyDescent="0.2">
      <c r="A5192" s="12" t="s">
        <v>9572</v>
      </c>
      <c r="B5192" s="12" t="s">
        <v>9571</v>
      </c>
      <c r="C5192" s="12">
        <v>1</v>
      </c>
      <c r="D5192" s="12">
        <v>0.1</v>
      </c>
    </row>
    <row r="5193" spans="1:4" x14ac:dyDescent="0.2">
      <c r="A5193" s="12" t="s">
        <v>10829</v>
      </c>
      <c r="B5193" s="12" t="s">
        <v>10828</v>
      </c>
      <c r="C5193" s="12">
        <v>2</v>
      </c>
      <c r="D5193" s="12">
        <v>0.2</v>
      </c>
    </row>
    <row r="5194" spans="1:4" x14ac:dyDescent="0.2">
      <c r="A5194" s="12" t="s">
        <v>11390</v>
      </c>
      <c r="B5194" s="12" t="s">
        <v>11389</v>
      </c>
      <c r="C5194" s="12" t="s">
        <v>59</v>
      </c>
      <c r="D5194" s="12" t="s">
        <v>59</v>
      </c>
    </row>
    <row r="5195" spans="1:4" x14ac:dyDescent="0.2">
      <c r="A5195" s="12" t="s">
        <v>11404</v>
      </c>
      <c r="B5195" s="12" t="s">
        <v>11403</v>
      </c>
      <c r="C5195" s="12">
        <v>10</v>
      </c>
      <c r="D5195" s="12">
        <v>1</v>
      </c>
    </row>
    <row r="5196" spans="1:4" x14ac:dyDescent="0.2">
      <c r="A5196" s="12" t="s">
        <v>3849</v>
      </c>
      <c r="B5196" s="12" t="s">
        <v>3848</v>
      </c>
      <c r="C5196" s="12">
        <v>20</v>
      </c>
      <c r="D5196" s="12">
        <v>2</v>
      </c>
    </row>
    <row r="5197" spans="1:4" x14ac:dyDescent="0.2">
      <c r="A5197" s="12" t="s">
        <v>5431</v>
      </c>
      <c r="B5197" s="12" t="s">
        <v>5430</v>
      </c>
      <c r="C5197" s="12">
        <v>10</v>
      </c>
      <c r="D5197" s="12">
        <v>1</v>
      </c>
    </row>
    <row r="5198" spans="1:4" x14ac:dyDescent="0.2">
      <c r="A5198" s="12" t="s">
        <v>10394</v>
      </c>
      <c r="B5198" s="12" t="s">
        <v>10393</v>
      </c>
      <c r="C5198" s="12" t="s">
        <v>59</v>
      </c>
      <c r="D5198" s="12" t="s">
        <v>59</v>
      </c>
    </row>
    <row r="5199" spans="1:4" x14ac:dyDescent="0.2">
      <c r="A5199" s="12" t="s">
        <v>8141</v>
      </c>
      <c r="B5199" s="12" t="s">
        <v>8140</v>
      </c>
      <c r="C5199" s="12">
        <v>2</v>
      </c>
      <c r="D5199" s="12">
        <v>0.2</v>
      </c>
    </row>
    <row r="5200" spans="1:4" x14ac:dyDescent="0.2">
      <c r="A5200" s="12" t="s">
        <v>794</v>
      </c>
      <c r="B5200" s="12" t="s">
        <v>793</v>
      </c>
      <c r="C5200" s="12" t="s">
        <v>59</v>
      </c>
      <c r="D5200" s="12" t="s">
        <v>59</v>
      </c>
    </row>
    <row r="5201" spans="1:4" x14ac:dyDescent="0.2">
      <c r="A5201" s="12" t="s">
        <v>190</v>
      </c>
      <c r="B5201" s="12" t="s">
        <v>189</v>
      </c>
      <c r="C5201" s="12">
        <v>5700</v>
      </c>
      <c r="D5201" s="12">
        <v>570</v>
      </c>
    </row>
    <row r="5202" spans="1:4" x14ac:dyDescent="0.2">
      <c r="A5202" s="12" t="s">
        <v>2138</v>
      </c>
      <c r="B5202" s="12" t="s">
        <v>2137</v>
      </c>
      <c r="C5202" s="12">
        <v>190</v>
      </c>
      <c r="D5202" s="12">
        <v>19</v>
      </c>
    </row>
    <row r="5203" spans="1:4" x14ac:dyDescent="0.2">
      <c r="A5203" s="12" t="s">
        <v>4561</v>
      </c>
      <c r="B5203" s="12" t="s">
        <v>4560</v>
      </c>
      <c r="C5203" s="12">
        <v>120</v>
      </c>
      <c r="D5203" s="12">
        <v>12</v>
      </c>
    </row>
    <row r="5204" spans="1:4" x14ac:dyDescent="0.2">
      <c r="A5204" s="12" t="s">
        <v>6535</v>
      </c>
      <c r="B5204" s="12" t="s">
        <v>6534</v>
      </c>
      <c r="C5204" s="12" t="s">
        <v>4113</v>
      </c>
      <c r="D5204" s="12" t="s">
        <v>4113</v>
      </c>
    </row>
    <row r="5205" spans="1:4" x14ac:dyDescent="0.2">
      <c r="A5205" s="12" t="s">
        <v>6699</v>
      </c>
      <c r="B5205" s="12" t="s">
        <v>6698</v>
      </c>
      <c r="C5205" s="12">
        <v>1400</v>
      </c>
      <c r="D5205" s="12">
        <v>34</v>
      </c>
    </row>
    <row r="5206" spans="1:4" x14ac:dyDescent="0.2">
      <c r="A5206" s="12" t="s">
        <v>3462</v>
      </c>
      <c r="B5206" s="12" t="s">
        <v>3461</v>
      </c>
      <c r="C5206" s="12">
        <v>26600</v>
      </c>
      <c r="D5206" s="12">
        <v>2660</v>
      </c>
    </row>
    <row r="5207" spans="1:4" x14ac:dyDescent="0.2">
      <c r="A5207" s="12" t="s">
        <v>5087</v>
      </c>
      <c r="B5207" s="12" t="s">
        <v>5086</v>
      </c>
      <c r="C5207" s="12">
        <v>1030</v>
      </c>
      <c r="D5207" s="12">
        <v>103</v>
      </c>
    </row>
    <row r="5208" spans="1:4" x14ac:dyDescent="0.2">
      <c r="A5208" s="12" t="s">
        <v>8208</v>
      </c>
      <c r="B5208" s="12" t="s">
        <v>8207</v>
      </c>
      <c r="C5208" s="12">
        <v>40</v>
      </c>
      <c r="D5208" s="12">
        <v>4</v>
      </c>
    </row>
    <row r="5209" spans="1:4" x14ac:dyDescent="0.2">
      <c r="A5209" s="12" t="s">
        <v>8448</v>
      </c>
      <c r="B5209" s="12" t="s">
        <v>8447</v>
      </c>
      <c r="C5209" s="12">
        <v>120</v>
      </c>
      <c r="D5209" s="12">
        <v>12</v>
      </c>
    </row>
    <row r="5210" spans="1:4" x14ac:dyDescent="0.2">
      <c r="A5210" s="12" t="s">
        <v>8539</v>
      </c>
      <c r="B5210" s="12" t="s">
        <v>8538</v>
      </c>
      <c r="C5210" s="12">
        <v>44</v>
      </c>
      <c r="D5210" s="12">
        <v>6.4</v>
      </c>
    </row>
    <row r="5211" spans="1:4" x14ac:dyDescent="0.2">
      <c r="A5211" s="12" t="s">
        <v>7587</v>
      </c>
      <c r="B5211" s="12" t="s">
        <v>7586</v>
      </c>
      <c r="C5211" s="12">
        <v>20</v>
      </c>
      <c r="D5211" s="12">
        <v>2</v>
      </c>
    </row>
    <row r="5212" spans="1:4" x14ac:dyDescent="0.2">
      <c r="A5212" s="12" t="s">
        <v>6407</v>
      </c>
      <c r="B5212" s="12" t="s">
        <v>6406</v>
      </c>
      <c r="C5212" s="12" t="s">
        <v>59</v>
      </c>
      <c r="D5212" s="12" t="s">
        <v>59</v>
      </c>
    </row>
    <row r="5213" spans="1:4" x14ac:dyDescent="0.2">
      <c r="A5213" s="12" t="s">
        <v>8468</v>
      </c>
      <c r="B5213" s="12" t="s">
        <v>8467</v>
      </c>
      <c r="C5213" s="12">
        <v>1.9</v>
      </c>
      <c r="D5213" s="12">
        <v>1</v>
      </c>
    </row>
    <row r="5214" spans="1:4" x14ac:dyDescent="0.2">
      <c r="A5214" s="12" t="s">
        <v>6132</v>
      </c>
      <c r="B5214" s="12" t="s">
        <v>6131</v>
      </c>
      <c r="C5214" s="12">
        <v>17</v>
      </c>
      <c r="D5214" s="12">
        <v>1.7</v>
      </c>
    </row>
    <row r="5215" spans="1:4" x14ac:dyDescent="0.2">
      <c r="A5215" s="12" t="s">
        <v>5759</v>
      </c>
      <c r="B5215" s="12" t="s">
        <v>5758</v>
      </c>
      <c r="C5215" s="12">
        <v>1320</v>
      </c>
      <c r="D5215" s="12">
        <v>132</v>
      </c>
    </row>
    <row r="5216" spans="1:4" x14ac:dyDescent="0.2">
      <c r="A5216" s="12" t="s">
        <v>4555</v>
      </c>
      <c r="B5216" s="12" t="s">
        <v>4554</v>
      </c>
      <c r="C5216" s="12">
        <v>220</v>
      </c>
      <c r="D5216" s="12">
        <v>22</v>
      </c>
    </row>
    <row r="5217" spans="1:4" x14ac:dyDescent="0.2">
      <c r="A5217" s="12" t="s">
        <v>4547</v>
      </c>
      <c r="B5217" s="12" t="s">
        <v>4546</v>
      </c>
      <c r="C5217" s="12">
        <v>10600</v>
      </c>
      <c r="D5217" s="12">
        <v>1060</v>
      </c>
    </row>
    <row r="5218" spans="1:4" x14ac:dyDescent="0.2">
      <c r="A5218" s="12" t="s">
        <v>10492</v>
      </c>
      <c r="B5218" s="12" t="s">
        <v>10491</v>
      </c>
      <c r="C5218" s="12" t="s">
        <v>4113</v>
      </c>
      <c r="D5218" s="12" t="s">
        <v>4113</v>
      </c>
    </row>
    <row r="5219" spans="1:4" x14ac:dyDescent="0.2">
      <c r="A5219" s="12" t="s">
        <v>10590</v>
      </c>
      <c r="B5219" s="12" t="s">
        <v>10589</v>
      </c>
      <c r="C5219" s="12">
        <v>16400</v>
      </c>
      <c r="D5219" s="12">
        <v>1640</v>
      </c>
    </row>
    <row r="5220" spans="1:4" x14ac:dyDescent="0.2">
      <c r="A5220" s="12" t="s">
        <v>5081</v>
      </c>
      <c r="B5220" s="12" t="s">
        <v>5080</v>
      </c>
      <c r="C5220" s="12">
        <v>2700</v>
      </c>
      <c r="D5220" s="12">
        <v>270</v>
      </c>
    </row>
    <row r="5221" spans="1:4" x14ac:dyDescent="0.2">
      <c r="A5221" s="12" t="s">
        <v>12308</v>
      </c>
      <c r="B5221" s="12" t="s">
        <v>12307</v>
      </c>
      <c r="C5221" s="12">
        <v>20000</v>
      </c>
      <c r="D5221" s="12">
        <v>1.2</v>
      </c>
    </row>
    <row r="5222" spans="1:4" x14ac:dyDescent="0.2">
      <c r="A5222" s="12" t="s">
        <v>12653</v>
      </c>
      <c r="B5222" s="12" t="s">
        <v>12317</v>
      </c>
      <c r="C5222" s="12"/>
      <c r="D5222" s="12">
        <v>0.71</v>
      </c>
    </row>
    <row r="5223" spans="1:4" x14ac:dyDescent="0.2">
      <c r="A5223" s="12" t="s">
        <v>12652</v>
      </c>
      <c r="B5223" s="12" t="s">
        <v>12316</v>
      </c>
      <c r="C5223" s="12">
        <v>2.8</v>
      </c>
      <c r="D5223" s="12">
        <v>0.56999999999999995</v>
      </c>
    </row>
    <row r="5224" spans="1:4" x14ac:dyDescent="0.2">
      <c r="A5224" s="12" t="s">
        <v>12315</v>
      </c>
      <c r="B5224" s="12" t="s">
        <v>12314</v>
      </c>
      <c r="C5224" s="12">
        <v>17</v>
      </c>
      <c r="D5224" s="12">
        <v>8.1</v>
      </c>
    </row>
    <row r="5225" spans="1:4" x14ac:dyDescent="0.2">
      <c r="A5225" s="12" t="s">
        <v>6625</v>
      </c>
      <c r="B5225" s="12" t="s">
        <v>6624</v>
      </c>
      <c r="C5225" s="12">
        <v>200</v>
      </c>
      <c r="D5225" s="12">
        <v>20</v>
      </c>
    </row>
    <row r="5226" spans="1:4" x14ac:dyDescent="0.2">
      <c r="A5226" s="12" t="s">
        <v>6683</v>
      </c>
      <c r="B5226" s="12" t="s">
        <v>6682</v>
      </c>
      <c r="C5226" s="12">
        <v>90</v>
      </c>
      <c r="D5226" s="12">
        <v>9</v>
      </c>
    </row>
    <row r="5227" spans="1:4" x14ac:dyDescent="0.2">
      <c r="A5227" s="12" t="s">
        <v>3446</v>
      </c>
      <c r="B5227" s="12" t="s">
        <v>3445</v>
      </c>
      <c r="C5227" s="12">
        <v>340</v>
      </c>
      <c r="D5227" s="12">
        <v>34</v>
      </c>
    </row>
    <row r="5228" spans="1:4" x14ac:dyDescent="0.2">
      <c r="A5228" s="12" t="s">
        <v>3395</v>
      </c>
      <c r="B5228" s="12" t="s">
        <v>3394</v>
      </c>
      <c r="C5228" s="12">
        <v>120</v>
      </c>
      <c r="D5228" s="12">
        <v>45</v>
      </c>
    </row>
    <row r="5229" spans="1:4" x14ac:dyDescent="0.2">
      <c r="A5229" s="12" t="s">
        <v>6639</v>
      </c>
      <c r="B5229" s="12" t="s">
        <v>6638</v>
      </c>
      <c r="C5229" s="12">
        <v>1</v>
      </c>
      <c r="D5229" s="12">
        <v>1.3</v>
      </c>
    </row>
    <row r="5230" spans="1:4" x14ac:dyDescent="0.2">
      <c r="A5230" s="12" t="s">
        <v>8568</v>
      </c>
      <c r="B5230" s="12" t="s">
        <v>8567</v>
      </c>
      <c r="C5230" s="12">
        <v>3600</v>
      </c>
      <c r="D5230" s="12">
        <v>350</v>
      </c>
    </row>
    <row r="5231" spans="1:4" x14ac:dyDescent="0.2">
      <c r="A5231" s="12" t="s">
        <v>5980</v>
      </c>
      <c r="B5231" s="12" t="s">
        <v>5979</v>
      </c>
      <c r="C5231" s="12">
        <v>30000</v>
      </c>
      <c r="D5231" s="12">
        <v>3000</v>
      </c>
    </row>
    <row r="5232" spans="1:4" x14ac:dyDescent="0.2">
      <c r="A5232" s="12" t="s">
        <v>6006</v>
      </c>
      <c r="B5232" s="12" t="s">
        <v>6005</v>
      </c>
      <c r="C5232" s="12">
        <v>120</v>
      </c>
      <c r="D5232" s="12">
        <v>12</v>
      </c>
    </row>
    <row r="5233" spans="1:4" x14ac:dyDescent="0.2">
      <c r="A5233" s="12" t="s">
        <v>7213</v>
      </c>
      <c r="B5233" s="12" t="s">
        <v>7212</v>
      </c>
      <c r="C5233" s="12">
        <v>180</v>
      </c>
      <c r="D5233" s="12">
        <v>18</v>
      </c>
    </row>
    <row r="5234" spans="1:4" x14ac:dyDescent="0.2">
      <c r="A5234" s="12" t="s">
        <v>4938</v>
      </c>
      <c r="B5234" s="12" t="s">
        <v>4937</v>
      </c>
      <c r="C5234" s="12">
        <v>7500</v>
      </c>
      <c r="D5234" s="12">
        <v>32</v>
      </c>
    </row>
    <row r="5235" spans="1:4" x14ac:dyDescent="0.2">
      <c r="A5235" s="12" t="s">
        <v>197</v>
      </c>
      <c r="B5235" s="12" t="s">
        <v>196</v>
      </c>
      <c r="C5235" s="12" t="s">
        <v>59</v>
      </c>
      <c r="D5235" s="12" t="s">
        <v>59</v>
      </c>
    </row>
    <row r="5236" spans="1:4" x14ac:dyDescent="0.2">
      <c r="A5236" s="12" t="s">
        <v>198</v>
      </c>
      <c r="B5236" s="12" t="s">
        <v>196</v>
      </c>
      <c r="C5236" s="12">
        <v>1000</v>
      </c>
      <c r="D5236" s="12">
        <v>100</v>
      </c>
    </row>
    <row r="5237" spans="1:4" x14ac:dyDescent="0.2">
      <c r="A5237" s="12" t="s">
        <v>6109</v>
      </c>
      <c r="B5237" s="12" t="s">
        <v>6108</v>
      </c>
      <c r="C5237" s="12">
        <v>7.6</v>
      </c>
      <c r="D5237" s="12">
        <v>25</v>
      </c>
    </row>
    <row r="5238" spans="1:4" x14ac:dyDescent="0.2">
      <c r="A5238" s="12" t="s">
        <v>5590</v>
      </c>
      <c r="B5238" s="12" t="s">
        <v>5589</v>
      </c>
      <c r="C5238" s="12">
        <v>17000</v>
      </c>
      <c r="D5238" s="12">
        <v>1700</v>
      </c>
    </row>
    <row r="5239" spans="1:4" x14ac:dyDescent="0.2">
      <c r="A5239" s="12" t="s">
        <v>4832</v>
      </c>
      <c r="B5239" s="12" t="s">
        <v>4831</v>
      </c>
      <c r="C5239" s="12" t="s">
        <v>59</v>
      </c>
      <c r="D5239" s="12" t="s">
        <v>59</v>
      </c>
    </row>
    <row r="5240" spans="1:4" x14ac:dyDescent="0.2">
      <c r="A5240" s="12" t="s">
        <v>6752</v>
      </c>
      <c r="B5240" s="12" t="s">
        <v>6751</v>
      </c>
      <c r="C5240" s="12">
        <v>20</v>
      </c>
      <c r="D5240" s="12">
        <v>4.3</v>
      </c>
    </row>
    <row r="5241" spans="1:4" x14ac:dyDescent="0.2">
      <c r="A5241" s="12" t="s">
        <v>12093</v>
      </c>
      <c r="B5241" s="12" t="s">
        <v>12092</v>
      </c>
      <c r="C5241" s="12">
        <v>20</v>
      </c>
      <c r="D5241" s="12">
        <v>2</v>
      </c>
    </row>
    <row r="5242" spans="1:4" x14ac:dyDescent="0.2">
      <c r="A5242" s="12" t="s">
        <v>4557</v>
      </c>
      <c r="B5242" s="12" t="s">
        <v>4556</v>
      </c>
      <c r="C5242" s="12">
        <v>50</v>
      </c>
      <c r="D5242" s="12">
        <v>5</v>
      </c>
    </row>
    <row r="5243" spans="1:4" x14ac:dyDescent="0.2">
      <c r="A5243" s="12" t="s">
        <v>1958</v>
      </c>
      <c r="B5243" s="12" t="s">
        <v>1957</v>
      </c>
      <c r="C5243" s="12">
        <v>2800</v>
      </c>
      <c r="D5243" s="12">
        <v>110</v>
      </c>
    </row>
    <row r="5244" spans="1:4" x14ac:dyDescent="0.2">
      <c r="A5244" s="12" t="s">
        <v>4553</v>
      </c>
      <c r="B5244" s="12" t="s">
        <v>4552</v>
      </c>
      <c r="C5244" s="12">
        <v>700</v>
      </c>
      <c r="D5244" s="12">
        <v>70</v>
      </c>
    </row>
    <row r="5245" spans="1:4" x14ac:dyDescent="0.2">
      <c r="A5245" s="12" t="s">
        <v>7787</v>
      </c>
      <c r="B5245" s="12" t="s">
        <v>7786</v>
      </c>
      <c r="C5245" s="12">
        <v>23000</v>
      </c>
      <c r="D5245" s="12">
        <v>7100</v>
      </c>
    </row>
    <row r="5246" spans="1:4" x14ac:dyDescent="0.2">
      <c r="A5246" s="12" t="s">
        <v>6728</v>
      </c>
      <c r="B5246" s="12" t="s">
        <v>6727</v>
      </c>
      <c r="C5246" s="12">
        <v>90</v>
      </c>
      <c r="D5246" s="12">
        <v>9</v>
      </c>
    </row>
    <row r="5247" spans="1:4" x14ac:dyDescent="0.2">
      <c r="A5247" s="12" t="s">
        <v>2015</v>
      </c>
      <c r="B5247" s="12" t="s">
        <v>2014</v>
      </c>
      <c r="C5247" s="12">
        <v>2700</v>
      </c>
      <c r="D5247" s="12">
        <v>270</v>
      </c>
    </row>
    <row r="5248" spans="1:4" x14ac:dyDescent="0.2">
      <c r="A5248" s="12" t="s">
        <v>7932</v>
      </c>
      <c r="B5248" s="12" t="s">
        <v>7931</v>
      </c>
      <c r="C5248" s="12">
        <v>100</v>
      </c>
      <c r="D5248" s="12">
        <v>10</v>
      </c>
    </row>
    <row r="5249" spans="1:4" x14ac:dyDescent="0.2">
      <c r="A5249" s="12" t="s">
        <v>7958</v>
      </c>
      <c r="B5249" s="12" t="s">
        <v>7957</v>
      </c>
      <c r="C5249" s="12">
        <v>120</v>
      </c>
      <c r="D5249" s="12">
        <v>12</v>
      </c>
    </row>
    <row r="5250" spans="1:4" x14ac:dyDescent="0.2">
      <c r="A5250" s="12" t="s">
        <v>7936</v>
      </c>
      <c r="B5250" s="12" t="s">
        <v>7935</v>
      </c>
      <c r="C5250" s="12">
        <v>1.4</v>
      </c>
      <c r="D5250" s="12">
        <v>1.8</v>
      </c>
    </row>
    <row r="5251" spans="1:4" x14ac:dyDescent="0.2">
      <c r="A5251" s="12" t="s">
        <v>390</v>
      </c>
      <c r="B5251" s="12" t="s">
        <v>389</v>
      </c>
      <c r="C5251" s="12">
        <v>4000</v>
      </c>
      <c r="D5251" s="12">
        <v>400</v>
      </c>
    </row>
    <row r="5252" spans="1:4" x14ac:dyDescent="0.2">
      <c r="A5252" s="12" t="s">
        <v>8813</v>
      </c>
      <c r="B5252" s="12" t="s">
        <v>8812</v>
      </c>
      <c r="C5252" s="12" t="s">
        <v>59</v>
      </c>
      <c r="D5252" s="12" t="s">
        <v>59</v>
      </c>
    </row>
    <row r="5253" spans="1:4" x14ac:dyDescent="0.2">
      <c r="A5253" s="12" t="s">
        <v>8798</v>
      </c>
      <c r="B5253" s="12" t="s">
        <v>8797</v>
      </c>
      <c r="C5253" s="12" t="s">
        <v>59</v>
      </c>
      <c r="D5253" s="12" t="s">
        <v>59</v>
      </c>
    </row>
    <row r="5254" spans="1:4" x14ac:dyDescent="0.2">
      <c r="A5254" s="12" t="s">
        <v>7785</v>
      </c>
      <c r="B5254" s="12" t="s">
        <v>7784</v>
      </c>
      <c r="C5254" s="12">
        <v>1000</v>
      </c>
      <c r="D5254" s="12">
        <v>100</v>
      </c>
    </row>
    <row r="5255" spans="1:4" x14ac:dyDescent="0.2">
      <c r="A5255" s="12" t="s">
        <v>392</v>
      </c>
      <c r="B5255" s="12" t="s">
        <v>391</v>
      </c>
      <c r="C5255" s="12">
        <v>210</v>
      </c>
      <c r="D5255" s="12">
        <v>100</v>
      </c>
    </row>
    <row r="5256" spans="1:4" x14ac:dyDescent="0.2">
      <c r="A5256" s="12" t="s">
        <v>3452</v>
      </c>
      <c r="B5256" s="12" t="s">
        <v>3451</v>
      </c>
      <c r="C5256" s="12">
        <v>2.2999999999999998</v>
      </c>
      <c r="D5256" s="12">
        <v>0.23</v>
      </c>
    </row>
    <row r="5257" spans="1:4" x14ac:dyDescent="0.2">
      <c r="A5257" s="12" t="s">
        <v>402</v>
      </c>
      <c r="B5257" s="12" t="s">
        <v>401</v>
      </c>
      <c r="C5257" s="12">
        <v>27000</v>
      </c>
      <c r="D5257" s="12">
        <v>2700</v>
      </c>
    </row>
    <row r="5258" spans="1:4" x14ac:dyDescent="0.2">
      <c r="A5258" s="12" t="s">
        <v>12335</v>
      </c>
      <c r="B5258" s="12" t="s">
        <v>12334</v>
      </c>
      <c r="C5258" s="12">
        <v>26</v>
      </c>
      <c r="D5258" s="12">
        <v>2.6</v>
      </c>
    </row>
    <row r="5259" spans="1:4" x14ac:dyDescent="0.2">
      <c r="A5259" s="12" t="s">
        <v>3730</v>
      </c>
      <c r="B5259" s="12" t="s">
        <v>3729</v>
      </c>
      <c r="C5259" s="12">
        <v>6</v>
      </c>
      <c r="D5259" s="12">
        <v>0.6</v>
      </c>
    </row>
    <row r="5260" spans="1:4" x14ac:dyDescent="0.2">
      <c r="A5260" s="12" t="s">
        <v>2685</v>
      </c>
      <c r="B5260" s="12" t="s">
        <v>2684</v>
      </c>
      <c r="C5260" s="12">
        <v>450</v>
      </c>
      <c r="D5260" s="12">
        <v>45</v>
      </c>
    </row>
    <row r="5261" spans="1:4" x14ac:dyDescent="0.2">
      <c r="A5261" s="12" t="s">
        <v>1518</v>
      </c>
      <c r="B5261" s="12" t="s">
        <v>1517</v>
      </c>
      <c r="C5261" s="12">
        <v>10000</v>
      </c>
      <c r="D5261" s="12">
        <v>1000</v>
      </c>
    </row>
    <row r="5262" spans="1:4" x14ac:dyDescent="0.2">
      <c r="A5262" s="12" t="s">
        <v>5825</v>
      </c>
      <c r="B5262" s="12" t="s">
        <v>5824</v>
      </c>
      <c r="C5262" s="12">
        <v>42000</v>
      </c>
      <c r="D5262" s="12">
        <v>4200</v>
      </c>
    </row>
    <row r="5263" spans="1:4" x14ac:dyDescent="0.2">
      <c r="A5263" s="12" t="s">
        <v>3926</v>
      </c>
      <c r="B5263" s="12" t="s">
        <v>3925</v>
      </c>
      <c r="C5263" s="12">
        <v>100</v>
      </c>
      <c r="D5263" s="12">
        <v>10</v>
      </c>
    </row>
    <row r="5264" spans="1:4" x14ac:dyDescent="0.2">
      <c r="A5264" s="12" t="s">
        <v>9900</v>
      </c>
      <c r="B5264" s="12" t="s">
        <v>9899</v>
      </c>
      <c r="C5264" s="12">
        <v>4</v>
      </c>
      <c r="D5264" s="12">
        <v>0.4</v>
      </c>
    </row>
    <row r="5265" spans="1:4" x14ac:dyDescent="0.2">
      <c r="A5265" s="12" t="s">
        <v>5075</v>
      </c>
      <c r="B5265" s="12" t="s">
        <v>5074</v>
      </c>
      <c r="C5265" s="12">
        <v>18000</v>
      </c>
      <c r="D5265" s="12">
        <v>1800</v>
      </c>
    </row>
    <row r="5266" spans="1:4" x14ac:dyDescent="0.2">
      <c r="A5266" s="12" t="s">
        <v>12062</v>
      </c>
      <c r="B5266" s="12" t="s">
        <v>12061</v>
      </c>
      <c r="C5266" s="12">
        <v>30000</v>
      </c>
      <c r="D5266" s="12">
        <v>3000</v>
      </c>
    </row>
    <row r="5267" spans="1:4" x14ac:dyDescent="0.2">
      <c r="A5267" s="12" t="s">
        <v>7706</v>
      </c>
      <c r="B5267" s="12" t="s">
        <v>7705</v>
      </c>
      <c r="C5267" s="12">
        <v>6.2</v>
      </c>
      <c r="D5267" s="12">
        <v>10</v>
      </c>
    </row>
    <row r="5268" spans="1:4" x14ac:dyDescent="0.2">
      <c r="A5268" s="12" t="s">
        <v>12111</v>
      </c>
      <c r="B5268" s="12" t="s">
        <v>12110</v>
      </c>
      <c r="C5268" s="12">
        <v>1.1000000000000001</v>
      </c>
      <c r="D5268" s="12">
        <v>2.5</v>
      </c>
    </row>
    <row r="5269" spans="1:4" x14ac:dyDescent="0.2">
      <c r="A5269" s="12" t="s">
        <v>11814</v>
      </c>
      <c r="B5269" s="12" t="s">
        <v>11813</v>
      </c>
      <c r="C5269" s="12">
        <v>5</v>
      </c>
      <c r="D5269" s="12">
        <v>0.5</v>
      </c>
    </row>
    <row r="5270" spans="1:4" x14ac:dyDescent="0.2">
      <c r="A5270" s="12" t="s">
        <v>9220</v>
      </c>
      <c r="B5270" s="12" t="s">
        <v>9219</v>
      </c>
      <c r="C5270" s="12">
        <v>500</v>
      </c>
      <c r="D5270" s="12">
        <v>50</v>
      </c>
    </row>
    <row r="5271" spans="1:4" x14ac:dyDescent="0.2">
      <c r="A5271" s="12" t="s">
        <v>7702</v>
      </c>
      <c r="B5271" s="12" t="s">
        <v>7701</v>
      </c>
      <c r="C5271" s="12">
        <v>10</v>
      </c>
      <c r="D5271" s="12">
        <v>1</v>
      </c>
    </row>
    <row r="5272" spans="1:4" x14ac:dyDescent="0.2">
      <c r="A5272" s="12" t="s">
        <v>8423</v>
      </c>
      <c r="B5272" s="12" t="s">
        <v>8422</v>
      </c>
      <c r="C5272" s="12">
        <v>8</v>
      </c>
      <c r="D5272" s="12">
        <v>0.8</v>
      </c>
    </row>
    <row r="5273" spans="1:4" x14ac:dyDescent="0.2">
      <c r="A5273" s="12" t="s">
        <v>2294</v>
      </c>
      <c r="B5273" s="12" t="s">
        <v>2293</v>
      </c>
      <c r="C5273" s="12">
        <v>10</v>
      </c>
      <c r="D5273" s="12">
        <v>1</v>
      </c>
    </row>
    <row r="5274" spans="1:4" x14ac:dyDescent="0.2">
      <c r="A5274" s="12" t="s">
        <v>10581</v>
      </c>
      <c r="B5274" s="12" t="s">
        <v>10580</v>
      </c>
      <c r="C5274" s="12">
        <v>70</v>
      </c>
      <c r="D5274" s="12">
        <v>7</v>
      </c>
    </row>
    <row r="5275" spans="1:4" x14ac:dyDescent="0.2">
      <c r="A5275" s="12" t="s">
        <v>11716</v>
      </c>
      <c r="B5275" s="12" t="s">
        <v>11715</v>
      </c>
      <c r="C5275" s="12" t="s">
        <v>59</v>
      </c>
      <c r="D5275" s="12" t="s">
        <v>59</v>
      </c>
    </row>
    <row r="5276" spans="1:4" x14ac:dyDescent="0.2">
      <c r="A5276" s="12" t="s">
        <v>6324</v>
      </c>
      <c r="B5276" s="12" t="s">
        <v>6323</v>
      </c>
      <c r="C5276" s="12" t="s">
        <v>59</v>
      </c>
      <c r="D5276" s="12" t="s">
        <v>59</v>
      </c>
    </row>
    <row r="5277" spans="1:4" x14ac:dyDescent="0.2">
      <c r="A5277" s="12" t="s">
        <v>8733</v>
      </c>
      <c r="B5277" s="12" t="s">
        <v>8732</v>
      </c>
      <c r="C5277" s="12" t="s">
        <v>59</v>
      </c>
      <c r="D5277" s="12" t="s">
        <v>59</v>
      </c>
    </row>
    <row r="5278" spans="1:4" x14ac:dyDescent="0.2">
      <c r="A5278" s="12" t="s">
        <v>8859</v>
      </c>
      <c r="B5278" s="12" t="s">
        <v>8858</v>
      </c>
      <c r="C5278" s="12">
        <v>180</v>
      </c>
      <c r="D5278" s="12">
        <v>92</v>
      </c>
    </row>
    <row r="5279" spans="1:4" x14ac:dyDescent="0.2">
      <c r="A5279" s="12" t="s">
        <v>4795</v>
      </c>
      <c r="B5279" s="12" t="s">
        <v>4794</v>
      </c>
      <c r="C5279" s="12">
        <v>5</v>
      </c>
      <c r="D5279" s="12">
        <v>0.5</v>
      </c>
    </row>
    <row r="5280" spans="1:4" x14ac:dyDescent="0.2">
      <c r="A5280" s="12" t="s">
        <v>5978</v>
      </c>
      <c r="B5280" s="12" t="s">
        <v>5977</v>
      </c>
      <c r="C5280" s="12">
        <v>8600</v>
      </c>
      <c r="D5280" s="12">
        <v>860</v>
      </c>
    </row>
    <row r="5281" spans="1:4" x14ac:dyDescent="0.2">
      <c r="A5281" s="12" t="s">
        <v>4720</v>
      </c>
      <c r="B5281" s="12" t="s">
        <v>4719</v>
      </c>
      <c r="C5281" s="12" t="s">
        <v>59</v>
      </c>
      <c r="D5281" s="12" t="s">
        <v>59</v>
      </c>
    </row>
    <row r="5282" spans="1:4" x14ac:dyDescent="0.2">
      <c r="A5282" s="12" t="s">
        <v>2165</v>
      </c>
      <c r="B5282" s="12" t="s">
        <v>2164</v>
      </c>
      <c r="C5282" s="12">
        <v>180</v>
      </c>
      <c r="D5282" s="12">
        <v>92</v>
      </c>
    </row>
    <row r="5283" spans="1:4" x14ac:dyDescent="0.2">
      <c r="A5283" s="12" t="s">
        <v>4563</v>
      </c>
      <c r="B5283" s="12" t="s">
        <v>4562</v>
      </c>
      <c r="C5283" s="12">
        <v>61000</v>
      </c>
      <c r="D5283" s="12">
        <v>6100</v>
      </c>
    </row>
    <row r="5284" spans="1:4" x14ac:dyDescent="0.2">
      <c r="A5284" s="12" t="s">
        <v>11592</v>
      </c>
      <c r="B5284" s="12" t="s">
        <v>11591</v>
      </c>
      <c r="C5284" s="12">
        <v>60</v>
      </c>
      <c r="D5284" s="12">
        <v>6</v>
      </c>
    </row>
    <row r="5285" spans="1:4" x14ac:dyDescent="0.2">
      <c r="A5285" s="12" t="s">
        <v>11551</v>
      </c>
      <c r="B5285" s="12" t="s">
        <v>11550</v>
      </c>
      <c r="C5285" s="12">
        <v>620</v>
      </c>
      <c r="D5285" s="12">
        <v>62</v>
      </c>
    </row>
    <row r="5286" spans="1:4" x14ac:dyDescent="0.2">
      <c r="A5286" s="12" t="s">
        <v>2259</v>
      </c>
      <c r="B5286" s="12" t="s">
        <v>2258</v>
      </c>
      <c r="C5286" s="12">
        <v>0.33</v>
      </c>
      <c r="D5286" s="12">
        <v>1.8</v>
      </c>
    </row>
    <row r="5287" spans="1:4" x14ac:dyDescent="0.2">
      <c r="A5287" s="12" t="s">
        <v>2568</v>
      </c>
      <c r="B5287" s="12" t="s">
        <v>2567</v>
      </c>
      <c r="C5287" s="12">
        <v>970</v>
      </c>
      <c r="D5287" s="12">
        <v>97</v>
      </c>
    </row>
    <row r="5288" spans="1:4" x14ac:dyDescent="0.2">
      <c r="A5288" s="12" t="s">
        <v>310</v>
      </c>
      <c r="B5288" s="12" t="s">
        <v>309</v>
      </c>
      <c r="C5288" s="12">
        <v>42000</v>
      </c>
      <c r="D5288" s="12">
        <v>4200</v>
      </c>
    </row>
    <row r="5289" spans="1:4" x14ac:dyDescent="0.2">
      <c r="A5289" s="12" t="s">
        <v>1903</v>
      </c>
      <c r="B5289" s="12" t="s">
        <v>1902</v>
      </c>
      <c r="C5289" s="12" t="s">
        <v>59</v>
      </c>
      <c r="D5289" s="12" t="s">
        <v>59</v>
      </c>
    </row>
    <row r="5290" spans="1:4" x14ac:dyDescent="0.2">
      <c r="A5290" s="12" t="s">
        <v>1904</v>
      </c>
      <c r="B5290" s="12" t="s">
        <v>1902</v>
      </c>
      <c r="C5290" s="12">
        <v>280</v>
      </c>
      <c r="D5290" s="12">
        <v>28</v>
      </c>
    </row>
    <row r="5291" spans="1:4" x14ac:dyDescent="0.2">
      <c r="A5291" s="12" t="s">
        <v>11962</v>
      </c>
      <c r="B5291" s="12" t="s">
        <v>11961</v>
      </c>
      <c r="C5291" s="12">
        <v>56000</v>
      </c>
      <c r="D5291" s="12">
        <v>5600</v>
      </c>
    </row>
    <row r="5292" spans="1:4" x14ac:dyDescent="0.2">
      <c r="A5292" s="12" t="s">
        <v>5819</v>
      </c>
      <c r="B5292" s="12" t="s">
        <v>5818</v>
      </c>
      <c r="C5292" s="12">
        <v>50000</v>
      </c>
      <c r="D5292" s="12">
        <v>5000</v>
      </c>
    </row>
    <row r="5293" spans="1:4" x14ac:dyDescent="0.2">
      <c r="A5293" s="12" t="s">
        <v>5815</v>
      </c>
      <c r="B5293" s="12" t="s">
        <v>5814</v>
      </c>
      <c r="C5293" s="12">
        <v>4</v>
      </c>
      <c r="D5293" s="12">
        <v>0.4</v>
      </c>
    </row>
    <row r="5294" spans="1:4" x14ac:dyDescent="0.2">
      <c r="A5294" s="12" t="s">
        <v>5118</v>
      </c>
      <c r="B5294" s="12" t="s">
        <v>5117</v>
      </c>
      <c r="C5294" s="12">
        <v>43000</v>
      </c>
      <c r="D5294" s="12">
        <v>4300</v>
      </c>
    </row>
    <row r="5295" spans="1:4" x14ac:dyDescent="0.2">
      <c r="A5295" s="12" t="s">
        <v>4946</v>
      </c>
      <c r="B5295" s="12" t="s">
        <v>4945</v>
      </c>
      <c r="C5295" s="12">
        <v>18000</v>
      </c>
      <c r="D5295" s="12">
        <v>1800</v>
      </c>
    </row>
    <row r="5296" spans="1:4" x14ac:dyDescent="0.2">
      <c r="A5296" s="12" t="s">
        <v>11712</v>
      </c>
      <c r="B5296" s="12" t="s">
        <v>11711</v>
      </c>
      <c r="C5296" s="12"/>
      <c r="D5296" s="12" t="s">
        <v>59</v>
      </c>
    </row>
    <row r="5297" spans="1:4" x14ac:dyDescent="0.2">
      <c r="A5297" s="12" t="s">
        <v>8341</v>
      </c>
      <c r="B5297" s="12" t="s">
        <v>8340</v>
      </c>
      <c r="C5297" s="12">
        <v>100</v>
      </c>
      <c r="D5297" s="12">
        <v>10</v>
      </c>
    </row>
    <row r="5298" spans="1:4" x14ac:dyDescent="0.2">
      <c r="A5298" s="12" t="s">
        <v>9702</v>
      </c>
      <c r="B5298" s="12" t="s">
        <v>9701</v>
      </c>
      <c r="C5298" s="12">
        <v>25</v>
      </c>
      <c r="D5298" s="12">
        <v>2.5</v>
      </c>
    </row>
    <row r="5299" spans="1:4" x14ac:dyDescent="0.2">
      <c r="A5299" s="12" t="s">
        <v>12119</v>
      </c>
      <c r="B5299" s="12" t="s">
        <v>12118</v>
      </c>
      <c r="C5299" s="12">
        <v>220</v>
      </c>
      <c r="D5299" s="12">
        <v>22</v>
      </c>
    </row>
    <row r="5300" spans="1:4" x14ac:dyDescent="0.2">
      <c r="A5300" s="12" t="s">
        <v>3558</v>
      </c>
      <c r="B5300" s="12" t="s">
        <v>3557</v>
      </c>
      <c r="C5300" s="12">
        <v>2000</v>
      </c>
      <c r="D5300" s="12">
        <v>200</v>
      </c>
    </row>
    <row r="5301" spans="1:4" x14ac:dyDescent="0.2">
      <c r="A5301" s="12" t="s">
        <v>5821</v>
      </c>
      <c r="B5301" s="12" t="s">
        <v>5820</v>
      </c>
      <c r="C5301" s="12">
        <v>106</v>
      </c>
      <c r="D5301" s="12">
        <v>11</v>
      </c>
    </row>
    <row r="5302" spans="1:4" x14ac:dyDescent="0.2">
      <c r="A5302" s="12" t="s">
        <v>8632</v>
      </c>
      <c r="B5302" s="12" t="s">
        <v>8631</v>
      </c>
      <c r="C5302" s="12">
        <v>60</v>
      </c>
      <c r="D5302" s="12">
        <v>6</v>
      </c>
    </row>
    <row r="5303" spans="1:4" x14ac:dyDescent="0.2">
      <c r="A5303" s="12" t="s">
        <v>8145</v>
      </c>
      <c r="B5303" s="12" t="s">
        <v>8144</v>
      </c>
      <c r="C5303" s="12">
        <v>0.25</v>
      </c>
      <c r="D5303" s="12">
        <v>2.5000000000000001E-2</v>
      </c>
    </row>
    <row r="5304" spans="1:4" x14ac:dyDescent="0.2">
      <c r="A5304" s="12" t="s">
        <v>1471</v>
      </c>
      <c r="B5304" s="12" t="s">
        <v>1470</v>
      </c>
      <c r="C5304" s="12">
        <v>5600</v>
      </c>
      <c r="D5304" s="12">
        <v>200</v>
      </c>
    </row>
    <row r="5305" spans="1:4" x14ac:dyDescent="0.2">
      <c r="A5305" s="12" t="s">
        <v>1469</v>
      </c>
      <c r="B5305" s="12" t="s">
        <v>1468</v>
      </c>
      <c r="C5305" s="12">
        <v>1520</v>
      </c>
      <c r="D5305" s="12">
        <v>152</v>
      </c>
    </row>
    <row r="5306" spans="1:4" x14ac:dyDescent="0.2">
      <c r="A5306" s="12" t="s">
        <v>11610</v>
      </c>
      <c r="B5306" s="12" t="s">
        <v>11609</v>
      </c>
      <c r="C5306" s="12">
        <v>320</v>
      </c>
      <c r="D5306" s="12"/>
    </row>
    <row r="5307" spans="1:4" x14ac:dyDescent="0.2">
      <c r="A5307" s="12" t="s">
        <v>10018</v>
      </c>
      <c r="B5307" s="12" t="s">
        <v>10017</v>
      </c>
      <c r="C5307" s="12" t="s">
        <v>59</v>
      </c>
      <c r="D5307" s="12" t="s">
        <v>59</v>
      </c>
    </row>
    <row r="5308" spans="1:4" x14ac:dyDescent="0.2">
      <c r="A5308" s="12" t="s">
        <v>7132</v>
      </c>
      <c r="B5308" s="12" t="s">
        <v>7131</v>
      </c>
      <c r="C5308" s="12">
        <v>2.7</v>
      </c>
      <c r="D5308" s="12">
        <v>0.25</v>
      </c>
    </row>
    <row r="5309" spans="1:4" x14ac:dyDescent="0.2">
      <c r="A5309" s="12" t="s">
        <v>3442</v>
      </c>
      <c r="B5309" s="12" t="s">
        <v>3441</v>
      </c>
      <c r="C5309" s="12">
        <v>40</v>
      </c>
      <c r="D5309" s="12">
        <v>4</v>
      </c>
    </row>
    <row r="5310" spans="1:4" x14ac:dyDescent="0.2">
      <c r="A5310" s="12" t="s">
        <v>1344</v>
      </c>
      <c r="B5310" s="12" t="s">
        <v>1343</v>
      </c>
      <c r="C5310" s="12">
        <v>50</v>
      </c>
      <c r="D5310" s="12">
        <v>5</v>
      </c>
    </row>
    <row r="5311" spans="1:4" x14ac:dyDescent="0.2">
      <c r="A5311" s="12" t="s">
        <v>12060</v>
      </c>
      <c r="B5311" s="12" t="s">
        <v>12059</v>
      </c>
      <c r="C5311" s="12">
        <v>12</v>
      </c>
      <c r="D5311" s="12">
        <v>1.2</v>
      </c>
    </row>
    <row r="5312" spans="1:4" x14ac:dyDescent="0.2">
      <c r="A5312" s="12" t="s">
        <v>11561</v>
      </c>
      <c r="B5312" s="12" t="s">
        <v>11560</v>
      </c>
      <c r="C5312" s="12">
        <v>100</v>
      </c>
      <c r="D5312" s="12">
        <v>10</v>
      </c>
    </row>
    <row r="5313" spans="1:4" x14ac:dyDescent="0.2">
      <c r="A5313" s="12" t="s">
        <v>12341</v>
      </c>
      <c r="B5313" s="12" t="s">
        <v>12340</v>
      </c>
      <c r="C5313" s="12">
        <v>66</v>
      </c>
      <c r="D5313" s="12">
        <v>7</v>
      </c>
    </row>
    <row r="5314" spans="1:4" x14ac:dyDescent="0.2">
      <c r="A5314" s="12" t="s">
        <v>4257</v>
      </c>
      <c r="B5314" s="12" t="s">
        <v>4256</v>
      </c>
      <c r="C5314" s="12" t="s">
        <v>59</v>
      </c>
      <c r="D5314" s="12" t="s">
        <v>59</v>
      </c>
    </row>
    <row r="5315" spans="1:4" x14ac:dyDescent="0.2">
      <c r="A5315" s="12" t="s">
        <v>4258</v>
      </c>
      <c r="B5315" s="12" t="s">
        <v>4256</v>
      </c>
      <c r="C5315" s="12">
        <v>1000</v>
      </c>
      <c r="D5315" s="12">
        <v>100</v>
      </c>
    </row>
    <row r="5316" spans="1:4" x14ac:dyDescent="0.2">
      <c r="A5316" s="12" t="s">
        <v>2550</v>
      </c>
      <c r="B5316" s="12" t="s">
        <v>2549</v>
      </c>
      <c r="C5316" s="12">
        <v>40</v>
      </c>
      <c r="D5316" s="12">
        <v>4</v>
      </c>
    </row>
    <row r="5317" spans="1:4" x14ac:dyDescent="0.2">
      <c r="A5317" s="12" t="s">
        <v>6231</v>
      </c>
      <c r="B5317" s="12" t="s">
        <v>6230</v>
      </c>
      <c r="C5317" s="12" t="s">
        <v>59</v>
      </c>
      <c r="D5317" s="12" t="s">
        <v>59</v>
      </c>
    </row>
    <row r="5318" spans="1:4" x14ac:dyDescent="0.2">
      <c r="A5318" s="12" t="s">
        <v>10074</v>
      </c>
      <c r="B5318" s="12" t="s">
        <v>10073</v>
      </c>
      <c r="C5318" s="12" t="s">
        <v>59</v>
      </c>
      <c r="D5318" s="12" t="s">
        <v>59</v>
      </c>
    </row>
    <row r="5319" spans="1:4" x14ac:dyDescent="0.2">
      <c r="A5319" s="12" t="s">
        <v>10075</v>
      </c>
      <c r="B5319" s="12" t="s">
        <v>10073</v>
      </c>
      <c r="C5319" s="12">
        <v>500</v>
      </c>
      <c r="D5319" s="12">
        <v>50</v>
      </c>
    </row>
    <row r="5320" spans="1:4" x14ac:dyDescent="0.2">
      <c r="A5320" s="12" t="s">
        <v>1452</v>
      </c>
      <c r="B5320" s="12" t="s">
        <v>1451</v>
      </c>
      <c r="C5320" s="12">
        <v>60</v>
      </c>
      <c r="D5320" s="12">
        <v>6</v>
      </c>
    </row>
    <row r="5321" spans="1:4" x14ac:dyDescent="0.2">
      <c r="A5321" s="12" t="s">
        <v>10833</v>
      </c>
      <c r="B5321" s="12" t="s">
        <v>10832</v>
      </c>
      <c r="C5321" s="12" t="s">
        <v>59</v>
      </c>
      <c r="D5321" s="12" t="s">
        <v>59</v>
      </c>
    </row>
    <row r="5322" spans="1:4" x14ac:dyDescent="0.2">
      <c r="A5322" s="12" t="s">
        <v>12206</v>
      </c>
      <c r="B5322" s="12" t="s">
        <v>12205</v>
      </c>
      <c r="C5322" s="12" t="s">
        <v>59</v>
      </c>
      <c r="D5322" s="12" t="s">
        <v>59</v>
      </c>
    </row>
    <row r="5323" spans="1:4" x14ac:dyDescent="0.2">
      <c r="A5323" s="12" t="s">
        <v>9675</v>
      </c>
      <c r="B5323" s="12" t="s">
        <v>9674</v>
      </c>
      <c r="C5323" s="12">
        <v>400</v>
      </c>
      <c r="D5323" s="12">
        <v>40</v>
      </c>
    </row>
    <row r="5324" spans="1:4" x14ac:dyDescent="0.2">
      <c r="A5324" s="12" t="s">
        <v>9746</v>
      </c>
      <c r="B5324" s="12" t="s">
        <v>9745</v>
      </c>
      <c r="C5324" s="12">
        <v>190</v>
      </c>
      <c r="D5324" s="12">
        <v>7.9</v>
      </c>
    </row>
    <row r="5325" spans="1:4" x14ac:dyDescent="0.2">
      <c r="A5325" s="12" t="s">
        <v>2071</v>
      </c>
      <c r="B5325" s="12" t="s">
        <v>2070</v>
      </c>
      <c r="C5325" s="12">
        <v>1700</v>
      </c>
      <c r="D5325" s="12">
        <v>170</v>
      </c>
    </row>
    <row r="5326" spans="1:4" x14ac:dyDescent="0.2">
      <c r="A5326" s="12" t="s">
        <v>2578</v>
      </c>
      <c r="B5326" s="12" t="s">
        <v>2577</v>
      </c>
      <c r="C5326" s="12">
        <v>140</v>
      </c>
      <c r="D5326" s="12">
        <v>14</v>
      </c>
    </row>
    <row r="5327" spans="1:4" x14ac:dyDescent="0.2">
      <c r="A5327" s="12" t="s">
        <v>11958</v>
      </c>
      <c r="B5327" s="12" t="s">
        <v>11957</v>
      </c>
      <c r="C5327" s="12">
        <v>37</v>
      </c>
      <c r="D5327" s="12">
        <v>3.7</v>
      </c>
    </row>
    <row r="5328" spans="1:4" x14ac:dyDescent="0.2">
      <c r="A5328" s="12" t="s">
        <v>11956</v>
      </c>
      <c r="B5328" s="12" t="s">
        <v>11955</v>
      </c>
      <c r="C5328" s="12">
        <v>70</v>
      </c>
      <c r="D5328" s="12">
        <v>7</v>
      </c>
    </row>
    <row r="5329" spans="1:4" x14ac:dyDescent="0.2">
      <c r="A5329" s="12" t="s">
        <v>12649</v>
      </c>
      <c r="B5329" s="12" t="s">
        <v>12058</v>
      </c>
      <c r="C5329" s="12"/>
      <c r="D5329" s="12">
        <v>0.71</v>
      </c>
    </row>
    <row r="5330" spans="1:4" x14ac:dyDescent="0.2">
      <c r="A5330" s="12" t="s">
        <v>12648</v>
      </c>
      <c r="B5330" s="12" t="s">
        <v>12057</v>
      </c>
      <c r="C5330" s="12">
        <v>2.8</v>
      </c>
      <c r="D5330" s="12">
        <v>0.56999999999999995</v>
      </c>
    </row>
    <row r="5331" spans="1:4" x14ac:dyDescent="0.2">
      <c r="A5331" s="12" t="s">
        <v>12056</v>
      </c>
      <c r="B5331" s="12" t="s">
        <v>12055</v>
      </c>
      <c r="C5331" s="12">
        <v>17</v>
      </c>
      <c r="D5331" s="12">
        <v>8.1</v>
      </c>
    </row>
    <row r="5332" spans="1:4" x14ac:dyDescent="0.2">
      <c r="A5332" s="12" t="s">
        <v>11966</v>
      </c>
      <c r="B5332" s="12" t="s">
        <v>11965</v>
      </c>
      <c r="C5332" s="12">
        <v>7</v>
      </c>
      <c r="D5332" s="12">
        <v>0.7</v>
      </c>
    </row>
    <row r="5333" spans="1:4" x14ac:dyDescent="0.2">
      <c r="A5333" s="12" t="s">
        <v>2063</v>
      </c>
      <c r="B5333" s="12" t="s">
        <v>2062</v>
      </c>
      <c r="C5333" s="12">
        <v>250</v>
      </c>
      <c r="D5333" s="12">
        <v>25</v>
      </c>
    </row>
    <row r="5334" spans="1:4" x14ac:dyDescent="0.2">
      <c r="A5334" s="12" t="s">
        <v>10501</v>
      </c>
      <c r="B5334" s="12" t="s">
        <v>10500</v>
      </c>
      <c r="C5334" s="12">
        <v>50</v>
      </c>
      <c r="D5334" s="12">
        <v>5</v>
      </c>
    </row>
    <row r="5335" spans="1:4" x14ac:dyDescent="0.2">
      <c r="A5335" s="12" t="s">
        <v>286</v>
      </c>
      <c r="B5335" s="12" t="s">
        <v>285</v>
      </c>
      <c r="C5335" s="12">
        <v>41700</v>
      </c>
      <c r="D5335" s="12">
        <v>4170</v>
      </c>
    </row>
    <row r="5336" spans="1:4" x14ac:dyDescent="0.2">
      <c r="A5336" s="12" t="s">
        <v>322</v>
      </c>
      <c r="B5336" s="12" t="s">
        <v>321</v>
      </c>
      <c r="C5336" s="12">
        <v>41700</v>
      </c>
      <c r="D5336" s="12">
        <v>4170</v>
      </c>
    </row>
    <row r="5337" spans="1:4" x14ac:dyDescent="0.2">
      <c r="A5337" s="12" t="s">
        <v>332</v>
      </c>
      <c r="B5337" s="12" t="s">
        <v>331</v>
      </c>
      <c r="C5337" s="12">
        <v>38000</v>
      </c>
      <c r="D5337" s="12">
        <v>3800</v>
      </c>
    </row>
    <row r="5338" spans="1:4" x14ac:dyDescent="0.2">
      <c r="A5338" s="12" t="s">
        <v>562</v>
      </c>
      <c r="B5338" s="12" t="s">
        <v>561</v>
      </c>
      <c r="C5338" s="12">
        <v>70000</v>
      </c>
      <c r="D5338" s="12">
        <v>7000</v>
      </c>
    </row>
    <row r="5339" spans="1:4" x14ac:dyDescent="0.2">
      <c r="A5339" s="12" t="s">
        <v>5100</v>
      </c>
      <c r="B5339" s="12" t="s">
        <v>5099</v>
      </c>
      <c r="C5339" s="12">
        <v>63000</v>
      </c>
      <c r="D5339" s="12">
        <v>6300</v>
      </c>
    </row>
    <row r="5340" spans="1:4" x14ac:dyDescent="0.2">
      <c r="A5340" s="12" t="s">
        <v>7450</v>
      </c>
      <c r="B5340" s="12" t="s">
        <v>7449</v>
      </c>
      <c r="C5340" s="12">
        <v>10000</v>
      </c>
      <c r="D5340" s="12">
        <v>1000</v>
      </c>
    </row>
    <row r="5341" spans="1:4" x14ac:dyDescent="0.2">
      <c r="A5341" s="12" t="s">
        <v>12601</v>
      </c>
      <c r="B5341" s="12" t="s">
        <v>9752</v>
      </c>
      <c r="C5341" s="12"/>
      <c r="D5341" s="12">
        <v>0.71</v>
      </c>
    </row>
    <row r="5342" spans="1:4" x14ac:dyDescent="0.2">
      <c r="A5342" s="12" t="s">
        <v>12600</v>
      </c>
      <c r="B5342" s="12" t="s">
        <v>9751</v>
      </c>
      <c r="C5342" s="12">
        <v>2.8</v>
      </c>
      <c r="D5342" s="12">
        <v>0.56999999999999995</v>
      </c>
    </row>
    <row r="5343" spans="1:4" x14ac:dyDescent="0.2">
      <c r="A5343" s="12" t="s">
        <v>9750</v>
      </c>
      <c r="B5343" s="12" t="s">
        <v>9749</v>
      </c>
      <c r="C5343" s="12">
        <v>17</v>
      </c>
      <c r="D5343" s="12">
        <v>8.1</v>
      </c>
    </row>
    <row r="5344" spans="1:4" x14ac:dyDescent="0.2">
      <c r="A5344" s="12" t="s">
        <v>9423</v>
      </c>
      <c r="B5344" s="12" t="s">
        <v>9422</v>
      </c>
      <c r="C5344" s="12">
        <v>10000</v>
      </c>
      <c r="D5344" s="12">
        <v>1000</v>
      </c>
    </row>
    <row r="5345" spans="1:4" x14ac:dyDescent="0.2">
      <c r="A5345" s="12" t="s">
        <v>8137</v>
      </c>
      <c r="B5345" s="12" t="s">
        <v>8136</v>
      </c>
      <c r="C5345" s="12">
        <v>2</v>
      </c>
      <c r="D5345" s="12">
        <v>0.2</v>
      </c>
    </row>
    <row r="5346" spans="1:4" x14ac:dyDescent="0.2">
      <c r="A5346" s="12" t="s">
        <v>4900</v>
      </c>
      <c r="B5346" s="12" t="s">
        <v>4899</v>
      </c>
      <c r="C5346" s="12">
        <v>20</v>
      </c>
      <c r="D5346" s="12">
        <v>2</v>
      </c>
    </row>
    <row r="5347" spans="1:4" x14ac:dyDescent="0.2">
      <c r="A5347" s="12" t="s">
        <v>6075</v>
      </c>
      <c r="B5347" s="12" t="s">
        <v>6074</v>
      </c>
      <c r="C5347" s="12">
        <v>160</v>
      </c>
      <c r="D5347" s="12">
        <v>16</v>
      </c>
    </row>
    <row r="5348" spans="1:4" x14ac:dyDescent="0.2">
      <c r="A5348" s="12" t="s">
        <v>11559</v>
      </c>
      <c r="B5348" s="12" t="s">
        <v>11558</v>
      </c>
      <c r="C5348" s="12">
        <v>3000</v>
      </c>
      <c r="D5348" s="12">
        <v>300</v>
      </c>
    </row>
    <row r="5349" spans="1:4" x14ac:dyDescent="0.2">
      <c r="A5349" s="12" t="s">
        <v>10851</v>
      </c>
      <c r="B5349" s="12" t="s">
        <v>10850</v>
      </c>
      <c r="C5349" s="12">
        <v>27</v>
      </c>
      <c r="D5349" s="12">
        <v>2</v>
      </c>
    </row>
    <row r="5350" spans="1:4" x14ac:dyDescent="0.2">
      <c r="A5350" s="12" t="s">
        <v>11004</v>
      </c>
      <c r="B5350" s="12" t="s">
        <v>11003</v>
      </c>
      <c r="C5350" s="12" t="s">
        <v>59</v>
      </c>
      <c r="D5350" s="12" t="s">
        <v>59</v>
      </c>
    </row>
    <row r="5351" spans="1:4" x14ac:dyDescent="0.2">
      <c r="A5351" s="12" t="s">
        <v>11129</v>
      </c>
      <c r="B5351" s="12" t="s">
        <v>11128</v>
      </c>
      <c r="C5351" s="12">
        <v>5</v>
      </c>
      <c r="D5351" s="12">
        <v>0.5</v>
      </c>
    </row>
    <row r="5352" spans="1:4" x14ac:dyDescent="0.2">
      <c r="A5352" s="12" t="s">
        <v>11135</v>
      </c>
      <c r="B5352" s="12" t="s">
        <v>11134</v>
      </c>
      <c r="C5352" s="12" t="s">
        <v>59</v>
      </c>
      <c r="D5352" s="12" t="s">
        <v>59</v>
      </c>
    </row>
    <row r="5353" spans="1:4" x14ac:dyDescent="0.2">
      <c r="A5353" s="12" t="s">
        <v>11137</v>
      </c>
      <c r="B5353" s="12" t="s">
        <v>11136</v>
      </c>
      <c r="C5353" s="12" t="s">
        <v>59</v>
      </c>
      <c r="D5353" s="12" t="s">
        <v>59</v>
      </c>
    </row>
    <row r="5354" spans="1:4" x14ac:dyDescent="0.2">
      <c r="A5354" s="12" t="s">
        <v>11143</v>
      </c>
      <c r="B5354" s="12" t="s">
        <v>11142</v>
      </c>
      <c r="C5354" s="12">
        <v>20</v>
      </c>
      <c r="D5354" s="12">
        <v>2</v>
      </c>
    </row>
    <row r="5355" spans="1:4" x14ac:dyDescent="0.2">
      <c r="A5355" s="12" t="s">
        <v>9936</v>
      </c>
      <c r="B5355" s="12" t="s">
        <v>9935</v>
      </c>
      <c r="C5355" s="12" t="s">
        <v>59</v>
      </c>
      <c r="D5355" s="12" t="s">
        <v>59</v>
      </c>
    </row>
    <row r="5356" spans="1:4" x14ac:dyDescent="0.2">
      <c r="A5356" s="12" t="s">
        <v>2235</v>
      </c>
      <c r="B5356" s="12" t="s">
        <v>2234</v>
      </c>
      <c r="C5356" s="12">
        <v>1700</v>
      </c>
      <c r="D5356" s="12">
        <v>170</v>
      </c>
    </row>
    <row r="5357" spans="1:4" x14ac:dyDescent="0.2">
      <c r="A5357" s="12" t="s">
        <v>6681</v>
      </c>
      <c r="B5357" s="12" t="s">
        <v>6680</v>
      </c>
      <c r="C5357" s="12">
        <v>270</v>
      </c>
      <c r="D5357" s="12">
        <v>27</v>
      </c>
    </row>
    <row r="5358" spans="1:4" x14ac:dyDescent="0.2">
      <c r="A5358" s="12" t="s">
        <v>12541</v>
      </c>
      <c r="B5358" s="12" t="s">
        <v>4532</v>
      </c>
      <c r="C5358" s="12"/>
      <c r="D5358" s="12">
        <v>0.71</v>
      </c>
    </row>
    <row r="5359" spans="1:4" x14ac:dyDescent="0.2">
      <c r="A5359" s="12" t="s">
        <v>12540</v>
      </c>
      <c r="B5359" s="12" t="s">
        <v>4531</v>
      </c>
      <c r="C5359" s="12">
        <v>2.8</v>
      </c>
      <c r="D5359" s="12">
        <v>0.56999999999999995</v>
      </c>
    </row>
    <row r="5360" spans="1:4" x14ac:dyDescent="0.2">
      <c r="A5360" s="12" t="s">
        <v>4530</v>
      </c>
      <c r="B5360" s="12" t="s">
        <v>4529</v>
      </c>
      <c r="C5360" s="12">
        <v>17</v>
      </c>
      <c r="D5360" s="12">
        <v>8.1</v>
      </c>
    </row>
    <row r="5361" spans="1:4" x14ac:dyDescent="0.2">
      <c r="A5361" s="12" t="s">
        <v>8363</v>
      </c>
      <c r="B5361" s="12" t="s">
        <v>8362</v>
      </c>
      <c r="C5361" s="12">
        <v>140</v>
      </c>
      <c r="D5361" s="12">
        <v>14</v>
      </c>
    </row>
    <row r="5362" spans="1:4" x14ac:dyDescent="0.2">
      <c r="A5362" s="12" t="s">
        <v>5239</v>
      </c>
      <c r="B5362" s="12" t="s">
        <v>5238</v>
      </c>
      <c r="C5362" s="12">
        <v>1700</v>
      </c>
      <c r="D5362" s="12">
        <v>170</v>
      </c>
    </row>
    <row r="5363" spans="1:4" x14ac:dyDescent="0.2">
      <c r="A5363" s="12" t="s">
        <v>796</v>
      </c>
      <c r="B5363" s="12" t="s">
        <v>795</v>
      </c>
      <c r="C5363" s="12">
        <v>6</v>
      </c>
      <c r="D5363" s="12">
        <v>0.6</v>
      </c>
    </row>
    <row r="5364" spans="1:4" x14ac:dyDescent="0.2">
      <c r="A5364" s="12" t="s">
        <v>3339</v>
      </c>
      <c r="B5364" s="12" t="s">
        <v>3338</v>
      </c>
      <c r="C5364" s="12">
        <v>5700</v>
      </c>
      <c r="D5364" s="12">
        <v>570</v>
      </c>
    </row>
    <row r="5365" spans="1:4" x14ac:dyDescent="0.2">
      <c r="A5365" s="12" t="s">
        <v>7239</v>
      </c>
      <c r="B5365" s="12" t="s">
        <v>7238</v>
      </c>
      <c r="C5365" s="12">
        <v>50</v>
      </c>
      <c r="D5365" s="12">
        <v>5</v>
      </c>
    </row>
    <row r="5366" spans="1:4" x14ac:dyDescent="0.2">
      <c r="A5366" s="12" t="s">
        <v>7398</v>
      </c>
      <c r="B5366" s="12" t="s">
        <v>7397</v>
      </c>
      <c r="C5366" s="12">
        <v>0.5</v>
      </c>
      <c r="D5366" s="12">
        <v>0.05</v>
      </c>
    </row>
    <row r="5367" spans="1:4" x14ac:dyDescent="0.2">
      <c r="A5367" s="12" t="s">
        <v>11800</v>
      </c>
      <c r="B5367" s="12" t="s">
        <v>11799</v>
      </c>
      <c r="C5367" s="12">
        <v>20</v>
      </c>
      <c r="D5367" s="12">
        <v>2</v>
      </c>
    </row>
    <row r="5368" spans="1:4" x14ac:dyDescent="0.2">
      <c r="A5368" s="12" t="s">
        <v>5328</v>
      </c>
      <c r="B5368" s="12" t="s">
        <v>5327</v>
      </c>
      <c r="C5368" s="12">
        <v>0.21</v>
      </c>
      <c r="D5368" s="12">
        <v>1.6999999999999999E-3</v>
      </c>
    </row>
    <row r="5369" spans="1:4" x14ac:dyDescent="0.2">
      <c r="A5369" s="12" t="s">
        <v>12416</v>
      </c>
      <c r="B5369" s="12" t="s">
        <v>12415</v>
      </c>
      <c r="C5369" s="12">
        <v>20</v>
      </c>
      <c r="D5369" s="12">
        <v>2</v>
      </c>
    </row>
    <row r="5370" spans="1:4" x14ac:dyDescent="0.2">
      <c r="A5370" s="12" t="s">
        <v>7585</v>
      </c>
      <c r="B5370" s="12" t="s">
        <v>7584</v>
      </c>
      <c r="C5370" s="12">
        <v>190</v>
      </c>
      <c r="D5370" s="12">
        <v>7.9</v>
      </c>
    </row>
    <row r="5371" spans="1:4" x14ac:dyDescent="0.2">
      <c r="A5371" s="12" t="s">
        <v>9598</v>
      </c>
      <c r="B5371" s="12" t="s">
        <v>9597</v>
      </c>
      <c r="C5371" s="12">
        <v>50</v>
      </c>
      <c r="D5371" s="12">
        <v>5</v>
      </c>
    </row>
    <row r="5372" spans="1:4" x14ac:dyDescent="0.2">
      <c r="A5372" s="12" t="s">
        <v>11023</v>
      </c>
      <c r="B5372" s="12" t="s">
        <v>11022</v>
      </c>
      <c r="C5372" s="12" t="s">
        <v>59</v>
      </c>
      <c r="D5372" s="12" t="s">
        <v>59</v>
      </c>
    </row>
    <row r="5373" spans="1:4" x14ac:dyDescent="0.2">
      <c r="A5373" s="12" t="s">
        <v>11012</v>
      </c>
      <c r="B5373" s="12" t="s">
        <v>11011</v>
      </c>
      <c r="C5373" s="12" t="s">
        <v>59</v>
      </c>
      <c r="D5373" s="12" t="s">
        <v>59</v>
      </c>
    </row>
    <row r="5374" spans="1:4" x14ac:dyDescent="0.2">
      <c r="A5374" s="12" t="s">
        <v>4098</v>
      </c>
      <c r="B5374" s="12" t="s">
        <v>4097</v>
      </c>
      <c r="C5374" s="12">
        <v>5</v>
      </c>
      <c r="D5374" s="12">
        <v>0.5</v>
      </c>
    </row>
    <row r="5375" spans="1:4" x14ac:dyDescent="0.2">
      <c r="A5375" s="12" t="s">
        <v>12603</v>
      </c>
      <c r="B5375" s="12" t="s">
        <v>9956</v>
      </c>
      <c r="C5375" s="12"/>
      <c r="D5375" s="12">
        <v>0.71</v>
      </c>
    </row>
    <row r="5376" spans="1:4" x14ac:dyDescent="0.2">
      <c r="A5376" s="12" t="s">
        <v>12602</v>
      </c>
      <c r="B5376" s="12" t="s">
        <v>9955</v>
      </c>
      <c r="C5376" s="12">
        <v>2.8</v>
      </c>
      <c r="D5376" s="12">
        <v>0.56999999999999995</v>
      </c>
    </row>
    <row r="5377" spans="1:4" x14ac:dyDescent="0.2">
      <c r="A5377" s="12" t="s">
        <v>9954</v>
      </c>
      <c r="B5377" s="12" t="s">
        <v>9953</v>
      </c>
      <c r="C5377" s="12">
        <v>17</v>
      </c>
      <c r="D5377" s="12">
        <v>8.1</v>
      </c>
    </row>
    <row r="5378" spans="1:4" x14ac:dyDescent="0.2">
      <c r="A5378" s="12" t="s">
        <v>9294</v>
      </c>
      <c r="B5378" s="12" t="s">
        <v>9293</v>
      </c>
      <c r="C5378" s="12">
        <v>190</v>
      </c>
      <c r="D5378" s="12">
        <v>7.9</v>
      </c>
    </row>
    <row r="5379" spans="1:4" x14ac:dyDescent="0.2">
      <c r="A5379" s="12" t="s">
        <v>5932</v>
      </c>
      <c r="B5379" s="12" t="s">
        <v>5931</v>
      </c>
      <c r="C5379" s="12">
        <v>550</v>
      </c>
      <c r="D5379" s="12">
        <v>55</v>
      </c>
    </row>
    <row r="5380" spans="1:4" x14ac:dyDescent="0.2">
      <c r="A5380" s="12" t="s">
        <v>992</v>
      </c>
      <c r="B5380" s="12" t="s">
        <v>991</v>
      </c>
      <c r="C5380" s="12">
        <v>16400</v>
      </c>
      <c r="D5380" s="12">
        <v>1640</v>
      </c>
    </row>
    <row r="5381" spans="1:4" x14ac:dyDescent="0.2">
      <c r="A5381" s="12" t="s">
        <v>6245</v>
      </c>
      <c r="B5381" s="12" t="s">
        <v>6244</v>
      </c>
      <c r="C5381" s="12">
        <v>2.2999999999999998</v>
      </c>
      <c r="D5381" s="12">
        <v>0.23</v>
      </c>
    </row>
    <row r="5382" spans="1:4" x14ac:dyDescent="0.2">
      <c r="A5382" s="12" t="s">
        <v>2183</v>
      </c>
      <c r="B5382" s="12" t="s">
        <v>2182</v>
      </c>
      <c r="C5382" s="12">
        <v>720</v>
      </c>
      <c r="D5382" s="12">
        <v>72</v>
      </c>
    </row>
    <row r="5383" spans="1:4" x14ac:dyDescent="0.2">
      <c r="A5383" s="12" t="s">
        <v>6762</v>
      </c>
      <c r="B5383" s="12" t="s">
        <v>6761</v>
      </c>
      <c r="C5383" s="12" t="s">
        <v>59</v>
      </c>
      <c r="D5383" s="12" t="s">
        <v>59</v>
      </c>
    </row>
    <row r="5384" spans="1:4" x14ac:dyDescent="0.2">
      <c r="A5384" s="12" t="s">
        <v>2114</v>
      </c>
      <c r="B5384" s="12" t="s">
        <v>2113</v>
      </c>
      <c r="C5384" s="12">
        <v>30</v>
      </c>
      <c r="D5384" s="12">
        <v>3</v>
      </c>
    </row>
    <row r="5385" spans="1:4" x14ac:dyDescent="0.2">
      <c r="A5385" s="12" t="s">
        <v>5550</v>
      </c>
      <c r="B5385" s="12" t="s">
        <v>5549</v>
      </c>
      <c r="C5385" s="12">
        <v>100</v>
      </c>
      <c r="D5385" s="12">
        <v>10</v>
      </c>
    </row>
    <row r="5386" spans="1:4" x14ac:dyDescent="0.2">
      <c r="A5386" s="12" t="s">
        <v>2968</v>
      </c>
      <c r="B5386" s="12" t="s">
        <v>2967</v>
      </c>
      <c r="C5386" s="12">
        <v>520</v>
      </c>
      <c r="D5386" s="12">
        <v>52</v>
      </c>
    </row>
    <row r="5387" spans="1:4" x14ac:dyDescent="0.2">
      <c r="A5387" s="12" t="s">
        <v>3297</v>
      </c>
      <c r="B5387" s="12" t="s">
        <v>3296</v>
      </c>
      <c r="C5387" s="12">
        <v>260</v>
      </c>
      <c r="D5387" s="12">
        <v>26</v>
      </c>
    </row>
    <row r="5388" spans="1:4" x14ac:dyDescent="0.2">
      <c r="A5388" s="12" t="s">
        <v>9914</v>
      </c>
      <c r="B5388" s="12" t="s">
        <v>9913</v>
      </c>
      <c r="C5388" s="12">
        <v>10</v>
      </c>
      <c r="D5388" s="12">
        <v>1</v>
      </c>
    </row>
    <row r="5389" spans="1:4" x14ac:dyDescent="0.2">
      <c r="A5389" s="12" t="s">
        <v>12580</v>
      </c>
      <c r="B5389" s="12" t="s">
        <v>7591</v>
      </c>
      <c r="C5389" s="12"/>
      <c r="D5389" s="12">
        <v>0.75</v>
      </c>
    </row>
    <row r="5390" spans="1:4" x14ac:dyDescent="0.2">
      <c r="A5390" s="12" t="s">
        <v>12579</v>
      </c>
      <c r="B5390" s="12" t="s">
        <v>7590</v>
      </c>
      <c r="C5390" s="12">
        <v>3</v>
      </c>
      <c r="D5390" s="12">
        <v>0.6</v>
      </c>
    </row>
    <row r="5391" spans="1:4" x14ac:dyDescent="0.2">
      <c r="A5391" s="12" t="s">
        <v>7589</v>
      </c>
      <c r="B5391" s="12" t="s">
        <v>7588</v>
      </c>
      <c r="C5391" s="12">
        <v>18</v>
      </c>
      <c r="D5391" s="12">
        <v>8.6999999999999993</v>
      </c>
    </row>
    <row r="5392" spans="1:4" x14ac:dyDescent="0.2">
      <c r="A5392" s="12" t="s">
        <v>3966</v>
      </c>
      <c r="B5392" s="12" t="s">
        <v>3965</v>
      </c>
      <c r="C5392" s="12">
        <v>180</v>
      </c>
      <c r="D5392" s="12">
        <v>92</v>
      </c>
    </row>
    <row r="5393" spans="1:4" x14ac:dyDescent="0.2">
      <c r="A5393" s="12" t="s">
        <v>2874</v>
      </c>
      <c r="B5393" s="12" t="s">
        <v>2873</v>
      </c>
      <c r="C5393" s="12">
        <v>7200</v>
      </c>
      <c r="D5393" s="12">
        <v>720</v>
      </c>
    </row>
    <row r="5394" spans="1:4" x14ac:dyDescent="0.2">
      <c r="A5394" s="12" t="s">
        <v>11406</v>
      </c>
      <c r="B5394" s="12" t="s">
        <v>11405</v>
      </c>
      <c r="C5394" s="12" t="s">
        <v>7600</v>
      </c>
      <c r="D5394" s="12" t="s">
        <v>7600</v>
      </c>
    </row>
    <row r="5395" spans="1:4" x14ac:dyDescent="0.2">
      <c r="A5395" s="12" t="s">
        <v>11604</v>
      </c>
      <c r="B5395" s="12" t="s">
        <v>11603</v>
      </c>
      <c r="C5395" s="12">
        <v>160</v>
      </c>
      <c r="D5395" s="12">
        <v>16</v>
      </c>
    </row>
    <row r="5396" spans="1:4" x14ac:dyDescent="0.2">
      <c r="A5396" s="12" t="s">
        <v>9872</v>
      </c>
      <c r="B5396" s="12" t="s">
        <v>9871</v>
      </c>
      <c r="C5396" s="12">
        <v>410</v>
      </c>
      <c r="D5396" s="12">
        <v>41</v>
      </c>
    </row>
    <row r="5397" spans="1:4" x14ac:dyDescent="0.2">
      <c r="A5397" s="12" t="s">
        <v>1122</v>
      </c>
      <c r="B5397" s="12" t="s">
        <v>1121</v>
      </c>
      <c r="C5397" s="12">
        <v>5</v>
      </c>
      <c r="D5397" s="12">
        <v>0.5</v>
      </c>
    </row>
    <row r="5398" spans="1:4" x14ac:dyDescent="0.2">
      <c r="A5398" s="12" t="s">
        <v>2407</v>
      </c>
      <c r="B5398" s="12" t="s">
        <v>2406</v>
      </c>
      <c r="C5398" s="12">
        <v>2450</v>
      </c>
      <c r="D5398" s="12">
        <v>245</v>
      </c>
    </row>
    <row r="5399" spans="1:4" x14ac:dyDescent="0.2">
      <c r="A5399" s="12" t="s">
        <v>10434</v>
      </c>
      <c r="B5399" s="12" t="s">
        <v>10433</v>
      </c>
      <c r="C5399" s="12">
        <v>50</v>
      </c>
      <c r="D5399" s="12">
        <v>5</v>
      </c>
    </row>
    <row r="5400" spans="1:4" x14ac:dyDescent="0.2">
      <c r="A5400" s="12" t="s">
        <v>11002</v>
      </c>
      <c r="B5400" s="12" t="s">
        <v>11001</v>
      </c>
      <c r="C5400" s="12" t="s">
        <v>59</v>
      </c>
      <c r="D5400" s="12" t="s">
        <v>59</v>
      </c>
    </row>
    <row r="5401" spans="1:4" x14ac:dyDescent="0.2">
      <c r="A5401" s="12" t="s">
        <v>12629</v>
      </c>
      <c r="B5401" s="12" t="s">
        <v>11076</v>
      </c>
      <c r="C5401" s="12"/>
      <c r="D5401" s="12">
        <v>0.71</v>
      </c>
    </row>
    <row r="5402" spans="1:4" x14ac:dyDescent="0.2">
      <c r="A5402" s="12" t="s">
        <v>12628</v>
      </c>
      <c r="B5402" s="12" t="s">
        <v>11075</v>
      </c>
      <c r="C5402" s="12">
        <v>2.8</v>
      </c>
      <c r="D5402" s="12">
        <v>0.56999999999999995</v>
      </c>
    </row>
    <row r="5403" spans="1:4" x14ac:dyDescent="0.2">
      <c r="A5403" s="12" t="s">
        <v>11074</v>
      </c>
      <c r="B5403" s="12" t="s">
        <v>11073</v>
      </c>
      <c r="C5403" s="12">
        <v>17</v>
      </c>
      <c r="D5403" s="12">
        <v>8.1</v>
      </c>
    </row>
    <row r="5404" spans="1:4" x14ac:dyDescent="0.2">
      <c r="A5404" s="12" t="s">
        <v>11099</v>
      </c>
      <c r="B5404" s="12" t="s">
        <v>11098</v>
      </c>
      <c r="C5404" s="12">
        <v>50</v>
      </c>
      <c r="D5404" s="12">
        <v>5</v>
      </c>
    </row>
    <row r="5405" spans="1:4" x14ac:dyDescent="0.2">
      <c r="A5405" s="12" t="s">
        <v>11115</v>
      </c>
      <c r="B5405" s="12" t="s">
        <v>11114</v>
      </c>
      <c r="C5405" s="12" t="s">
        <v>59</v>
      </c>
      <c r="D5405" s="12" t="s">
        <v>59</v>
      </c>
    </row>
    <row r="5406" spans="1:4" x14ac:dyDescent="0.2">
      <c r="A5406" s="12" t="s">
        <v>5481</v>
      </c>
      <c r="B5406" s="12" t="s">
        <v>5480</v>
      </c>
      <c r="C5406" s="12">
        <v>10</v>
      </c>
      <c r="D5406" s="12">
        <v>1</v>
      </c>
    </row>
    <row r="5407" spans="1:4" x14ac:dyDescent="0.2">
      <c r="A5407" s="12" t="s">
        <v>1876</v>
      </c>
      <c r="B5407" s="12" t="s">
        <v>1875</v>
      </c>
      <c r="C5407" s="12">
        <v>280</v>
      </c>
      <c r="D5407" s="12">
        <v>28</v>
      </c>
    </row>
    <row r="5408" spans="1:4" x14ac:dyDescent="0.2">
      <c r="A5408" s="12" t="s">
        <v>11103</v>
      </c>
      <c r="B5408" s="12" t="s">
        <v>11102</v>
      </c>
      <c r="C5408" s="12">
        <v>50</v>
      </c>
      <c r="D5408" s="12">
        <v>5</v>
      </c>
    </row>
    <row r="5409" spans="1:4" x14ac:dyDescent="0.2">
      <c r="A5409" s="12" t="s">
        <v>6809</v>
      </c>
      <c r="B5409" s="12" t="s">
        <v>6808</v>
      </c>
      <c r="C5409" s="12" t="s">
        <v>59</v>
      </c>
      <c r="D5409" s="12" t="s">
        <v>59</v>
      </c>
    </row>
    <row r="5410" spans="1:4" x14ac:dyDescent="0.2">
      <c r="A5410" s="12" t="s">
        <v>11279</v>
      </c>
      <c r="B5410" s="12" t="s">
        <v>11278</v>
      </c>
      <c r="C5410" s="12">
        <v>5700</v>
      </c>
      <c r="D5410" s="12">
        <v>570</v>
      </c>
    </row>
    <row r="5411" spans="1:4" x14ac:dyDescent="0.2">
      <c r="A5411" s="12" t="s">
        <v>7960</v>
      </c>
      <c r="B5411" s="12" t="s">
        <v>7959</v>
      </c>
      <c r="C5411" s="12">
        <v>110</v>
      </c>
      <c r="D5411" s="12">
        <v>11</v>
      </c>
    </row>
    <row r="5412" spans="1:4" x14ac:dyDescent="0.2">
      <c r="A5412" s="12" t="s">
        <v>12168</v>
      </c>
      <c r="B5412" s="12" t="s">
        <v>12167</v>
      </c>
      <c r="C5412" s="12">
        <v>1</v>
      </c>
      <c r="D5412" s="12">
        <v>0.1</v>
      </c>
    </row>
    <row r="5413" spans="1:4" x14ac:dyDescent="0.2">
      <c r="A5413" s="12" t="s">
        <v>5228</v>
      </c>
      <c r="B5413" s="12" t="s">
        <v>5227</v>
      </c>
      <c r="C5413" s="12">
        <v>1700</v>
      </c>
      <c r="D5413" s="12">
        <v>170</v>
      </c>
    </row>
    <row r="5414" spans="1:4" x14ac:dyDescent="0.2">
      <c r="A5414" s="12" t="s">
        <v>1656</v>
      </c>
      <c r="B5414" s="12" t="s">
        <v>1655</v>
      </c>
      <c r="C5414" s="12">
        <v>480</v>
      </c>
      <c r="D5414" s="12">
        <v>48</v>
      </c>
    </row>
    <row r="5415" spans="1:4" x14ac:dyDescent="0.2">
      <c r="A5415" s="12" t="s">
        <v>3737</v>
      </c>
      <c r="B5415" s="12" t="s">
        <v>3736</v>
      </c>
      <c r="C5415" s="12" t="s">
        <v>59</v>
      </c>
      <c r="D5415" s="12" t="s">
        <v>59</v>
      </c>
    </row>
    <row r="5416" spans="1:4" x14ac:dyDescent="0.2">
      <c r="A5416" s="12" t="s">
        <v>11710</v>
      </c>
      <c r="B5416" s="12" t="s">
        <v>11709</v>
      </c>
      <c r="C5416" s="12" t="s">
        <v>59</v>
      </c>
      <c r="D5416" s="12" t="s">
        <v>59</v>
      </c>
    </row>
    <row r="5417" spans="1:4" x14ac:dyDescent="0.2">
      <c r="A5417" s="12" t="s">
        <v>9198</v>
      </c>
      <c r="B5417" s="12" t="s">
        <v>9197</v>
      </c>
      <c r="C5417" s="12">
        <v>50</v>
      </c>
      <c r="D5417" s="12">
        <v>5</v>
      </c>
    </row>
    <row r="5418" spans="1:4" x14ac:dyDescent="0.2">
      <c r="A5418" s="12" t="s">
        <v>10868</v>
      </c>
      <c r="B5418" s="12" t="s">
        <v>10867</v>
      </c>
      <c r="C5418" s="12">
        <v>27</v>
      </c>
      <c r="D5418" s="12">
        <v>2</v>
      </c>
    </row>
    <row r="5419" spans="1:4" x14ac:dyDescent="0.2">
      <c r="A5419" s="12" t="s">
        <v>12412</v>
      </c>
      <c r="B5419" s="12" t="s">
        <v>12411</v>
      </c>
      <c r="C5419" s="12">
        <v>20</v>
      </c>
      <c r="D5419" s="12">
        <v>2</v>
      </c>
    </row>
    <row r="5420" spans="1:4" x14ac:dyDescent="0.2">
      <c r="A5420" s="12" t="s">
        <v>7334</v>
      </c>
      <c r="B5420" s="12" t="s">
        <v>7333</v>
      </c>
      <c r="C5420" s="12">
        <v>1860</v>
      </c>
      <c r="D5420" s="12">
        <v>186</v>
      </c>
    </row>
    <row r="5421" spans="1:4" x14ac:dyDescent="0.2">
      <c r="A5421" s="12" t="s">
        <v>11386</v>
      </c>
      <c r="B5421" s="12" t="s">
        <v>11385</v>
      </c>
      <c r="C5421" s="12">
        <v>50</v>
      </c>
      <c r="D5421" s="12">
        <v>5</v>
      </c>
    </row>
    <row r="5422" spans="1:4" x14ac:dyDescent="0.2">
      <c r="A5422" s="12" t="s">
        <v>7122</v>
      </c>
      <c r="B5422" s="12" t="s">
        <v>7121</v>
      </c>
      <c r="C5422" s="12">
        <v>10</v>
      </c>
      <c r="D5422" s="12">
        <v>1</v>
      </c>
    </row>
    <row r="5423" spans="1:4" x14ac:dyDescent="0.2">
      <c r="A5423" s="12" t="s">
        <v>7298</v>
      </c>
      <c r="B5423" s="12" t="s">
        <v>7297</v>
      </c>
      <c r="C5423" s="12" t="s">
        <v>59</v>
      </c>
      <c r="D5423" s="12" t="s">
        <v>59</v>
      </c>
    </row>
    <row r="5424" spans="1:4" x14ac:dyDescent="0.2">
      <c r="A5424" s="12" t="s">
        <v>11619</v>
      </c>
      <c r="B5424" s="12" t="s">
        <v>11618</v>
      </c>
      <c r="C5424" s="12">
        <v>3500</v>
      </c>
      <c r="D5424" s="12">
        <v>350</v>
      </c>
    </row>
    <row r="5425" spans="1:4" x14ac:dyDescent="0.2">
      <c r="A5425" s="12" t="s">
        <v>9171</v>
      </c>
      <c r="B5425" s="12" t="s">
        <v>9170</v>
      </c>
      <c r="C5425" s="12">
        <v>0.33</v>
      </c>
      <c r="D5425" s="12">
        <v>5.8999999999999997E-2</v>
      </c>
    </row>
    <row r="5426" spans="1:4" x14ac:dyDescent="0.2">
      <c r="A5426" s="12" t="s">
        <v>11778</v>
      </c>
      <c r="B5426" s="12" t="s">
        <v>11777</v>
      </c>
      <c r="C5426" s="12">
        <v>10</v>
      </c>
      <c r="D5426" s="12">
        <v>1</v>
      </c>
    </row>
    <row r="5427" spans="1:4" x14ac:dyDescent="0.2">
      <c r="A5427" s="12" t="s">
        <v>9962</v>
      </c>
      <c r="B5427" s="12" t="s">
        <v>9961</v>
      </c>
      <c r="C5427" s="12">
        <v>11</v>
      </c>
      <c r="D5427" s="12">
        <v>1.1000000000000001</v>
      </c>
    </row>
    <row r="5428" spans="1:4" x14ac:dyDescent="0.2">
      <c r="A5428" s="12" t="s">
        <v>7140</v>
      </c>
      <c r="B5428" s="12" t="s">
        <v>7139</v>
      </c>
      <c r="C5428" s="12" t="s">
        <v>59</v>
      </c>
      <c r="D5428" s="12" t="s">
        <v>59</v>
      </c>
    </row>
    <row r="5429" spans="1:4" x14ac:dyDescent="0.2">
      <c r="A5429" s="12" t="s">
        <v>11490</v>
      </c>
      <c r="B5429" s="12" t="s">
        <v>11489</v>
      </c>
      <c r="C5429" s="12">
        <v>50</v>
      </c>
      <c r="D5429" s="12">
        <v>5</v>
      </c>
    </row>
    <row r="5430" spans="1:4" x14ac:dyDescent="0.2">
      <c r="A5430" s="12" t="s">
        <v>10446</v>
      </c>
      <c r="B5430" s="12" t="s">
        <v>10445</v>
      </c>
      <c r="C5430" s="12">
        <v>1</v>
      </c>
      <c r="D5430" s="12">
        <v>0.1</v>
      </c>
    </row>
    <row r="5431" spans="1:4" x14ac:dyDescent="0.2">
      <c r="A5431" s="12" t="s">
        <v>8711</v>
      </c>
      <c r="B5431" s="12" t="s">
        <v>8710</v>
      </c>
      <c r="C5431" s="12" t="s">
        <v>59</v>
      </c>
      <c r="D5431" s="12" t="s">
        <v>59</v>
      </c>
    </row>
    <row r="5432" spans="1:4" x14ac:dyDescent="0.2">
      <c r="A5432" s="12" t="s">
        <v>7595</v>
      </c>
      <c r="B5432" s="12" t="s">
        <v>7594</v>
      </c>
      <c r="C5432" s="12">
        <v>14</v>
      </c>
      <c r="D5432" s="12">
        <v>1.4</v>
      </c>
    </row>
    <row r="5433" spans="1:4" x14ac:dyDescent="0.2">
      <c r="A5433" s="12" t="s">
        <v>9778</v>
      </c>
      <c r="B5433" s="12" t="s">
        <v>9777</v>
      </c>
      <c r="C5433" s="12">
        <v>50</v>
      </c>
      <c r="D5433" s="12">
        <v>5</v>
      </c>
    </row>
    <row r="5434" spans="1:4" x14ac:dyDescent="0.2">
      <c r="A5434" s="12" t="s">
        <v>11746</v>
      </c>
      <c r="B5434" s="12" t="s">
        <v>11745</v>
      </c>
      <c r="C5434" s="12" t="s">
        <v>59</v>
      </c>
      <c r="D5434" s="12" t="s">
        <v>59</v>
      </c>
    </row>
    <row r="5435" spans="1:4" x14ac:dyDescent="0.2">
      <c r="A5435" s="12" t="s">
        <v>9947</v>
      </c>
      <c r="B5435" s="12" t="s">
        <v>9946</v>
      </c>
      <c r="C5435" s="12">
        <v>1</v>
      </c>
      <c r="D5435" s="12">
        <v>0.1</v>
      </c>
    </row>
    <row r="5436" spans="1:4" x14ac:dyDescent="0.2">
      <c r="A5436" s="12" t="s">
        <v>4537</v>
      </c>
      <c r="B5436" s="12" t="s">
        <v>4536</v>
      </c>
      <c r="C5436" s="12">
        <v>7</v>
      </c>
      <c r="D5436" s="12">
        <v>0.7</v>
      </c>
    </row>
    <row r="5437" spans="1:4" x14ac:dyDescent="0.2">
      <c r="A5437" s="12" t="s">
        <v>10448</v>
      </c>
      <c r="B5437" s="12" t="s">
        <v>10447</v>
      </c>
      <c r="C5437" s="12">
        <v>10</v>
      </c>
      <c r="D5437" s="12">
        <v>1</v>
      </c>
    </row>
    <row r="5438" spans="1:4" x14ac:dyDescent="0.2">
      <c r="A5438" s="12" t="s">
        <v>4204</v>
      </c>
      <c r="B5438" s="12" t="s">
        <v>4203</v>
      </c>
      <c r="C5438" s="12">
        <v>50</v>
      </c>
      <c r="D5438" s="12">
        <v>5</v>
      </c>
    </row>
    <row r="5439" spans="1:4" x14ac:dyDescent="0.2">
      <c r="A5439" s="12" t="s">
        <v>4045</v>
      </c>
      <c r="B5439" s="12" t="s">
        <v>4044</v>
      </c>
      <c r="C5439" s="12">
        <v>10</v>
      </c>
      <c r="D5439" s="12">
        <v>1</v>
      </c>
    </row>
    <row r="5440" spans="1:4" x14ac:dyDescent="0.2">
      <c r="A5440" s="12" t="s">
        <v>12461</v>
      </c>
      <c r="B5440" s="12" t="s">
        <v>12460</v>
      </c>
      <c r="C5440" s="12">
        <v>20</v>
      </c>
      <c r="D5440" s="12">
        <v>2</v>
      </c>
    </row>
    <row r="5441" spans="1:4" x14ac:dyDescent="0.2">
      <c r="A5441" s="12" t="s">
        <v>5134</v>
      </c>
      <c r="B5441" s="12" t="s">
        <v>5133</v>
      </c>
      <c r="C5441" s="12">
        <v>0.03</v>
      </c>
      <c r="D5441" s="12">
        <v>3.5999999999999999E-3</v>
      </c>
    </row>
    <row r="5442" spans="1:4" x14ac:dyDescent="0.2">
      <c r="A5442" s="12" t="s">
        <v>3255</v>
      </c>
      <c r="B5442" s="12" t="s">
        <v>3254</v>
      </c>
      <c r="C5442" s="12">
        <v>1000</v>
      </c>
      <c r="D5442" s="12">
        <v>100</v>
      </c>
    </row>
    <row r="5443" spans="1:4" x14ac:dyDescent="0.2">
      <c r="A5443" s="12" t="s">
        <v>7422</v>
      </c>
      <c r="B5443" s="12" t="s">
        <v>7421</v>
      </c>
      <c r="C5443" s="12">
        <v>1</v>
      </c>
      <c r="D5443" s="12">
        <v>0.1</v>
      </c>
    </row>
    <row r="5444" spans="1:4" x14ac:dyDescent="0.2">
      <c r="A5444" s="12" t="s">
        <v>3241</v>
      </c>
      <c r="B5444" s="12" t="s">
        <v>3240</v>
      </c>
      <c r="C5444" s="12" t="s">
        <v>59</v>
      </c>
      <c r="D5444" s="12" t="s">
        <v>59</v>
      </c>
    </row>
    <row r="5445" spans="1:4" x14ac:dyDescent="0.2">
      <c r="A5445" s="12" t="s">
        <v>138</v>
      </c>
      <c r="B5445" s="12" t="s">
        <v>137</v>
      </c>
      <c r="C5445" s="12" t="s">
        <v>59</v>
      </c>
      <c r="D5445" s="12" t="s">
        <v>59</v>
      </c>
    </row>
    <row r="5446" spans="1:4" x14ac:dyDescent="0.2">
      <c r="A5446" s="12" t="s">
        <v>12078</v>
      </c>
      <c r="B5446" s="12" t="s">
        <v>12077</v>
      </c>
      <c r="C5446" s="12">
        <v>3400</v>
      </c>
      <c r="D5446" s="12">
        <v>340</v>
      </c>
    </row>
    <row r="5447" spans="1:4" x14ac:dyDescent="0.2">
      <c r="A5447" s="12" t="s">
        <v>10438</v>
      </c>
      <c r="B5447" s="12" t="s">
        <v>10437</v>
      </c>
      <c r="C5447" s="12" t="s">
        <v>59</v>
      </c>
      <c r="D5447" s="12" t="s">
        <v>59</v>
      </c>
    </row>
    <row r="5448" spans="1:4" x14ac:dyDescent="0.2">
      <c r="A5448" s="12" t="s">
        <v>11183</v>
      </c>
      <c r="B5448" s="12" t="s">
        <v>11182</v>
      </c>
      <c r="C5448" s="12" t="s">
        <v>59</v>
      </c>
      <c r="D5448" s="12" t="s">
        <v>59</v>
      </c>
    </row>
    <row r="5449" spans="1:4" x14ac:dyDescent="0.2">
      <c r="A5449" s="12" t="s">
        <v>11187</v>
      </c>
      <c r="B5449" s="12" t="s">
        <v>11186</v>
      </c>
      <c r="C5449" s="12" t="s">
        <v>59</v>
      </c>
      <c r="D5449" s="12" t="s">
        <v>59</v>
      </c>
    </row>
    <row r="5450" spans="1:4" x14ac:dyDescent="0.2">
      <c r="A5450" s="12" t="s">
        <v>10388</v>
      </c>
      <c r="B5450" s="12" t="s">
        <v>10387</v>
      </c>
      <c r="C5450" s="12">
        <v>1</v>
      </c>
      <c r="D5450" s="12">
        <v>0.1</v>
      </c>
    </row>
    <row r="5451" spans="1:4" x14ac:dyDescent="0.2">
      <c r="A5451" s="12" t="s">
        <v>10390</v>
      </c>
      <c r="B5451" s="12" t="s">
        <v>10389</v>
      </c>
      <c r="C5451" s="12" t="s">
        <v>59</v>
      </c>
      <c r="D5451" s="12" t="s">
        <v>59</v>
      </c>
    </row>
    <row r="5452" spans="1:4" x14ac:dyDescent="0.2">
      <c r="A5452" s="12" t="s">
        <v>9924</v>
      </c>
      <c r="B5452" s="12" t="s">
        <v>9923</v>
      </c>
      <c r="C5452" s="12" t="s">
        <v>59</v>
      </c>
      <c r="D5452" s="12" t="s">
        <v>59</v>
      </c>
    </row>
    <row r="5453" spans="1:4" x14ac:dyDescent="0.2">
      <c r="A5453" s="12" t="s">
        <v>11025</v>
      </c>
      <c r="B5453" s="12" t="s">
        <v>11024</v>
      </c>
      <c r="C5453" s="12">
        <v>20</v>
      </c>
      <c r="D5453" s="12">
        <v>2</v>
      </c>
    </row>
    <row r="5454" spans="1:4" x14ac:dyDescent="0.2">
      <c r="A5454" s="12" t="s">
        <v>11201</v>
      </c>
      <c r="B5454" s="12" t="s">
        <v>11200</v>
      </c>
      <c r="C5454" s="12" t="s">
        <v>59</v>
      </c>
      <c r="D5454" s="12" t="s">
        <v>59</v>
      </c>
    </row>
    <row r="5455" spans="1:4" x14ac:dyDescent="0.2">
      <c r="A5455" s="12" t="s">
        <v>5793</v>
      </c>
      <c r="B5455" s="12" t="s">
        <v>5792</v>
      </c>
      <c r="C5455" s="12">
        <v>1</v>
      </c>
      <c r="D5455" s="12">
        <v>0.1</v>
      </c>
    </row>
    <row r="5456" spans="1:4" x14ac:dyDescent="0.2">
      <c r="A5456" s="12" t="s">
        <v>4895</v>
      </c>
      <c r="B5456" s="12" t="s">
        <v>4894</v>
      </c>
      <c r="C5456" s="12" t="s">
        <v>59</v>
      </c>
      <c r="D5456" s="12" t="s">
        <v>59</v>
      </c>
    </row>
    <row r="5457" spans="1:4" x14ac:dyDescent="0.2">
      <c r="A5457" s="12" t="s">
        <v>7134</v>
      </c>
      <c r="B5457" s="12" t="s">
        <v>7133</v>
      </c>
      <c r="C5457" s="12">
        <v>10</v>
      </c>
      <c r="D5457" s="12">
        <v>1</v>
      </c>
    </row>
    <row r="5458" spans="1:4" x14ac:dyDescent="0.2">
      <c r="A5458" s="12" t="s">
        <v>8056</v>
      </c>
      <c r="B5458" s="12" t="s">
        <v>8055</v>
      </c>
      <c r="C5458" s="12">
        <v>0.39</v>
      </c>
      <c r="D5458" s="12">
        <v>4.3E-3</v>
      </c>
    </row>
    <row r="5459" spans="1:4" x14ac:dyDescent="0.2">
      <c r="A5459" s="12" t="s">
        <v>5413</v>
      </c>
      <c r="B5459" s="12" t="s">
        <v>5412</v>
      </c>
      <c r="C5459" s="12">
        <v>10</v>
      </c>
      <c r="D5459" s="12">
        <v>1</v>
      </c>
    </row>
    <row r="5460" spans="1:4" x14ac:dyDescent="0.2">
      <c r="A5460" s="12" t="s">
        <v>8262</v>
      </c>
      <c r="B5460" s="12" t="s">
        <v>8261</v>
      </c>
      <c r="C5460" s="12">
        <v>2.7</v>
      </c>
      <c r="D5460" s="12">
        <v>0.25</v>
      </c>
    </row>
    <row r="5461" spans="1:4" x14ac:dyDescent="0.2">
      <c r="A5461" s="12" t="s">
        <v>10955</v>
      </c>
      <c r="B5461" s="12" t="s">
        <v>10954</v>
      </c>
      <c r="C5461" s="12">
        <v>0.1</v>
      </c>
      <c r="D5461" s="12">
        <v>0.01</v>
      </c>
    </row>
    <row r="5462" spans="1:4" x14ac:dyDescent="0.2">
      <c r="A5462" s="12" t="s">
        <v>9465</v>
      </c>
      <c r="B5462" s="12" t="s">
        <v>9464</v>
      </c>
      <c r="C5462" s="12">
        <v>1000</v>
      </c>
      <c r="D5462" s="12">
        <v>100</v>
      </c>
    </row>
    <row r="5463" spans="1:4" x14ac:dyDescent="0.2">
      <c r="A5463" s="12" t="s">
        <v>2169</v>
      </c>
      <c r="B5463" s="12" t="s">
        <v>2168</v>
      </c>
      <c r="C5463" s="12">
        <v>350</v>
      </c>
      <c r="D5463" s="12">
        <v>35</v>
      </c>
    </row>
    <row r="5464" spans="1:4" x14ac:dyDescent="0.2">
      <c r="A5464" s="12" t="s">
        <v>3231</v>
      </c>
      <c r="B5464" s="12" t="s">
        <v>3230</v>
      </c>
      <c r="C5464" s="12" t="s">
        <v>59</v>
      </c>
      <c r="D5464" s="12" t="s">
        <v>59</v>
      </c>
    </row>
    <row r="5465" spans="1:4" x14ac:dyDescent="0.2">
      <c r="A5465" s="12" t="s">
        <v>11193</v>
      </c>
      <c r="B5465" s="12" t="s">
        <v>11192</v>
      </c>
      <c r="C5465" s="12" t="s">
        <v>59</v>
      </c>
      <c r="D5465" s="12" t="s">
        <v>59</v>
      </c>
    </row>
    <row r="5466" spans="1:4" x14ac:dyDescent="0.2">
      <c r="A5466" s="12" t="s">
        <v>8254</v>
      </c>
      <c r="B5466" s="12" t="s">
        <v>8253</v>
      </c>
      <c r="C5466" s="12">
        <v>2.7</v>
      </c>
      <c r="D5466" s="12">
        <v>0.25</v>
      </c>
    </row>
    <row r="5467" spans="1:4" x14ac:dyDescent="0.2">
      <c r="A5467" s="12" t="s">
        <v>4053</v>
      </c>
      <c r="B5467" s="12" t="s">
        <v>4052</v>
      </c>
      <c r="C5467" s="12" t="s">
        <v>59</v>
      </c>
      <c r="D5467" s="12" t="s">
        <v>59</v>
      </c>
    </row>
    <row r="5468" spans="1:4" x14ac:dyDescent="0.2">
      <c r="A5468" s="12" t="s">
        <v>5857</v>
      </c>
      <c r="B5468" s="12" t="s">
        <v>5856</v>
      </c>
      <c r="C5468" s="12">
        <v>60</v>
      </c>
      <c r="D5468" s="12">
        <v>27</v>
      </c>
    </row>
    <row r="5469" spans="1:4" x14ac:dyDescent="0.2">
      <c r="A5469" s="12" t="s">
        <v>2480</v>
      </c>
      <c r="B5469" s="12" t="s">
        <v>2479</v>
      </c>
      <c r="C5469" s="12">
        <v>18</v>
      </c>
      <c r="D5469" s="12">
        <v>1.8</v>
      </c>
    </row>
    <row r="5470" spans="1:4" x14ac:dyDescent="0.2">
      <c r="A5470" s="12" t="s">
        <v>11021</v>
      </c>
      <c r="B5470" s="12" t="s">
        <v>11020</v>
      </c>
      <c r="C5470" s="12" t="s">
        <v>59</v>
      </c>
      <c r="D5470" s="12" t="s">
        <v>59</v>
      </c>
    </row>
    <row r="5471" spans="1:4" x14ac:dyDescent="0.2">
      <c r="A5471" s="12" t="s">
        <v>11029</v>
      </c>
      <c r="B5471" s="12" t="s">
        <v>11028</v>
      </c>
      <c r="C5471" s="12">
        <v>0.39</v>
      </c>
      <c r="D5471" s="12">
        <v>4.3E-3</v>
      </c>
    </row>
    <row r="5472" spans="1:4" x14ac:dyDescent="0.2">
      <c r="A5472" s="12" t="s">
        <v>11095</v>
      </c>
      <c r="B5472" s="12" t="s">
        <v>11094</v>
      </c>
      <c r="C5472" s="12" t="s">
        <v>59</v>
      </c>
      <c r="D5472" s="12" t="s">
        <v>59</v>
      </c>
    </row>
    <row r="5473" spans="1:4" x14ac:dyDescent="0.2">
      <c r="A5473" s="12" t="s">
        <v>11117</v>
      </c>
      <c r="B5473" s="12" t="s">
        <v>11116</v>
      </c>
      <c r="C5473" s="12">
        <v>20</v>
      </c>
      <c r="D5473" s="12">
        <v>2</v>
      </c>
    </row>
    <row r="5474" spans="1:4" x14ac:dyDescent="0.2">
      <c r="A5474" s="12" t="s">
        <v>11149</v>
      </c>
      <c r="B5474" s="12" t="s">
        <v>11148</v>
      </c>
      <c r="C5474" s="12">
        <v>10</v>
      </c>
      <c r="D5474" s="12">
        <v>1</v>
      </c>
    </row>
    <row r="5475" spans="1:4" x14ac:dyDescent="0.2">
      <c r="A5475" s="12" t="s">
        <v>2870</v>
      </c>
      <c r="B5475" s="12" t="s">
        <v>2869</v>
      </c>
      <c r="C5475" s="12">
        <v>2000</v>
      </c>
      <c r="D5475" s="12">
        <v>200</v>
      </c>
    </row>
    <row r="5476" spans="1:4" x14ac:dyDescent="0.2">
      <c r="A5476" s="12" t="s">
        <v>1465</v>
      </c>
      <c r="B5476" s="12" t="s">
        <v>1464</v>
      </c>
      <c r="C5476" s="12">
        <v>1000</v>
      </c>
      <c r="D5476" s="12">
        <v>100</v>
      </c>
    </row>
    <row r="5477" spans="1:4" x14ac:dyDescent="0.2">
      <c r="A5477" s="12" t="s">
        <v>6107</v>
      </c>
      <c r="B5477" s="12" t="s">
        <v>6106</v>
      </c>
      <c r="C5477" s="12">
        <v>5</v>
      </c>
      <c r="D5477" s="12">
        <v>0.5</v>
      </c>
    </row>
    <row r="5478" spans="1:4" x14ac:dyDescent="0.2">
      <c r="A5478" s="12" t="s">
        <v>7369</v>
      </c>
      <c r="B5478" s="12" t="s">
        <v>7368</v>
      </c>
      <c r="C5478" s="12" t="s">
        <v>59</v>
      </c>
      <c r="D5478" s="12" t="s">
        <v>59</v>
      </c>
    </row>
    <row r="5479" spans="1:4" x14ac:dyDescent="0.2">
      <c r="A5479" s="12" t="s">
        <v>4127</v>
      </c>
      <c r="B5479" s="12" t="s">
        <v>4126</v>
      </c>
      <c r="C5479" s="12">
        <v>3</v>
      </c>
      <c r="D5479" s="12">
        <v>6.7000000000000004E-2</v>
      </c>
    </row>
    <row r="5480" spans="1:4" x14ac:dyDescent="0.2">
      <c r="A5480" s="12" t="s">
        <v>4822</v>
      </c>
      <c r="B5480" s="12" t="s">
        <v>4821</v>
      </c>
      <c r="C5480" s="12">
        <v>3</v>
      </c>
      <c r="D5480" s="12">
        <v>6.7000000000000004E-2</v>
      </c>
    </row>
    <row r="5481" spans="1:4" x14ac:dyDescent="0.2">
      <c r="A5481" s="12" t="s">
        <v>10400</v>
      </c>
      <c r="B5481" s="12" t="s">
        <v>10399</v>
      </c>
      <c r="C5481" s="12">
        <v>0.39</v>
      </c>
      <c r="D5481" s="12">
        <v>4.3E-3</v>
      </c>
    </row>
    <row r="5482" spans="1:4" x14ac:dyDescent="0.2">
      <c r="A5482" s="12" t="s">
        <v>10450</v>
      </c>
      <c r="B5482" s="12" t="s">
        <v>10449</v>
      </c>
      <c r="C5482" s="12" t="s">
        <v>59</v>
      </c>
      <c r="D5482" s="12" t="s">
        <v>59</v>
      </c>
    </row>
    <row r="5483" spans="1:4" x14ac:dyDescent="0.2">
      <c r="A5483" s="12" t="s">
        <v>4858</v>
      </c>
      <c r="B5483" s="12" t="s">
        <v>4857</v>
      </c>
      <c r="C5483" s="12">
        <v>50</v>
      </c>
      <c r="D5483" s="12">
        <v>5</v>
      </c>
    </row>
    <row r="5484" spans="1:4" x14ac:dyDescent="0.2">
      <c r="A5484" s="12" t="s">
        <v>10404</v>
      </c>
      <c r="B5484" s="12" t="s">
        <v>10403</v>
      </c>
      <c r="C5484" s="12" t="s">
        <v>59</v>
      </c>
      <c r="D5484" s="12" t="s">
        <v>59</v>
      </c>
    </row>
    <row r="5485" spans="1:4" x14ac:dyDescent="0.2">
      <c r="A5485" s="12" t="s">
        <v>10458</v>
      </c>
      <c r="B5485" s="12" t="s">
        <v>10457</v>
      </c>
      <c r="C5485" s="12" t="s">
        <v>59</v>
      </c>
      <c r="D5485" s="12" t="s">
        <v>59</v>
      </c>
    </row>
    <row r="5486" spans="1:4" x14ac:dyDescent="0.2">
      <c r="A5486" s="12" t="s">
        <v>2922</v>
      </c>
      <c r="B5486" s="12" t="s">
        <v>2921</v>
      </c>
      <c r="C5486" s="12">
        <v>2750</v>
      </c>
      <c r="D5486" s="12">
        <v>275</v>
      </c>
    </row>
    <row r="5487" spans="1:4" x14ac:dyDescent="0.2">
      <c r="A5487" s="12" t="s">
        <v>12445</v>
      </c>
      <c r="B5487" s="12" t="s">
        <v>12444</v>
      </c>
      <c r="C5487" s="12">
        <v>20</v>
      </c>
      <c r="D5487" s="12">
        <v>2</v>
      </c>
    </row>
    <row r="5488" spans="1:4" x14ac:dyDescent="0.2">
      <c r="A5488" s="12" t="s">
        <v>12451</v>
      </c>
      <c r="B5488" s="12" t="s">
        <v>12450</v>
      </c>
      <c r="C5488" s="12">
        <v>20</v>
      </c>
      <c r="D5488" s="12">
        <v>2</v>
      </c>
    </row>
    <row r="5489" spans="1:4" x14ac:dyDescent="0.2">
      <c r="A5489" s="12" t="s">
        <v>10050</v>
      </c>
      <c r="B5489" s="12" t="s">
        <v>10049</v>
      </c>
      <c r="C5489" s="12" t="s">
        <v>59</v>
      </c>
      <c r="D5489" s="12" t="s">
        <v>59</v>
      </c>
    </row>
    <row r="5490" spans="1:4" x14ac:dyDescent="0.2">
      <c r="A5490" s="12" t="s">
        <v>7170</v>
      </c>
      <c r="B5490" s="12" t="s">
        <v>7169</v>
      </c>
      <c r="C5490" s="12">
        <v>2</v>
      </c>
      <c r="D5490" s="12">
        <v>0.2</v>
      </c>
    </row>
    <row r="5491" spans="1:4" x14ac:dyDescent="0.2">
      <c r="A5491" s="12" t="s">
        <v>7359</v>
      </c>
      <c r="B5491" s="12" t="s">
        <v>7358</v>
      </c>
      <c r="C5491" s="12">
        <v>20</v>
      </c>
      <c r="D5491" s="12">
        <v>2</v>
      </c>
    </row>
    <row r="5492" spans="1:4" x14ac:dyDescent="0.2">
      <c r="A5492" s="12" t="s">
        <v>10825</v>
      </c>
      <c r="B5492" s="12" t="s">
        <v>10824</v>
      </c>
      <c r="C5492" s="12">
        <v>2</v>
      </c>
      <c r="D5492" s="12">
        <v>0.2</v>
      </c>
    </row>
    <row r="5493" spans="1:4" x14ac:dyDescent="0.2">
      <c r="A5493" s="12" t="s">
        <v>5039</v>
      </c>
      <c r="B5493" s="12" t="s">
        <v>5038</v>
      </c>
      <c r="C5493" s="12">
        <v>43</v>
      </c>
      <c r="D5493" s="12">
        <v>2.6</v>
      </c>
    </row>
    <row r="5494" spans="1:4" x14ac:dyDescent="0.2">
      <c r="A5494" s="12" t="s">
        <v>7126</v>
      </c>
      <c r="B5494" s="12" t="s">
        <v>7125</v>
      </c>
      <c r="C5494" s="12" t="s">
        <v>59</v>
      </c>
      <c r="D5494" s="12" t="s">
        <v>59</v>
      </c>
    </row>
    <row r="5495" spans="1:4" x14ac:dyDescent="0.2">
      <c r="A5495" s="12" t="s">
        <v>7138</v>
      </c>
      <c r="B5495" s="12" t="s">
        <v>7137</v>
      </c>
      <c r="C5495" s="12" t="s">
        <v>59</v>
      </c>
      <c r="D5495" s="12" t="s">
        <v>59</v>
      </c>
    </row>
    <row r="5496" spans="1:4" x14ac:dyDescent="0.2">
      <c r="A5496" s="12" t="s">
        <v>7294</v>
      </c>
      <c r="B5496" s="12" t="s">
        <v>7293</v>
      </c>
      <c r="C5496" s="12">
        <v>6</v>
      </c>
      <c r="D5496" s="12">
        <v>0.6</v>
      </c>
    </row>
    <row r="5497" spans="1:4" x14ac:dyDescent="0.2">
      <c r="A5497" s="12" t="s">
        <v>7566</v>
      </c>
      <c r="B5497" s="12" t="s">
        <v>7565</v>
      </c>
      <c r="C5497" s="12">
        <v>1.8</v>
      </c>
      <c r="D5497" s="12">
        <v>0.18</v>
      </c>
    </row>
    <row r="5498" spans="1:4" x14ac:dyDescent="0.2">
      <c r="A5498" s="12" t="s">
        <v>10823</v>
      </c>
      <c r="B5498" s="12" t="s">
        <v>10822</v>
      </c>
      <c r="C5498" s="12">
        <v>2</v>
      </c>
      <c r="D5498" s="12">
        <v>0.2</v>
      </c>
    </row>
    <row r="5499" spans="1:4" x14ac:dyDescent="0.2">
      <c r="A5499" s="12" t="s">
        <v>7599</v>
      </c>
      <c r="B5499" s="12" t="s">
        <v>7598</v>
      </c>
      <c r="C5499" s="12" t="s">
        <v>7600</v>
      </c>
      <c r="D5499" s="12" t="s">
        <v>7600</v>
      </c>
    </row>
    <row r="5500" spans="1:4" x14ac:dyDescent="0.2">
      <c r="A5500" s="12" t="s">
        <v>7597</v>
      </c>
      <c r="B5500" s="12" t="s">
        <v>7596</v>
      </c>
      <c r="C5500" s="12">
        <v>1.6</v>
      </c>
      <c r="D5500" s="12">
        <v>0.16</v>
      </c>
    </row>
    <row r="5501" spans="1:4" x14ac:dyDescent="0.2">
      <c r="A5501" s="12" t="s">
        <v>4061</v>
      </c>
      <c r="B5501" s="12" t="s">
        <v>4060</v>
      </c>
      <c r="C5501" s="12" t="s">
        <v>59</v>
      </c>
      <c r="D5501" s="12" t="s">
        <v>59</v>
      </c>
    </row>
    <row r="5502" spans="1:4" x14ac:dyDescent="0.2">
      <c r="A5502" s="12" t="s">
        <v>4055</v>
      </c>
      <c r="B5502" s="12" t="s">
        <v>4054</v>
      </c>
      <c r="C5502" s="12" t="s">
        <v>59</v>
      </c>
      <c r="D5502" s="12" t="s">
        <v>59</v>
      </c>
    </row>
    <row r="5503" spans="1:4" x14ac:dyDescent="0.2">
      <c r="A5503" s="12" t="s">
        <v>4047</v>
      </c>
      <c r="B5503" s="12" t="s">
        <v>4046</v>
      </c>
      <c r="C5503" s="12" t="s">
        <v>59</v>
      </c>
      <c r="D5503" s="12" t="s">
        <v>59</v>
      </c>
    </row>
    <row r="5504" spans="1:4" x14ac:dyDescent="0.2">
      <c r="A5504" s="12" t="s">
        <v>8186</v>
      </c>
      <c r="B5504" s="12" t="s">
        <v>8185</v>
      </c>
      <c r="C5504" s="12">
        <v>40</v>
      </c>
      <c r="D5504" s="12">
        <v>4</v>
      </c>
    </row>
    <row r="5505" spans="1:4" x14ac:dyDescent="0.2">
      <c r="A5505" s="12" t="s">
        <v>9583</v>
      </c>
      <c r="B5505" s="12" t="s">
        <v>9582</v>
      </c>
      <c r="C5505" s="12">
        <v>1.1000000000000001</v>
      </c>
      <c r="D5505" s="12">
        <v>0.11</v>
      </c>
    </row>
    <row r="5506" spans="1:4" x14ac:dyDescent="0.2">
      <c r="A5506" s="12" t="s">
        <v>9216</v>
      </c>
      <c r="B5506" s="12" t="s">
        <v>9215</v>
      </c>
      <c r="C5506" s="12">
        <v>290</v>
      </c>
      <c r="D5506" s="12">
        <v>29</v>
      </c>
    </row>
    <row r="5507" spans="1:4" x14ac:dyDescent="0.2">
      <c r="A5507" s="12" t="s">
        <v>7292</v>
      </c>
      <c r="B5507" s="12" t="s">
        <v>7291</v>
      </c>
      <c r="C5507" s="12">
        <v>6</v>
      </c>
      <c r="D5507" s="12">
        <v>0.6</v>
      </c>
    </row>
    <row r="5508" spans="1:4" x14ac:dyDescent="0.2">
      <c r="A5508" s="12" t="s">
        <v>12643</v>
      </c>
      <c r="B5508" s="12" t="s">
        <v>11402</v>
      </c>
      <c r="C5508" s="12"/>
      <c r="D5508" s="12">
        <v>0.71</v>
      </c>
    </row>
    <row r="5509" spans="1:4" x14ac:dyDescent="0.2">
      <c r="A5509" s="12" t="s">
        <v>12642</v>
      </c>
      <c r="B5509" s="12" t="s">
        <v>11401</v>
      </c>
      <c r="C5509" s="12">
        <v>2.8</v>
      </c>
      <c r="D5509" s="12">
        <v>0.56999999999999995</v>
      </c>
    </row>
    <row r="5510" spans="1:4" x14ac:dyDescent="0.2">
      <c r="A5510" s="12" t="s">
        <v>11400</v>
      </c>
      <c r="B5510" s="12" t="s">
        <v>11399</v>
      </c>
      <c r="C5510" s="12">
        <v>17</v>
      </c>
      <c r="D5510" s="12">
        <v>8.1</v>
      </c>
    </row>
    <row r="5511" spans="1:4" x14ac:dyDescent="0.2">
      <c r="A5511" s="12" t="s">
        <v>12619</v>
      </c>
      <c r="B5511" s="12" t="s">
        <v>10904</v>
      </c>
      <c r="C5511" s="12"/>
      <c r="D5511" s="12">
        <v>0.71</v>
      </c>
    </row>
    <row r="5512" spans="1:4" x14ac:dyDescent="0.2">
      <c r="A5512" s="12" t="s">
        <v>12618</v>
      </c>
      <c r="B5512" s="12" t="s">
        <v>10903</v>
      </c>
      <c r="C5512" s="12">
        <v>2.8</v>
      </c>
      <c r="D5512" s="12">
        <v>0.56999999999999995</v>
      </c>
    </row>
    <row r="5513" spans="1:4" x14ac:dyDescent="0.2">
      <c r="A5513" s="12" t="s">
        <v>10902</v>
      </c>
      <c r="B5513" s="12" t="s">
        <v>10901</v>
      </c>
      <c r="C5513" s="12">
        <v>17</v>
      </c>
      <c r="D5513" s="12">
        <v>8.1</v>
      </c>
    </row>
    <row r="5514" spans="1:4" x14ac:dyDescent="0.2">
      <c r="A5514" s="12" t="s">
        <v>10827</v>
      </c>
      <c r="B5514" s="12" t="s">
        <v>10826</v>
      </c>
      <c r="C5514" s="12">
        <v>2</v>
      </c>
      <c r="D5514" s="12">
        <v>0.2</v>
      </c>
    </row>
    <row r="5515" spans="1:4" x14ac:dyDescent="0.2">
      <c r="A5515" s="12" t="s">
        <v>11504</v>
      </c>
      <c r="B5515" s="12" t="s">
        <v>11503</v>
      </c>
      <c r="C5515" s="12">
        <v>2</v>
      </c>
      <c r="D5515" s="12">
        <v>0.2</v>
      </c>
    </row>
    <row r="5516" spans="1:4" x14ac:dyDescent="0.2">
      <c r="A5516" s="12" t="s">
        <v>12230</v>
      </c>
      <c r="B5516" s="12" t="s">
        <v>12229</v>
      </c>
      <c r="C5516" s="12">
        <v>10</v>
      </c>
      <c r="D5516" s="12">
        <v>1</v>
      </c>
    </row>
    <row r="5517" spans="1:4" x14ac:dyDescent="0.2">
      <c r="A5517" s="12" t="s">
        <v>10951</v>
      </c>
      <c r="B5517" s="12" t="s">
        <v>10950</v>
      </c>
      <c r="C5517" s="12">
        <v>0.1</v>
      </c>
      <c r="D5517" s="12">
        <v>0.01</v>
      </c>
    </row>
    <row r="5518" spans="1:4" x14ac:dyDescent="0.2">
      <c r="A5518" s="12" t="s">
        <v>3865</v>
      </c>
      <c r="B5518" s="12" t="s">
        <v>3864</v>
      </c>
      <c r="C5518" s="12">
        <v>20</v>
      </c>
      <c r="D5518" s="12">
        <v>2</v>
      </c>
    </row>
    <row r="5519" spans="1:4" x14ac:dyDescent="0.2">
      <c r="A5519" s="12" t="s">
        <v>3863</v>
      </c>
      <c r="B5519" s="12" t="s">
        <v>3862</v>
      </c>
      <c r="C5519" s="12">
        <v>50</v>
      </c>
      <c r="D5519" s="12">
        <v>5</v>
      </c>
    </row>
    <row r="5520" spans="1:4" x14ac:dyDescent="0.2">
      <c r="A5520" s="12" t="s">
        <v>8052</v>
      </c>
      <c r="B5520" s="12" t="s">
        <v>8051</v>
      </c>
      <c r="C5520" s="12">
        <v>3</v>
      </c>
      <c r="D5520" s="12">
        <v>6.7000000000000004E-2</v>
      </c>
    </row>
    <row r="5521" spans="1:4" x14ac:dyDescent="0.2">
      <c r="A5521" s="12" t="s">
        <v>4135</v>
      </c>
      <c r="B5521" s="12" t="s">
        <v>4134</v>
      </c>
      <c r="C5521" s="12">
        <v>2</v>
      </c>
      <c r="D5521" s="12">
        <v>0.2</v>
      </c>
    </row>
    <row r="5522" spans="1:4" x14ac:dyDescent="0.2">
      <c r="A5522" s="12" t="s">
        <v>11199</v>
      </c>
      <c r="B5522" s="12" t="s">
        <v>11198</v>
      </c>
      <c r="C5522" s="12" t="s">
        <v>59</v>
      </c>
      <c r="D5522" s="12" t="s">
        <v>59</v>
      </c>
    </row>
    <row r="5523" spans="1:4" x14ac:dyDescent="0.2">
      <c r="A5523" s="12" t="s">
        <v>8264</v>
      </c>
      <c r="B5523" s="12" t="s">
        <v>8263</v>
      </c>
      <c r="C5523" s="12">
        <v>2.7</v>
      </c>
      <c r="D5523" s="12">
        <v>0.25</v>
      </c>
    </row>
    <row r="5524" spans="1:4" x14ac:dyDescent="0.2">
      <c r="A5524" s="12" t="s">
        <v>12197</v>
      </c>
      <c r="B5524" s="12" t="s">
        <v>12196</v>
      </c>
      <c r="C5524" s="12">
        <v>100</v>
      </c>
      <c r="D5524" s="12">
        <v>10</v>
      </c>
    </row>
    <row r="5525" spans="1:4" x14ac:dyDescent="0.2">
      <c r="A5525" s="12" t="s">
        <v>2337</v>
      </c>
      <c r="B5525" s="12" t="s">
        <v>2336</v>
      </c>
      <c r="C5525" s="12">
        <v>1500</v>
      </c>
      <c r="D5525" s="12">
        <v>150</v>
      </c>
    </row>
    <row r="5526" spans="1:4" x14ac:dyDescent="0.2">
      <c r="A5526" s="12" t="s">
        <v>8180</v>
      </c>
      <c r="B5526" s="12" t="s">
        <v>8179</v>
      </c>
      <c r="C5526" s="12">
        <v>40</v>
      </c>
      <c r="D5526" s="12">
        <v>4</v>
      </c>
    </row>
    <row r="5527" spans="1:4" x14ac:dyDescent="0.2">
      <c r="A5527" s="12" t="s">
        <v>8652</v>
      </c>
      <c r="B5527" s="12" t="s">
        <v>8651</v>
      </c>
      <c r="C5527" s="12">
        <v>1</v>
      </c>
      <c r="D5527" s="12">
        <v>0.1</v>
      </c>
    </row>
    <row r="5528" spans="1:4" x14ac:dyDescent="0.2">
      <c r="A5528" s="12" t="s">
        <v>9297</v>
      </c>
      <c r="B5528" s="12" t="s">
        <v>9296</v>
      </c>
      <c r="C5528" s="12">
        <v>500</v>
      </c>
      <c r="D5528" s="12">
        <v>50</v>
      </c>
    </row>
    <row r="5529" spans="1:4" x14ac:dyDescent="0.2">
      <c r="A5529" s="12" t="s">
        <v>9180</v>
      </c>
      <c r="B5529" s="12" t="s">
        <v>9179</v>
      </c>
      <c r="C5529" s="12">
        <v>0.33</v>
      </c>
      <c r="D5529" s="12">
        <v>5.8999999999999997E-2</v>
      </c>
    </row>
    <row r="5530" spans="1:4" x14ac:dyDescent="0.2">
      <c r="A5530" s="12" t="s">
        <v>4490</v>
      </c>
      <c r="B5530" s="12" t="s">
        <v>4489</v>
      </c>
      <c r="C5530" s="12">
        <v>50</v>
      </c>
      <c r="D5530" s="12">
        <v>5</v>
      </c>
    </row>
    <row r="5531" spans="1:4" x14ac:dyDescent="0.2">
      <c r="A5531" s="12" t="s">
        <v>4494</v>
      </c>
      <c r="B5531" s="12" t="s">
        <v>4493</v>
      </c>
      <c r="C5531" s="12">
        <v>50</v>
      </c>
      <c r="D5531" s="12">
        <v>5</v>
      </c>
    </row>
    <row r="5532" spans="1:4" x14ac:dyDescent="0.2">
      <c r="A5532" s="12" t="s">
        <v>5158</v>
      </c>
      <c r="B5532" s="12" t="s">
        <v>5157</v>
      </c>
      <c r="C5532" s="12">
        <v>3.6</v>
      </c>
      <c r="D5532" s="12">
        <v>4.1000000000000002E-2</v>
      </c>
    </row>
    <row r="5533" spans="1:4" x14ac:dyDescent="0.2">
      <c r="A5533" s="12" t="s">
        <v>10396</v>
      </c>
      <c r="B5533" s="12" t="s">
        <v>10395</v>
      </c>
      <c r="C5533" s="12">
        <v>0.39</v>
      </c>
      <c r="D5533" s="12">
        <v>4.3E-3</v>
      </c>
    </row>
    <row r="5534" spans="1:4" x14ac:dyDescent="0.2">
      <c r="A5534" s="12" t="s">
        <v>5164</v>
      </c>
      <c r="B5534" s="12" t="s">
        <v>5163</v>
      </c>
      <c r="C5534" s="12">
        <v>3.6</v>
      </c>
      <c r="D5534" s="12">
        <v>4.1000000000000002E-2</v>
      </c>
    </row>
    <row r="5535" spans="1:4" x14ac:dyDescent="0.2">
      <c r="A5535" s="12" t="s">
        <v>5166</v>
      </c>
      <c r="B5535" s="12" t="s">
        <v>5165</v>
      </c>
      <c r="C5535" s="12">
        <v>3.6</v>
      </c>
      <c r="D5535" s="12">
        <v>4.1000000000000002E-2</v>
      </c>
    </row>
    <row r="5536" spans="1:4" x14ac:dyDescent="0.2">
      <c r="A5536" s="12" t="s">
        <v>11316</v>
      </c>
      <c r="B5536" s="12" t="s">
        <v>11315</v>
      </c>
      <c r="C5536" s="12">
        <v>0.39</v>
      </c>
      <c r="D5536" s="12">
        <v>4.3E-3</v>
      </c>
    </row>
    <row r="5537" spans="1:4" x14ac:dyDescent="0.2">
      <c r="A5537" s="12" t="s">
        <v>3995</v>
      </c>
      <c r="B5537" s="12" t="s">
        <v>3994</v>
      </c>
      <c r="C5537" s="12">
        <v>0.39</v>
      </c>
      <c r="D5537" s="12">
        <v>4.3E-3</v>
      </c>
    </row>
    <row r="5538" spans="1:4" x14ac:dyDescent="0.2">
      <c r="A5538" s="12" t="s">
        <v>11052</v>
      </c>
      <c r="B5538" s="12" t="s">
        <v>11051</v>
      </c>
      <c r="C5538" s="12">
        <v>0.39</v>
      </c>
      <c r="D5538" s="12">
        <v>4.3E-3</v>
      </c>
    </row>
    <row r="5539" spans="1:4" x14ac:dyDescent="0.2">
      <c r="A5539" s="12" t="s">
        <v>12570</v>
      </c>
      <c r="B5539" s="12" t="s">
        <v>7189</v>
      </c>
      <c r="C5539" s="12"/>
      <c r="D5539" s="12">
        <v>0.71</v>
      </c>
    </row>
    <row r="5540" spans="1:4" x14ac:dyDescent="0.2">
      <c r="A5540" s="12" t="s">
        <v>12569</v>
      </c>
      <c r="B5540" s="12" t="s">
        <v>7188</v>
      </c>
      <c r="C5540" s="12">
        <v>2.8</v>
      </c>
      <c r="D5540" s="12">
        <v>0.56999999999999995</v>
      </c>
    </row>
    <row r="5541" spans="1:4" x14ac:dyDescent="0.2">
      <c r="A5541" s="12" t="s">
        <v>7187</v>
      </c>
      <c r="B5541" s="12" t="s">
        <v>7186</v>
      </c>
      <c r="C5541" s="12">
        <v>17</v>
      </c>
      <c r="D5541" s="12">
        <v>8.1</v>
      </c>
    </row>
    <row r="5542" spans="1:4" x14ac:dyDescent="0.2">
      <c r="A5542" s="12" t="s">
        <v>12609</v>
      </c>
      <c r="B5542" s="12" t="s">
        <v>10414</v>
      </c>
      <c r="C5542" s="12"/>
      <c r="D5542" s="12">
        <v>0.71</v>
      </c>
    </row>
    <row r="5543" spans="1:4" x14ac:dyDescent="0.2">
      <c r="A5543" s="12" t="s">
        <v>12608</v>
      </c>
      <c r="B5543" s="12" t="s">
        <v>10413</v>
      </c>
      <c r="C5543" s="12">
        <v>2.8</v>
      </c>
      <c r="D5543" s="12">
        <v>0.56999999999999995</v>
      </c>
    </row>
    <row r="5544" spans="1:4" x14ac:dyDescent="0.2">
      <c r="A5544" s="12" t="s">
        <v>10412</v>
      </c>
      <c r="B5544" s="12" t="s">
        <v>10411</v>
      </c>
      <c r="C5544" s="12">
        <v>17</v>
      </c>
      <c r="D5544" s="12">
        <v>8.1</v>
      </c>
    </row>
    <row r="5545" spans="1:4" x14ac:dyDescent="0.2">
      <c r="A5545" s="12" t="s">
        <v>4539</v>
      </c>
      <c r="B5545" s="12" t="s">
        <v>4538</v>
      </c>
      <c r="C5545" s="12">
        <v>7</v>
      </c>
      <c r="D5545" s="12">
        <v>0.7</v>
      </c>
    </row>
    <row r="5546" spans="1:4" x14ac:dyDescent="0.2">
      <c r="A5546" s="12" t="s">
        <v>12007</v>
      </c>
      <c r="B5546" s="12" t="s">
        <v>12006</v>
      </c>
      <c r="C5546" s="12">
        <v>2000</v>
      </c>
      <c r="D5546" s="12">
        <v>200</v>
      </c>
    </row>
    <row r="5547" spans="1:4" x14ac:dyDescent="0.2">
      <c r="A5547" s="12" t="s">
        <v>4830</v>
      </c>
      <c r="B5547" s="12" t="s">
        <v>4829</v>
      </c>
      <c r="C5547" s="12" t="s">
        <v>59</v>
      </c>
      <c r="D5547" s="12" t="s">
        <v>59</v>
      </c>
    </row>
    <row r="5548" spans="1:4" x14ac:dyDescent="0.2">
      <c r="A5548" s="12" t="s">
        <v>10898</v>
      </c>
      <c r="B5548" s="12" t="s">
        <v>10897</v>
      </c>
      <c r="C5548" s="12">
        <v>25</v>
      </c>
      <c r="D5548" s="12">
        <v>2.5</v>
      </c>
    </row>
    <row r="5549" spans="1:4" x14ac:dyDescent="0.2">
      <c r="A5549" s="12" t="s">
        <v>12543</v>
      </c>
      <c r="B5549" s="12" t="s">
        <v>4850</v>
      </c>
      <c r="C5549" s="12"/>
      <c r="D5549" s="12">
        <v>0.71</v>
      </c>
    </row>
    <row r="5550" spans="1:4" x14ac:dyDescent="0.2">
      <c r="A5550" s="12" t="s">
        <v>12542</v>
      </c>
      <c r="B5550" s="12" t="s">
        <v>4849</v>
      </c>
      <c r="C5550" s="12">
        <v>2.8</v>
      </c>
      <c r="D5550" s="12">
        <v>0.56999999999999995</v>
      </c>
    </row>
    <row r="5551" spans="1:4" x14ac:dyDescent="0.2">
      <c r="A5551" s="12" t="s">
        <v>4848</v>
      </c>
      <c r="B5551" s="12" t="s">
        <v>4847</v>
      </c>
      <c r="C5551" s="12">
        <v>17</v>
      </c>
      <c r="D5551" s="12">
        <v>8.1</v>
      </c>
    </row>
    <row r="5552" spans="1:4" x14ac:dyDescent="0.2">
      <c r="A5552" s="12" t="s">
        <v>4868</v>
      </c>
      <c r="B5552" s="12" t="s">
        <v>4867</v>
      </c>
      <c r="C5552" s="12">
        <v>30</v>
      </c>
      <c r="D5552" s="12">
        <v>3</v>
      </c>
    </row>
    <row r="5553" spans="1:4" x14ac:dyDescent="0.2">
      <c r="A5553" s="12" t="s">
        <v>3358</v>
      </c>
      <c r="B5553" s="12" t="s">
        <v>3357</v>
      </c>
      <c r="C5553" s="12">
        <v>0.5</v>
      </c>
      <c r="D5553" s="12">
        <v>0.05</v>
      </c>
    </row>
    <row r="5554" spans="1:4" x14ac:dyDescent="0.2">
      <c r="A5554" s="12" t="s">
        <v>11936</v>
      </c>
      <c r="B5554" s="12" t="s">
        <v>11935</v>
      </c>
      <c r="C5554" s="12">
        <v>9100</v>
      </c>
      <c r="D5554" s="12">
        <v>910</v>
      </c>
    </row>
    <row r="5555" spans="1:4" x14ac:dyDescent="0.2">
      <c r="A5555" s="12" t="s">
        <v>5043</v>
      </c>
      <c r="B5555" s="12" t="s">
        <v>5042</v>
      </c>
      <c r="C5555" s="12">
        <v>4</v>
      </c>
      <c r="D5555" s="12">
        <v>0.4</v>
      </c>
    </row>
    <row r="5556" spans="1:4" x14ac:dyDescent="0.2">
      <c r="A5556" s="12" t="s">
        <v>7674</v>
      </c>
      <c r="B5556" s="12" t="s">
        <v>7673</v>
      </c>
      <c r="C5556" s="12">
        <v>190</v>
      </c>
      <c r="D5556" s="12">
        <v>7.9</v>
      </c>
    </row>
    <row r="5557" spans="1:4" x14ac:dyDescent="0.2">
      <c r="A5557" s="12" t="s">
        <v>5110</v>
      </c>
      <c r="B5557" s="12" t="s">
        <v>5109</v>
      </c>
      <c r="C5557" s="12">
        <v>14</v>
      </c>
      <c r="D5557" s="12">
        <v>1.4</v>
      </c>
    </row>
    <row r="5558" spans="1:4" x14ac:dyDescent="0.2">
      <c r="A5558" s="12" t="s">
        <v>11421</v>
      </c>
      <c r="B5558" s="12" t="s">
        <v>11420</v>
      </c>
      <c r="C5558" s="12">
        <v>40</v>
      </c>
      <c r="D5558" s="12">
        <v>4</v>
      </c>
    </row>
    <row r="5559" spans="1:4" x14ac:dyDescent="0.2">
      <c r="A5559" s="12" t="s">
        <v>5263</v>
      </c>
      <c r="B5559" s="12" t="s">
        <v>5262</v>
      </c>
      <c r="C5559" s="12" t="s">
        <v>59</v>
      </c>
      <c r="D5559" s="12" t="s">
        <v>59</v>
      </c>
    </row>
    <row r="5560" spans="1:4" x14ac:dyDescent="0.2">
      <c r="A5560" s="12" t="s">
        <v>5264</v>
      </c>
      <c r="B5560" s="12" t="s">
        <v>5262</v>
      </c>
      <c r="C5560" s="12">
        <v>500</v>
      </c>
      <c r="D5560" s="12">
        <v>50</v>
      </c>
    </row>
    <row r="5561" spans="1:4" x14ac:dyDescent="0.2">
      <c r="A5561" s="12" t="s">
        <v>4603</v>
      </c>
      <c r="B5561" s="12" t="s">
        <v>4602</v>
      </c>
      <c r="C5561" s="12" t="s">
        <v>59</v>
      </c>
      <c r="D5561" s="12" t="s">
        <v>59</v>
      </c>
    </row>
    <row r="5562" spans="1:4" x14ac:dyDescent="0.2">
      <c r="A5562" s="12" t="s">
        <v>4604</v>
      </c>
      <c r="B5562" s="12" t="s">
        <v>4602</v>
      </c>
      <c r="C5562" s="12">
        <v>500</v>
      </c>
      <c r="D5562" s="12">
        <v>50</v>
      </c>
    </row>
    <row r="5563" spans="1:4" x14ac:dyDescent="0.2">
      <c r="A5563" s="12" t="s">
        <v>6750</v>
      </c>
      <c r="B5563" s="12" t="s">
        <v>6749</v>
      </c>
      <c r="C5563" s="12">
        <v>360</v>
      </c>
      <c r="D5563" s="12">
        <v>36</v>
      </c>
    </row>
    <row r="5564" spans="1:4" x14ac:dyDescent="0.2">
      <c r="A5564" s="12" t="s">
        <v>11659</v>
      </c>
      <c r="B5564" s="12" t="s">
        <v>11658</v>
      </c>
      <c r="C5564" s="12">
        <v>180</v>
      </c>
      <c r="D5564" s="12">
        <v>92</v>
      </c>
    </row>
    <row r="5565" spans="1:4" x14ac:dyDescent="0.2">
      <c r="A5565" s="12" t="s">
        <v>12127</v>
      </c>
      <c r="B5565" s="12" t="s">
        <v>12126</v>
      </c>
      <c r="C5565" s="12">
        <v>50</v>
      </c>
      <c r="D5565" s="12">
        <v>5</v>
      </c>
    </row>
    <row r="5566" spans="1:4" x14ac:dyDescent="0.2">
      <c r="A5566" s="12" t="s">
        <v>11653</v>
      </c>
      <c r="B5566" s="12" t="s">
        <v>11652</v>
      </c>
      <c r="C5566" s="12"/>
      <c r="D5566" s="12" t="s">
        <v>59</v>
      </c>
    </row>
    <row r="5567" spans="1:4" x14ac:dyDescent="0.2">
      <c r="A5567" s="12" t="s">
        <v>8936</v>
      </c>
      <c r="B5567" s="12" t="s">
        <v>8935</v>
      </c>
      <c r="C5567" s="12">
        <v>10</v>
      </c>
      <c r="D5567" s="12">
        <v>1</v>
      </c>
    </row>
    <row r="5568" spans="1:4" x14ac:dyDescent="0.2">
      <c r="A5568" s="12" t="s">
        <v>7652</v>
      </c>
      <c r="B5568" s="12" t="s">
        <v>7651</v>
      </c>
      <c r="C5568" s="12">
        <v>20</v>
      </c>
      <c r="D5568" s="12">
        <v>2</v>
      </c>
    </row>
    <row r="5569" spans="1:4" x14ac:dyDescent="0.2">
      <c r="A5569" s="12" t="s">
        <v>9907</v>
      </c>
      <c r="B5569" s="12" t="s">
        <v>9906</v>
      </c>
      <c r="C5569" s="12">
        <v>4.2</v>
      </c>
      <c r="D5569" s="12">
        <v>0.42</v>
      </c>
    </row>
    <row r="5570" spans="1:4" x14ac:dyDescent="0.2">
      <c r="A5570" s="12" t="s">
        <v>11304</v>
      </c>
      <c r="B5570" s="12" t="s">
        <v>11303</v>
      </c>
      <c r="C5570" s="12">
        <v>5</v>
      </c>
      <c r="D5570" s="12">
        <v>0.5</v>
      </c>
    </row>
    <row r="5571" spans="1:4" x14ac:dyDescent="0.2">
      <c r="A5571" s="12" t="s">
        <v>7562</v>
      </c>
      <c r="B5571" s="12" t="s">
        <v>7561</v>
      </c>
      <c r="C5571" s="12">
        <v>0.13</v>
      </c>
      <c r="D5571" s="12">
        <v>1.2999999999999999E-2</v>
      </c>
    </row>
    <row r="5572" spans="1:4" x14ac:dyDescent="0.2">
      <c r="A5572" s="12" t="s">
        <v>10837</v>
      </c>
      <c r="B5572" s="12" t="s">
        <v>10836</v>
      </c>
      <c r="C5572" s="12">
        <v>70</v>
      </c>
      <c r="D5572" s="12">
        <v>7</v>
      </c>
    </row>
    <row r="5573" spans="1:4" x14ac:dyDescent="0.2">
      <c r="A5573" s="12" t="s">
        <v>1444</v>
      </c>
      <c r="B5573" s="12" t="s">
        <v>1443</v>
      </c>
      <c r="C5573" s="12">
        <v>30</v>
      </c>
      <c r="D5573" s="12">
        <v>3</v>
      </c>
    </row>
    <row r="5574" spans="1:4" x14ac:dyDescent="0.2">
      <c r="A5574" s="12" t="s">
        <v>9892</v>
      </c>
      <c r="B5574" s="12" t="s">
        <v>9891</v>
      </c>
      <c r="C5574" s="12">
        <v>1000</v>
      </c>
      <c r="D5574" s="12">
        <v>100</v>
      </c>
    </row>
    <row r="5575" spans="1:4" x14ac:dyDescent="0.2">
      <c r="A5575" s="12" t="s">
        <v>11655</v>
      </c>
      <c r="B5575" s="12" t="s">
        <v>11654</v>
      </c>
      <c r="C5575" s="12">
        <v>850</v>
      </c>
      <c r="D5575" s="12">
        <v>85</v>
      </c>
    </row>
    <row r="5576" spans="1:4" x14ac:dyDescent="0.2">
      <c r="A5576" s="12" t="s">
        <v>9698</v>
      </c>
      <c r="B5576" s="12" t="s">
        <v>9697</v>
      </c>
      <c r="C5576" s="12">
        <v>50</v>
      </c>
      <c r="D5576" s="12">
        <v>5</v>
      </c>
    </row>
    <row r="5577" spans="1:4" x14ac:dyDescent="0.2">
      <c r="A5577" s="12" t="s">
        <v>2623</v>
      </c>
      <c r="B5577" s="12" t="s">
        <v>2622</v>
      </c>
      <c r="C5577" s="12">
        <v>350</v>
      </c>
      <c r="D5577" s="12">
        <v>35</v>
      </c>
    </row>
    <row r="5578" spans="1:4" x14ac:dyDescent="0.2">
      <c r="A5578" s="12" t="s">
        <v>9990</v>
      </c>
      <c r="B5578" s="12" t="s">
        <v>9989</v>
      </c>
      <c r="C5578" s="12" t="s">
        <v>59</v>
      </c>
      <c r="D5578" s="12" t="s">
        <v>59</v>
      </c>
    </row>
    <row r="5579" spans="1:4" x14ac:dyDescent="0.2">
      <c r="A5579" s="12" t="s">
        <v>12150</v>
      </c>
      <c r="B5579" s="12" t="s">
        <v>12149</v>
      </c>
      <c r="C5579" s="12">
        <v>1</v>
      </c>
      <c r="D5579" s="12">
        <v>0.1</v>
      </c>
    </row>
    <row r="5580" spans="1:4" x14ac:dyDescent="0.2">
      <c r="A5580" s="12" t="s">
        <v>4123</v>
      </c>
      <c r="B5580" s="12" t="s">
        <v>4122</v>
      </c>
      <c r="C5580" s="12">
        <v>1250</v>
      </c>
      <c r="D5580" s="12">
        <v>125</v>
      </c>
    </row>
    <row r="5581" spans="1:4" x14ac:dyDescent="0.2">
      <c r="A5581" s="12" t="s">
        <v>12154</v>
      </c>
      <c r="B5581" s="12" t="s">
        <v>12153</v>
      </c>
      <c r="C5581" s="12">
        <v>3</v>
      </c>
      <c r="D5581" s="12">
        <v>0.3</v>
      </c>
    </row>
    <row r="5582" spans="1:4" x14ac:dyDescent="0.2">
      <c r="A5582" s="12" t="s">
        <v>4273</v>
      </c>
      <c r="B5582" s="12" t="s">
        <v>4272</v>
      </c>
      <c r="C5582" s="12" t="s">
        <v>59</v>
      </c>
      <c r="D5582" s="12" t="s">
        <v>59</v>
      </c>
    </row>
    <row r="5583" spans="1:4" x14ac:dyDescent="0.2">
      <c r="A5583" s="12" t="s">
        <v>4274</v>
      </c>
      <c r="B5583" s="12" t="s">
        <v>4272</v>
      </c>
      <c r="C5583" s="12">
        <v>600</v>
      </c>
      <c r="D5583" s="12">
        <v>60</v>
      </c>
    </row>
    <row r="5584" spans="1:4" x14ac:dyDescent="0.2">
      <c r="A5584" s="12" t="s">
        <v>3602</v>
      </c>
      <c r="B5584" s="12" t="s">
        <v>3601</v>
      </c>
      <c r="C5584" s="12">
        <v>600</v>
      </c>
      <c r="D5584" s="12">
        <v>60</v>
      </c>
    </row>
    <row r="5585" spans="1:4" x14ac:dyDescent="0.2">
      <c r="A5585" s="12" t="s">
        <v>3681</v>
      </c>
      <c r="B5585" s="12" t="s">
        <v>3680</v>
      </c>
      <c r="C5585" s="12">
        <v>600</v>
      </c>
      <c r="D5585" s="12">
        <v>60</v>
      </c>
    </row>
    <row r="5586" spans="1:4" x14ac:dyDescent="0.2">
      <c r="A5586" s="12" t="s">
        <v>3556</v>
      </c>
      <c r="B5586" s="12" t="s">
        <v>3555</v>
      </c>
      <c r="C5586" s="12">
        <v>600</v>
      </c>
      <c r="D5586" s="12">
        <v>60</v>
      </c>
    </row>
    <row r="5587" spans="1:4" x14ac:dyDescent="0.2">
      <c r="A5587" s="12" t="s">
        <v>3814</v>
      </c>
      <c r="B5587" s="12" t="s">
        <v>3813</v>
      </c>
      <c r="C5587" s="12">
        <v>600</v>
      </c>
      <c r="D5587" s="12">
        <v>60</v>
      </c>
    </row>
    <row r="5588" spans="1:4" x14ac:dyDescent="0.2">
      <c r="A5588" s="12" t="s">
        <v>3554</v>
      </c>
      <c r="B5588" s="12" t="s">
        <v>3553</v>
      </c>
      <c r="C5588" s="12">
        <v>600</v>
      </c>
      <c r="D5588" s="12">
        <v>60</v>
      </c>
    </row>
    <row r="5589" spans="1:4" x14ac:dyDescent="0.2">
      <c r="A5589" s="12" t="s">
        <v>6213</v>
      </c>
      <c r="B5589" s="12" t="s">
        <v>6212</v>
      </c>
      <c r="C5589" s="12">
        <v>1</v>
      </c>
      <c r="D5589" s="12">
        <v>0.1</v>
      </c>
    </row>
    <row r="5590" spans="1:4" x14ac:dyDescent="0.2">
      <c r="A5590" s="12" t="s">
        <v>12014</v>
      </c>
      <c r="B5590" s="12" t="s">
        <v>12013</v>
      </c>
      <c r="C5590" s="12">
        <v>75</v>
      </c>
      <c r="D5590" s="12">
        <v>7.5</v>
      </c>
    </row>
    <row r="5591" spans="1:4" x14ac:dyDescent="0.2">
      <c r="A5591" s="12" t="s">
        <v>495</v>
      </c>
      <c r="B5591" s="12" t="s">
        <v>494</v>
      </c>
      <c r="C5591" s="12">
        <v>50</v>
      </c>
      <c r="D5591" s="12">
        <v>5</v>
      </c>
    </row>
    <row r="5592" spans="1:4" x14ac:dyDescent="0.2">
      <c r="A5592" s="12" t="s">
        <v>1968</v>
      </c>
      <c r="B5592" s="12" t="s">
        <v>1967</v>
      </c>
      <c r="C5592" s="12">
        <v>125</v>
      </c>
      <c r="D5592" s="12">
        <v>12.5</v>
      </c>
    </row>
    <row r="5593" spans="1:4" x14ac:dyDescent="0.2">
      <c r="A5593" s="12" t="s">
        <v>7905</v>
      </c>
      <c r="B5593" s="12" t="s">
        <v>7904</v>
      </c>
      <c r="C5593" s="12">
        <v>230</v>
      </c>
      <c r="D5593" s="12">
        <v>23</v>
      </c>
    </row>
    <row r="5594" spans="1:4" x14ac:dyDescent="0.2">
      <c r="A5594" s="12" t="s">
        <v>5102</v>
      </c>
      <c r="B5594" s="12" t="s">
        <v>5101</v>
      </c>
      <c r="C5594" s="12">
        <v>1</v>
      </c>
      <c r="D5594" s="12">
        <v>0.1</v>
      </c>
    </row>
    <row r="5595" spans="1:4" x14ac:dyDescent="0.2">
      <c r="A5595" s="12" t="s">
        <v>1748</v>
      </c>
      <c r="B5595" s="12" t="s">
        <v>1747</v>
      </c>
      <c r="C5595" s="12">
        <v>100</v>
      </c>
      <c r="D5595" s="12">
        <v>10</v>
      </c>
    </row>
    <row r="5596" spans="1:4" x14ac:dyDescent="0.2">
      <c r="A5596" s="12" t="s">
        <v>1433</v>
      </c>
      <c r="B5596" s="12" t="s">
        <v>1432</v>
      </c>
      <c r="C5596" s="12">
        <v>50</v>
      </c>
      <c r="D5596" s="12">
        <v>5</v>
      </c>
    </row>
    <row r="5597" spans="1:4" x14ac:dyDescent="0.2">
      <c r="A5597" s="12" t="s">
        <v>1434</v>
      </c>
      <c r="B5597" s="12" t="s">
        <v>1432</v>
      </c>
      <c r="C5597" s="12" t="s">
        <v>59</v>
      </c>
      <c r="D5597" s="12" t="s">
        <v>59</v>
      </c>
    </row>
    <row r="5598" spans="1:4" x14ac:dyDescent="0.2">
      <c r="A5598" s="12" t="s">
        <v>2645</v>
      </c>
      <c r="B5598" s="12" t="s">
        <v>2644</v>
      </c>
      <c r="C5598" s="12">
        <v>1000</v>
      </c>
      <c r="D5598" s="12">
        <v>100</v>
      </c>
    </row>
    <row r="5599" spans="1:4" x14ac:dyDescent="0.2">
      <c r="A5599" s="12" t="s">
        <v>7899</v>
      </c>
      <c r="B5599" s="12" t="s">
        <v>7898</v>
      </c>
      <c r="C5599" s="12">
        <v>59000</v>
      </c>
      <c r="D5599" s="12">
        <v>7100</v>
      </c>
    </row>
    <row r="5600" spans="1:4" x14ac:dyDescent="0.2">
      <c r="A5600" s="12" t="s">
        <v>7912</v>
      </c>
      <c r="B5600" s="12" t="s">
        <v>7911</v>
      </c>
      <c r="C5600" s="12">
        <v>130</v>
      </c>
      <c r="D5600" s="12">
        <v>120</v>
      </c>
    </row>
    <row r="5601" spans="1:4" x14ac:dyDescent="0.2">
      <c r="A5601" s="12" t="s">
        <v>7824</v>
      </c>
      <c r="B5601" s="12" t="s">
        <v>7823</v>
      </c>
      <c r="C5601" s="12">
        <v>150</v>
      </c>
      <c r="D5601" s="12">
        <v>15</v>
      </c>
    </row>
    <row r="5602" spans="1:4" x14ac:dyDescent="0.2">
      <c r="A5602" s="12" t="s">
        <v>7836</v>
      </c>
      <c r="B5602" s="12" t="s">
        <v>7835</v>
      </c>
      <c r="C5602" s="12">
        <v>220</v>
      </c>
      <c r="D5602" s="12">
        <v>22</v>
      </c>
    </row>
    <row r="5603" spans="1:4" x14ac:dyDescent="0.2">
      <c r="A5603" s="12" t="s">
        <v>7797</v>
      </c>
      <c r="B5603" s="12" t="s">
        <v>7796</v>
      </c>
      <c r="C5603" s="12">
        <v>1500</v>
      </c>
      <c r="D5603" s="12">
        <v>150</v>
      </c>
    </row>
    <row r="5604" spans="1:4" x14ac:dyDescent="0.2">
      <c r="A5604" s="12" t="s">
        <v>7828</v>
      </c>
      <c r="B5604" s="12" t="s">
        <v>7827</v>
      </c>
      <c r="C5604" s="12">
        <v>410</v>
      </c>
      <c r="D5604" s="12">
        <v>290</v>
      </c>
    </row>
    <row r="5605" spans="1:4" x14ac:dyDescent="0.2">
      <c r="A5605" s="12" t="s">
        <v>8322</v>
      </c>
      <c r="B5605" s="12" t="s">
        <v>8321</v>
      </c>
      <c r="C5605" s="12">
        <v>16</v>
      </c>
      <c r="D5605" s="12">
        <v>2.4</v>
      </c>
    </row>
    <row r="5606" spans="1:4" x14ac:dyDescent="0.2">
      <c r="A5606" s="12" t="s">
        <v>10805</v>
      </c>
      <c r="B5606" s="12" t="s">
        <v>10804</v>
      </c>
      <c r="C5606" s="12">
        <v>2700</v>
      </c>
      <c r="D5606" s="12">
        <v>270</v>
      </c>
    </row>
    <row r="5607" spans="1:4" x14ac:dyDescent="0.2">
      <c r="A5607" s="12" t="s">
        <v>580</v>
      </c>
      <c r="B5607" s="12" t="s">
        <v>579</v>
      </c>
      <c r="C5607" s="12">
        <v>460</v>
      </c>
      <c r="D5607" s="12">
        <v>46</v>
      </c>
    </row>
    <row r="5608" spans="1:4" x14ac:dyDescent="0.2">
      <c r="A5608" s="12" t="s">
        <v>1516</v>
      </c>
      <c r="B5608" s="12" t="s">
        <v>1515</v>
      </c>
      <c r="C5608" s="12">
        <v>45</v>
      </c>
      <c r="D5608" s="12">
        <v>4.5</v>
      </c>
    </row>
    <row r="5609" spans="1:4" x14ac:dyDescent="0.2">
      <c r="A5609" s="12" t="s">
        <v>1993</v>
      </c>
      <c r="B5609" s="12" t="s">
        <v>1992</v>
      </c>
      <c r="C5609" s="12">
        <v>40</v>
      </c>
      <c r="D5609" s="12">
        <v>4</v>
      </c>
    </row>
    <row r="5610" spans="1:4" x14ac:dyDescent="0.2">
      <c r="A5610" s="12" t="s">
        <v>10554</v>
      </c>
      <c r="B5610" s="12" t="s">
        <v>10553</v>
      </c>
      <c r="C5610" s="12">
        <v>42</v>
      </c>
      <c r="D5610" s="12">
        <v>17</v>
      </c>
    </row>
    <row r="5611" spans="1:4" x14ac:dyDescent="0.2">
      <c r="A5611" s="12" t="s">
        <v>1684</v>
      </c>
      <c r="B5611" s="12" t="s">
        <v>1683</v>
      </c>
      <c r="C5611" s="12">
        <v>1</v>
      </c>
      <c r="D5611" s="12">
        <v>0.1</v>
      </c>
    </row>
    <row r="5612" spans="1:4" x14ac:dyDescent="0.2">
      <c r="A5612" s="12" t="s">
        <v>10803</v>
      </c>
      <c r="B5612" s="12" t="s">
        <v>10802</v>
      </c>
      <c r="C5612" s="12">
        <v>3000</v>
      </c>
      <c r="D5612" s="12">
        <v>300</v>
      </c>
    </row>
    <row r="5613" spans="1:4" x14ac:dyDescent="0.2">
      <c r="A5613" s="12" t="s">
        <v>8428</v>
      </c>
      <c r="B5613" s="12" t="s">
        <v>8427</v>
      </c>
      <c r="C5613" s="12">
        <v>18000</v>
      </c>
      <c r="D5613" s="12">
        <v>2600</v>
      </c>
    </row>
    <row r="5614" spans="1:4" x14ac:dyDescent="0.2">
      <c r="A5614" s="12" t="s">
        <v>8525</v>
      </c>
      <c r="B5614" s="12" t="s">
        <v>8524</v>
      </c>
      <c r="C5614" s="12">
        <v>6</v>
      </c>
      <c r="D5614" s="12">
        <v>0.6</v>
      </c>
    </row>
    <row r="5615" spans="1:4" x14ac:dyDescent="0.2">
      <c r="A5615" s="12" t="s">
        <v>2956</v>
      </c>
      <c r="B5615" s="12" t="s">
        <v>2955</v>
      </c>
      <c r="C5615" s="12" t="s">
        <v>59</v>
      </c>
      <c r="D5615" s="12" t="s">
        <v>59</v>
      </c>
    </row>
    <row r="5616" spans="1:4" x14ac:dyDescent="0.2">
      <c r="A5616" s="12" t="s">
        <v>4728</v>
      </c>
      <c r="B5616" s="12" t="s">
        <v>4727</v>
      </c>
      <c r="C5616" s="12" t="s">
        <v>59</v>
      </c>
      <c r="D5616" s="12" t="s">
        <v>59</v>
      </c>
    </row>
    <row r="5617" spans="1:4" x14ac:dyDescent="0.2">
      <c r="A5617" s="12" t="s">
        <v>5057</v>
      </c>
      <c r="B5617" s="12" t="s">
        <v>5056</v>
      </c>
      <c r="C5617" s="12">
        <v>40</v>
      </c>
      <c r="D5617" s="12">
        <v>4</v>
      </c>
    </row>
    <row r="5618" spans="1:4" x14ac:dyDescent="0.2">
      <c r="A5618" s="12" t="s">
        <v>7916</v>
      </c>
      <c r="B5618" s="12" t="s">
        <v>7915</v>
      </c>
      <c r="C5618" s="12">
        <v>200</v>
      </c>
      <c r="D5618" s="12">
        <v>20</v>
      </c>
    </row>
    <row r="5619" spans="1:4" x14ac:dyDescent="0.2">
      <c r="A5619" s="12" t="s">
        <v>8007</v>
      </c>
      <c r="B5619" s="12" t="s">
        <v>8006</v>
      </c>
      <c r="C5619" s="12">
        <v>300</v>
      </c>
      <c r="D5619" s="12">
        <v>30</v>
      </c>
    </row>
    <row r="5620" spans="1:4" x14ac:dyDescent="0.2">
      <c r="A5620" s="12" t="s">
        <v>396</v>
      </c>
      <c r="B5620" s="12" t="s">
        <v>395</v>
      </c>
      <c r="C5620" s="12">
        <v>460</v>
      </c>
      <c r="D5620" s="12">
        <v>46</v>
      </c>
    </row>
    <row r="5621" spans="1:4" x14ac:dyDescent="0.2">
      <c r="A5621" s="12" t="s">
        <v>12123</v>
      </c>
      <c r="B5621" s="12" t="s">
        <v>12122</v>
      </c>
      <c r="C5621" s="12">
        <v>3500</v>
      </c>
      <c r="D5621" s="12">
        <v>350</v>
      </c>
    </row>
    <row r="5622" spans="1:4" x14ac:dyDescent="0.2">
      <c r="A5622" s="12" t="s">
        <v>334</v>
      </c>
      <c r="B5622" s="12" t="s">
        <v>333</v>
      </c>
      <c r="C5622" s="12">
        <v>550</v>
      </c>
      <c r="D5622" s="12">
        <v>55</v>
      </c>
    </row>
    <row r="5623" spans="1:4" x14ac:dyDescent="0.2">
      <c r="A5623" s="12" t="s">
        <v>11960</v>
      </c>
      <c r="B5623" s="12" t="s">
        <v>11959</v>
      </c>
      <c r="C5623" s="12">
        <v>540</v>
      </c>
      <c r="D5623" s="12">
        <v>54</v>
      </c>
    </row>
    <row r="5624" spans="1:4" x14ac:dyDescent="0.2">
      <c r="A5624" s="12" t="s">
        <v>5805</v>
      </c>
      <c r="B5624" s="12" t="s">
        <v>5804</v>
      </c>
      <c r="C5624" s="12">
        <v>32</v>
      </c>
      <c r="D5624" s="12">
        <v>3.2</v>
      </c>
    </row>
    <row r="5625" spans="1:4" x14ac:dyDescent="0.2">
      <c r="A5625" s="12" t="s">
        <v>5059</v>
      </c>
      <c r="B5625" s="12" t="s">
        <v>5058</v>
      </c>
      <c r="C5625" s="12">
        <v>2.2999999999999998</v>
      </c>
      <c r="D5625" s="12">
        <v>0.23</v>
      </c>
    </row>
    <row r="5626" spans="1:4" x14ac:dyDescent="0.2">
      <c r="A5626" s="12" t="s">
        <v>10515</v>
      </c>
      <c r="B5626" s="12" t="s">
        <v>10514</v>
      </c>
      <c r="C5626" s="12">
        <v>1000</v>
      </c>
      <c r="D5626" s="12">
        <v>100</v>
      </c>
    </row>
    <row r="5627" spans="1:4" x14ac:dyDescent="0.2">
      <c r="A5627" s="12" t="s">
        <v>3501</v>
      </c>
      <c r="B5627" s="12" t="s">
        <v>3500</v>
      </c>
      <c r="C5627" s="12">
        <v>0.3</v>
      </c>
      <c r="D5627" s="12">
        <v>0.03</v>
      </c>
    </row>
    <row r="5628" spans="1:4" x14ac:dyDescent="0.2">
      <c r="A5628" s="12" t="s">
        <v>4541</v>
      </c>
      <c r="B5628" s="12" t="s">
        <v>4540</v>
      </c>
      <c r="C5628" s="12">
        <v>250</v>
      </c>
      <c r="D5628" s="12">
        <v>25</v>
      </c>
    </row>
    <row r="5629" spans="1:4" x14ac:dyDescent="0.2">
      <c r="A5629" s="12" t="s">
        <v>10517</v>
      </c>
      <c r="B5629" s="12" t="s">
        <v>10516</v>
      </c>
      <c r="C5629" s="12">
        <v>85</v>
      </c>
      <c r="D5629" s="12">
        <v>30</v>
      </c>
    </row>
    <row r="5630" spans="1:4" x14ac:dyDescent="0.2">
      <c r="A5630" s="12" t="s">
        <v>3504</v>
      </c>
      <c r="B5630" s="12" t="s">
        <v>3503</v>
      </c>
      <c r="C5630" s="12">
        <v>60</v>
      </c>
      <c r="D5630" s="12">
        <v>6</v>
      </c>
    </row>
    <row r="5631" spans="1:4" x14ac:dyDescent="0.2">
      <c r="A5631" s="12" t="s">
        <v>5053</v>
      </c>
      <c r="B5631" s="12" t="s">
        <v>5052</v>
      </c>
      <c r="C5631" s="12">
        <v>20</v>
      </c>
      <c r="D5631" s="12">
        <v>2</v>
      </c>
    </row>
    <row r="5632" spans="1:4" x14ac:dyDescent="0.2">
      <c r="A5632" s="12" t="s">
        <v>12160</v>
      </c>
      <c r="B5632" s="12" t="s">
        <v>12159</v>
      </c>
      <c r="C5632" s="12" t="s">
        <v>59</v>
      </c>
      <c r="D5632" s="12" t="s">
        <v>59</v>
      </c>
    </row>
    <row r="5633" spans="1:4" x14ac:dyDescent="0.2">
      <c r="A5633" s="12" t="s">
        <v>7341</v>
      </c>
      <c r="B5633" s="12" t="s">
        <v>7340</v>
      </c>
      <c r="C5633" s="12">
        <v>250</v>
      </c>
      <c r="D5633" s="12">
        <v>25</v>
      </c>
    </row>
    <row r="5634" spans="1:4" x14ac:dyDescent="0.2">
      <c r="A5634" s="12" t="s">
        <v>9236</v>
      </c>
      <c r="B5634" s="12" t="s">
        <v>9235</v>
      </c>
      <c r="C5634" s="12">
        <v>360</v>
      </c>
      <c r="D5634" s="12">
        <v>36</v>
      </c>
    </row>
    <row r="5635" spans="1:4" x14ac:dyDescent="0.2">
      <c r="A5635" s="12" t="s">
        <v>8387</v>
      </c>
      <c r="B5635" s="12" t="s">
        <v>8386</v>
      </c>
      <c r="C5635" s="12">
        <v>6000</v>
      </c>
      <c r="D5635" s="12">
        <v>600</v>
      </c>
    </row>
    <row r="5636" spans="1:4" x14ac:dyDescent="0.2">
      <c r="A5636" s="12" t="s">
        <v>9744</v>
      </c>
      <c r="B5636" s="12" t="s">
        <v>9743</v>
      </c>
      <c r="C5636" s="12">
        <v>17</v>
      </c>
      <c r="D5636" s="12">
        <v>1.7</v>
      </c>
    </row>
    <row r="5637" spans="1:4" x14ac:dyDescent="0.2">
      <c r="A5637" s="12" t="s">
        <v>8411</v>
      </c>
      <c r="B5637" s="12" t="s">
        <v>8410</v>
      </c>
      <c r="C5637" s="12">
        <v>2</v>
      </c>
      <c r="D5637" s="12">
        <v>0.2</v>
      </c>
    </row>
    <row r="5638" spans="1:4" x14ac:dyDescent="0.2">
      <c r="A5638" s="12" t="s">
        <v>7152</v>
      </c>
      <c r="B5638" s="12" t="s">
        <v>7151</v>
      </c>
      <c r="C5638" s="12">
        <v>30</v>
      </c>
      <c r="D5638" s="12">
        <v>3</v>
      </c>
    </row>
    <row r="5639" spans="1:4" x14ac:dyDescent="0.2">
      <c r="A5639" s="12" t="s">
        <v>9210</v>
      </c>
      <c r="B5639" s="12" t="s">
        <v>9209</v>
      </c>
      <c r="C5639" s="12">
        <v>3100</v>
      </c>
      <c r="D5639" s="12">
        <v>310</v>
      </c>
    </row>
    <row r="5640" spans="1:4" x14ac:dyDescent="0.2">
      <c r="A5640" s="12" t="s">
        <v>320</v>
      </c>
      <c r="B5640" s="12" t="s">
        <v>319</v>
      </c>
      <c r="C5640" s="12">
        <v>14</v>
      </c>
      <c r="D5640" s="12">
        <v>1.4</v>
      </c>
    </row>
    <row r="5641" spans="1:4" x14ac:dyDescent="0.2">
      <c r="A5641" s="12" t="s">
        <v>1607</v>
      </c>
      <c r="B5641" s="12" t="s">
        <v>1606</v>
      </c>
      <c r="C5641" s="12">
        <v>5600</v>
      </c>
      <c r="D5641" s="12">
        <v>200</v>
      </c>
    </row>
    <row r="5642" spans="1:4" x14ac:dyDescent="0.2">
      <c r="A5642" s="12" t="s">
        <v>7834</v>
      </c>
      <c r="B5642" s="12" t="s">
        <v>7833</v>
      </c>
      <c r="C5642" s="12">
        <v>2.2999999999999998</v>
      </c>
      <c r="D5642" s="12">
        <v>0.23</v>
      </c>
    </row>
    <row r="5643" spans="1:4" x14ac:dyDescent="0.2">
      <c r="A5643" s="12" t="s">
        <v>7830</v>
      </c>
      <c r="B5643" s="12" t="s">
        <v>7829</v>
      </c>
      <c r="C5643" s="12">
        <v>230</v>
      </c>
      <c r="D5643" s="12">
        <v>90</v>
      </c>
    </row>
    <row r="5644" spans="1:4" x14ac:dyDescent="0.2">
      <c r="A5644" s="12" t="s">
        <v>12175</v>
      </c>
      <c r="B5644" s="12" t="s">
        <v>12174</v>
      </c>
      <c r="C5644" s="12">
        <v>330</v>
      </c>
      <c r="D5644" s="12">
        <v>33</v>
      </c>
    </row>
    <row r="5645" spans="1:4" x14ac:dyDescent="0.2">
      <c r="A5645" s="12" t="s">
        <v>6271</v>
      </c>
      <c r="B5645" s="12" t="s">
        <v>6270</v>
      </c>
      <c r="C5645" s="12">
        <v>330</v>
      </c>
      <c r="D5645" s="12">
        <v>33</v>
      </c>
    </row>
    <row r="5646" spans="1:4" x14ac:dyDescent="0.2">
      <c r="A5646" s="12" t="s">
        <v>8764</v>
      </c>
      <c r="B5646" s="12" t="s">
        <v>8763</v>
      </c>
      <c r="C5646" s="12">
        <v>12</v>
      </c>
      <c r="D5646" s="12">
        <v>1.2</v>
      </c>
    </row>
    <row r="5647" spans="1:4" x14ac:dyDescent="0.2">
      <c r="A5647" s="12" t="s">
        <v>324</v>
      </c>
      <c r="B5647" s="12" t="s">
        <v>323</v>
      </c>
      <c r="C5647" s="12">
        <v>70</v>
      </c>
      <c r="D5647" s="12">
        <v>7</v>
      </c>
    </row>
    <row r="5648" spans="1:4" x14ac:dyDescent="0.2">
      <c r="A5648" s="12" t="s">
        <v>5813</v>
      </c>
      <c r="B5648" s="12" t="s">
        <v>5812</v>
      </c>
      <c r="C5648" s="12">
        <v>100</v>
      </c>
      <c r="D5648" s="12">
        <v>10</v>
      </c>
    </row>
    <row r="5649" spans="1:4" x14ac:dyDescent="0.2">
      <c r="A5649" s="12" t="s">
        <v>9556</v>
      </c>
      <c r="B5649" s="12" t="s">
        <v>9555</v>
      </c>
      <c r="C5649" s="12">
        <v>800</v>
      </c>
      <c r="D5649" s="12">
        <v>80</v>
      </c>
    </row>
    <row r="5650" spans="1:4" x14ac:dyDescent="0.2">
      <c r="A5650" s="12" t="s">
        <v>5116</v>
      </c>
      <c r="B5650" s="12" t="s">
        <v>5115</v>
      </c>
      <c r="C5650" s="12">
        <v>240</v>
      </c>
      <c r="D5650" s="12">
        <v>24</v>
      </c>
    </row>
    <row r="5651" spans="1:4" x14ac:dyDescent="0.2">
      <c r="A5651" s="12" t="s">
        <v>8324</v>
      </c>
      <c r="B5651" s="12" t="s">
        <v>8323</v>
      </c>
      <c r="C5651" s="12">
        <v>10</v>
      </c>
      <c r="D5651" s="12">
        <v>1</v>
      </c>
    </row>
    <row r="5652" spans="1:4" x14ac:dyDescent="0.2">
      <c r="A5652" s="12" t="s">
        <v>8326</v>
      </c>
      <c r="B5652" s="12" t="s">
        <v>8325</v>
      </c>
      <c r="C5652" s="12">
        <v>180</v>
      </c>
      <c r="D5652" s="12">
        <v>18</v>
      </c>
    </row>
    <row r="5653" spans="1:4" x14ac:dyDescent="0.2">
      <c r="A5653" s="12" t="s">
        <v>5807</v>
      </c>
      <c r="B5653" s="12" t="s">
        <v>5806</v>
      </c>
      <c r="C5653" s="12">
        <v>26</v>
      </c>
      <c r="D5653" s="12">
        <v>2.6</v>
      </c>
    </row>
    <row r="5654" spans="1:4" x14ac:dyDescent="0.2">
      <c r="A5654" s="12" t="s">
        <v>6145</v>
      </c>
      <c r="B5654" s="12" t="s">
        <v>6144</v>
      </c>
      <c r="C5654" s="12">
        <v>0.2</v>
      </c>
      <c r="D5654" s="12">
        <v>0.02</v>
      </c>
    </row>
    <row r="5655" spans="1:4" x14ac:dyDescent="0.2">
      <c r="A5655" s="12" t="s">
        <v>2371</v>
      </c>
      <c r="B5655" s="12" t="s">
        <v>2370</v>
      </c>
      <c r="C5655" s="12">
        <v>50</v>
      </c>
      <c r="D5655" s="12">
        <v>5</v>
      </c>
    </row>
    <row r="5656" spans="1:4" x14ac:dyDescent="0.2">
      <c r="A5656" s="12" t="s">
        <v>6002</v>
      </c>
      <c r="B5656" s="12" t="s">
        <v>6001</v>
      </c>
      <c r="C5656" s="12">
        <v>50</v>
      </c>
      <c r="D5656" s="12">
        <v>5</v>
      </c>
    </row>
    <row r="5657" spans="1:4" x14ac:dyDescent="0.2">
      <c r="A5657" s="12" t="s">
        <v>9274</v>
      </c>
      <c r="B5657" s="12" t="s">
        <v>9273</v>
      </c>
      <c r="C5657" s="12">
        <v>2450</v>
      </c>
      <c r="D5657" s="12">
        <v>245</v>
      </c>
    </row>
    <row r="5658" spans="1:4" x14ac:dyDescent="0.2">
      <c r="A5658" s="12" t="s">
        <v>7154</v>
      </c>
      <c r="B5658" s="12" t="s">
        <v>7153</v>
      </c>
      <c r="C5658" s="12">
        <v>50</v>
      </c>
      <c r="D5658" s="12">
        <v>5</v>
      </c>
    </row>
    <row r="5659" spans="1:4" x14ac:dyDescent="0.2">
      <c r="A5659" s="12" t="s">
        <v>7551</v>
      </c>
      <c r="B5659" s="12" t="s">
        <v>7550</v>
      </c>
      <c r="C5659" s="12">
        <v>50</v>
      </c>
      <c r="D5659" s="12">
        <v>5</v>
      </c>
    </row>
    <row r="5660" spans="1:4" x14ac:dyDescent="0.2">
      <c r="A5660" s="12" t="s">
        <v>4897</v>
      </c>
      <c r="B5660" s="12" t="s">
        <v>4896</v>
      </c>
      <c r="C5660" s="12" t="s">
        <v>59</v>
      </c>
      <c r="D5660" s="12" t="s">
        <v>59</v>
      </c>
    </row>
    <row r="5661" spans="1:4" x14ac:dyDescent="0.2">
      <c r="A5661" s="12" t="s">
        <v>4898</v>
      </c>
      <c r="B5661" s="12" t="s">
        <v>4896</v>
      </c>
      <c r="C5661" s="12">
        <v>1000</v>
      </c>
      <c r="D5661" s="12">
        <v>100</v>
      </c>
    </row>
    <row r="5662" spans="1:4" x14ac:dyDescent="0.2">
      <c r="A5662" s="12" t="s">
        <v>11617</v>
      </c>
      <c r="B5662" s="12" t="s">
        <v>11616</v>
      </c>
      <c r="C5662" s="12" t="s">
        <v>59</v>
      </c>
      <c r="D5662" s="12" t="s">
        <v>59</v>
      </c>
    </row>
    <row r="5663" spans="1:4" x14ac:dyDescent="0.2">
      <c r="A5663" s="12" t="s">
        <v>4991</v>
      </c>
      <c r="B5663" s="12" t="s">
        <v>4990</v>
      </c>
      <c r="C5663" s="12">
        <v>1000</v>
      </c>
      <c r="D5663" s="12">
        <v>100</v>
      </c>
    </row>
    <row r="5664" spans="1:4" x14ac:dyDescent="0.2">
      <c r="A5664" s="12" t="s">
        <v>5266</v>
      </c>
      <c r="B5664" s="12" t="s">
        <v>5265</v>
      </c>
      <c r="C5664" s="12">
        <v>1100</v>
      </c>
      <c r="D5664" s="12">
        <v>110</v>
      </c>
    </row>
    <row r="5665" spans="1:4" x14ac:dyDescent="0.2">
      <c r="A5665" s="12" t="s">
        <v>5276</v>
      </c>
      <c r="B5665" s="12" t="s">
        <v>5275</v>
      </c>
      <c r="C5665" s="12">
        <v>1000</v>
      </c>
      <c r="D5665" s="12">
        <v>100</v>
      </c>
    </row>
    <row r="5666" spans="1:4" x14ac:dyDescent="0.2">
      <c r="A5666" s="12" t="s">
        <v>6801</v>
      </c>
      <c r="B5666" s="12" t="s">
        <v>6800</v>
      </c>
      <c r="C5666" s="12">
        <v>1000</v>
      </c>
      <c r="D5666" s="12">
        <v>100</v>
      </c>
    </row>
    <row r="5667" spans="1:4" x14ac:dyDescent="0.2">
      <c r="A5667" s="12" t="s">
        <v>12220</v>
      </c>
      <c r="B5667" s="12" t="s">
        <v>12219</v>
      </c>
      <c r="C5667" s="12">
        <v>1000</v>
      </c>
      <c r="D5667" s="12">
        <v>100</v>
      </c>
    </row>
    <row r="5668" spans="1:4" x14ac:dyDescent="0.2">
      <c r="A5668" s="12" t="s">
        <v>11429</v>
      </c>
      <c r="B5668" s="12" t="s">
        <v>11428</v>
      </c>
      <c r="C5668" s="12">
        <v>1000</v>
      </c>
      <c r="D5668" s="12">
        <v>100</v>
      </c>
    </row>
    <row r="5669" spans="1:4" x14ac:dyDescent="0.2">
      <c r="A5669" s="12" t="s">
        <v>10729</v>
      </c>
      <c r="B5669" s="12" t="s">
        <v>10728</v>
      </c>
      <c r="C5669" s="12">
        <v>1000</v>
      </c>
      <c r="D5669" s="12">
        <v>100</v>
      </c>
    </row>
    <row r="5670" spans="1:4" x14ac:dyDescent="0.2">
      <c r="A5670" s="12" t="s">
        <v>10783</v>
      </c>
      <c r="B5670" s="12" t="s">
        <v>10782</v>
      </c>
      <c r="C5670" s="12">
        <v>1000</v>
      </c>
      <c r="D5670" s="12">
        <v>100</v>
      </c>
    </row>
    <row r="5671" spans="1:4" x14ac:dyDescent="0.2">
      <c r="A5671" s="12" t="s">
        <v>8124</v>
      </c>
      <c r="B5671" s="12" t="s">
        <v>8123</v>
      </c>
      <c r="C5671" s="12">
        <v>1000</v>
      </c>
      <c r="D5671" s="12">
        <v>100</v>
      </c>
    </row>
    <row r="5672" spans="1:4" x14ac:dyDescent="0.2">
      <c r="A5672" s="12" t="s">
        <v>5459</v>
      </c>
      <c r="B5672" s="12" t="s">
        <v>5458</v>
      </c>
      <c r="C5672" s="12">
        <v>1000</v>
      </c>
      <c r="D5672" s="12">
        <v>100</v>
      </c>
    </row>
    <row r="5673" spans="1:4" x14ac:dyDescent="0.2">
      <c r="A5673" s="12" t="s">
        <v>5443</v>
      </c>
      <c r="B5673" s="12" t="s">
        <v>5442</v>
      </c>
      <c r="C5673" s="12">
        <v>1000</v>
      </c>
      <c r="D5673" s="12">
        <v>100</v>
      </c>
    </row>
    <row r="5674" spans="1:4" x14ac:dyDescent="0.2">
      <c r="A5674" s="12" t="s">
        <v>5436</v>
      </c>
      <c r="B5674" s="12" t="s">
        <v>5435</v>
      </c>
      <c r="C5674" s="12">
        <v>1000</v>
      </c>
      <c r="D5674" s="12">
        <v>100</v>
      </c>
    </row>
    <row r="5675" spans="1:4" x14ac:dyDescent="0.2">
      <c r="A5675" s="12" t="s">
        <v>5385</v>
      </c>
      <c r="B5675" s="12" t="s">
        <v>5384</v>
      </c>
      <c r="C5675" s="12">
        <v>1000</v>
      </c>
      <c r="D5675" s="12">
        <v>100</v>
      </c>
    </row>
    <row r="5676" spans="1:4" x14ac:dyDescent="0.2">
      <c r="A5676" s="12" t="s">
        <v>11855</v>
      </c>
      <c r="B5676" s="12" t="s">
        <v>11854</v>
      </c>
      <c r="C5676" s="12">
        <v>5</v>
      </c>
      <c r="D5676" s="12">
        <v>0.5</v>
      </c>
    </row>
    <row r="5677" spans="1:4" x14ac:dyDescent="0.2">
      <c r="A5677" s="12" t="s">
        <v>4230</v>
      </c>
      <c r="B5677" s="12" t="s">
        <v>4229</v>
      </c>
      <c r="C5677" s="12" t="s">
        <v>59</v>
      </c>
      <c r="D5677" s="12" t="s">
        <v>59</v>
      </c>
    </row>
    <row r="5678" spans="1:4" x14ac:dyDescent="0.2">
      <c r="A5678" s="12" t="s">
        <v>5449</v>
      </c>
      <c r="B5678" s="12" t="s">
        <v>5448</v>
      </c>
      <c r="C5678" s="12">
        <v>1</v>
      </c>
      <c r="D5678" s="12">
        <v>0.1</v>
      </c>
    </row>
    <row r="5679" spans="1:4" x14ac:dyDescent="0.2">
      <c r="A5679" s="12" t="s">
        <v>7604</v>
      </c>
      <c r="B5679" s="12" t="s">
        <v>7603</v>
      </c>
      <c r="C5679" s="12" t="s">
        <v>59</v>
      </c>
      <c r="D5679" s="12" t="s">
        <v>59</v>
      </c>
    </row>
    <row r="5680" spans="1:4" x14ac:dyDescent="0.2">
      <c r="A5680" s="12" t="s">
        <v>7605</v>
      </c>
      <c r="B5680" s="12" t="s">
        <v>7603</v>
      </c>
      <c r="C5680" s="12">
        <v>1000</v>
      </c>
      <c r="D5680" s="12">
        <v>100</v>
      </c>
    </row>
    <row r="5681" spans="1:4" x14ac:dyDescent="0.2">
      <c r="A5681" s="12" t="s">
        <v>4969</v>
      </c>
      <c r="B5681" s="12" t="s">
        <v>4968</v>
      </c>
      <c r="C5681" s="12">
        <v>1000</v>
      </c>
      <c r="D5681" s="12">
        <v>100</v>
      </c>
    </row>
    <row r="5682" spans="1:4" x14ac:dyDescent="0.2">
      <c r="A5682" s="12" t="s">
        <v>8012</v>
      </c>
      <c r="B5682" s="12" t="s">
        <v>8011</v>
      </c>
      <c r="C5682" s="12" t="s">
        <v>59</v>
      </c>
      <c r="D5682" s="12" t="s">
        <v>59</v>
      </c>
    </row>
    <row r="5683" spans="1:4" x14ac:dyDescent="0.2">
      <c r="A5683" s="12" t="s">
        <v>9796</v>
      </c>
      <c r="B5683" s="12" t="s">
        <v>9795</v>
      </c>
      <c r="C5683" s="12">
        <v>3500</v>
      </c>
      <c r="D5683" s="12">
        <v>350</v>
      </c>
    </row>
    <row r="5684" spans="1:4" x14ac:dyDescent="0.2">
      <c r="A5684" s="12" t="s">
        <v>10058</v>
      </c>
      <c r="B5684" s="12" t="s">
        <v>10057</v>
      </c>
      <c r="C5684" s="12">
        <v>1120</v>
      </c>
      <c r="D5684" s="12">
        <v>112</v>
      </c>
    </row>
    <row r="5685" spans="1:4" x14ac:dyDescent="0.2">
      <c r="A5685" s="12" t="s">
        <v>11437</v>
      </c>
      <c r="B5685" s="12" t="s">
        <v>11436</v>
      </c>
      <c r="C5685" s="12">
        <v>1000</v>
      </c>
      <c r="D5685" s="12">
        <v>100</v>
      </c>
    </row>
    <row r="5686" spans="1:4" x14ac:dyDescent="0.2">
      <c r="A5686" s="12" t="s">
        <v>8077</v>
      </c>
      <c r="B5686" s="12" t="s">
        <v>8076</v>
      </c>
      <c r="C5686" s="12" t="s">
        <v>59</v>
      </c>
      <c r="D5686" s="12" t="s">
        <v>59</v>
      </c>
    </row>
    <row r="5687" spans="1:4" x14ac:dyDescent="0.2">
      <c r="A5687" s="12" t="s">
        <v>9621</v>
      </c>
      <c r="B5687" s="12" t="s">
        <v>9620</v>
      </c>
      <c r="C5687" s="12">
        <v>20</v>
      </c>
      <c r="D5687" s="12">
        <v>2</v>
      </c>
    </row>
    <row r="5688" spans="1:4" x14ac:dyDescent="0.2">
      <c r="A5688" s="12" t="s">
        <v>9622</v>
      </c>
      <c r="B5688" s="12" t="s">
        <v>9620</v>
      </c>
      <c r="C5688" s="12">
        <v>1000</v>
      </c>
      <c r="D5688" s="12">
        <v>100</v>
      </c>
    </row>
    <row r="5689" spans="1:4" x14ac:dyDescent="0.2">
      <c r="A5689" s="12" t="s">
        <v>10631</v>
      </c>
      <c r="B5689" s="12" t="s">
        <v>10630</v>
      </c>
      <c r="C5689" s="12">
        <v>50</v>
      </c>
      <c r="D5689" s="12">
        <v>5</v>
      </c>
    </row>
    <row r="5690" spans="1:4" x14ac:dyDescent="0.2">
      <c r="A5690" s="12" t="s">
        <v>4498</v>
      </c>
      <c r="B5690" s="12" t="s">
        <v>4497</v>
      </c>
      <c r="C5690" s="12">
        <v>50</v>
      </c>
      <c r="D5690" s="12">
        <v>5</v>
      </c>
    </row>
    <row r="5691" spans="1:4" x14ac:dyDescent="0.2">
      <c r="A5691" s="12" t="s">
        <v>4499</v>
      </c>
      <c r="B5691" s="12" t="s">
        <v>4497</v>
      </c>
      <c r="C5691" s="12">
        <v>800</v>
      </c>
      <c r="D5691" s="12">
        <v>80</v>
      </c>
    </row>
    <row r="5692" spans="1:4" x14ac:dyDescent="0.2">
      <c r="A5692" s="12" t="s">
        <v>8017</v>
      </c>
      <c r="B5692" s="12" t="s">
        <v>8016</v>
      </c>
      <c r="C5692" s="12" t="s">
        <v>59</v>
      </c>
      <c r="D5692" s="12" t="s">
        <v>59</v>
      </c>
    </row>
    <row r="5693" spans="1:4" x14ac:dyDescent="0.2">
      <c r="A5693" s="12" t="s">
        <v>8018</v>
      </c>
      <c r="B5693" s="12" t="s">
        <v>8016</v>
      </c>
      <c r="C5693" s="12">
        <v>1000</v>
      </c>
      <c r="D5693" s="12">
        <v>100</v>
      </c>
    </row>
    <row r="5694" spans="1:4" x14ac:dyDescent="0.2">
      <c r="A5694" s="12" t="s">
        <v>7282</v>
      </c>
      <c r="B5694" s="12" t="s">
        <v>7281</v>
      </c>
      <c r="C5694" s="12">
        <v>3500</v>
      </c>
      <c r="D5694" s="12">
        <v>350</v>
      </c>
    </row>
    <row r="5695" spans="1:4" x14ac:dyDescent="0.2">
      <c r="A5695" s="12" t="s">
        <v>12238</v>
      </c>
      <c r="B5695" s="12" t="s">
        <v>12237</v>
      </c>
      <c r="C5695" s="12">
        <v>1120</v>
      </c>
      <c r="D5695" s="12">
        <v>112</v>
      </c>
    </row>
    <row r="5696" spans="1:4" x14ac:dyDescent="0.2">
      <c r="A5696" s="12" t="s">
        <v>9463</v>
      </c>
      <c r="B5696" s="12" t="s">
        <v>9462</v>
      </c>
      <c r="C5696" s="12">
        <v>1120</v>
      </c>
      <c r="D5696" s="12">
        <v>112</v>
      </c>
    </row>
    <row r="5697" spans="1:4" x14ac:dyDescent="0.2">
      <c r="A5697" s="12" t="s">
        <v>12377</v>
      </c>
      <c r="B5697" s="12" t="s">
        <v>12376</v>
      </c>
      <c r="C5697" s="12">
        <v>1000</v>
      </c>
      <c r="D5697" s="12">
        <v>100</v>
      </c>
    </row>
    <row r="5698" spans="1:4" x14ac:dyDescent="0.2">
      <c r="A5698" s="12" t="s">
        <v>8085</v>
      </c>
      <c r="B5698" s="12" t="s">
        <v>8084</v>
      </c>
      <c r="C5698" s="12">
        <v>1000</v>
      </c>
      <c r="D5698" s="12">
        <v>100</v>
      </c>
    </row>
    <row r="5699" spans="1:4" x14ac:dyDescent="0.2">
      <c r="A5699" s="12" t="s">
        <v>9165</v>
      </c>
      <c r="B5699" s="12" t="s">
        <v>9164</v>
      </c>
      <c r="C5699" s="12">
        <v>0.33</v>
      </c>
      <c r="D5699" s="12">
        <v>5.8999999999999997E-2</v>
      </c>
    </row>
    <row r="5700" spans="1:4" x14ac:dyDescent="0.2">
      <c r="A5700" s="12" t="s">
        <v>3833</v>
      </c>
      <c r="B5700" s="12" t="s">
        <v>3832</v>
      </c>
      <c r="C5700" s="12">
        <v>1000</v>
      </c>
      <c r="D5700" s="12">
        <v>100</v>
      </c>
    </row>
    <row r="5701" spans="1:4" x14ac:dyDescent="0.2">
      <c r="A5701" s="12" t="s">
        <v>765</v>
      </c>
      <c r="B5701" s="12" t="s">
        <v>764</v>
      </c>
      <c r="C5701" s="12">
        <v>1000</v>
      </c>
      <c r="D5701" s="12">
        <v>100</v>
      </c>
    </row>
    <row r="5702" spans="1:4" x14ac:dyDescent="0.2">
      <c r="A5702" s="12" t="s">
        <v>5291</v>
      </c>
      <c r="B5702" s="12" t="s">
        <v>5290</v>
      </c>
      <c r="C5702" s="12">
        <v>1</v>
      </c>
      <c r="D5702" s="12">
        <v>0.1</v>
      </c>
    </row>
    <row r="5703" spans="1:4" x14ac:dyDescent="0.2">
      <c r="A5703" s="12" t="s">
        <v>2997</v>
      </c>
      <c r="B5703" s="12" t="s">
        <v>2996</v>
      </c>
      <c r="C5703" s="12">
        <v>50</v>
      </c>
      <c r="D5703" s="12">
        <v>5</v>
      </c>
    </row>
    <row r="5704" spans="1:4" x14ac:dyDescent="0.2">
      <c r="A5704" s="12" t="s">
        <v>7992</v>
      </c>
      <c r="B5704" s="12" t="s">
        <v>7991</v>
      </c>
      <c r="C5704" s="12">
        <v>1000</v>
      </c>
      <c r="D5704" s="12">
        <v>100</v>
      </c>
    </row>
    <row r="5705" spans="1:4" x14ac:dyDescent="0.2">
      <c r="A5705" s="12" t="s">
        <v>10028</v>
      </c>
      <c r="B5705" s="12" t="s">
        <v>10027</v>
      </c>
      <c r="C5705" s="12" t="s">
        <v>59</v>
      </c>
      <c r="D5705" s="12" t="s">
        <v>59</v>
      </c>
    </row>
    <row r="5706" spans="1:4" x14ac:dyDescent="0.2">
      <c r="A5706" s="12" t="s">
        <v>8081</v>
      </c>
      <c r="B5706" s="12" t="s">
        <v>8080</v>
      </c>
      <c r="C5706" s="12">
        <v>1000</v>
      </c>
      <c r="D5706" s="12">
        <v>100</v>
      </c>
    </row>
    <row r="5707" spans="1:4" x14ac:dyDescent="0.2">
      <c r="A5707" s="12" t="s">
        <v>9512</v>
      </c>
      <c r="B5707" s="12" t="s">
        <v>9511</v>
      </c>
      <c r="C5707" s="12">
        <v>1000</v>
      </c>
      <c r="D5707" s="12">
        <v>100</v>
      </c>
    </row>
    <row r="5708" spans="1:4" x14ac:dyDescent="0.2">
      <c r="A5708" s="12" t="s">
        <v>9808</v>
      </c>
      <c r="B5708" s="12" t="s">
        <v>9807</v>
      </c>
      <c r="C5708" s="12" t="s">
        <v>59</v>
      </c>
      <c r="D5708" s="12" t="s">
        <v>59</v>
      </c>
    </row>
    <row r="5709" spans="1:4" x14ac:dyDescent="0.2">
      <c r="A5709" s="12" t="s">
        <v>9809</v>
      </c>
      <c r="B5709" s="12" t="s">
        <v>9807</v>
      </c>
      <c r="C5709" s="12">
        <v>1000</v>
      </c>
      <c r="D5709" s="12">
        <v>100</v>
      </c>
    </row>
    <row r="5710" spans="1:4" x14ac:dyDescent="0.2">
      <c r="A5710" s="12" t="s">
        <v>9618</v>
      </c>
      <c r="B5710" s="12" t="s">
        <v>9617</v>
      </c>
      <c r="C5710" s="12" t="s">
        <v>59</v>
      </c>
      <c r="D5710" s="12" t="s">
        <v>59</v>
      </c>
    </row>
    <row r="5711" spans="1:4" x14ac:dyDescent="0.2">
      <c r="A5711" s="12" t="s">
        <v>9619</v>
      </c>
      <c r="B5711" s="12" t="s">
        <v>9617</v>
      </c>
      <c r="C5711" s="12">
        <v>1000</v>
      </c>
      <c r="D5711" s="12">
        <v>100</v>
      </c>
    </row>
    <row r="5712" spans="1:4" x14ac:dyDescent="0.2">
      <c r="A5712" s="12" t="s">
        <v>11253</v>
      </c>
      <c r="B5712" s="12" t="s">
        <v>11252</v>
      </c>
      <c r="C5712" s="12">
        <v>1000</v>
      </c>
      <c r="D5712" s="12">
        <v>100</v>
      </c>
    </row>
    <row r="5713" spans="1:4" x14ac:dyDescent="0.2">
      <c r="A5713" s="12" t="s">
        <v>4965</v>
      </c>
      <c r="B5713" s="12" t="s">
        <v>4964</v>
      </c>
      <c r="C5713" s="12" t="s">
        <v>59</v>
      </c>
      <c r="D5713" s="12" t="s">
        <v>59</v>
      </c>
    </row>
    <row r="5714" spans="1:4" x14ac:dyDescent="0.2">
      <c r="A5714" s="12" t="s">
        <v>5473</v>
      </c>
      <c r="B5714" s="12" t="s">
        <v>5472</v>
      </c>
      <c r="C5714" s="12">
        <v>60</v>
      </c>
      <c r="D5714" s="12">
        <v>6</v>
      </c>
    </row>
    <row r="5715" spans="1:4" x14ac:dyDescent="0.2">
      <c r="A5715" s="12" t="s">
        <v>8026</v>
      </c>
      <c r="B5715" s="12" t="s">
        <v>8025</v>
      </c>
      <c r="C5715" s="12">
        <v>1000</v>
      </c>
      <c r="D5715" s="12">
        <v>100</v>
      </c>
    </row>
    <row r="5716" spans="1:4" x14ac:dyDescent="0.2">
      <c r="A5716" s="12" t="s">
        <v>10324</v>
      </c>
      <c r="B5716" s="12" t="s">
        <v>10323</v>
      </c>
      <c r="C5716" s="12">
        <v>10</v>
      </c>
      <c r="D5716" s="12">
        <v>1</v>
      </c>
    </row>
    <row r="5717" spans="1:4" x14ac:dyDescent="0.2">
      <c r="A5717" s="12" t="s">
        <v>8230</v>
      </c>
      <c r="B5717" s="12" t="s">
        <v>8229</v>
      </c>
      <c r="C5717" s="12">
        <v>10</v>
      </c>
      <c r="D5717" s="12">
        <v>1</v>
      </c>
    </row>
    <row r="5718" spans="1:4" x14ac:dyDescent="0.2">
      <c r="A5718" s="12" t="s">
        <v>12355</v>
      </c>
      <c r="B5718" s="12" t="s">
        <v>12354</v>
      </c>
      <c r="C5718" s="12" t="s">
        <v>59</v>
      </c>
      <c r="D5718" s="12" t="s">
        <v>59</v>
      </c>
    </row>
    <row r="5719" spans="1:4" x14ac:dyDescent="0.2">
      <c r="A5719" s="12" t="s">
        <v>5665</v>
      </c>
      <c r="B5719" s="12" t="s">
        <v>5664</v>
      </c>
      <c r="C5719" s="12">
        <v>5</v>
      </c>
      <c r="D5719" s="12">
        <v>0.5</v>
      </c>
    </row>
    <row r="5720" spans="1:4" x14ac:dyDescent="0.2">
      <c r="A5720" s="12" t="s">
        <v>4151</v>
      </c>
      <c r="B5720" s="12" t="s">
        <v>4150</v>
      </c>
      <c r="C5720" s="12">
        <v>1000</v>
      </c>
      <c r="D5720" s="12">
        <v>100</v>
      </c>
    </row>
    <row r="5721" spans="1:4" x14ac:dyDescent="0.2">
      <c r="A5721" s="12" t="s">
        <v>11530</v>
      </c>
      <c r="B5721" s="12" t="s">
        <v>11529</v>
      </c>
      <c r="C5721" s="12">
        <v>1000</v>
      </c>
      <c r="D5721" s="12">
        <v>100</v>
      </c>
    </row>
    <row r="5722" spans="1:4" x14ac:dyDescent="0.2">
      <c r="A5722" s="12" t="s">
        <v>5268</v>
      </c>
      <c r="B5722" s="12" t="s">
        <v>5267</v>
      </c>
      <c r="C5722" s="12">
        <v>1000</v>
      </c>
      <c r="D5722" s="12">
        <v>100</v>
      </c>
    </row>
    <row r="5723" spans="1:4" x14ac:dyDescent="0.2">
      <c r="A5723" s="12" t="s">
        <v>4086</v>
      </c>
      <c r="B5723" s="12" t="s">
        <v>4085</v>
      </c>
      <c r="C5723" s="12" t="s">
        <v>59</v>
      </c>
      <c r="D5723" s="12"/>
    </row>
    <row r="5724" spans="1:4" x14ac:dyDescent="0.2">
      <c r="A5724" s="12" t="s">
        <v>4087</v>
      </c>
      <c r="B5724" s="12" t="s">
        <v>4085</v>
      </c>
      <c r="C5724" s="12"/>
      <c r="D5724" s="12">
        <v>0.4</v>
      </c>
    </row>
    <row r="5725" spans="1:4" x14ac:dyDescent="0.2">
      <c r="A5725" s="12" t="s">
        <v>5438</v>
      </c>
      <c r="B5725" s="12" t="s">
        <v>5437</v>
      </c>
      <c r="C5725" s="12">
        <v>1000</v>
      </c>
      <c r="D5725" s="12">
        <v>100</v>
      </c>
    </row>
    <row r="5726" spans="1:4" x14ac:dyDescent="0.2">
      <c r="A5726" s="12" t="s">
        <v>7609</v>
      </c>
      <c r="B5726" s="12" t="s">
        <v>7608</v>
      </c>
      <c r="C5726" s="12" t="s">
        <v>59</v>
      </c>
      <c r="D5726" s="12" t="s">
        <v>59</v>
      </c>
    </row>
    <row r="5727" spans="1:4" x14ac:dyDescent="0.2">
      <c r="A5727" s="12" t="s">
        <v>9012</v>
      </c>
      <c r="B5727" s="12" t="s">
        <v>9011</v>
      </c>
      <c r="C5727" s="12">
        <v>4000</v>
      </c>
      <c r="D5727" s="12">
        <v>400</v>
      </c>
    </row>
    <row r="5728" spans="1:4" x14ac:dyDescent="0.2">
      <c r="A5728" s="12" t="s">
        <v>11251</v>
      </c>
      <c r="B5728" s="12" t="s">
        <v>11250</v>
      </c>
      <c r="C5728" s="12" t="s">
        <v>59</v>
      </c>
      <c r="D5728" s="12" t="s">
        <v>59</v>
      </c>
    </row>
    <row r="5729" spans="1:4" x14ac:dyDescent="0.2">
      <c r="A5729" s="12" t="s">
        <v>10682</v>
      </c>
      <c r="B5729" s="12" t="s">
        <v>10681</v>
      </c>
      <c r="C5729" s="12" t="s">
        <v>59</v>
      </c>
      <c r="D5729" s="12" t="s">
        <v>59</v>
      </c>
    </row>
    <row r="5730" spans="1:4" x14ac:dyDescent="0.2">
      <c r="A5730" s="12" t="s">
        <v>7233</v>
      </c>
      <c r="B5730" s="12" t="s">
        <v>7232</v>
      </c>
      <c r="C5730" s="12" t="s">
        <v>59</v>
      </c>
      <c r="D5730" s="12" t="s">
        <v>59</v>
      </c>
    </row>
    <row r="5731" spans="1:4" x14ac:dyDescent="0.2">
      <c r="A5731" s="12" t="s">
        <v>6413</v>
      </c>
      <c r="B5731" s="12" t="s">
        <v>6412</v>
      </c>
      <c r="C5731" s="12">
        <v>2000</v>
      </c>
      <c r="D5731" s="12">
        <v>200</v>
      </c>
    </row>
    <row r="5732" spans="1:4" x14ac:dyDescent="0.2">
      <c r="A5732" s="12" t="s">
        <v>11639</v>
      </c>
      <c r="B5732" s="12" t="s">
        <v>11638</v>
      </c>
      <c r="C5732" s="12">
        <v>2000</v>
      </c>
      <c r="D5732" s="12">
        <v>200</v>
      </c>
    </row>
    <row r="5733" spans="1:4" x14ac:dyDescent="0.2">
      <c r="A5733" s="12" t="s">
        <v>9804</v>
      </c>
      <c r="B5733" s="12" t="s">
        <v>9803</v>
      </c>
      <c r="C5733" s="12">
        <v>3500</v>
      </c>
      <c r="D5733" s="12">
        <v>350</v>
      </c>
    </row>
    <row r="5734" spans="1:4" x14ac:dyDescent="0.2">
      <c r="A5734" s="12" t="s">
        <v>1269</v>
      </c>
      <c r="B5734" s="12" t="s">
        <v>1268</v>
      </c>
      <c r="C5734" s="12">
        <v>140</v>
      </c>
      <c r="D5734" s="12">
        <v>14</v>
      </c>
    </row>
    <row r="5735" spans="1:4" x14ac:dyDescent="0.2">
      <c r="A5735" s="12" t="s">
        <v>9149</v>
      </c>
      <c r="B5735" s="12" t="s">
        <v>9148</v>
      </c>
      <c r="C5735" s="12">
        <v>210</v>
      </c>
      <c r="D5735" s="12">
        <v>21</v>
      </c>
    </row>
    <row r="5736" spans="1:4" x14ac:dyDescent="0.2">
      <c r="A5736" s="12" t="s">
        <v>5089</v>
      </c>
      <c r="B5736" s="12" t="s">
        <v>5088</v>
      </c>
      <c r="C5736" s="12" t="s">
        <v>59</v>
      </c>
      <c r="D5736" s="12" t="s">
        <v>59</v>
      </c>
    </row>
    <row r="5737" spans="1:4" x14ac:dyDescent="0.2">
      <c r="A5737" s="12" t="s">
        <v>5090</v>
      </c>
      <c r="B5737" s="12" t="s">
        <v>5088</v>
      </c>
      <c r="C5737" s="12">
        <v>1000</v>
      </c>
      <c r="D5737" s="12">
        <v>100</v>
      </c>
    </row>
    <row r="5738" spans="1:4" x14ac:dyDescent="0.2">
      <c r="A5738" s="12" t="s">
        <v>12349</v>
      </c>
      <c r="B5738" s="12" t="s">
        <v>12348</v>
      </c>
      <c r="C5738" s="12">
        <v>1000</v>
      </c>
      <c r="D5738" s="12">
        <v>100</v>
      </c>
    </row>
    <row r="5739" spans="1:4" x14ac:dyDescent="0.2">
      <c r="A5739" s="12" t="s">
        <v>5849</v>
      </c>
      <c r="B5739" s="12" t="s">
        <v>5848</v>
      </c>
      <c r="C5739" s="12">
        <v>100</v>
      </c>
      <c r="D5739" s="12">
        <v>10</v>
      </c>
    </row>
    <row r="5740" spans="1:4" x14ac:dyDescent="0.2">
      <c r="A5740" s="12" t="s">
        <v>10600</v>
      </c>
      <c r="B5740" s="12" t="s">
        <v>10599</v>
      </c>
      <c r="C5740" s="12">
        <v>35</v>
      </c>
      <c r="D5740" s="12">
        <v>3.5</v>
      </c>
    </row>
    <row r="5741" spans="1:4" x14ac:dyDescent="0.2">
      <c r="A5741" s="12" t="s">
        <v>10601</v>
      </c>
      <c r="B5741" s="12" t="s">
        <v>10599</v>
      </c>
      <c r="C5741" s="12">
        <v>700</v>
      </c>
      <c r="D5741" s="12">
        <v>70</v>
      </c>
    </row>
    <row r="5742" spans="1:4" x14ac:dyDescent="0.2">
      <c r="A5742" s="12" t="s">
        <v>9151</v>
      </c>
      <c r="B5742" s="12" t="s">
        <v>9150</v>
      </c>
      <c r="C5742" s="12">
        <v>210</v>
      </c>
      <c r="D5742" s="12">
        <v>21</v>
      </c>
    </row>
    <row r="5743" spans="1:4" x14ac:dyDescent="0.2">
      <c r="A5743" s="12" t="s">
        <v>10758</v>
      </c>
      <c r="B5743" s="12" t="s">
        <v>10757</v>
      </c>
      <c r="C5743" s="12" t="s">
        <v>59</v>
      </c>
      <c r="D5743" s="12" t="s">
        <v>59</v>
      </c>
    </row>
    <row r="5744" spans="1:4" x14ac:dyDescent="0.2">
      <c r="A5744" s="12" t="s">
        <v>7317</v>
      </c>
      <c r="B5744" s="12" t="s">
        <v>7316</v>
      </c>
      <c r="C5744" s="12" t="s">
        <v>59</v>
      </c>
      <c r="D5744" s="12" t="s">
        <v>59</v>
      </c>
    </row>
    <row r="5745" spans="1:4" x14ac:dyDescent="0.2">
      <c r="A5745" s="12" t="s">
        <v>10958</v>
      </c>
      <c r="B5745" s="12" t="s">
        <v>10957</v>
      </c>
      <c r="C5745" s="12" t="s">
        <v>59</v>
      </c>
      <c r="D5745" s="12" t="s">
        <v>59</v>
      </c>
    </row>
    <row r="5746" spans="1:4" x14ac:dyDescent="0.2">
      <c r="A5746" s="12" t="s">
        <v>10959</v>
      </c>
      <c r="B5746" s="12" t="s">
        <v>10957</v>
      </c>
      <c r="C5746" s="12">
        <v>1000</v>
      </c>
      <c r="D5746" s="12">
        <v>100</v>
      </c>
    </row>
    <row r="5747" spans="1:4" x14ac:dyDescent="0.2">
      <c r="A5747" s="12" t="s">
        <v>9593</v>
      </c>
      <c r="B5747" s="12" t="s">
        <v>9592</v>
      </c>
      <c r="C5747" s="12" t="s">
        <v>59</v>
      </c>
      <c r="D5747" s="12" t="s">
        <v>59</v>
      </c>
    </row>
    <row r="5748" spans="1:4" x14ac:dyDescent="0.2">
      <c r="A5748" s="12" t="s">
        <v>9594</v>
      </c>
      <c r="B5748" s="12" t="s">
        <v>9592</v>
      </c>
      <c r="C5748" s="12">
        <v>600</v>
      </c>
      <c r="D5748" s="12">
        <v>60</v>
      </c>
    </row>
    <row r="5749" spans="1:4" x14ac:dyDescent="0.2">
      <c r="A5749" s="12" t="s">
        <v>5394</v>
      </c>
      <c r="B5749" s="12" t="s">
        <v>5393</v>
      </c>
      <c r="C5749" s="12">
        <v>100</v>
      </c>
      <c r="D5749" s="12">
        <v>10</v>
      </c>
    </row>
    <row r="5750" spans="1:4" x14ac:dyDescent="0.2">
      <c r="A5750" s="12" t="s">
        <v>5395</v>
      </c>
      <c r="B5750" s="12" t="s">
        <v>5393</v>
      </c>
      <c r="C5750" s="12" t="s">
        <v>59</v>
      </c>
      <c r="D5750" s="12" t="s">
        <v>59</v>
      </c>
    </row>
    <row r="5751" spans="1:4" x14ac:dyDescent="0.2">
      <c r="A5751" s="12" t="s">
        <v>11452</v>
      </c>
      <c r="B5751" s="12" t="s">
        <v>11451</v>
      </c>
      <c r="C5751" s="12" t="s">
        <v>59</v>
      </c>
      <c r="D5751" s="12" t="s">
        <v>59</v>
      </c>
    </row>
    <row r="5752" spans="1:4" x14ac:dyDescent="0.2">
      <c r="A5752" s="12" t="s">
        <v>11453</v>
      </c>
      <c r="B5752" s="12" t="s">
        <v>11451</v>
      </c>
      <c r="C5752" s="12">
        <v>1000</v>
      </c>
      <c r="D5752" s="12">
        <v>100</v>
      </c>
    </row>
    <row r="5753" spans="1:4" x14ac:dyDescent="0.2">
      <c r="A5753" s="12" t="s">
        <v>10096</v>
      </c>
      <c r="B5753" s="12" t="s">
        <v>10095</v>
      </c>
      <c r="C5753" s="12">
        <v>20</v>
      </c>
      <c r="D5753" s="12">
        <v>2</v>
      </c>
    </row>
    <row r="5754" spans="1:4" x14ac:dyDescent="0.2">
      <c r="A5754" s="12" t="s">
        <v>11308</v>
      </c>
      <c r="B5754" s="12" t="s">
        <v>11307</v>
      </c>
      <c r="C5754" s="12">
        <v>3500</v>
      </c>
      <c r="D5754" s="12">
        <v>350</v>
      </c>
    </row>
    <row r="5755" spans="1:4" x14ac:dyDescent="0.2">
      <c r="A5755" s="12" t="s">
        <v>4141</v>
      </c>
      <c r="B5755" s="12" t="s">
        <v>4140</v>
      </c>
      <c r="C5755" s="12">
        <v>5</v>
      </c>
      <c r="D5755" s="12">
        <v>0.5</v>
      </c>
    </row>
    <row r="5756" spans="1:4" x14ac:dyDescent="0.2">
      <c r="A5756" s="12" t="s">
        <v>4142</v>
      </c>
      <c r="B5756" s="12" t="s">
        <v>4140</v>
      </c>
      <c r="C5756" s="12">
        <v>350</v>
      </c>
      <c r="D5756" s="12">
        <v>35</v>
      </c>
    </row>
    <row r="5757" spans="1:4" x14ac:dyDescent="0.2">
      <c r="A5757" s="12" t="s">
        <v>11526</v>
      </c>
      <c r="B5757" s="12" t="s">
        <v>11525</v>
      </c>
      <c r="C5757" s="12">
        <v>2340</v>
      </c>
      <c r="D5757" s="12">
        <v>234</v>
      </c>
    </row>
    <row r="5758" spans="1:4" x14ac:dyDescent="0.2">
      <c r="A5758" s="12" t="s">
        <v>4178</v>
      </c>
      <c r="B5758" s="12" t="s">
        <v>4177</v>
      </c>
      <c r="C5758" s="12" t="s">
        <v>59</v>
      </c>
      <c r="D5758" s="12" t="s">
        <v>59</v>
      </c>
    </row>
    <row r="5759" spans="1:4" x14ac:dyDescent="0.2">
      <c r="A5759" s="12" t="s">
        <v>8106</v>
      </c>
      <c r="B5759" s="12" t="s">
        <v>8105</v>
      </c>
      <c r="C5759" s="12">
        <v>500</v>
      </c>
      <c r="D5759" s="12">
        <v>50</v>
      </c>
    </row>
    <row r="5760" spans="1:4" x14ac:dyDescent="0.2">
      <c r="A5760" s="12" t="s">
        <v>3827</v>
      </c>
      <c r="B5760" s="12" t="s">
        <v>3826</v>
      </c>
      <c r="C5760" s="12">
        <v>1120</v>
      </c>
      <c r="D5760" s="12">
        <v>112</v>
      </c>
    </row>
    <row r="5761" spans="1:4" x14ac:dyDescent="0.2">
      <c r="A5761" s="12" t="s">
        <v>12294</v>
      </c>
      <c r="B5761" s="12" t="s">
        <v>12293</v>
      </c>
      <c r="C5761" s="12">
        <v>360</v>
      </c>
      <c r="D5761" s="12">
        <v>36</v>
      </c>
    </row>
    <row r="5762" spans="1:4" x14ac:dyDescent="0.2">
      <c r="A5762" s="12" t="s">
        <v>11111</v>
      </c>
      <c r="B5762" s="12" t="s">
        <v>11110</v>
      </c>
      <c r="C5762" s="12" t="s">
        <v>59</v>
      </c>
      <c r="D5762" s="12" t="s">
        <v>59</v>
      </c>
    </row>
    <row r="5763" spans="1:4" x14ac:dyDescent="0.2">
      <c r="A5763" s="12" t="s">
        <v>4860</v>
      </c>
      <c r="B5763" s="12" t="s">
        <v>4859</v>
      </c>
      <c r="C5763" s="12" t="s">
        <v>59</v>
      </c>
      <c r="D5763" s="12" t="s">
        <v>59</v>
      </c>
    </row>
    <row r="5764" spans="1:4" x14ac:dyDescent="0.2">
      <c r="A5764" s="12" t="s">
        <v>4028</v>
      </c>
      <c r="B5764" s="12" t="s">
        <v>4027</v>
      </c>
      <c r="C5764" s="12" t="s">
        <v>59</v>
      </c>
      <c r="D5764" s="12" t="s">
        <v>59</v>
      </c>
    </row>
    <row r="5765" spans="1:4" x14ac:dyDescent="0.2">
      <c r="A5765" s="12" t="s">
        <v>8472</v>
      </c>
      <c r="B5765" s="12" t="s">
        <v>8471</v>
      </c>
      <c r="C5765" s="12">
        <v>860</v>
      </c>
      <c r="D5765" s="12">
        <v>210</v>
      </c>
    </row>
    <row r="5766" spans="1:4" x14ac:dyDescent="0.2">
      <c r="A5766" s="12" t="s">
        <v>5663</v>
      </c>
      <c r="B5766" s="12" t="s">
        <v>5662</v>
      </c>
      <c r="C5766" s="12">
        <v>1</v>
      </c>
      <c r="D5766" s="12">
        <v>0.1</v>
      </c>
    </row>
    <row r="5767" spans="1:4" x14ac:dyDescent="0.2">
      <c r="A5767" s="12" t="s">
        <v>8102</v>
      </c>
      <c r="B5767" s="12" t="s">
        <v>8101</v>
      </c>
      <c r="C5767" s="12" t="s">
        <v>59</v>
      </c>
      <c r="D5767" s="12" t="s">
        <v>59</v>
      </c>
    </row>
    <row r="5768" spans="1:4" x14ac:dyDescent="0.2">
      <c r="A5768" s="12" t="s">
        <v>725</v>
      </c>
      <c r="B5768" s="12" t="s">
        <v>724</v>
      </c>
      <c r="C5768" s="12">
        <v>100</v>
      </c>
      <c r="D5768" s="12">
        <v>10</v>
      </c>
    </row>
    <row r="5769" spans="1:4" x14ac:dyDescent="0.2">
      <c r="A5769" s="12" t="s">
        <v>10781</v>
      </c>
      <c r="B5769" s="12" t="s">
        <v>10780</v>
      </c>
      <c r="C5769" s="12" t="s">
        <v>59</v>
      </c>
      <c r="D5769" s="12" t="s">
        <v>59</v>
      </c>
    </row>
    <row r="5770" spans="1:4" x14ac:dyDescent="0.2">
      <c r="A5770" s="12" t="s">
        <v>292</v>
      </c>
      <c r="B5770" s="12" t="s">
        <v>291</v>
      </c>
      <c r="C5770" s="12">
        <v>41700</v>
      </c>
      <c r="D5770" s="12">
        <v>4170</v>
      </c>
    </row>
    <row r="5771" spans="1:4" x14ac:dyDescent="0.2">
      <c r="A5771" s="12" t="s">
        <v>11950</v>
      </c>
      <c r="B5771" s="12" t="s">
        <v>11949</v>
      </c>
      <c r="C5771" s="12" t="s">
        <v>59</v>
      </c>
      <c r="D5771" s="12" t="s">
        <v>59</v>
      </c>
    </row>
    <row r="5772" spans="1:4" x14ac:dyDescent="0.2">
      <c r="A5772" s="12" t="s">
        <v>2876</v>
      </c>
      <c r="B5772" s="12" t="s">
        <v>2875</v>
      </c>
      <c r="C5772" s="12">
        <v>190</v>
      </c>
      <c r="D5772" s="12">
        <v>19</v>
      </c>
    </row>
    <row r="5773" spans="1:4" x14ac:dyDescent="0.2">
      <c r="A5773" s="12" t="s">
        <v>1059</v>
      </c>
      <c r="B5773" s="12" t="s">
        <v>1058</v>
      </c>
      <c r="C5773" s="12">
        <v>50</v>
      </c>
      <c r="D5773" s="12">
        <v>5</v>
      </c>
    </row>
    <row r="5774" spans="1:4" x14ac:dyDescent="0.2">
      <c r="A5774" s="12" t="s">
        <v>5307</v>
      </c>
      <c r="B5774" s="12" t="s">
        <v>5306</v>
      </c>
      <c r="C5774" s="12">
        <v>0.21</v>
      </c>
      <c r="D5774" s="12">
        <v>1.6999999999999999E-3</v>
      </c>
    </row>
    <row r="5775" spans="1:4" x14ac:dyDescent="0.2">
      <c r="A5775" s="12" t="s">
        <v>259</v>
      </c>
      <c r="B5775" s="12" t="s">
        <v>258</v>
      </c>
      <c r="C5775" s="12">
        <v>40</v>
      </c>
      <c r="D5775" s="12">
        <v>4</v>
      </c>
    </row>
    <row r="5776" spans="1:4" x14ac:dyDescent="0.2">
      <c r="A5776" s="12" t="s">
        <v>2872</v>
      </c>
      <c r="B5776" s="12" t="s">
        <v>2871</v>
      </c>
      <c r="C5776" s="12">
        <v>830</v>
      </c>
      <c r="D5776" s="12">
        <v>83</v>
      </c>
    </row>
    <row r="5777" spans="1:4" x14ac:dyDescent="0.2">
      <c r="A5777" s="12" t="s">
        <v>11380</v>
      </c>
      <c r="B5777" s="12" t="s">
        <v>11379</v>
      </c>
      <c r="C5777" s="12" t="s">
        <v>59</v>
      </c>
      <c r="D5777" s="12" t="s">
        <v>59</v>
      </c>
    </row>
    <row r="5778" spans="1:4" x14ac:dyDescent="0.2">
      <c r="A5778" s="12" t="s">
        <v>1690</v>
      </c>
      <c r="B5778" s="12" t="s">
        <v>1689</v>
      </c>
      <c r="C5778" s="12" t="s">
        <v>59</v>
      </c>
      <c r="D5778" s="12" t="s">
        <v>59</v>
      </c>
    </row>
    <row r="5779" spans="1:4" x14ac:dyDescent="0.2">
      <c r="A5779" s="12" t="s">
        <v>1691</v>
      </c>
      <c r="B5779" s="12" t="s">
        <v>1689</v>
      </c>
      <c r="C5779" s="12">
        <v>600</v>
      </c>
      <c r="D5779" s="12">
        <v>60</v>
      </c>
    </row>
    <row r="5780" spans="1:4" x14ac:dyDescent="0.2">
      <c r="A5780" s="12" t="s">
        <v>7688</v>
      </c>
      <c r="B5780" s="12" t="s">
        <v>7687</v>
      </c>
      <c r="C5780" s="12" t="s">
        <v>59</v>
      </c>
      <c r="D5780" s="12" t="s">
        <v>59</v>
      </c>
    </row>
    <row r="5781" spans="1:4" x14ac:dyDescent="0.2">
      <c r="A5781" s="12" t="s">
        <v>5783</v>
      </c>
      <c r="B5781" s="12" t="s">
        <v>5782</v>
      </c>
      <c r="C5781" s="12">
        <v>1</v>
      </c>
      <c r="D5781" s="12">
        <v>0.1</v>
      </c>
    </row>
    <row r="5782" spans="1:4" x14ac:dyDescent="0.2">
      <c r="A5782" s="12" t="s">
        <v>12346</v>
      </c>
      <c r="B5782" s="12" t="s">
        <v>12345</v>
      </c>
      <c r="C5782" s="12">
        <v>1</v>
      </c>
      <c r="D5782" s="12">
        <v>0.1</v>
      </c>
    </row>
    <row r="5783" spans="1:4" x14ac:dyDescent="0.2">
      <c r="A5783" s="12" t="s">
        <v>2148</v>
      </c>
      <c r="B5783" s="12" t="s">
        <v>2147</v>
      </c>
      <c r="C5783" s="12">
        <v>87</v>
      </c>
      <c r="D5783" s="12">
        <v>8.6999999999999993</v>
      </c>
    </row>
    <row r="5784" spans="1:4" x14ac:dyDescent="0.2">
      <c r="A5784" s="12" t="s">
        <v>4662</v>
      </c>
      <c r="B5784" s="12" t="s">
        <v>4661</v>
      </c>
      <c r="C5784" s="12" t="s">
        <v>59</v>
      </c>
      <c r="D5784" s="12" t="s">
        <v>59</v>
      </c>
    </row>
    <row r="5785" spans="1:4" x14ac:dyDescent="0.2">
      <c r="A5785" s="12" t="s">
        <v>11295</v>
      </c>
      <c r="B5785" s="12" t="s">
        <v>11294</v>
      </c>
      <c r="C5785" s="12" t="s">
        <v>59</v>
      </c>
      <c r="D5785" s="12" t="s">
        <v>59</v>
      </c>
    </row>
    <row r="5786" spans="1:4" x14ac:dyDescent="0.2">
      <c r="A5786" s="12" t="s">
        <v>12125</v>
      </c>
      <c r="B5786" s="12" t="s">
        <v>12124</v>
      </c>
      <c r="C5786" s="12">
        <v>170</v>
      </c>
      <c r="D5786" s="12">
        <v>17</v>
      </c>
    </row>
    <row r="5787" spans="1:4" x14ac:dyDescent="0.2">
      <c r="A5787" s="12" t="s">
        <v>2373</v>
      </c>
      <c r="B5787" s="12" t="s">
        <v>2372</v>
      </c>
      <c r="C5787" s="12">
        <v>1000</v>
      </c>
      <c r="D5787" s="12">
        <v>100</v>
      </c>
    </row>
    <row r="5788" spans="1:4" x14ac:dyDescent="0.2">
      <c r="A5788" s="12" t="s">
        <v>1234</v>
      </c>
      <c r="B5788" s="12" t="s">
        <v>1233</v>
      </c>
      <c r="C5788" s="12">
        <v>5700</v>
      </c>
      <c r="D5788" s="12">
        <v>570</v>
      </c>
    </row>
    <row r="5789" spans="1:4" x14ac:dyDescent="0.2">
      <c r="A5789" s="12" t="s">
        <v>4732</v>
      </c>
      <c r="B5789" s="12" t="s">
        <v>4731</v>
      </c>
      <c r="C5789" s="12" t="s">
        <v>59</v>
      </c>
      <c r="D5789" s="12" t="s">
        <v>59</v>
      </c>
    </row>
    <row r="5790" spans="1:4" x14ac:dyDescent="0.2">
      <c r="A5790" s="12" t="s">
        <v>7475</v>
      </c>
      <c r="B5790" s="12" t="s">
        <v>7474</v>
      </c>
      <c r="C5790" s="12">
        <v>3.3</v>
      </c>
      <c r="D5790" s="12">
        <v>6.3E-2</v>
      </c>
    </row>
    <row r="5791" spans="1:4" x14ac:dyDescent="0.2">
      <c r="A5791" s="12" t="s">
        <v>6203</v>
      </c>
      <c r="B5791" s="12" t="s">
        <v>6202</v>
      </c>
      <c r="C5791" s="12">
        <v>140</v>
      </c>
      <c r="D5791" s="12">
        <v>14</v>
      </c>
    </row>
    <row r="5792" spans="1:4" x14ac:dyDescent="0.2">
      <c r="A5792" s="12" t="s">
        <v>3171</v>
      </c>
      <c r="B5792" s="12" t="s">
        <v>3170</v>
      </c>
      <c r="C5792" s="12">
        <v>50</v>
      </c>
      <c r="D5792" s="12">
        <v>5</v>
      </c>
    </row>
    <row r="5793" spans="1:4" x14ac:dyDescent="0.2">
      <c r="A5793" s="12" t="s">
        <v>11862</v>
      </c>
      <c r="B5793" s="12" t="s">
        <v>11861</v>
      </c>
      <c r="C5793" s="12">
        <v>3500</v>
      </c>
      <c r="D5793" s="12">
        <v>350</v>
      </c>
    </row>
    <row r="5794" spans="1:4" x14ac:dyDescent="0.2">
      <c r="A5794" s="12" t="s">
        <v>2025</v>
      </c>
      <c r="B5794" s="12" t="s">
        <v>2024</v>
      </c>
      <c r="C5794" s="12">
        <v>2000</v>
      </c>
      <c r="D5794" s="12">
        <v>200</v>
      </c>
    </row>
    <row r="5795" spans="1:4" x14ac:dyDescent="0.2">
      <c r="A5795" s="12" t="s">
        <v>168</v>
      </c>
      <c r="B5795" s="12" t="s">
        <v>167</v>
      </c>
      <c r="C5795" s="12">
        <v>70</v>
      </c>
      <c r="D5795" s="12">
        <v>7</v>
      </c>
    </row>
    <row r="5796" spans="1:4" x14ac:dyDescent="0.2">
      <c r="A5796" s="12" t="s">
        <v>11915</v>
      </c>
      <c r="B5796" s="12" t="s">
        <v>11914</v>
      </c>
      <c r="C5796" s="12">
        <v>250</v>
      </c>
      <c r="D5796" s="12">
        <v>25</v>
      </c>
    </row>
    <row r="5797" spans="1:4" x14ac:dyDescent="0.2">
      <c r="A5797" s="12" t="s">
        <v>4409</v>
      </c>
      <c r="B5797" s="12" t="s">
        <v>4408</v>
      </c>
      <c r="C5797" s="12">
        <v>25</v>
      </c>
      <c r="D5797" s="12">
        <v>2.5</v>
      </c>
    </row>
    <row r="5798" spans="1:4" x14ac:dyDescent="0.2">
      <c r="A5798" s="12" t="s">
        <v>9679</v>
      </c>
      <c r="B5798" s="12" t="s">
        <v>9678</v>
      </c>
      <c r="C5798" s="12">
        <v>5</v>
      </c>
      <c r="D5798" s="12">
        <v>0.5</v>
      </c>
    </row>
    <row r="5799" spans="1:4" x14ac:dyDescent="0.2">
      <c r="A5799" s="12" t="s">
        <v>5542</v>
      </c>
      <c r="B5799" s="12" t="s">
        <v>5541</v>
      </c>
      <c r="C5799" s="12">
        <v>1250</v>
      </c>
      <c r="D5799" s="12">
        <v>125</v>
      </c>
    </row>
    <row r="5800" spans="1:4" x14ac:dyDescent="0.2">
      <c r="A5800" s="12" t="s">
        <v>5513</v>
      </c>
      <c r="B5800" s="12" t="s">
        <v>5512</v>
      </c>
      <c r="C5800" s="12">
        <v>1600</v>
      </c>
      <c r="D5800" s="12">
        <v>160</v>
      </c>
    </row>
    <row r="5801" spans="1:4" x14ac:dyDescent="0.2">
      <c r="A5801" s="12" t="s">
        <v>2417</v>
      </c>
      <c r="B5801" s="12" t="s">
        <v>2416</v>
      </c>
      <c r="C5801" s="12">
        <v>1</v>
      </c>
      <c r="D5801" s="12">
        <v>0.1</v>
      </c>
    </row>
    <row r="5802" spans="1:4" x14ac:dyDescent="0.2">
      <c r="A5802" s="12" t="s">
        <v>3389</v>
      </c>
      <c r="B5802" s="12" t="s">
        <v>3388</v>
      </c>
      <c r="C5802" s="12">
        <v>100</v>
      </c>
      <c r="D5802" s="12">
        <v>10</v>
      </c>
    </row>
    <row r="5803" spans="1:4" x14ac:dyDescent="0.2">
      <c r="A5803" s="12" t="s">
        <v>8642</v>
      </c>
      <c r="B5803" s="12" t="s">
        <v>8641</v>
      </c>
      <c r="C5803" s="12" t="s">
        <v>59</v>
      </c>
      <c r="D5803" s="12" t="s">
        <v>59</v>
      </c>
    </row>
    <row r="5804" spans="1:4" x14ac:dyDescent="0.2">
      <c r="A5804" s="12" t="s">
        <v>6148</v>
      </c>
      <c r="B5804" s="12" t="s">
        <v>6147</v>
      </c>
      <c r="C5804" s="12">
        <v>180</v>
      </c>
      <c r="D5804" s="12">
        <v>92</v>
      </c>
    </row>
    <row r="5805" spans="1:4" x14ac:dyDescent="0.2">
      <c r="A5805" s="12" t="s">
        <v>1271</v>
      </c>
      <c r="B5805" s="12" t="s">
        <v>1270</v>
      </c>
      <c r="C5805" s="12">
        <v>50</v>
      </c>
      <c r="D5805" s="12">
        <v>5</v>
      </c>
    </row>
    <row r="5806" spans="1:4" x14ac:dyDescent="0.2">
      <c r="A5806" s="12" t="s">
        <v>1272</v>
      </c>
      <c r="B5806" s="12" t="s">
        <v>1270</v>
      </c>
      <c r="C5806" s="12">
        <v>800</v>
      </c>
      <c r="D5806" s="12">
        <v>80</v>
      </c>
    </row>
    <row r="5807" spans="1:4" x14ac:dyDescent="0.2">
      <c r="A5807" s="12" t="s">
        <v>8370</v>
      </c>
      <c r="B5807" s="12" t="s">
        <v>8369</v>
      </c>
      <c r="C5807" s="12">
        <v>180</v>
      </c>
      <c r="D5807" s="12">
        <v>18</v>
      </c>
    </row>
    <row r="5808" spans="1:4" x14ac:dyDescent="0.2">
      <c r="A5808" s="12" t="s">
        <v>10769</v>
      </c>
      <c r="B5808" s="12" t="s">
        <v>10768</v>
      </c>
      <c r="C5808" s="12">
        <v>50</v>
      </c>
      <c r="D5808" s="12">
        <v>5</v>
      </c>
    </row>
    <row r="5809" spans="1:4" x14ac:dyDescent="0.2">
      <c r="A5809" s="12" t="s">
        <v>4862</v>
      </c>
      <c r="B5809" s="12" t="s">
        <v>4861</v>
      </c>
      <c r="C5809" s="12" t="s">
        <v>59</v>
      </c>
      <c r="D5809" s="12" t="s">
        <v>59</v>
      </c>
    </row>
    <row r="5810" spans="1:4" x14ac:dyDescent="0.2">
      <c r="A5810" s="12" t="s">
        <v>7956</v>
      </c>
      <c r="B5810" s="12" t="s">
        <v>7955</v>
      </c>
      <c r="C5810" s="12">
        <v>25</v>
      </c>
      <c r="D5810" s="12">
        <v>2.5</v>
      </c>
    </row>
    <row r="5811" spans="1:4" x14ac:dyDescent="0.2">
      <c r="A5811" s="12" t="s">
        <v>6229</v>
      </c>
      <c r="B5811" s="12" t="s">
        <v>6228</v>
      </c>
      <c r="C5811" s="12" t="s">
        <v>59</v>
      </c>
      <c r="D5811" s="12" t="s">
        <v>59</v>
      </c>
    </row>
    <row r="5812" spans="1:4" x14ac:dyDescent="0.2">
      <c r="A5812" s="12" t="s">
        <v>5702</v>
      </c>
      <c r="B5812" s="12" t="s">
        <v>5701</v>
      </c>
      <c r="C5812" s="12">
        <v>50</v>
      </c>
      <c r="D5812" s="12">
        <v>5</v>
      </c>
    </row>
    <row r="5813" spans="1:4" x14ac:dyDescent="0.2">
      <c r="A5813" s="12" t="s">
        <v>12478</v>
      </c>
      <c r="B5813" s="12" t="s">
        <v>12477</v>
      </c>
      <c r="C5813" s="12">
        <v>50</v>
      </c>
      <c r="D5813" s="12">
        <v>5</v>
      </c>
    </row>
    <row r="5814" spans="1:4" x14ac:dyDescent="0.2">
      <c r="A5814" s="12" t="s">
        <v>10819</v>
      </c>
      <c r="B5814" s="12" t="s">
        <v>10818</v>
      </c>
      <c r="C5814" s="12">
        <v>600</v>
      </c>
      <c r="D5814" s="12">
        <v>60</v>
      </c>
    </row>
    <row r="5815" spans="1:4" x14ac:dyDescent="0.2">
      <c r="A5815" s="12" t="s">
        <v>10530</v>
      </c>
      <c r="B5815" s="12" t="s">
        <v>10529</v>
      </c>
      <c r="C5815" s="12">
        <v>10</v>
      </c>
      <c r="D5815" s="12">
        <v>1</v>
      </c>
    </row>
    <row r="5816" spans="1:4" x14ac:dyDescent="0.2">
      <c r="A5816" s="12" t="s">
        <v>1647</v>
      </c>
      <c r="B5816" s="12" t="s">
        <v>1646</v>
      </c>
      <c r="C5816" s="12">
        <v>100</v>
      </c>
      <c r="D5816" s="12">
        <v>10</v>
      </c>
    </row>
    <row r="5817" spans="1:4" x14ac:dyDescent="0.2">
      <c r="A5817" s="12" t="s">
        <v>11105</v>
      </c>
      <c r="B5817" s="12" t="s">
        <v>11104</v>
      </c>
      <c r="C5817" s="12" t="s">
        <v>59</v>
      </c>
      <c r="D5817" s="12" t="s">
        <v>59</v>
      </c>
    </row>
    <row r="5818" spans="1:4" x14ac:dyDescent="0.2">
      <c r="A5818" s="12" t="s">
        <v>2088</v>
      </c>
      <c r="B5818" s="12" t="s">
        <v>2087</v>
      </c>
      <c r="C5818" s="12">
        <v>50</v>
      </c>
      <c r="D5818" s="12">
        <v>5</v>
      </c>
    </row>
    <row r="5819" spans="1:4" x14ac:dyDescent="0.2">
      <c r="A5819" s="12" t="s">
        <v>8853</v>
      </c>
      <c r="B5819" s="12" t="s">
        <v>8852</v>
      </c>
      <c r="C5819" s="12" t="s">
        <v>59</v>
      </c>
      <c r="D5819" s="12" t="s">
        <v>59</v>
      </c>
    </row>
    <row r="5820" spans="1:4" x14ac:dyDescent="0.2">
      <c r="A5820" s="12" t="s">
        <v>10276</v>
      </c>
      <c r="B5820" s="12" t="s">
        <v>10275</v>
      </c>
      <c r="C5820" s="12" t="s">
        <v>59</v>
      </c>
      <c r="D5820" s="12" t="s">
        <v>59</v>
      </c>
    </row>
    <row r="5821" spans="1:4" x14ac:dyDescent="0.2">
      <c r="A5821" s="12" t="s">
        <v>10277</v>
      </c>
      <c r="B5821" s="12" t="s">
        <v>10275</v>
      </c>
      <c r="C5821" s="12">
        <v>700</v>
      </c>
      <c r="D5821" s="12">
        <v>70</v>
      </c>
    </row>
    <row r="5822" spans="1:4" x14ac:dyDescent="0.2">
      <c r="A5822" s="12" t="s">
        <v>12401</v>
      </c>
      <c r="B5822" s="12" t="s">
        <v>12400</v>
      </c>
      <c r="C5822" s="12" t="s">
        <v>59</v>
      </c>
      <c r="D5822" s="12" t="s">
        <v>59</v>
      </c>
    </row>
    <row r="5823" spans="1:4" x14ac:dyDescent="0.2">
      <c r="A5823" s="12" t="s">
        <v>12402</v>
      </c>
      <c r="B5823" s="12" t="s">
        <v>12400</v>
      </c>
      <c r="C5823" s="12">
        <v>1500</v>
      </c>
      <c r="D5823" s="12">
        <v>150</v>
      </c>
    </row>
    <row r="5824" spans="1:4" x14ac:dyDescent="0.2">
      <c r="A5824" s="12" t="s">
        <v>5853</v>
      </c>
      <c r="B5824" s="12" t="s">
        <v>5852</v>
      </c>
      <c r="C5824" s="12">
        <v>50</v>
      </c>
      <c r="D5824" s="12">
        <v>5</v>
      </c>
    </row>
    <row r="5825" spans="1:4" x14ac:dyDescent="0.2">
      <c r="A5825" s="12" t="s">
        <v>6799</v>
      </c>
      <c r="B5825" s="12" t="s">
        <v>6798</v>
      </c>
      <c r="C5825" s="12">
        <v>1000</v>
      </c>
      <c r="D5825" s="12">
        <v>100</v>
      </c>
    </row>
    <row r="5826" spans="1:4" x14ac:dyDescent="0.2">
      <c r="A5826" s="12" t="s">
        <v>2635</v>
      </c>
      <c r="B5826" s="12" t="s">
        <v>2634</v>
      </c>
      <c r="C5826" s="12" t="s">
        <v>59</v>
      </c>
      <c r="D5826" s="12" t="s">
        <v>59</v>
      </c>
    </row>
    <row r="5827" spans="1:4" x14ac:dyDescent="0.2">
      <c r="A5827" s="12" t="s">
        <v>10014</v>
      </c>
      <c r="B5827" s="12" t="s">
        <v>10013</v>
      </c>
      <c r="C5827" s="12" t="s">
        <v>59</v>
      </c>
      <c r="D5827" s="12" t="s">
        <v>59</v>
      </c>
    </row>
    <row r="5828" spans="1:4" x14ac:dyDescent="0.2">
      <c r="A5828" s="12" t="s">
        <v>9030</v>
      </c>
      <c r="B5828" s="12" t="s">
        <v>9029</v>
      </c>
      <c r="C5828" s="12">
        <v>40</v>
      </c>
      <c r="D5828" s="12">
        <v>4</v>
      </c>
    </row>
    <row r="5829" spans="1:4" x14ac:dyDescent="0.2">
      <c r="A5829" s="12" t="s">
        <v>4089</v>
      </c>
      <c r="B5829" s="12" t="s">
        <v>4088</v>
      </c>
      <c r="C5829" s="12">
        <v>50</v>
      </c>
      <c r="D5829" s="12">
        <v>5</v>
      </c>
    </row>
    <row r="5830" spans="1:4" x14ac:dyDescent="0.2">
      <c r="A5830" s="12" t="s">
        <v>5903</v>
      </c>
      <c r="B5830" s="12" t="s">
        <v>5902</v>
      </c>
      <c r="C5830" s="12">
        <v>50</v>
      </c>
      <c r="D5830" s="12">
        <v>5</v>
      </c>
    </row>
    <row r="5831" spans="1:4" x14ac:dyDescent="0.2">
      <c r="A5831" s="12" t="s">
        <v>8743</v>
      </c>
      <c r="B5831" s="12" t="s">
        <v>8742</v>
      </c>
      <c r="C5831" s="12">
        <v>0.2</v>
      </c>
      <c r="D5831" s="12">
        <v>0.02</v>
      </c>
    </row>
    <row r="5832" spans="1:4" x14ac:dyDescent="0.2">
      <c r="A5832" s="12" t="s">
        <v>6013</v>
      </c>
      <c r="B5832" s="12" t="s">
        <v>6012</v>
      </c>
      <c r="C5832" s="12">
        <v>50</v>
      </c>
      <c r="D5832" s="12">
        <v>5</v>
      </c>
    </row>
    <row r="5833" spans="1:4" x14ac:dyDescent="0.2">
      <c r="A5833" s="12" t="s">
        <v>5775</v>
      </c>
      <c r="B5833" s="12" t="s">
        <v>5774</v>
      </c>
      <c r="C5833" s="12">
        <v>6</v>
      </c>
      <c r="D5833" s="12">
        <v>0.6</v>
      </c>
    </row>
    <row r="5834" spans="1:4" x14ac:dyDescent="0.2">
      <c r="A5834" s="12" t="s">
        <v>527</v>
      </c>
      <c r="B5834" s="12" t="s">
        <v>526</v>
      </c>
      <c r="C5834" s="12">
        <v>50</v>
      </c>
      <c r="D5834" s="12">
        <v>5</v>
      </c>
    </row>
    <row r="5835" spans="1:4" x14ac:dyDescent="0.2">
      <c r="A5835" s="12" t="s">
        <v>4622</v>
      </c>
      <c r="B5835" s="12" t="s">
        <v>4621</v>
      </c>
      <c r="C5835" s="12">
        <v>50</v>
      </c>
      <c r="D5835" s="12">
        <v>5</v>
      </c>
    </row>
    <row r="5836" spans="1:4" x14ac:dyDescent="0.2">
      <c r="A5836" s="12" t="s">
        <v>3195</v>
      </c>
      <c r="B5836" s="12" t="s">
        <v>3194</v>
      </c>
      <c r="C5836" s="12">
        <v>400</v>
      </c>
      <c r="D5836" s="12">
        <v>40</v>
      </c>
    </row>
    <row r="5837" spans="1:4" x14ac:dyDescent="0.2">
      <c r="A5837" s="12" t="s">
        <v>8079</v>
      </c>
      <c r="B5837" s="12" t="s">
        <v>8078</v>
      </c>
      <c r="C5837" s="12">
        <v>1000</v>
      </c>
      <c r="D5837" s="12">
        <v>100</v>
      </c>
    </row>
    <row r="5838" spans="1:4" ht="28.5" x14ac:dyDescent="0.2">
      <c r="A5838" s="12" t="s">
        <v>3913</v>
      </c>
      <c r="B5838" s="12" t="s">
        <v>3912</v>
      </c>
      <c r="C5838" s="12">
        <v>3.6</v>
      </c>
      <c r="D5838" s="12">
        <v>4.1000000000000002E-2</v>
      </c>
    </row>
    <row r="5839" spans="1:4" x14ac:dyDescent="0.2">
      <c r="A5839" s="12" t="s">
        <v>4249</v>
      </c>
      <c r="B5839" s="12" t="s">
        <v>4248</v>
      </c>
      <c r="C5839" s="12">
        <v>2450</v>
      </c>
      <c r="D5839" s="12">
        <v>245</v>
      </c>
    </row>
    <row r="5840" spans="1:4" x14ac:dyDescent="0.2">
      <c r="A5840" s="12" t="s">
        <v>6829</v>
      </c>
      <c r="B5840" s="12" t="s">
        <v>6828</v>
      </c>
      <c r="C5840" s="12" t="s">
        <v>59</v>
      </c>
      <c r="D5840" s="12" t="s">
        <v>59</v>
      </c>
    </row>
    <row r="5841" spans="1:4" x14ac:dyDescent="0.2">
      <c r="A5841" s="12" t="s">
        <v>6830</v>
      </c>
      <c r="B5841" s="12" t="s">
        <v>6828</v>
      </c>
      <c r="C5841" s="12">
        <v>1000</v>
      </c>
      <c r="D5841" s="12">
        <v>100</v>
      </c>
    </row>
    <row r="5842" spans="1:4" x14ac:dyDescent="0.2">
      <c r="A5842" s="12" t="s">
        <v>6298</v>
      </c>
      <c r="B5842" s="12" t="s">
        <v>6297</v>
      </c>
      <c r="C5842" s="12">
        <v>1</v>
      </c>
      <c r="D5842" s="12">
        <v>0.1</v>
      </c>
    </row>
    <row r="5843" spans="1:4" x14ac:dyDescent="0.2">
      <c r="A5843" s="12" t="s">
        <v>9830</v>
      </c>
      <c r="B5843" s="12" t="s">
        <v>9829</v>
      </c>
      <c r="C5843" s="12">
        <v>8</v>
      </c>
      <c r="D5843" s="12">
        <v>0.8</v>
      </c>
    </row>
    <row r="5844" spans="1:4" x14ac:dyDescent="0.2">
      <c r="A5844" s="12" t="s">
        <v>8676</v>
      </c>
      <c r="B5844" s="12" t="s">
        <v>8675</v>
      </c>
      <c r="C5844" s="12" t="s">
        <v>59</v>
      </c>
      <c r="D5844" s="12" t="s">
        <v>59</v>
      </c>
    </row>
    <row r="5845" spans="1:4" x14ac:dyDescent="0.2">
      <c r="A5845" s="12" t="s">
        <v>1378</v>
      </c>
      <c r="B5845" s="12" t="s">
        <v>1377</v>
      </c>
      <c r="C5845" s="12">
        <v>50</v>
      </c>
      <c r="D5845" s="12">
        <v>5</v>
      </c>
    </row>
    <row r="5846" spans="1:4" x14ac:dyDescent="0.2">
      <c r="A5846" s="12" t="s">
        <v>5698</v>
      </c>
      <c r="B5846" s="12" t="s">
        <v>5697</v>
      </c>
      <c r="C5846" s="12">
        <v>1250</v>
      </c>
      <c r="D5846" s="12">
        <v>125</v>
      </c>
    </row>
    <row r="5847" spans="1:4" x14ac:dyDescent="0.2">
      <c r="A5847" s="12" t="s">
        <v>8781</v>
      </c>
      <c r="B5847" s="12" t="s">
        <v>8780</v>
      </c>
      <c r="C5847" s="12">
        <v>100</v>
      </c>
      <c r="D5847" s="12">
        <v>10</v>
      </c>
    </row>
    <row r="5848" spans="1:4" x14ac:dyDescent="0.2">
      <c r="A5848" s="12" t="s">
        <v>8970</v>
      </c>
      <c r="B5848" s="12" t="s">
        <v>8969</v>
      </c>
      <c r="C5848" s="12">
        <v>100</v>
      </c>
      <c r="D5848" s="12">
        <v>10</v>
      </c>
    </row>
    <row r="5849" spans="1:4" ht="28.5" x14ac:dyDescent="0.2">
      <c r="A5849" s="12" t="s">
        <v>3911</v>
      </c>
      <c r="B5849" s="12" t="s">
        <v>3910</v>
      </c>
      <c r="C5849" s="12">
        <v>3.6</v>
      </c>
      <c r="D5849" s="12">
        <v>4.1000000000000002E-2</v>
      </c>
    </row>
    <row r="5850" spans="1:4" x14ac:dyDescent="0.2">
      <c r="A5850" s="12" t="s">
        <v>3915</v>
      </c>
      <c r="B5850" s="12" t="s">
        <v>3914</v>
      </c>
      <c r="C5850" s="12">
        <v>3.6</v>
      </c>
      <c r="D5850" s="12">
        <v>4.1000000000000002E-2</v>
      </c>
    </row>
    <row r="5851" spans="1:4" x14ac:dyDescent="0.2">
      <c r="A5851" s="12" t="s">
        <v>3671</v>
      </c>
      <c r="B5851" s="12" t="s">
        <v>3670</v>
      </c>
      <c r="C5851" s="12" t="s">
        <v>59</v>
      </c>
      <c r="D5851" s="12" t="s">
        <v>59</v>
      </c>
    </row>
    <row r="5852" spans="1:4" x14ac:dyDescent="0.2">
      <c r="A5852" s="12" t="s">
        <v>7462</v>
      </c>
      <c r="B5852" s="12" t="s">
        <v>7461</v>
      </c>
      <c r="C5852" s="12">
        <v>0.05</v>
      </c>
      <c r="D5852" s="12">
        <v>5.0000000000000001E-3</v>
      </c>
    </row>
    <row r="5853" spans="1:4" x14ac:dyDescent="0.2">
      <c r="A5853" s="12" t="s">
        <v>11691</v>
      </c>
      <c r="B5853" s="12" t="s">
        <v>11690</v>
      </c>
      <c r="C5853" s="12">
        <v>60</v>
      </c>
      <c r="D5853" s="12">
        <v>6</v>
      </c>
    </row>
    <row r="5854" spans="1:4" x14ac:dyDescent="0.2">
      <c r="A5854" s="12" t="s">
        <v>9973</v>
      </c>
      <c r="B5854" s="12" t="s">
        <v>9972</v>
      </c>
      <c r="C5854" s="12">
        <v>60</v>
      </c>
      <c r="D5854" s="12">
        <v>6</v>
      </c>
    </row>
    <row r="5855" spans="1:4" x14ac:dyDescent="0.2">
      <c r="A5855" s="12" t="s">
        <v>6199</v>
      </c>
      <c r="B5855" s="12" t="s">
        <v>6198</v>
      </c>
      <c r="C5855" s="12">
        <v>50</v>
      </c>
      <c r="D5855" s="12">
        <v>5</v>
      </c>
    </row>
    <row r="5856" spans="1:4" x14ac:dyDescent="0.2">
      <c r="A5856" s="12" t="s">
        <v>3637</v>
      </c>
      <c r="B5856" s="12" t="s">
        <v>3636</v>
      </c>
      <c r="C5856" s="12">
        <v>100</v>
      </c>
      <c r="D5856" s="12">
        <v>10</v>
      </c>
    </row>
    <row r="5857" spans="1:4" x14ac:dyDescent="0.2">
      <c r="A5857" s="12" t="s">
        <v>5630</v>
      </c>
      <c r="B5857" s="12" t="s">
        <v>5629</v>
      </c>
      <c r="C5857" s="12">
        <v>1500</v>
      </c>
      <c r="D5857" s="12">
        <v>150</v>
      </c>
    </row>
    <row r="5858" spans="1:4" x14ac:dyDescent="0.2">
      <c r="A5858" s="12" t="s">
        <v>8601</v>
      </c>
      <c r="B5858" s="12" t="s">
        <v>8600</v>
      </c>
      <c r="C5858" s="12" t="s">
        <v>59</v>
      </c>
      <c r="D5858" s="12" t="s">
        <v>59</v>
      </c>
    </row>
    <row r="5859" spans="1:4" x14ac:dyDescent="0.2">
      <c r="A5859" s="12" t="s">
        <v>8602</v>
      </c>
      <c r="B5859" s="12" t="s">
        <v>8600</v>
      </c>
      <c r="C5859" s="12">
        <v>600</v>
      </c>
      <c r="D5859" s="12">
        <v>60</v>
      </c>
    </row>
    <row r="5860" spans="1:4" x14ac:dyDescent="0.2">
      <c r="A5860" s="12" t="s">
        <v>4345</v>
      </c>
      <c r="B5860" s="12" t="s">
        <v>4344</v>
      </c>
      <c r="C5860" s="12">
        <v>50</v>
      </c>
      <c r="D5860" s="12">
        <v>5</v>
      </c>
    </row>
    <row r="5861" spans="1:4" x14ac:dyDescent="0.2">
      <c r="A5861" s="12" t="s">
        <v>3538</v>
      </c>
      <c r="B5861" s="12" t="s">
        <v>3537</v>
      </c>
      <c r="C5861" s="12">
        <v>1500</v>
      </c>
      <c r="D5861" s="12">
        <v>150</v>
      </c>
    </row>
    <row r="5862" spans="1:4" x14ac:dyDescent="0.2">
      <c r="A5862" s="12" t="s">
        <v>8819</v>
      </c>
      <c r="B5862" s="12" t="s">
        <v>8818</v>
      </c>
      <c r="C5862" s="12">
        <v>100</v>
      </c>
      <c r="D5862" s="12">
        <v>10</v>
      </c>
    </row>
    <row r="5863" spans="1:4" x14ac:dyDescent="0.2">
      <c r="A5863" s="12" t="s">
        <v>6992</v>
      </c>
      <c r="B5863" s="12" t="s">
        <v>6991</v>
      </c>
      <c r="C5863" s="12">
        <v>400</v>
      </c>
      <c r="D5863" s="12">
        <v>40</v>
      </c>
    </row>
    <row r="5864" spans="1:4" x14ac:dyDescent="0.2">
      <c r="A5864" s="12" t="s">
        <v>9992</v>
      </c>
      <c r="B5864" s="12" t="s">
        <v>9991</v>
      </c>
      <c r="C5864" s="12" t="s">
        <v>59</v>
      </c>
      <c r="D5864" s="12" t="s">
        <v>59</v>
      </c>
    </row>
    <row r="5865" spans="1:4" x14ac:dyDescent="0.2">
      <c r="A5865" s="12" t="s">
        <v>65</v>
      </c>
      <c r="B5865" s="12" t="s">
        <v>64</v>
      </c>
      <c r="C5865" s="12" t="s">
        <v>59</v>
      </c>
      <c r="D5865" s="12" t="s">
        <v>59</v>
      </c>
    </row>
    <row r="5866" spans="1:4" x14ac:dyDescent="0.2">
      <c r="A5866" s="12" t="s">
        <v>66</v>
      </c>
      <c r="B5866" s="12" t="s">
        <v>64</v>
      </c>
      <c r="C5866" s="12">
        <v>1000</v>
      </c>
      <c r="D5866" s="12">
        <v>100</v>
      </c>
    </row>
    <row r="5867" spans="1:4" x14ac:dyDescent="0.2">
      <c r="A5867" s="12" t="s">
        <v>5130</v>
      </c>
      <c r="B5867" s="12" t="s">
        <v>5129</v>
      </c>
      <c r="C5867" s="12">
        <v>3.6</v>
      </c>
      <c r="D5867" s="12">
        <v>4.1000000000000002E-2</v>
      </c>
    </row>
    <row r="5868" spans="1:4" x14ac:dyDescent="0.2">
      <c r="A5868" s="12" t="s">
        <v>8334</v>
      </c>
      <c r="B5868" s="12" t="s">
        <v>8333</v>
      </c>
      <c r="C5868" s="12" t="s">
        <v>59</v>
      </c>
      <c r="D5868" s="12" t="s">
        <v>59</v>
      </c>
    </row>
    <row r="5869" spans="1:4" x14ac:dyDescent="0.2">
      <c r="A5869" s="12" t="s">
        <v>7284</v>
      </c>
      <c r="B5869" s="12" t="s">
        <v>7283</v>
      </c>
      <c r="C5869" s="12">
        <v>3500</v>
      </c>
      <c r="D5869" s="12">
        <v>350</v>
      </c>
    </row>
    <row r="5870" spans="1:4" x14ac:dyDescent="0.2">
      <c r="A5870" s="12" t="s">
        <v>9260</v>
      </c>
      <c r="B5870" s="12" t="s">
        <v>9259</v>
      </c>
      <c r="C5870" s="12">
        <v>1</v>
      </c>
      <c r="D5870" s="12">
        <v>0.1</v>
      </c>
    </row>
    <row r="5871" spans="1:4" x14ac:dyDescent="0.2">
      <c r="A5871" s="12" t="s">
        <v>4157</v>
      </c>
      <c r="B5871" s="12" t="s">
        <v>4156</v>
      </c>
      <c r="C5871" s="12">
        <v>2</v>
      </c>
      <c r="D5871" s="12">
        <v>0.2</v>
      </c>
    </row>
    <row r="5872" spans="1:4" x14ac:dyDescent="0.2">
      <c r="A5872" s="12" t="s">
        <v>9768</v>
      </c>
      <c r="B5872" s="12" t="s">
        <v>9767</v>
      </c>
      <c r="C5872" s="12">
        <v>200</v>
      </c>
      <c r="D5872" s="12">
        <v>20</v>
      </c>
    </row>
    <row r="5873" spans="1:4" x14ac:dyDescent="0.2">
      <c r="A5873" s="12" t="s">
        <v>2946</v>
      </c>
      <c r="B5873" s="12" t="s">
        <v>2945</v>
      </c>
      <c r="C5873" s="12">
        <v>140</v>
      </c>
      <c r="D5873" s="12">
        <v>14</v>
      </c>
    </row>
    <row r="5874" spans="1:4" x14ac:dyDescent="0.2">
      <c r="A5874" s="12" t="s">
        <v>10398</v>
      </c>
      <c r="B5874" s="12" t="s">
        <v>10397</v>
      </c>
      <c r="C5874" s="12" t="s">
        <v>59</v>
      </c>
      <c r="D5874" s="12" t="s">
        <v>59</v>
      </c>
    </row>
    <row r="5875" spans="1:4" x14ac:dyDescent="0.2">
      <c r="A5875" s="12" t="s">
        <v>7162</v>
      </c>
      <c r="B5875" s="12" t="s">
        <v>7161</v>
      </c>
      <c r="C5875" s="12">
        <v>10</v>
      </c>
      <c r="D5875" s="12">
        <v>1</v>
      </c>
    </row>
    <row r="5876" spans="1:4" x14ac:dyDescent="0.2">
      <c r="A5876" s="12" t="s">
        <v>4924</v>
      </c>
      <c r="B5876" s="12" t="s">
        <v>4923</v>
      </c>
      <c r="C5876" s="12">
        <v>100</v>
      </c>
      <c r="D5876" s="12">
        <v>10</v>
      </c>
    </row>
    <row r="5877" spans="1:4" x14ac:dyDescent="0.2">
      <c r="A5877" s="12" t="s">
        <v>9661</v>
      </c>
      <c r="B5877" s="12" t="s">
        <v>9660</v>
      </c>
      <c r="C5877" s="12" t="s">
        <v>59</v>
      </c>
      <c r="D5877" s="12" t="s">
        <v>59</v>
      </c>
    </row>
    <row r="5878" spans="1:4" x14ac:dyDescent="0.2">
      <c r="A5878" s="12" t="s">
        <v>6423</v>
      </c>
      <c r="B5878" s="12" t="s">
        <v>6422</v>
      </c>
      <c r="C5878" s="12" t="s">
        <v>59</v>
      </c>
      <c r="D5878" s="12" t="s">
        <v>59</v>
      </c>
    </row>
    <row r="5879" spans="1:4" x14ac:dyDescent="0.2">
      <c r="A5879" s="12" t="s">
        <v>1130</v>
      </c>
      <c r="B5879" s="12" t="s">
        <v>1129</v>
      </c>
      <c r="C5879" s="12">
        <v>50</v>
      </c>
      <c r="D5879" s="12">
        <v>5</v>
      </c>
    </row>
    <row r="5880" spans="1:4" x14ac:dyDescent="0.2">
      <c r="A5880" s="12" t="s">
        <v>2150</v>
      </c>
      <c r="B5880" s="12" t="s">
        <v>2149</v>
      </c>
      <c r="C5880" s="12">
        <v>3200</v>
      </c>
      <c r="D5880" s="12">
        <v>320</v>
      </c>
    </row>
    <row r="5881" spans="1:4" x14ac:dyDescent="0.2">
      <c r="A5881" s="12" t="s">
        <v>236</v>
      </c>
      <c r="B5881" s="12" t="s">
        <v>235</v>
      </c>
      <c r="C5881" s="12">
        <v>3</v>
      </c>
      <c r="D5881" s="12">
        <v>0.3</v>
      </c>
    </row>
    <row r="5882" spans="1:4" x14ac:dyDescent="0.2">
      <c r="A5882" s="12" t="s">
        <v>844</v>
      </c>
      <c r="B5882" s="12" t="s">
        <v>843</v>
      </c>
      <c r="C5882" s="12">
        <v>260</v>
      </c>
      <c r="D5882" s="12">
        <v>26</v>
      </c>
    </row>
    <row r="5883" spans="1:4" x14ac:dyDescent="0.2">
      <c r="A5883" s="12" t="s">
        <v>11080</v>
      </c>
      <c r="B5883" s="12" t="s">
        <v>11079</v>
      </c>
      <c r="C5883" s="12" t="s">
        <v>59</v>
      </c>
      <c r="D5883" s="12" t="s">
        <v>59</v>
      </c>
    </row>
    <row r="5884" spans="1:4" x14ac:dyDescent="0.2">
      <c r="A5884" s="12" t="s">
        <v>11081</v>
      </c>
      <c r="B5884" s="12" t="s">
        <v>11079</v>
      </c>
      <c r="C5884" s="12">
        <v>930</v>
      </c>
      <c r="D5884" s="12">
        <v>93</v>
      </c>
    </row>
    <row r="5885" spans="1:4" x14ac:dyDescent="0.2">
      <c r="A5885" s="12" t="s">
        <v>1185</v>
      </c>
      <c r="B5885" s="12" t="s">
        <v>1184</v>
      </c>
      <c r="C5885" s="12">
        <v>16400</v>
      </c>
      <c r="D5885" s="12">
        <v>1640</v>
      </c>
    </row>
    <row r="5886" spans="1:4" x14ac:dyDescent="0.2">
      <c r="A5886" s="12" t="s">
        <v>9486</v>
      </c>
      <c r="B5886" s="12" t="s">
        <v>9485</v>
      </c>
      <c r="C5886" s="12" t="s">
        <v>59</v>
      </c>
      <c r="D5886" s="12" t="s">
        <v>59</v>
      </c>
    </row>
    <row r="5887" spans="1:4" x14ac:dyDescent="0.2">
      <c r="A5887" s="12" t="s">
        <v>2335</v>
      </c>
      <c r="B5887" s="12" t="s">
        <v>2334</v>
      </c>
      <c r="C5887" s="12">
        <v>1700</v>
      </c>
      <c r="D5887" s="12">
        <v>330</v>
      </c>
    </row>
    <row r="5888" spans="1:4" x14ac:dyDescent="0.2">
      <c r="A5888" s="12" t="s">
        <v>977</v>
      </c>
      <c r="B5888" s="12" t="s">
        <v>976</v>
      </c>
      <c r="C5888" s="12">
        <v>5700</v>
      </c>
      <c r="D5888" s="12">
        <v>570</v>
      </c>
    </row>
    <row r="5889" spans="1:4" x14ac:dyDescent="0.2">
      <c r="A5889" s="12" t="s">
        <v>7777</v>
      </c>
      <c r="B5889" s="12" t="s">
        <v>7776</v>
      </c>
      <c r="C5889" s="12">
        <v>400</v>
      </c>
      <c r="D5889" s="12">
        <v>40</v>
      </c>
    </row>
    <row r="5890" spans="1:4" x14ac:dyDescent="0.2">
      <c r="A5890" s="12" t="s">
        <v>9840</v>
      </c>
      <c r="B5890" s="12" t="s">
        <v>9839</v>
      </c>
      <c r="C5890" s="12" t="s">
        <v>59</v>
      </c>
      <c r="D5890" s="12" t="s">
        <v>59</v>
      </c>
    </row>
    <row r="5891" spans="1:4" x14ac:dyDescent="0.2">
      <c r="A5891" s="12" t="s">
        <v>12333</v>
      </c>
      <c r="B5891" s="12" t="s">
        <v>12332</v>
      </c>
      <c r="C5891" s="12">
        <v>87</v>
      </c>
      <c r="D5891" s="12">
        <v>8.6999999999999993</v>
      </c>
    </row>
    <row r="5892" spans="1:4" x14ac:dyDescent="0.2">
      <c r="A5892" s="12" t="s">
        <v>1621</v>
      </c>
      <c r="B5892" s="12" t="s">
        <v>1620</v>
      </c>
      <c r="C5892" s="12">
        <v>61</v>
      </c>
      <c r="D5892" s="12">
        <v>6.1</v>
      </c>
    </row>
    <row r="5893" spans="1:4" x14ac:dyDescent="0.2">
      <c r="A5893" s="12" t="s">
        <v>9234</v>
      </c>
      <c r="B5893" s="12" t="s">
        <v>9233</v>
      </c>
      <c r="C5893" s="12">
        <v>420</v>
      </c>
      <c r="D5893" s="12">
        <v>42</v>
      </c>
    </row>
    <row r="5894" spans="1:4" x14ac:dyDescent="0.2">
      <c r="A5894" s="12" t="s">
        <v>2124</v>
      </c>
      <c r="B5894" s="12" t="s">
        <v>2123</v>
      </c>
      <c r="C5894" s="12">
        <v>570</v>
      </c>
      <c r="D5894" s="12">
        <v>57</v>
      </c>
    </row>
    <row r="5895" spans="1:4" x14ac:dyDescent="0.2">
      <c r="A5895" s="12" t="s">
        <v>2904</v>
      </c>
      <c r="B5895" s="12" t="s">
        <v>2903</v>
      </c>
      <c r="C5895" s="12">
        <v>20</v>
      </c>
      <c r="D5895" s="12">
        <v>2</v>
      </c>
    </row>
    <row r="5896" spans="1:4" x14ac:dyDescent="0.2">
      <c r="A5896" s="12" t="s">
        <v>5071</v>
      </c>
      <c r="B5896" s="12" t="s">
        <v>5070</v>
      </c>
      <c r="C5896" s="12" t="s">
        <v>59</v>
      </c>
      <c r="D5896" s="12" t="s">
        <v>59</v>
      </c>
    </row>
    <row r="5897" spans="1:4" x14ac:dyDescent="0.2">
      <c r="A5897" s="12" t="s">
        <v>2522</v>
      </c>
      <c r="B5897" s="12" t="s">
        <v>2521</v>
      </c>
      <c r="C5897" s="12">
        <v>1000</v>
      </c>
      <c r="D5897" s="12">
        <v>100</v>
      </c>
    </row>
    <row r="5898" spans="1:4" ht="28.5" x14ac:dyDescent="0.2">
      <c r="A5898" s="12" t="s">
        <v>9591</v>
      </c>
      <c r="B5898" s="12" t="s">
        <v>9590</v>
      </c>
      <c r="C5898" s="12" t="s">
        <v>59</v>
      </c>
      <c r="D5898" s="12" t="s">
        <v>59</v>
      </c>
    </row>
    <row r="5899" spans="1:4" x14ac:dyDescent="0.2">
      <c r="A5899" s="12" t="s">
        <v>3229</v>
      </c>
      <c r="B5899" s="12" t="s">
        <v>3228</v>
      </c>
      <c r="C5899" s="12" t="s">
        <v>59</v>
      </c>
      <c r="D5899" s="12" t="s">
        <v>59</v>
      </c>
    </row>
    <row r="5900" spans="1:4" x14ac:dyDescent="0.2">
      <c r="A5900" s="12" t="s">
        <v>3291</v>
      </c>
      <c r="B5900" s="12" t="s">
        <v>3290</v>
      </c>
      <c r="C5900" s="12">
        <v>5</v>
      </c>
      <c r="D5900" s="12">
        <v>0.5</v>
      </c>
    </row>
    <row r="5901" spans="1:4" x14ac:dyDescent="0.2">
      <c r="A5901" s="12" t="s">
        <v>727</v>
      </c>
      <c r="B5901" s="12" t="s">
        <v>726</v>
      </c>
      <c r="C5901" s="12">
        <v>2450</v>
      </c>
      <c r="D5901" s="12">
        <v>245</v>
      </c>
    </row>
    <row r="5902" spans="1:4" x14ac:dyDescent="0.2">
      <c r="A5902" s="12" t="s">
        <v>4385</v>
      </c>
      <c r="B5902" s="12" t="s">
        <v>4384</v>
      </c>
      <c r="C5902" s="12">
        <v>1100</v>
      </c>
      <c r="D5902" s="12">
        <v>110</v>
      </c>
    </row>
    <row r="5903" spans="1:4" x14ac:dyDescent="0.2">
      <c r="A5903" s="12" t="s">
        <v>2281</v>
      </c>
      <c r="B5903" s="12" t="s">
        <v>2280</v>
      </c>
      <c r="C5903" s="12">
        <v>1250</v>
      </c>
      <c r="D5903" s="12">
        <v>125</v>
      </c>
    </row>
    <row r="5904" spans="1:4" x14ac:dyDescent="0.2">
      <c r="A5904" s="12" t="s">
        <v>3592</v>
      </c>
      <c r="B5904" s="12" t="s">
        <v>3591</v>
      </c>
      <c r="C5904" s="12">
        <v>410</v>
      </c>
      <c r="D5904" s="12">
        <v>41</v>
      </c>
    </row>
    <row r="5905" spans="1:4" x14ac:dyDescent="0.2">
      <c r="A5905" s="12" t="s">
        <v>469</v>
      </c>
      <c r="B5905" s="12" t="s">
        <v>468</v>
      </c>
      <c r="C5905" s="12" t="s">
        <v>59</v>
      </c>
      <c r="D5905" s="12" t="s">
        <v>59</v>
      </c>
    </row>
    <row r="5906" spans="1:4" x14ac:dyDescent="0.2">
      <c r="A5906" s="12" t="s">
        <v>470</v>
      </c>
      <c r="B5906" s="12" t="s">
        <v>468</v>
      </c>
      <c r="C5906" s="12">
        <v>400</v>
      </c>
      <c r="D5906" s="12">
        <v>40</v>
      </c>
    </row>
    <row r="5907" spans="1:4" x14ac:dyDescent="0.2">
      <c r="A5907" s="12" t="s">
        <v>1819</v>
      </c>
      <c r="B5907" s="12" t="s">
        <v>1818</v>
      </c>
      <c r="C5907" s="12">
        <v>110</v>
      </c>
      <c r="D5907" s="12">
        <v>11</v>
      </c>
    </row>
    <row r="5908" spans="1:4" x14ac:dyDescent="0.2">
      <c r="A5908" s="12" t="s">
        <v>10646</v>
      </c>
      <c r="B5908" s="12" t="s">
        <v>10645</v>
      </c>
      <c r="C5908" s="12">
        <v>20</v>
      </c>
      <c r="D5908" s="12">
        <v>2</v>
      </c>
    </row>
    <row r="5909" spans="1:4" x14ac:dyDescent="0.2">
      <c r="A5909" s="12" t="s">
        <v>6067</v>
      </c>
      <c r="B5909" s="12" t="s">
        <v>6066</v>
      </c>
      <c r="C5909" s="12">
        <v>25</v>
      </c>
      <c r="D5909" s="12">
        <v>2.5</v>
      </c>
    </row>
    <row r="5910" spans="1:4" x14ac:dyDescent="0.2">
      <c r="A5910" s="12" t="s">
        <v>7420</v>
      </c>
      <c r="B5910" s="12" t="s">
        <v>7419</v>
      </c>
      <c r="C5910" s="12">
        <v>2</v>
      </c>
      <c r="D5910" s="12">
        <v>0.2</v>
      </c>
    </row>
    <row r="5911" spans="1:4" x14ac:dyDescent="0.2">
      <c r="A5911" s="12" t="s">
        <v>11498</v>
      </c>
      <c r="B5911" s="12" t="s">
        <v>11497</v>
      </c>
      <c r="C5911" s="12">
        <v>100</v>
      </c>
      <c r="D5911" s="12">
        <v>10</v>
      </c>
    </row>
    <row r="5912" spans="1:4" x14ac:dyDescent="0.2">
      <c r="A5912" s="12" t="s">
        <v>501</v>
      </c>
      <c r="B5912" s="12" t="s">
        <v>500</v>
      </c>
      <c r="C5912" s="12">
        <v>2450</v>
      </c>
      <c r="D5912" s="12">
        <v>245</v>
      </c>
    </row>
    <row r="5913" spans="1:4" x14ac:dyDescent="0.2">
      <c r="A5913" s="12" t="s">
        <v>8273</v>
      </c>
      <c r="B5913" s="12" t="s">
        <v>8272</v>
      </c>
      <c r="C5913" s="12" t="s">
        <v>59</v>
      </c>
      <c r="D5913" s="12" t="s">
        <v>59</v>
      </c>
    </row>
    <row r="5914" spans="1:4" x14ac:dyDescent="0.2">
      <c r="A5914" s="12" t="s">
        <v>9681</v>
      </c>
      <c r="B5914" s="12" t="s">
        <v>9680</v>
      </c>
      <c r="C5914" s="12">
        <v>5</v>
      </c>
      <c r="D5914" s="12">
        <v>0.5</v>
      </c>
    </row>
    <row r="5915" spans="1:4" x14ac:dyDescent="0.2">
      <c r="A5915" s="12" t="s">
        <v>11972</v>
      </c>
      <c r="B5915" s="12" t="s">
        <v>11971</v>
      </c>
      <c r="C5915" s="12">
        <v>50</v>
      </c>
      <c r="D5915" s="12">
        <v>5</v>
      </c>
    </row>
    <row r="5916" spans="1:4" x14ac:dyDescent="0.2">
      <c r="A5916" s="12" t="s">
        <v>12371</v>
      </c>
      <c r="B5916" s="12" t="s">
        <v>12370</v>
      </c>
      <c r="C5916" s="12">
        <v>1000</v>
      </c>
      <c r="D5916" s="12">
        <v>100</v>
      </c>
    </row>
    <row r="5917" spans="1:4" x14ac:dyDescent="0.2">
      <c r="A5917" s="12" t="s">
        <v>5122</v>
      </c>
      <c r="B5917" s="12" t="s">
        <v>5121</v>
      </c>
      <c r="C5917" s="12">
        <v>125</v>
      </c>
      <c r="D5917" s="12">
        <v>12.5</v>
      </c>
    </row>
    <row r="5918" spans="1:4" x14ac:dyDescent="0.2">
      <c r="A5918" s="12" t="s">
        <v>1643</v>
      </c>
      <c r="B5918" s="12" t="s">
        <v>1642</v>
      </c>
      <c r="C5918" s="12">
        <v>440</v>
      </c>
      <c r="D5918" s="12">
        <v>44</v>
      </c>
    </row>
    <row r="5919" spans="1:4" x14ac:dyDescent="0.2">
      <c r="A5919" s="12" t="s">
        <v>9368</v>
      </c>
      <c r="B5919" s="12" t="s">
        <v>9367</v>
      </c>
      <c r="C5919" s="12">
        <v>6.9</v>
      </c>
      <c r="D5919" s="12">
        <v>0.41</v>
      </c>
    </row>
    <row r="5920" spans="1:4" x14ac:dyDescent="0.2">
      <c r="A5920" s="12" t="s">
        <v>957</v>
      </c>
      <c r="B5920" s="12" t="s">
        <v>956</v>
      </c>
      <c r="C5920" s="12">
        <v>600</v>
      </c>
      <c r="D5920" s="12">
        <v>20</v>
      </c>
    </row>
    <row r="5921" spans="1:4" x14ac:dyDescent="0.2">
      <c r="A5921" s="12" t="s">
        <v>9536</v>
      </c>
      <c r="B5921" s="12" t="s">
        <v>9535</v>
      </c>
      <c r="C5921" s="12">
        <v>89</v>
      </c>
      <c r="D5921" s="12">
        <v>8.9</v>
      </c>
    </row>
    <row r="5922" spans="1:4" x14ac:dyDescent="0.2">
      <c r="A5922" s="12" t="s">
        <v>2296</v>
      </c>
      <c r="B5922" s="12" t="s">
        <v>2295</v>
      </c>
      <c r="C5922" s="12">
        <v>24</v>
      </c>
      <c r="D5922" s="12">
        <v>2.4</v>
      </c>
    </row>
    <row r="5923" spans="1:4" x14ac:dyDescent="0.2">
      <c r="A5923" s="12" t="s">
        <v>9569</v>
      </c>
      <c r="B5923" s="12" t="s">
        <v>9568</v>
      </c>
      <c r="C5923" s="12">
        <v>2750</v>
      </c>
      <c r="D5923" s="12">
        <v>275</v>
      </c>
    </row>
    <row r="5924" spans="1:4" x14ac:dyDescent="0.2">
      <c r="A5924" s="12" t="s">
        <v>86</v>
      </c>
      <c r="B5924" s="12" t="s">
        <v>85</v>
      </c>
      <c r="C5924" s="12" t="s">
        <v>59</v>
      </c>
      <c r="D5924" s="12" t="s">
        <v>59</v>
      </c>
    </row>
    <row r="5925" spans="1:4" x14ac:dyDescent="0.2">
      <c r="A5925" s="12" t="s">
        <v>90</v>
      </c>
      <c r="B5925" s="12" t="s">
        <v>89</v>
      </c>
      <c r="C5925" s="12" t="s">
        <v>59</v>
      </c>
      <c r="D5925" s="12" t="s">
        <v>59</v>
      </c>
    </row>
    <row r="5926" spans="1:4" x14ac:dyDescent="0.2">
      <c r="A5926" s="12" t="s">
        <v>2476</v>
      </c>
      <c r="B5926" s="12" t="s">
        <v>2475</v>
      </c>
      <c r="C5926" s="12">
        <v>3500</v>
      </c>
      <c r="D5926" s="12">
        <v>350</v>
      </c>
    </row>
    <row r="5927" spans="1:4" x14ac:dyDescent="0.2">
      <c r="A5927" s="12" t="s">
        <v>1770</v>
      </c>
      <c r="B5927" s="12" t="s">
        <v>1769</v>
      </c>
      <c r="C5927" s="12">
        <v>60</v>
      </c>
      <c r="D5927" s="12">
        <v>6</v>
      </c>
    </row>
    <row r="5928" spans="1:4" x14ac:dyDescent="0.2">
      <c r="A5928" s="12" t="s">
        <v>1720</v>
      </c>
      <c r="B5928" s="12" t="s">
        <v>1719</v>
      </c>
      <c r="C5928" s="12">
        <v>24</v>
      </c>
      <c r="D5928" s="12">
        <v>2.4</v>
      </c>
    </row>
    <row r="5929" spans="1:4" x14ac:dyDescent="0.2">
      <c r="A5929" s="12" t="s">
        <v>84</v>
      </c>
      <c r="B5929" s="12" t="s">
        <v>83</v>
      </c>
      <c r="C5929" s="12">
        <v>80</v>
      </c>
      <c r="D5929" s="12">
        <v>8</v>
      </c>
    </row>
    <row r="5930" spans="1:4" x14ac:dyDescent="0.2">
      <c r="A5930" s="12" t="s">
        <v>2189</v>
      </c>
      <c r="B5930" s="12" t="s">
        <v>2188</v>
      </c>
      <c r="C5930" s="12">
        <v>290</v>
      </c>
      <c r="D5930" s="12">
        <v>3.3</v>
      </c>
    </row>
    <row r="5931" spans="1:4" x14ac:dyDescent="0.2">
      <c r="A5931" s="12" t="s">
        <v>9499</v>
      </c>
      <c r="B5931" s="12" t="s">
        <v>9498</v>
      </c>
      <c r="C5931" s="12">
        <v>110</v>
      </c>
      <c r="D5931" s="12">
        <v>11</v>
      </c>
    </row>
    <row r="5932" spans="1:4" x14ac:dyDescent="0.2">
      <c r="A5932" s="12" t="s">
        <v>9495</v>
      </c>
      <c r="B5932" s="12" t="s">
        <v>9494</v>
      </c>
      <c r="C5932" s="12">
        <v>6.4</v>
      </c>
      <c r="D5932" s="12">
        <v>0.64</v>
      </c>
    </row>
    <row r="5933" spans="1:4" x14ac:dyDescent="0.2">
      <c r="A5933" s="12" t="s">
        <v>2367</v>
      </c>
      <c r="B5933" s="12" t="s">
        <v>2366</v>
      </c>
      <c r="C5933" s="12">
        <v>30</v>
      </c>
      <c r="D5933" s="12">
        <v>3</v>
      </c>
    </row>
    <row r="5934" spans="1:4" x14ac:dyDescent="0.2">
      <c r="A5934" s="12" t="s">
        <v>9497</v>
      </c>
      <c r="B5934" s="12" t="s">
        <v>9496</v>
      </c>
      <c r="C5934" s="12">
        <v>40</v>
      </c>
      <c r="D5934" s="12">
        <v>4</v>
      </c>
    </row>
    <row r="5935" spans="1:4" x14ac:dyDescent="0.2">
      <c r="A5935" s="12" t="s">
        <v>6197</v>
      </c>
      <c r="B5935" s="12" t="s">
        <v>6196</v>
      </c>
      <c r="C5935" s="12">
        <v>8</v>
      </c>
      <c r="D5935" s="12">
        <v>0.8</v>
      </c>
    </row>
    <row r="5936" spans="1:4" x14ac:dyDescent="0.2">
      <c r="A5936" s="12" t="s">
        <v>9984</v>
      </c>
      <c r="B5936" s="12" t="s">
        <v>9983</v>
      </c>
      <c r="C5936" s="12">
        <v>1</v>
      </c>
      <c r="D5936" s="12">
        <v>0.1</v>
      </c>
    </row>
    <row r="5937" spans="1:4" x14ac:dyDescent="0.2">
      <c r="A5937" s="12" t="s">
        <v>6286</v>
      </c>
      <c r="B5937" s="12" t="s">
        <v>6285</v>
      </c>
      <c r="C5937" s="12">
        <v>3100</v>
      </c>
      <c r="D5937" s="12">
        <v>310</v>
      </c>
    </row>
    <row r="5938" spans="1:4" x14ac:dyDescent="0.2">
      <c r="A5938" s="12" t="s">
        <v>10016</v>
      </c>
      <c r="B5938" s="12" t="s">
        <v>10015</v>
      </c>
      <c r="C5938" s="12" t="s">
        <v>59</v>
      </c>
      <c r="D5938" s="12" t="s">
        <v>59</v>
      </c>
    </row>
    <row r="5939" spans="1:4" x14ac:dyDescent="0.2">
      <c r="A5939" s="12" t="s">
        <v>9977</v>
      </c>
      <c r="B5939" s="12" t="s">
        <v>9976</v>
      </c>
      <c r="C5939" s="12">
        <v>28</v>
      </c>
      <c r="D5939" s="12">
        <v>2.8</v>
      </c>
    </row>
    <row r="5940" spans="1:4" x14ac:dyDescent="0.2">
      <c r="A5940" s="12" t="s">
        <v>9967</v>
      </c>
      <c r="B5940" s="12" t="s">
        <v>9966</v>
      </c>
      <c r="C5940" s="12" t="s">
        <v>59</v>
      </c>
      <c r="D5940" s="12" t="s">
        <v>59</v>
      </c>
    </row>
    <row r="5941" spans="1:4" x14ac:dyDescent="0.2">
      <c r="A5941" s="12" t="s">
        <v>10653</v>
      </c>
      <c r="B5941" s="12" t="s">
        <v>10652</v>
      </c>
      <c r="C5941" s="12">
        <v>2.5</v>
      </c>
      <c r="D5941" s="12">
        <v>0.25</v>
      </c>
    </row>
    <row r="5942" spans="1:4" x14ac:dyDescent="0.2">
      <c r="A5942" s="12" t="s">
        <v>10655</v>
      </c>
      <c r="B5942" s="12" t="s">
        <v>10654</v>
      </c>
      <c r="C5942" s="12">
        <v>2.5</v>
      </c>
      <c r="D5942" s="12">
        <v>0.25</v>
      </c>
    </row>
    <row r="5943" spans="1:4" x14ac:dyDescent="0.2">
      <c r="A5943" s="12" t="s">
        <v>6309</v>
      </c>
      <c r="B5943" s="12" t="s">
        <v>6308</v>
      </c>
      <c r="C5943" s="12" t="s">
        <v>59</v>
      </c>
      <c r="D5943" s="12" t="s">
        <v>59</v>
      </c>
    </row>
    <row r="5944" spans="1:4" x14ac:dyDescent="0.2">
      <c r="A5944" s="12" t="s">
        <v>2448</v>
      </c>
      <c r="B5944" s="12" t="s">
        <v>2447</v>
      </c>
      <c r="C5944" s="12" t="s">
        <v>59</v>
      </c>
      <c r="D5944" s="12" t="s">
        <v>59</v>
      </c>
    </row>
    <row r="5945" spans="1:4" x14ac:dyDescent="0.2">
      <c r="A5945" s="12" t="s">
        <v>5688</v>
      </c>
      <c r="B5945" s="12" t="s">
        <v>5687</v>
      </c>
      <c r="C5945" s="12">
        <v>1000</v>
      </c>
      <c r="D5945" s="12">
        <v>100</v>
      </c>
    </row>
    <row r="5946" spans="1:4" x14ac:dyDescent="0.2">
      <c r="A5946" s="12" t="s">
        <v>9530</v>
      </c>
      <c r="B5946" s="12" t="s">
        <v>9529</v>
      </c>
      <c r="C5946" s="12">
        <v>310</v>
      </c>
      <c r="D5946" s="12">
        <v>31</v>
      </c>
    </row>
    <row r="5947" spans="1:4" x14ac:dyDescent="0.2">
      <c r="A5947" s="12" t="s">
        <v>8297</v>
      </c>
      <c r="B5947" s="12" t="s">
        <v>8296</v>
      </c>
      <c r="C5947" s="12">
        <v>2340</v>
      </c>
      <c r="D5947" s="12">
        <v>234</v>
      </c>
    </row>
    <row r="5948" spans="1:4" x14ac:dyDescent="0.2">
      <c r="A5948" s="12" t="s">
        <v>11790</v>
      </c>
      <c r="B5948" s="12" t="s">
        <v>11789</v>
      </c>
      <c r="C5948" s="12">
        <v>290</v>
      </c>
      <c r="D5948" s="12">
        <v>3.3</v>
      </c>
    </row>
    <row r="5949" spans="1:4" x14ac:dyDescent="0.2">
      <c r="A5949" s="12" t="s">
        <v>11791</v>
      </c>
      <c r="B5949" s="12" t="s">
        <v>11789</v>
      </c>
      <c r="C5949" s="12" t="s">
        <v>59</v>
      </c>
      <c r="D5949" s="12" t="s">
        <v>59</v>
      </c>
    </row>
    <row r="5950" spans="1:4" x14ac:dyDescent="0.2">
      <c r="A5950" s="12" t="s">
        <v>706</v>
      </c>
      <c r="B5950" s="12" t="s">
        <v>705</v>
      </c>
      <c r="C5950" s="12" t="s">
        <v>59</v>
      </c>
      <c r="D5950" s="12" t="s">
        <v>59</v>
      </c>
    </row>
    <row r="5951" spans="1:4" x14ac:dyDescent="0.2">
      <c r="A5951" s="12" t="s">
        <v>707</v>
      </c>
      <c r="B5951" s="12" t="s">
        <v>705</v>
      </c>
      <c r="C5951" s="12">
        <v>2500</v>
      </c>
      <c r="D5951" s="12">
        <v>250</v>
      </c>
    </row>
    <row r="5952" spans="1:4" x14ac:dyDescent="0.2">
      <c r="A5952" s="12" t="s">
        <v>3386</v>
      </c>
      <c r="B5952" s="12" t="s">
        <v>3385</v>
      </c>
      <c r="C5952" s="12" t="s">
        <v>59</v>
      </c>
      <c r="D5952" s="12" t="s">
        <v>59</v>
      </c>
    </row>
    <row r="5953" spans="1:4" x14ac:dyDescent="0.2">
      <c r="A5953" s="12" t="s">
        <v>3387</v>
      </c>
      <c r="B5953" s="12" t="s">
        <v>3385</v>
      </c>
      <c r="C5953" s="12">
        <v>1000</v>
      </c>
      <c r="D5953" s="12">
        <v>100</v>
      </c>
    </row>
    <row r="5954" spans="1:4" x14ac:dyDescent="0.2">
      <c r="A5954" s="12" t="s">
        <v>7363</v>
      </c>
      <c r="B5954" s="12" t="s">
        <v>7362</v>
      </c>
      <c r="C5954" s="12" t="s">
        <v>59</v>
      </c>
      <c r="D5954" s="12" t="s">
        <v>59</v>
      </c>
    </row>
    <row r="5955" spans="1:4" x14ac:dyDescent="0.2">
      <c r="A5955" s="12" t="s">
        <v>2122</v>
      </c>
      <c r="B5955" s="12" t="s">
        <v>2121</v>
      </c>
      <c r="C5955" s="12">
        <v>290</v>
      </c>
      <c r="D5955" s="12">
        <v>3.3</v>
      </c>
    </row>
    <row r="5956" spans="1:4" x14ac:dyDescent="0.2">
      <c r="A5956" s="12" t="s">
        <v>7288</v>
      </c>
      <c r="B5956" s="12" t="s">
        <v>7287</v>
      </c>
      <c r="C5956" s="12" t="s">
        <v>59</v>
      </c>
      <c r="D5956" s="12" t="s">
        <v>59</v>
      </c>
    </row>
    <row r="5957" spans="1:4" x14ac:dyDescent="0.2">
      <c r="A5957" s="12" t="s">
        <v>4967</v>
      </c>
      <c r="B5957" s="12" t="s">
        <v>4966</v>
      </c>
      <c r="C5957" s="12" t="s">
        <v>59</v>
      </c>
      <c r="D5957" s="12" t="s">
        <v>59</v>
      </c>
    </row>
    <row r="5958" spans="1:4" x14ac:dyDescent="0.2">
      <c r="A5958" s="12" t="s">
        <v>3795</v>
      </c>
      <c r="B5958" s="12" t="s">
        <v>3794</v>
      </c>
      <c r="C5958" s="12">
        <v>240</v>
      </c>
      <c r="D5958" s="12">
        <v>24</v>
      </c>
    </row>
    <row r="5959" spans="1:4" x14ac:dyDescent="0.2">
      <c r="A5959" s="12" t="s">
        <v>10594</v>
      </c>
      <c r="B5959" s="12" t="s">
        <v>10593</v>
      </c>
      <c r="C5959" s="12">
        <v>240</v>
      </c>
      <c r="D5959" s="12">
        <v>24</v>
      </c>
    </row>
    <row r="5960" spans="1:4" x14ac:dyDescent="0.2">
      <c r="A5960" s="12" t="s">
        <v>10787</v>
      </c>
      <c r="B5960" s="12" t="s">
        <v>10786</v>
      </c>
      <c r="C5960" s="12">
        <v>90</v>
      </c>
      <c r="D5960" s="12">
        <v>9</v>
      </c>
    </row>
    <row r="5961" spans="1:4" x14ac:dyDescent="0.2">
      <c r="A5961" s="12" t="s">
        <v>10318</v>
      </c>
      <c r="B5961" s="12" t="s">
        <v>10317</v>
      </c>
      <c r="C5961" s="12" t="s">
        <v>59</v>
      </c>
      <c r="D5961" s="12" t="s">
        <v>59</v>
      </c>
    </row>
    <row r="5962" spans="1:4" x14ac:dyDescent="0.2">
      <c r="A5962" s="12" t="s">
        <v>10359</v>
      </c>
      <c r="B5962" s="12" t="s">
        <v>10358</v>
      </c>
      <c r="C5962" s="12" t="s">
        <v>59</v>
      </c>
      <c r="D5962" s="12" t="s">
        <v>59</v>
      </c>
    </row>
    <row r="5963" spans="1:4" x14ac:dyDescent="0.2">
      <c r="A5963" s="12" t="s">
        <v>10369</v>
      </c>
      <c r="B5963" s="12" t="s">
        <v>10368</v>
      </c>
      <c r="C5963" s="12">
        <v>50</v>
      </c>
      <c r="D5963" s="12">
        <v>5</v>
      </c>
    </row>
    <row r="5964" spans="1:4" x14ac:dyDescent="0.2">
      <c r="A5964" s="12" t="s">
        <v>10239</v>
      </c>
      <c r="B5964" s="12" t="s">
        <v>10238</v>
      </c>
      <c r="C5964" s="12" t="s">
        <v>59</v>
      </c>
      <c r="D5964" s="12" t="s">
        <v>59</v>
      </c>
    </row>
    <row r="5965" spans="1:4" x14ac:dyDescent="0.2">
      <c r="A5965" s="12" t="s">
        <v>10366</v>
      </c>
      <c r="B5965" s="12" t="s">
        <v>10365</v>
      </c>
      <c r="C5965" s="12" t="s">
        <v>59</v>
      </c>
      <c r="D5965" s="12" t="s">
        <v>59</v>
      </c>
    </row>
    <row r="5966" spans="1:4" x14ac:dyDescent="0.2">
      <c r="A5966" s="12" t="s">
        <v>10367</v>
      </c>
      <c r="B5966" s="12" t="s">
        <v>10365</v>
      </c>
      <c r="C5966" s="12">
        <v>100</v>
      </c>
      <c r="D5966" s="12">
        <v>10</v>
      </c>
    </row>
    <row r="5967" spans="1:4" x14ac:dyDescent="0.2">
      <c r="A5967" s="12" t="s">
        <v>3399</v>
      </c>
      <c r="B5967" s="12" t="s">
        <v>3398</v>
      </c>
      <c r="C5967" s="12">
        <v>20</v>
      </c>
      <c r="D5967" s="12">
        <v>2</v>
      </c>
    </row>
    <row r="5968" spans="1:4" x14ac:dyDescent="0.2">
      <c r="A5968" s="12" t="s">
        <v>6437</v>
      </c>
      <c r="B5968" s="12" t="s">
        <v>6436</v>
      </c>
      <c r="C5968" s="12" t="s">
        <v>59</v>
      </c>
      <c r="D5968" s="12" t="s">
        <v>59</v>
      </c>
    </row>
    <row r="5969" spans="1:4" x14ac:dyDescent="0.2">
      <c r="A5969" s="12" t="s">
        <v>6438</v>
      </c>
      <c r="B5969" s="12" t="s">
        <v>6436</v>
      </c>
      <c r="C5969" s="12">
        <v>1000</v>
      </c>
      <c r="D5969" s="12">
        <v>100</v>
      </c>
    </row>
    <row r="5970" spans="1:4" x14ac:dyDescent="0.2">
      <c r="A5970" s="12" t="s">
        <v>11828</v>
      </c>
      <c r="B5970" s="12" t="s">
        <v>11827</v>
      </c>
      <c r="C5970" s="12" t="s">
        <v>59</v>
      </c>
      <c r="D5970" s="12" t="s">
        <v>59</v>
      </c>
    </row>
    <row r="5971" spans="1:4" x14ac:dyDescent="0.2">
      <c r="A5971" s="12" t="s">
        <v>11829</v>
      </c>
      <c r="B5971" s="12" t="s">
        <v>11827</v>
      </c>
      <c r="C5971" s="12">
        <v>600</v>
      </c>
      <c r="D5971" s="12">
        <v>60</v>
      </c>
    </row>
    <row r="5972" spans="1:4" x14ac:dyDescent="0.2">
      <c r="A5972" s="12" t="s">
        <v>10259</v>
      </c>
      <c r="B5972" s="12" t="s">
        <v>10258</v>
      </c>
      <c r="C5972" s="12">
        <v>270</v>
      </c>
      <c r="D5972" s="12">
        <v>27</v>
      </c>
    </row>
    <row r="5973" spans="1:4" x14ac:dyDescent="0.2">
      <c r="A5973" s="12" t="s">
        <v>10197</v>
      </c>
      <c r="B5973" s="12" t="s">
        <v>10196</v>
      </c>
      <c r="C5973" s="12">
        <v>18</v>
      </c>
      <c r="D5973" s="12">
        <v>1.8</v>
      </c>
    </row>
    <row r="5974" spans="1:4" x14ac:dyDescent="0.2">
      <c r="A5974" s="12" t="s">
        <v>2436</v>
      </c>
      <c r="B5974" s="12" t="s">
        <v>2435</v>
      </c>
      <c r="C5974" s="12" t="s">
        <v>59</v>
      </c>
      <c r="D5974" s="12" t="s">
        <v>59</v>
      </c>
    </row>
    <row r="5975" spans="1:4" x14ac:dyDescent="0.2">
      <c r="A5975" s="12" t="s">
        <v>11158</v>
      </c>
      <c r="B5975" s="12" t="s">
        <v>11157</v>
      </c>
      <c r="C5975" s="12">
        <v>18</v>
      </c>
      <c r="D5975" s="12">
        <v>1.8</v>
      </c>
    </row>
    <row r="5976" spans="1:4" x14ac:dyDescent="0.2">
      <c r="A5976" s="12" t="s">
        <v>10195</v>
      </c>
      <c r="B5976" s="12" t="s">
        <v>10194</v>
      </c>
      <c r="C5976" s="12" t="s">
        <v>59</v>
      </c>
      <c r="D5976" s="12" t="s">
        <v>59</v>
      </c>
    </row>
    <row r="5977" spans="1:4" x14ac:dyDescent="0.2">
      <c r="A5977" s="12" t="s">
        <v>10333</v>
      </c>
      <c r="B5977" s="12" t="s">
        <v>10332</v>
      </c>
      <c r="C5977" s="12" t="s">
        <v>59</v>
      </c>
      <c r="D5977" s="12" t="s">
        <v>59</v>
      </c>
    </row>
    <row r="5978" spans="1:4" x14ac:dyDescent="0.2">
      <c r="A5978" s="12" t="s">
        <v>10334</v>
      </c>
      <c r="B5978" s="12" t="s">
        <v>10332</v>
      </c>
      <c r="C5978" s="12">
        <v>1000</v>
      </c>
      <c r="D5978" s="12">
        <v>100</v>
      </c>
    </row>
    <row r="5979" spans="1:4" x14ac:dyDescent="0.2">
      <c r="A5979" s="12" t="s">
        <v>10090</v>
      </c>
      <c r="B5979" s="12" t="s">
        <v>10089</v>
      </c>
      <c r="C5979" s="12">
        <v>1000</v>
      </c>
      <c r="D5979" s="12">
        <v>100</v>
      </c>
    </row>
    <row r="5980" spans="1:4" x14ac:dyDescent="0.2">
      <c r="A5980" s="12" t="s">
        <v>4582</v>
      </c>
      <c r="B5980" s="12" t="s">
        <v>4581</v>
      </c>
      <c r="C5980" s="12" t="s">
        <v>59</v>
      </c>
      <c r="D5980" s="12" t="s">
        <v>59</v>
      </c>
    </row>
    <row r="5981" spans="1:4" x14ac:dyDescent="0.2">
      <c r="A5981" s="12" t="s">
        <v>4583</v>
      </c>
      <c r="B5981" s="12" t="s">
        <v>4581</v>
      </c>
      <c r="C5981" s="12">
        <v>1000</v>
      </c>
      <c r="D5981" s="12">
        <v>100</v>
      </c>
    </row>
    <row r="5982" spans="1:4" x14ac:dyDescent="0.2">
      <c r="A5982" s="12" t="s">
        <v>682</v>
      </c>
      <c r="B5982" s="12" t="s">
        <v>681</v>
      </c>
      <c r="C5982" s="12" t="s">
        <v>59</v>
      </c>
      <c r="D5982" s="12" t="s">
        <v>59</v>
      </c>
    </row>
    <row r="5983" spans="1:4" x14ac:dyDescent="0.2">
      <c r="A5983" s="12" t="s">
        <v>3518</v>
      </c>
      <c r="B5983" s="12" t="s">
        <v>3517</v>
      </c>
      <c r="C5983" s="12" t="s">
        <v>59</v>
      </c>
      <c r="D5983" s="12" t="s">
        <v>59</v>
      </c>
    </row>
    <row r="5984" spans="1:4" x14ac:dyDescent="0.2">
      <c r="A5984" s="12" t="s">
        <v>10287</v>
      </c>
      <c r="B5984" s="12" t="s">
        <v>10286</v>
      </c>
      <c r="C5984" s="12">
        <v>23000</v>
      </c>
      <c r="D5984" s="12">
        <v>7100</v>
      </c>
    </row>
    <row r="5985" spans="1:4" x14ac:dyDescent="0.2">
      <c r="A5985" s="12" t="s">
        <v>10110</v>
      </c>
      <c r="B5985" s="12" t="s">
        <v>10109</v>
      </c>
      <c r="C5985" s="12">
        <v>5000</v>
      </c>
      <c r="D5985" s="12">
        <v>500</v>
      </c>
    </row>
    <row r="5986" spans="1:4" x14ac:dyDescent="0.2">
      <c r="A5986" s="12" t="s">
        <v>10215</v>
      </c>
      <c r="B5986" s="12" t="s">
        <v>10214</v>
      </c>
      <c r="C5986" s="12">
        <v>5000</v>
      </c>
      <c r="D5986" s="12">
        <v>500</v>
      </c>
    </row>
    <row r="5987" spans="1:4" x14ac:dyDescent="0.2">
      <c r="A5987" s="12" t="s">
        <v>10289</v>
      </c>
      <c r="B5987" s="12" t="s">
        <v>10288</v>
      </c>
      <c r="C5987" s="12" t="s">
        <v>59</v>
      </c>
      <c r="D5987" s="12" t="s">
        <v>59</v>
      </c>
    </row>
    <row r="5988" spans="1:4" x14ac:dyDescent="0.2">
      <c r="A5988" s="12" t="s">
        <v>6524</v>
      </c>
      <c r="B5988" s="12" t="s">
        <v>6523</v>
      </c>
      <c r="C5988" s="12" t="s">
        <v>59</v>
      </c>
      <c r="D5988" s="12" t="s">
        <v>59</v>
      </c>
    </row>
    <row r="5989" spans="1:4" x14ac:dyDescent="0.2">
      <c r="A5989" s="12" t="s">
        <v>10357</v>
      </c>
      <c r="B5989" s="12" t="s">
        <v>10356</v>
      </c>
      <c r="C5989" s="12" t="s">
        <v>59</v>
      </c>
      <c r="D5989" s="12" t="s">
        <v>59</v>
      </c>
    </row>
    <row r="5990" spans="1:4" x14ac:dyDescent="0.2">
      <c r="A5990" s="12" t="s">
        <v>3516</v>
      </c>
      <c r="B5990" s="12" t="s">
        <v>3515</v>
      </c>
      <c r="C5990" s="12" t="s">
        <v>59</v>
      </c>
      <c r="D5990" s="12" t="s">
        <v>59</v>
      </c>
    </row>
    <row r="5991" spans="1:4" x14ac:dyDescent="0.2">
      <c r="A5991" s="12" t="s">
        <v>5047</v>
      </c>
      <c r="B5991" s="12" t="s">
        <v>5046</v>
      </c>
      <c r="C5991" s="12">
        <v>1</v>
      </c>
      <c r="D5991" s="12">
        <v>0.1</v>
      </c>
    </row>
    <row r="5992" spans="1:4" x14ac:dyDescent="0.2">
      <c r="A5992" s="12" t="s">
        <v>9386</v>
      </c>
      <c r="B5992" s="12" t="s">
        <v>9385</v>
      </c>
      <c r="C5992" s="12">
        <v>5</v>
      </c>
      <c r="D5992" s="12">
        <v>0.5</v>
      </c>
    </row>
    <row r="5993" spans="1:4" x14ac:dyDescent="0.2">
      <c r="A5993" s="12" t="s">
        <v>4963</v>
      </c>
      <c r="B5993" s="12" t="s">
        <v>4962</v>
      </c>
      <c r="C5993" s="12" t="s">
        <v>59</v>
      </c>
      <c r="D5993" s="12" t="s">
        <v>59</v>
      </c>
    </row>
    <row r="5994" spans="1:4" x14ac:dyDescent="0.2">
      <c r="A5994" s="12" t="s">
        <v>4995</v>
      </c>
      <c r="B5994" s="12" t="s">
        <v>4994</v>
      </c>
      <c r="C5994" s="12" t="s">
        <v>59</v>
      </c>
      <c r="D5994" s="12" t="s">
        <v>59</v>
      </c>
    </row>
    <row r="5995" spans="1:4" x14ac:dyDescent="0.2">
      <c r="A5995" s="12" t="s">
        <v>4997</v>
      </c>
      <c r="B5995" s="12" t="s">
        <v>4996</v>
      </c>
      <c r="C5995" s="12" t="s">
        <v>59</v>
      </c>
      <c r="D5995" s="12" t="s">
        <v>59</v>
      </c>
    </row>
    <row r="5996" spans="1:4" x14ac:dyDescent="0.2">
      <c r="A5996" s="12" t="s">
        <v>4999</v>
      </c>
      <c r="B5996" s="12" t="s">
        <v>4998</v>
      </c>
      <c r="C5996" s="12" t="s">
        <v>59</v>
      </c>
      <c r="D5996" s="12" t="s">
        <v>59</v>
      </c>
    </row>
    <row r="5997" spans="1:4" x14ac:dyDescent="0.2">
      <c r="A5997" s="12" t="s">
        <v>5001</v>
      </c>
      <c r="B5997" s="12" t="s">
        <v>5000</v>
      </c>
      <c r="C5997" s="12" t="s">
        <v>59</v>
      </c>
      <c r="D5997" s="12" t="s">
        <v>59</v>
      </c>
    </row>
    <row r="5998" spans="1:4" x14ac:dyDescent="0.2">
      <c r="A5998" s="12" t="s">
        <v>5003</v>
      </c>
      <c r="B5998" s="12" t="s">
        <v>5002</v>
      </c>
      <c r="C5998" s="12" t="s">
        <v>59</v>
      </c>
      <c r="D5998" s="12" t="s">
        <v>59</v>
      </c>
    </row>
    <row r="5999" spans="1:4" x14ac:dyDescent="0.2">
      <c r="A5999" s="12" t="s">
        <v>5669</v>
      </c>
      <c r="B5999" s="12" t="s">
        <v>5668</v>
      </c>
      <c r="C5999" s="12" t="s">
        <v>59</v>
      </c>
      <c r="D5999" s="12" t="s">
        <v>59</v>
      </c>
    </row>
    <row r="6000" spans="1:4" x14ac:dyDescent="0.2">
      <c r="A6000" s="12" t="s">
        <v>6623</v>
      </c>
      <c r="B6000" s="12" t="s">
        <v>6622</v>
      </c>
      <c r="C6000" s="12" t="s">
        <v>59</v>
      </c>
      <c r="D6000" s="12" t="s">
        <v>59</v>
      </c>
    </row>
    <row r="6001" spans="1:4" x14ac:dyDescent="0.2">
      <c r="A6001" s="12" t="s">
        <v>7670</v>
      </c>
      <c r="B6001" s="12" t="s">
        <v>7669</v>
      </c>
      <c r="C6001" s="12" t="s">
        <v>59</v>
      </c>
      <c r="D6001" s="12" t="s">
        <v>59</v>
      </c>
    </row>
    <row r="6002" spans="1:4" x14ac:dyDescent="0.2">
      <c r="A6002" s="12" t="s">
        <v>9208</v>
      </c>
      <c r="B6002" s="12" t="s">
        <v>9207</v>
      </c>
      <c r="C6002" s="12" t="s">
        <v>59</v>
      </c>
      <c r="D6002" s="12" t="s">
        <v>59</v>
      </c>
    </row>
    <row r="6003" spans="1:4" x14ac:dyDescent="0.2">
      <c r="A6003" s="12" t="s">
        <v>10140</v>
      </c>
      <c r="B6003" s="12" t="s">
        <v>10139</v>
      </c>
      <c r="C6003" s="12">
        <v>1000</v>
      </c>
      <c r="D6003" s="12">
        <v>100</v>
      </c>
    </row>
    <row r="6004" spans="1:4" x14ac:dyDescent="0.2">
      <c r="A6004" s="12" t="s">
        <v>10217</v>
      </c>
      <c r="B6004" s="12" t="s">
        <v>10216</v>
      </c>
      <c r="C6004" s="12">
        <v>600</v>
      </c>
      <c r="D6004" s="12">
        <v>60</v>
      </c>
    </row>
    <row r="6005" spans="1:4" x14ac:dyDescent="0.2">
      <c r="A6005" s="12" t="s">
        <v>10138</v>
      </c>
      <c r="B6005" s="12" t="s">
        <v>10137</v>
      </c>
      <c r="C6005" s="12">
        <v>600</v>
      </c>
      <c r="D6005" s="12">
        <v>60</v>
      </c>
    </row>
    <row r="6006" spans="1:4" x14ac:dyDescent="0.2">
      <c r="A6006" s="12" t="s">
        <v>11109</v>
      </c>
      <c r="B6006" s="12" t="s">
        <v>11108</v>
      </c>
      <c r="C6006" s="12" t="s">
        <v>59</v>
      </c>
      <c r="D6006" s="12" t="s">
        <v>59</v>
      </c>
    </row>
    <row r="6007" spans="1:4" x14ac:dyDescent="0.2">
      <c r="A6007" s="12" t="s">
        <v>3786</v>
      </c>
      <c r="B6007" s="12" t="s">
        <v>3785</v>
      </c>
      <c r="C6007" s="12" t="s">
        <v>59</v>
      </c>
      <c r="D6007" s="12" t="s">
        <v>59</v>
      </c>
    </row>
    <row r="6008" spans="1:4" x14ac:dyDescent="0.2">
      <c r="A6008" s="12" t="s">
        <v>3787</v>
      </c>
      <c r="B6008" s="12" t="s">
        <v>3785</v>
      </c>
      <c r="C6008" s="12">
        <v>1000</v>
      </c>
      <c r="D6008" s="12">
        <v>100</v>
      </c>
    </row>
    <row r="6009" spans="1:4" x14ac:dyDescent="0.2">
      <c r="A6009" s="12" t="s">
        <v>10136</v>
      </c>
      <c r="B6009" s="12" t="s">
        <v>10135</v>
      </c>
      <c r="C6009" s="12">
        <v>1000</v>
      </c>
      <c r="D6009" s="12">
        <v>100</v>
      </c>
    </row>
    <row r="6010" spans="1:4" x14ac:dyDescent="0.2">
      <c r="A6010" s="12" t="s">
        <v>10255</v>
      </c>
      <c r="B6010" s="12" t="s">
        <v>10254</v>
      </c>
      <c r="C6010" s="12">
        <v>200</v>
      </c>
      <c r="D6010" s="12">
        <v>20</v>
      </c>
    </row>
    <row r="6011" spans="1:4" x14ac:dyDescent="0.2">
      <c r="A6011" s="12" t="s">
        <v>10257</v>
      </c>
      <c r="B6011" s="12" t="s">
        <v>10256</v>
      </c>
      <c r="C6011" s="12">
        <v>1000</v>
      </c>
      <c r="D6011" s="12">
        <v>100</v>
      </c>
    </row>
    <row r="6012" spans="1:4" x14ac:dyDescent="0.2">
      <c r="A6012" s="12" t="s">
        <v>11293</v>
      </c>
      <c r="B6012" s="12" t="s">
        <v>11292</v>
      </c>
      <c r="C6012" s="12">
        <v>600</v>
      </c>
      <c r="D6012" s="12">
        <v>60</v>
      </c>
    </row>
    <row r="6013" spans="1:4" x14ac:dyDescent="0.2">
      <c r="A6013" s="12" t="s">
        <v>2211</v>
      </c>
      <c r="B6013" s="12" t="s">
        <v>2210</v>
      </c>
      <c r="C6013" s="12">
        <v>290</v>
      </c>
      <c r="D6013" s="12">
        <v>3.3</v>
      </c>
    </row>
    <row r="6014" spans="1:4" x14ac:dyDescent="0.2">
      <c r="A6014" s="12" t="s">
        <v>11283</v>
      </c>
      <c r="B6014" s="12" t="s">
        <v>11282</v>
      </c>
      <c r="C6014" s="12" t="s">
        <v>59</v>
      </c>
      <c r="D6014" s="12" t="s">
        <v>59</v>
      </c>
    </row>
    <row r="6015" spans="1:4" x14ac:dyDescent="0.2">
      <c r="A6015" s="12" t="s">
        <v>10313</v>
      </c>
      <c r="B6015" s="12" t="s">
        <v>10312</v>
      </c>
      <c r="C6015" s="12" t="s">
        <v>59</v>
      </c>
      <c r="D6015" s="12" t="s">
        <v>59</v>
      </c>
    </row>
    <row r="6016" spans="1:4" x14ac:dyDescent="0.2">
      <c r="A6016" s="12" t="s">
        <v>10314</v>
      </c>
      <c r="B6016" s="12" t="s">
        <v>10312</v>
      </c>
      <c r="C6016" s="12">
        <v>600</v>
      </c>
      <c r="D6016" s="12">
        <v>60</v>
      </c>
    </row>
    <row r="6017" spans="1:4" x14ac:dyDescent="0.2">
      <c r="A6017" s="12" t="s">
        <v>10355</v>
      </c>
      <c r="B6017" s="12" t="s">
        <v>10354</v>
      </c>
      <c r="C6017" s="12">
        <v>1000</v>
      </c>
      <c r="D6017" s="12">
        <v>100</v>
      </c>
    </row>
    <row r="6018" spans="1:4" x14ac:dyDescent="0.2">
      <c r="A6018" s="12" t="s">
        <v>767</v>
      </c>
      <c r="B6018" s="12" t="s">
        <v>766</v>
      </c>
      <c r="C6018" s="12">
        <v>1000</v>
      </c>
      <c r="D6018" s="12">
        <v>100</v>
      </c>
    </row>
    <row r="6019" spans="1:4" x14ac:dyDescent="0.2">
      <c r="A6019" s="12" t="s">
        <v>10316</v>
      </c>
      <c r="B6019" s="12" t="s">
        <v>10315</v>
      </c>
      <c r="C6019" s="12">
        <v>1000</v>
      </c>
      <c r="D6019" s="12">
        <v>100</v>
      </c>
    </row>
    <row r="6020" spans="1:4" x14ac:dyDescent="0.2">
      <c r="A6020" s="12" t="s">
        <v>11240</v>
      </c>
      <c r="B6020" s="12" t="s">
        <v>11239</v>
      </c>
      <c r="C6020" s="12">
        <v>1000</v>
      </c>
      <c r="D6020" s="12">
        <v>100</v>
      </c>
    </row>
    <row r="6021" spans="1:4" x14ac:dyDescent="0.2">
      <c r="A6021" s="12" t="s">
        <v>4993</v>
      </c>
      <c r="B6021" s="12" t="s">
        <v>4992</v>
      </c>
      <c r="C6021" s="12" t="s">
        <v>59</v>
      </c>
      <c r="D6021" s="12" t="s">
        <v>59</v>
      </c>
    </row>
    <row r="6022" spans="1:4" x14ac:dyDescent="0.2">
      <c r="A6022" s="12" t="s">
        <v>10771</v>
      </c>
      <c r="B6022" s="12" t="s">
        <v>10770</v>
      </c>
      <c r="C6022" s="12" t="s">
        <v>59</v>
      </c>
      <c r="D6022" s="12" t="s">
        <v>59</v>
      </c>
    </row>
    <row r="6023" spans="1:4" x14ac:dyDescent="0.2">
      <c r="A6023" s="12" t="s">
        <v>10311</v>
      </c>
      <c r="B6023" s="12" t="s">
        <v>10310</v>
      </c>
      <c r="C6023" s="12">
        <v>1000</v>
      </c>
      <c r="D6023" s="12">
        <v>100</v>
      </c>
    </row>
    <row r="6024" spans="1:4" x14ac:dyDescent="0.2">
      <c r="A6024" s="12" t="s">
        <v>1294</v>
      </c>
      <c r="B6024" s="12" t="s">
        <v>1293</v>
      </c>
      <c r="C6024" s="12">
        <v>20</v>
      </c>
      <c r="D6024" s="12">
        <v>2</v>
      </c>
    </row>
    <row r="6025" spans="1:4" x14ac:dyDescent="0.2">
      <c r="A6025" s="12" t="s">
        <v>10364</v>
      </c>
      <c r="B6025" s="12" t="s">
        <v>10363</v>
      </c>
      <c r="C6025" s="12" t="s">
        <v>59</v>
      </c>
      <c r="D6025" s="12" t="s">
        <v>59</v>
      </c>
    </row>
    <row r="6026" spans="1:4" x14ac:dyDescent="0.2">
      <c r="A6026" s="12" t="s">
        <v>10154</v>
      </c>
      <c r="B6026" s="12" t="s">
        <v>10153</v>
      </c>
      <c r="C6026" s="12" t="s">
        <v>59</v>
      </c>
      <c r="D6026" s="12" t="s">
        <v>59</v>
      </c>
    </row>
    <row r="6027" spans="1:4" x14ac:dyDescent="0.2">
      <c r="A6027" s="12" t="s">
        <v>1989</v>
      </c>
      <c r="B6027" s="12" t="s">
        <v>1988</v>
      </c>
      <c r="C6027" s="12" t="s">
        <v>59</v>
      </c>
      <c r="D6027" s="12" t="s">
        <v>59</v>
      </c>
    </row>
    <row r="6028" spans="1:4" x14ac:dyDescent="0.2">
      <c r="A6028" s="12" t="s">
        <v>10183</v>
      </c>
      <c r="B6028" s="12" t="s">
        <v>10182</v>
      </c>
      <c r="C6028" s="12" t="s">
        <v>59</v>
      </c>
      <c r="D6028" s="12" t="s">
        <v>59</v>
      </c>
    </row>
    <row r="6029" spans="1:4" x14ac:dyDescent="0.2">
      <c r="A6029" s="12" t="s">
        <v>10149</v>
      </c>
      <c r="B6029" s="12" t="s">
        <v>10148</v>
      </c>
      <c r="C6029" s="12" t="s">
        <v>59</v>
      </c>
      <c r="D6029" s="12" t="s">
        <v>59</v>
      </c>
    </row>
    <row r="6030" spans="1:4" x14ac:dyDescent="0.2">
      <c r="A6030" s="12" t="s">
        <v>10150</v>
      </c>
      <c r="B6030" s="12" t="s">
        <v>10148</v>
      </c>
      <c r="C6030" s="12">
        <v>370</v>
      </c>
      <c r="D6030" s="12">
        <v>37</v>
      </c>
    </row>
    <row r="6031" spans="1:4" x14ac:dyDescent="0.2">
      <c r="A6031" s="12" t="s">
        <v>10144</v>
      </c>
      <c r="B6031" s="12" t="s">
        <v>10143</v>
      </c>
      <c r="C6031" s="12" t="s">
        <v>59</v>
      </c>
      <c r="D6031" s="12" t="s">
        <v>59</v>
      </c>
    </row>
    <row r="6032" spans="1:4" x14ac:dyDescent="0.2">
      <c r="A6032" s="12" t="s">
        <v>1126</v>
      </c>
      <c r="B6032" s="12" t="s">
        <v>1125</v>
      </c>
      <c r="C6032" s="12">
        <v>200</v>
      </c>
      <c r="D6032" s="12">
        <v>20</v>
      </c>
    </row>
    <row r="6033" spans="1:4" x14ac:dyDescent="0.2">
      <c r="A6033" s="12" t="s">
        <v>1668</v>
      </c>
      <c r="B6033" s="12" t="s">
        <v>1667</v>
      </c>
      <c r="C6033" s="12">
        <v>2200</v>
      </c>
      <c r="D6033" s="12">
        <v>220</v>
      </c>
    </row>
    <row r="6034" spans="1:4" x14ac:dyDescent="0.2">
      <c r="A6034" s="12" t="s">
        <v>3764</v>
      </c>
      <c r="B6034" s="12" t="s">
        <v>3763</v>
      </c>
      <c r="C6034" s="12" t="s">
        <v>59</v>
      </c>
      <c r="D6034" s="12" t="s">
        <v>59</v>
      </c>
    </row>
    <row r="6035" spans="1:4" x14ac:dyDescent="0.2">
      <c r="A6035" s="12" t="s">
        <v>3765</v>
      </c>
      <c r="B6035" s="12" t="s">
        <v>3763</v>
      </c>
      <c r="C6035" s="12">
        <v>1000</v>
      </c>
      <c r="D6035" s="12">
        <v>100</v>
      </c>
    </row>
    <row r="6036" spans="1:4" x14ac:dyDescent="0.2">
      <c r="A6036" s="12" t="s">
        <v>3761</v>
      </c>
      <c r="B6036" s="12" t="s">
        <v>3760</v>
      </c>
      <c r="C6036" s="12" t="s">
        <v>59</v>
      </c>
      <c r="D6036" s="12" t="s">
        <v>59</v>
      </c>
    </row>
    <row r="6037" spans="1:4" x14ac:dyDescent="0.2">
      <c r="A6037" s="12" t="s">
        <v>3762</v>
      </c>
      <c r="B6037" s="12" t="s">
        <v>3760</v>
      </c>
      <c r="C6037" s="12">
        <v>1000</v>
      </c>
      <c r="D6037" s="12">
        <v>100</v>
      </c>
    </row>
    <row r="6038" spans="1:4" x14ac:dyDescent="0.2">
      <c r="A6038" s="12" t="s">
        <v>1134</v>
      </c>
      <c r="B6038" s="12" t="s">
        <v>1133</v>
      </c>
      <c r="C6038" s="12">
        <v>20</v>
      </c>
      <c r="D6038" s="12">
        <v>2</v>
      </c>
    </row>
    <row r="6039" spans="1:4" x14ac:dyDescent="0.2">
      <c r="A6039" s="12" t="s">
        <v>10592</v>
      </c>
      <c r="B6039" s="12" t="s">
        <v>10591</v>
      </c>
      <c r="C6039" s="12">
        <v>400</v>
      </c>
      <c r="D6039" s="12">
        <v>40</v>
      </c>
    </row>
    <row r="6040" spans="1:4" x14ac:dyDescent="0.2">
      <c r="A6040" s="12" t="s">
        <v>10227</v>
      </c>
      <c r="B6040" s="12" t="s">
        <v>10226</v>
      </c>
      <c r="C6040" s="12" t="s">
        <v>59</v>
      </c>
      <c r="D6040" s="12" t="s">
        <v>59</v>
      </c>
    </row>
    <row r="6041" spans="1:4" x14ac:dyDescent="0.2">
      <c r="A6041" s="12" t="s">
        <v>10228</v>
      </c>
      <c r="B6041" s="12" t="s">
        <v>10226</v>
      </c>
      <c r="C6041" s="12">
        <v>1000</v>
      </c>
      <c r="D6041" s="12">
        <v>100</v>
      </c>
    </row>
    <row r="6042" spans="1:4" x14ac:dyDescent="0.2">
      <c r="A6042" s="12" t="s">
        <v>9306</v>
      </c>
      <c r="B6042" s="12" t="s">
        <v>9305</v>
      </c>
      <c r="C6042" s="12" t="s">
        <v>59</v>
      </c>
      <c r="D6042" s="12" t="s">
        <v>59</v>
      </c>
    </row>
    <row r="6043" spans="1:4" x14ac:dyDescent="0.2">
      <c r="A6043" s="12" t="s">
        <v>9307</v>
      </c>
      <c r="B6043" s="12" t="s">
        <v>9305</v>
      </c>
      <c r="C6043" s="12">
        <v>600</v>
      </c>
      <c r="D6043" s="12">
        <v>60</v>
      </c>
    </row>
    <row r="6044" spans="1:4" x14ac:dyDescent="0.2">
      <c r="A6044" s="12" t="s">
        <v>10298</v>
      </c>
      <c r="B6044" s="12" t="s">
        <v>10297</v>
      </c>
      <c r="C6044" s="12">
        <v>8.1</v>
      </c>
      <c r="D6044" s="12">
        <v>0.55000000000000004</v>
      </c>
    </row>
    <row r="6045" spans="1:4" x14ac:dyDescent="0.2">
      <c r="A6045" s="12" t="s">
        <v>4262</v>
      </c>
      <c r="B6045" s="12" t="s">
        <v>4261</v>
      </c>
      <c r="C6045" s="12" t="s">
        <v>59</v>
      </c>
      <c r="D6045" s="12" t="s">
        <v>59</v>
      </c>
    </row>
    <row r="6046" spans="1:4" x14ac:dyDescent="0.2">
      <c r="A6046" s="12" t="s">
        <v>4263</v>
      </c>
      <c r="B6046" s="12" t="s">
        <v>4261</v>
      </c>
      <c r="C6046" s="12">
        <v>600</v>
      </c>
      <c r="D6046" s="12">
        <v>60</v>
      </c>
    </row>
    <row r="6047" spans="1:4" x14ac:dyDescent="0.2">
      <c r="A6047" s="12" t="s">
        <v>6470</v>
      </c>
      <c r="B6047" s="12" t="s">
        <v>6469</v>
      </c>
      <c r="C6047" s="12" t="s">
        <v>59</v>
      </c>
      <c r="D6047" s="12" t="s">
        <v>59</v>
      </c>
    </row>
    <row r="6048" spans="1:4" x14ac:dyDescent="0.2">
      <c r="A6048" s="12" t="s">
        <v>6471</v>
      </c>
      <c r="B6048" s="12" t="s">
        <v>6469</v>
      </c>
      <c r="C6048" s="12">
        <v>600</v>
      </c>
      <c r="D6048" s="12">
        <v>60</v>
      </c>
    </row>
    <row r="6049" spans="1:4" x14ac:dyDescent="0.2">
      <c r="A6049" s="12" t="s">
        <v>10131</v>
      </c>
      <c r="B6049" s="12" t="s">
        <v>10130</v>
      </c>
      <c r="C6049" s="12">
        <v>1000</v>
      </c>
      <c r="D6049" s="12">
        <v>100</v>
      </c>
    </row>
    <row r="6050" spans="1:4" x14ac:dyDescent="0.2">
      <c r="A6050" s="12" t="s">
        <v>9313</v>
      </c>
      <c r="B6050" s="12" t="s">
        <v>9312</v>
      </c>
      <c r="C6050" s="12" t="s">
        <v>59</v>
      </c>
      <c r="D6050" s="12" t="s">
        <v>59</v>
      </c>
    </row>
    <row r="6051" spans="1:4" x14ac:dyDescent="0.2">
      <c r="A6051" s="12" t="s">
        <v>8376</v>
      </c>
      <c r="B6051" s="12" t="s">
        <v>8375</v>
      </c>
      <c r="C6051" s="12" t="s">
        <v>59</v>
      </c>
      <c r="D6051" s="12" t="s">
        <v>59</v>
      </c>
    </row>
    <row r="6052" spans="1:4" x14ac:dyDescent="0.2">
      <c r="A6052" s="12" t="s">
        <v>8704</v>
      </c>
      <c r="B6052" s="12" t="s">
        <v>8703</v>
      </c>
      <c r="C6052" s="12">
        <v>600</v>
      </c>
      <c r="D6052" s="12">
        <v>60</v>
      </c>
    </row>
    <row r="6053" spans="1:4" x14ac:dyDescent="0.2">
      <c r="A6053" s="12" t="s">
        <v>10338</v>
      </c>
      <c r="B6053" s="12" t="s">
        <v>10337</v>
      </c>
      <c r="C6053" s="12">
        <v>1000</v>
      </c>
      <c r="D6053" s="12">
        <v>100</v>
      </c>
    </row>
    <row r="6054" spans="1:4" x14ac:dyDescent="0.2">
      <c r="A6054" s="12" t="s">
        <v>8610</v>
      </c>
      <c r="B6054" s="12" t="s">
        <v>8609</v>
      </c>
      <c r="C6054" s="12">
        <v>1000</v>
      </c>
      <c r="D6054" s="12">
        <v>100</v>
      </c>
    </row>
    <row r="6055" spans="1:4" x14ac:dyDescent="0.2">
      <c r="A6055" s="12" t="s">
        <v>10241</v>
      </c>
      <c r="B6055" s="12" t="s">
        <v>10240</v>
      </c>
      <c r="C6055" s="12">
        <v>600</v>
      </c>
      <c r="D6055" s="12">
        <v>60</v>
      </c>
    </row>
    <row r="6056" spans="1:4" x14ac:dyDescent="0.2">
      <c r="A6056" s="12" t="s">
        <v>8584</v>
      </c>
      <c r="B6056" s="12" t="s">
        <v>8583</v>
      </c>
      <c r="C6056" s="12" t="s">
        <v>59</v>
      </c>
      <c r="D6056" s="12" t="s">
        <v>59</v>
      </c>
    </row>
    <row r="6057" spans="1:4" x14ac:dyDescent="0.2">
      <c r="A6057" s="12" t="s">
        <v>3791</v>
      </c>
      <c r="B6057" s="12" t="s">
        <v>3790</v>
      </c>
      <c r="C6057" s="12">
        <v>1000</v>
      </c>
      <c r="D6057" s="12">
        <v>100</v>
      </c>
    </row>
    <row r="6058" spans="1:4" x14ac:dyDescent="0.2">
      <c r="A6058" s="12" t="s">
        <v>10251</v>
      </c>
      <c r="B6058" s="12" t="s">
        <v>10250</v>
      </c>
      <c r="C6058" s="12">
        <v>1000</v>
      </c>
      <c r="D6058" s="12">
        <v>100</v>
      </c>
    </row>
    <row r="6059" spans="1:4" x14ac:dyDescent="0.2">
      <c r="A6059" s="12" t="s">
        <v>3421</v>
      </c>
      <c r="B6059" s="12" t="s">
        <v>3420</v>
      </c>
      <c r="C6059" s="12">
        <v>2750</v>
      </c>
      <c r="D6059" s="12">
        <v>275</v>
      </c>
    </row>
    <row r="6060" spans="1:4" x14ac:dyDescent="0.2">
      <c r="A6060" s="12" t="s">
        <v>10344</v>
      </c>
      <c r="B6060" s="12" t="s">
        <v>10343</v>
      </c>
      <c r="C6060" s="12" t="s">
        <v>59</v>
      </c>
      <c r="D6060" s="12" t="s">
        <v>59</v>
      </c>
    </row>
    <row r="6061" spans="1:4" x14ac:dyDescent="0.2">
      <c r="A6061" s="12" t="s">
        <v>3838</v>
      </c>
      <c r="B6061" s="12" t="s">
        <v>3837</v>
      </c>
      <c r="C6061" s="12" t="s">
        <v>59</v>
      </c>
      <c r="D6061" s="12" t="s">
        <v>59</v>
      </c>
    </row>
    <row r="6062" spans="1:4" x14ac:dyDescent="0.2">
      <c r="A6062" s="12" t="s">
        <v>3839</v>
      </c>
      <c r="B6062" s="12" t="s">
        <v>3837</v>
      </c>
      <c r="C6062" s="12">
        <v>1000</v>
      </c>
      <c r="D6062" s="12">
        <v>100</v>
      </c>
    </row>
    <row r="6063" spans="1:4" x14ac:dyDescent="0.2">
      <c r="A6063" s="12" t="s">
        <v>10320</v>
      </c>
      <c r="B6063" s="12" t="s">
        <v>10319</v>
      </c>
      <c r="C6063" s="12">
        <v>180</v>
      </c>
      <c r="D6063" s="12">
        <v>18</v>
      </c>
    </row>
    <row r="6064" spans="1:4" x14ac:dyDescent="0.2">
      <c r="A6064" s="12" t="s">
        <v>3809</v>
      </c>
      <c r="B6064" s="12" t="s">
        <v>3808</v>
      </c>
      <c r="C6064" s="12" t="s">
        <v>59</v>
      </c>
      <c r="D6064" s="12" t="s">
        <v>59</v>
      </c>
    </row>
    <row r="6065" spans="1:4" x14ac:dyDescent="0.2">
      <c r="A6065" s="12" t="s">
        <v>4038</v>
      </c>
      <c r="B6065" s="12" t="s">
        <v>4037</v>
      </c>
      <c r="C6065" s="12" t="s">
        <v>59</v>
      </c>
      <c r="D6065" s="12" t="s">
        <v>59</v>
      </c>
    </row>
    <row r="6066" spans="1:4" x14ac:dyDescent="0.2">
      <c r="A6066" s="12" t="s">
        <v>10292</v>
      </c>
      <c r="B6066" s="12" t="s">
        <v>10291</v>
      </c>
      <c r="C6066" s="12" t="s">
        <v>59</v>
      </c>
      <c r="D6066" s="12" t="s">
        <v>59</v>
      </c>
    </row>
    <row r="6067" spans="1:4" x14ac:dyDescent="0.2">
      <c r="A6067" s="12" t="s">
        <v>1069</v>
      </c>
      <c r="B6067" s="12" t="s">
        <v>1068</v>
      </c>
      <c r="C6067" s="12">
        <v>375</v>
      </c>
      <c r="D6067" s="12">
        <v>38</v>
      </c>
    </row>
    <row r="6068" spans="1:4" x14ac:dyDescent="0.2">
      <c r="A6068" s="12" t="s">
        <v>10179</v>
      </c>
      <c r="B6068" s="12" t="s">
        <v>10178</v>
      </c>
      <c r="C6068" s="12">
        <v>8.1</v>
      </c>
      <c r="D6068" s="12">
        <v>0.55000000000000004</v>
      </c>
    </row>
    <row r="6069" spans="1:4" x14ac:dyDescent="0.2">
      <c r="A6069" s="12" t="s">
        <v>3635</v>
      </c>
      <c r="B6069" s="12" t="s">
        <v>3634</v>
      </c>
      <c r="C6069" s="12">
        <v>3500</v>
      </c>
      <c r="D6069" s="12">
        <v>350</v>
      </c>
    </row>
    <row r="6070" spans="1:4" x14ac:dyDescent="0.2">
      <c r="A6070" s="12" t="s">
        <v>4786</v>
      </c>
      <c r="B6070" s="12" t="s">
        <v>4785</v>
      </c>
      <c r="C6070" s="12">
        <v>3500</v>
      </c>
      <c r="D6070" s="12">
        <v>350</v>
      </c>
    </row>
    <row r="6071" spans="1:4" x14ac:dyDescent="0.2">
      <c r="A6071" s="12" t="s">
        <v>4790</v>
      </c>
      <c r="B6071" s="12" t="s">
        <v>4789</v>
      </c>
      <c r="C6071" s="12">
        <v>3500</v>
      </c>
      <c r="D6071" s="12">
        <v>350</v>
      </c>
    </row>
    <row r="6072" spans="1:4" x14ac:dyDescent="0.2">
      <c r="A6072" s="12" t="s">
        <v>5451</v>
      </c>
      <c r="B6072" s="12" t="s">
        <v>5450</v>
      </c>
      <c r="C6072" s="12" t="s">
        <v>59</v>
      </c>
      <c r="D6072" s="12" t="s">
        <v>59</v>
      </c>
    </row>
    <row r="6073" spans="1:4" x14ac:dyDescent="0.2">
      <c r="A6073" s="12" t="s">
        <v>10108</v>
      </c>
      <c r="B6073" s="12" t="s">
        <v>10107</v>
      </c>
      <c r="C6073" s="12">
        <v>8.1</v>
      </c>
      <c r="D6073" s="12">
        <v>0.55000000000000004</v>
      </c>
    </row>
    <row r="6074" spans="1:4" x14ac:dyDescent="0.2">
      <c r="A6074" s="12" t="s">
        <v>3375</v>
      </c>
      <c r="B6074" s="12" t="s">
        <v>3374</v>
      </c>
      <c r="C6074" s="12" t="s">
        <v>59</v>
      </c>
      <c r="D6074" s="12" t="s">
        <v>59</v>
      </c>
    </row>
    <row r="6075" spans="1:4" x14ac:dyDescent="0.2">
      <c r="A6075" s="12" t="s">
        <v>3376</v>
      </c>
      <c r="B6075" s="12" t="s">
        <v>3374</v>
      </c>
      <c r="C6075" s="12">
        <v>1000</v>
      </c>
      <c r="D6075" s="12">
        <v>100</v>
      </c>
    </row>
    <row r="6076" spans="1:4" x14ac:dyDescent="0.2">
      <c r="A6076" s="12" t="s">
        <v>1664</v>
      </c>
      <c r="B6076" s="12" t="s">
        <v>1663</v>
      </c>
      <c r="C6076" s="12">
        <v>420</v>
      </c>
      <c r="D6076" s="12">
        <v>42</v>
      </c>
    </row>
    <row r="6077" spans="1:4" x14ac:dyDescent="0.2">
      <c r="A6077" s="12" t="s">
        <v>8595</v>
      </c>
      <c r="B6077" s="12" t="s">
        <v>8594</v>
      </c>
      <c r="C6077" s="12" t="s">
        <v>59</v>
      </c>
      <c r="D6077" s="12" t="s">
        <v>59</v>
      </c>
    </row>
    <row r="6078" spans="1:4" x14ac:dyDescent="0.2">
      <c r="A6078" s="12" t="s">
        <v>8596</v>
      </c>
      <c r="B6078" s="12" t="s">
        <v>8594</v>
      </c>
      <c r="C6078" s="12">
        <v>1000</v>
      </c>
      <c r="D6078" s="12">
        <v>100</v>
      </c>
    </row>
    <row r="6079" spans="1:4" x14ac:dyDescent="0.2">
      <c r="A6079" s="12" t="s">
        <v>11160</v>
      </c>
      <c r="B6079" s="12" t="s">
        <v>11159</v>
      </c>
      <c r="C6079" s="12" t="s">
        <v>59</v>
      </c>
      <c r="D6079" s="12" t="s">
        <v>59</v>
      </c>
    </row>
    <row r="6080" spans="1:4" x14ac:dyDescent="0.2">
      <c r="A6080" s="12" t="s">
        <v>3756</v>
      </c>
      <c r="B6080" s="12" t="s">
        <v>3755</v>
      </c>
      <c r="C6080" s="12" t="s">
        <v>59</v>
      </c>
      <c r="D6080" s="12" t="s">
        <v>59</v>
      </c>
    </row>
    <row r="6081" spans="1:4" x14ac:dyDescent="0.2">
      <c r="A6081" s="12" t="s">
        <v>5014</v>
      </c>
      <c r="B6081" s="12" t="s">
        <v>5013</v>
      </c>
      <c r="C6081" s="12">
        <v>600</v>
      </c>
      <c r="D6081" s="12">
        <v>60</v>
      </c>
    </row>
    <row r="6082" spans="1:4" x14ac:dyDescent="0.2">
      <c r="A6082" s="12" t="s">
        <v>4117</v>
      </c>
      <c r="B6082" s="12" t="s">
        <v>4116</v>
      </c>
      <c r="C6082" s="12">
        <v>2200</v>
      </c>
      <c r="D6082" s="12">
        <v>180</v>
      </c>
    </row>
    <row r="6083" spans="1:4" x14ac:dyDescent="0.2">
      <c r="A6083" s="12" t="s">
        <v>9602</v>
      </c>
      <c r="B6083" s="12" t="s">
        <v>9601</v>
      </c>
      <c r="C6083" s="12" t="s">
        <v>59</v>
      </c>
      <c r="D6083" s="12" t="s">
        <v>59</v>
      </c>
    </row>
    <row r="6084" spans="1:4" x14ac:dyDescent="0.2">
      <c r="A6084" s="12" t="s">
        <v>9603</v>
      </c>
      <c r="B6084" s="12" t="s">
        <v>9601</v>
      </c>
      <c r="C6084" s="12">
        <v>1000</v>
      </c>
      <c r="D6084" s="12">
        <v>100</v>
      </c>
    </row>
    <row r="6085" spans="1:4" x14ac:dyDescent="0.2">
      <c r="A6085" s="12" t="s">
        <v>7087</v>
      </c>
      <c r="B6085" s="12" t="s">
        <v>7086</v>
      </c>
      <c r="C6085" s="12" t="s">
        <v>59</v>
      </c>
      <c r="D6085" s="12" t="s">
        <v>59</v>
      </c>
    </row>
    <row r="6086" spans="1:4" x14ac:dyDescent="0.2">
      <c r="A6086" s="12" t="s">
        <v>7088</v>
      </c>
      <c r="B6086" s="12" t="s">
        <v>7086</v>
      </c>
      <c r="C6086" s="12">
        <v>1000</v>
      </c>
      <c r="D6086" s="12">
        <v>100</v>
      </c>
    </row>
    <row r="6087" spans="1:4" x14ac:dyDescent="0.2">
      <c r="A6087" s="12" t="s">
        <v>7571</v>
      </c>
      <c r="B6087" s="12" t="s">
        <v>7570</v>
      </c>
      <c r="C6087" s="12">
        <v>1800</v>
      </c>
      <c r="D6087" s="12">
        <v>180</v>
      </c>
    </row>
    <row r="6088" spans="1:4" x14ac:dyDescent="0.2">
      <c r="A6088" s="12" t="s">
        <v>11841</v>
      </c>
      <c r="B6088" s="12" t="s">
        <v>11840</v>
      </c>
      <c r="C6088" s="12">
        <v>0.7</v>
      </c>
      <c r="D6088" s="12">
        <v>0.1</v>
      </c>
    </row>
    <row r="6089" spans="1:4" x14ac:dyDescent="0.2">
      <c r="A6089" s="12" t="s">
        <v>9506</v>
      </c>
      <c r="B6089" s="12" t="s">
        <v>9505</v>
      </c>
      <c r="C6089" s="12">
        <v>10</v>
      </c>
      <c r="D6089" s="12">
        <v>1</v>
      </c>
    </row>
    <row r="6090" spans="1:4" x14ac:dyDescent="0.2">
      <c r="A6090" s="12" t="s">
        <v>590</v>
      </c>
      <c r="B6090" s="12" t="s">
        <v>589</v>
      </c>
      <c r="C6090" s="12">
        <v>24</v>
      </c>
      <c r="D6090" s="12">
        <v>2.4</v>
      </c>
    </row>
    <row r="6091" spans="1:4" x14ac:dyDescent="0.2">
      <c r="A6091" s="12" t="s">
        <v>5619</v>
      </c>
      <c r="B6091" s="12" t="s">
        <v>5618</v>
      </c>
      <c r="C6091" s="12">
        <v>3500</v>
      </c>
      <c r="D6091" s="12">
        <v>350</v>
      </c>
    </row>
    <row r="6092" spans="1:4" x14ac:dyDescent="0.2">
      <c r="A6092" s="12" t="s">
        <v>9026</v>
      </c>
      <c r="B6092" s="12" t="s">
        <v>9025</v>
      </c>
      <c r="C6092" s="12">
        <v>440</v>
      </c>
      <c r="D6092" s="12">
        <v>50</v>
      </c>
    </row>
    <row r="6093" spans="1:4" x14ac:dyDescent="0.2">
      <c r="A6093" s="12" t="s">
        <v>10712</v>
      </c>
      <c r="B6093" s="12" t="s">
        <v>10711</v>
      </c>
      <c r="C6093" s="12">
        <v>260</v>
      </c>
      <c r="D6093" s="12">
        <v>26</v>
      </c>
    </row>
    <row r="6094" spans="1:4" x14ac:dyDescent="0.2">
      <c r="A6094" s="12" t="s">
        <v>3333</v>
      </c>
      <c r="B6094" s="12" t="s">
        <v>3332</v>
      </c>
      <c r="C6094" s="12">
        <v>410</v>
      </c>
      <c r="D6094" s="12">
        <v>41</v>
      </c>
    </row>
    <row r="6095" spans="1:4" x14ac:dyDescent="0.2">
      <c r="A6095" s="12" t="s">
        <v>8014</v>
      </c>
      <c r="B6095" s="12" t="s">
        <v>8013</v>
      </c>
      <c r="C6095" s="12" t="s">
        <v>59</v>
      </c>
      <c r="D6095" s="12" t="s">
        <v>59</v>
      </c>
    </row>
    <row r="6096" spans="1:4" x14ac:dyDescent="0.2">
      <c r="A6096" s="12" t="s">
        <v>8015</v>
      </c>
      <c r="B6096" s="12" t="s">
        <v>8013</v>
      </c>
      <c r="C6096" s="12">
        <v>1000</v>
      </c>
      <c r="D6096" s="12">
        <v>100</v>
      </c>
    </row>
    <row r="6097" spans="1:4" x14ac:dyDescent="0.2">
      <c r="A6097" s="12" t="s">
        <v>6576</v>
      </c>
      <c r="B6097" s="12" t="s">
        <v>6575</v>
      </c>
      <c r="C6097" s="12">
        <v>280</v>
      </c>
      <c r="D6097" s="12">
        <v>28</v>
      </c>
    </row>
    <row r="6098" spans="1:4" x14ac:dyDescent="0.2">
      <c r="A6098" s="12" t="s">
        <v>2331</v>
      </c>
      <c r="B6098" s="12" t="s">
        <v>2330</v>
      </c>
      <c r="C6098" s="12">
        <v>200</v>
      </c>
      <c r="D6098" s="12">
        <v>20</v>
      </c>
    </row>
    <row r="6099" spans="1:4" x14ac:dyDescent="0.2">
      <c r="A6099" s="12" t="s">
        <v>2011</v>
      </c>
      <c r="B6099" s="12" t="s">
        <v>2010</v>
      </c>
      <c r="C6099" s="12">
        <v>50</v>
      </c>
      <c r="D6099" s="12">
        <v>5</v>
      </c>
    </row>
    <row r="6100" spans="1:4" x14ac:dyDescent="0.2">
      <c r="A6100" s="12" t="s">
        <v>2363</v>
      </c>
      <c r="B6100" s="12" t="s">
        <v>2362</v>
      </c>
      <c r="C6100" s="12">
        <v>0.05</v>
      </c>
      <c r="D6100" s="12">
        <v>5.0000000000000001E-3</v>
      </c>
    </row>
    <row r="6101" spans="1:4" x14ac:dyDescent="0.2">
      <c r="A6101" s="12" t="s">
        <v>3325</v>
      </c>
      <c r="B6101" s="12" t="s">
        <v>3324</v>
      </c>
      <c r="C6101" s="12">
        <v>260</v>
      </c>
      <c r="D6101" s="12">
        <v>26</v>
      </c>
    </row>
    <row r="6102" spans="1:4" x14ac:dyDescent="0.2">
      <c r="A6102" s="12" t="s">
        <v>2347</v>
      </c>
      <c r="B6102" s="12" t="s">
        <v>2346</v>
      </c>
      <c r="C6102" s="12">
        <v>260</v>
      </c>
      <c r="D6102" s="12">
        <v>26</v>
      </c>
    </row>
    <row r="6103" spans="1:4" x14ac:dyDescent="0.2">
      <c r="A6103" s="12" t="s">
        <v>5447</v>
      </c>
      <c r="B6103" s="12" t="s">
        <v>5446</v>
      </c>
      <c r="C6103" s="12" t="s">
        <v>59</v>
      </c>
      <c r="D6103" s="12" t="s">
        <v>59</v>
      </c>
    </row>
    <row r="6104" spans="1:4" x14ac:dyDescent="0.2">
      <c r="A6104" s="12" t="s">
        <v>8904</v>
      </c>
      <c r="B6104" s="12" t="s">
        <v>8903</v>
      </c>
      <c r="C6104" s="12">
        <v>100</v>
      </c>
      <c r="D6104" s="12">
        <v>10</v>
      </c>
    </row>
    <row r="6105" spans="1:4" x14ac:dyDescent="0.2">
      <c r="A6105" s="12" t="s">
        <v>2375</v>
      </c>
      <c r="B6105" s="12" t="s">
        <v>2374</v>
      </c>
      <c r="C6105" s="12">
        <v>170</v>
      </c>
      <c r="D6105" s="12">
        <v>17</v>
      </c>
    </row>
    <row r="6106" spans="1:4" x14ac:dyDescent="0.2">
      <c r="A6106" s="12" t="s">
        <v>11255</v>
      </c>
      <c r="B6106" s="12" t="s">
        <v>11254</v>
      </c>
      <c r="C6106" s="12">
        <v>100</v>
      </c>
      <c r="D6106" s="12">
        <v>10</v>
      </c>
    </row>
    <row r="6107" spans="1:4" x14ac:dyDescent="0.2">
      <c r="A6107" s="12" t="s">
        <v>3909</v>
      </c>
      <c r="B6107" s="12" t="s">
        <v>3908</v>
      </c>
      <c r="C6107" s="12">
        <v>400</v>
      </c>
      <c r="D6107" s="12">
        <v>40</v>
      </c>
    </row>
    <row r="6108" spans="1:4" x14ac:dyDescent="0.2">
      <c r="A6108" s="12" t="s">
        <v>3934</v>
      </c>
      <c r="B6108" s="12" t="s">
        <v>3933</v>
      </c>
      <c r="C6108" s="12">
        <v>100</v>
      </c>
      <c r="D6108" s="12">
        <v>10</v>
      </c>
    </row>
    <row r="6109" spans="1:4" x14ac:dyDescent="0.2">
      <c r="A6109" s="12" t="s">
        <v>5344</v>
      </c>
      <c r="B6109" s="12" t="s">
        <v>5343</v>
      </c>
      <c r="C6109" s="12">
        <v>0.21</v>
      </c>
      <c r="D6109" s="12">
        <v>1.6999999999999999E-3</v>
      </c>
    </row>
    <row r="6110" spans="1:4" x14ac:dyDescent="0.2">
      <c r="A6110" s="12" t="s">
        <v>8345</v>
      </c>
      <c r="B6110" s="12" t="s">
        <v>8344</v>
      </c>
      <c r="C6110" s="12">
        <v>40</v>
      </c>
      <c r="D6110" s="12">
        <v>4</v>
      </c>
    </row>
    <row r="6111" spans="1:4" x14ac:dyDescent="0.2">
      <c r="A6111" s="12" t="s">
        <v>3885</v>
      </c>
      <c r="B6111" s="12" t="s">
        <v>3884</v>
      </c>
      <c r="C6111" s="12" t="s">
        <v>59</v>
      </c>
      <c r="D6111" s="12" t="s">
        <v>59</v>
      </c>
    </row>
    <row r="6112" spans="1:4" x14ac:dyDescent="0.2">
      <c r="A6112" s="12" t="s">
        <v>3886</v>
      </c>
      <c r="B6112" s="12" t="s">
        <v>3884</v>
      </c>
      <c r="C6112" s="12">
        <v>1000</v>
      </c>
      <c r="D6112" s="12">
        <v>100</v>
      </c>
    </row>
    <row r="6113" spans="1:4" x14ac:dyDescent="0.2">
      <c r="A6113" s="12" t="s">
        <v>2710</v>
      </c>
      <c r="B6113" s="12" t="s">
        <v>2709</v>
      </c>
      <c r="C6113" s="12">
        <v>2700</v>
      </c>
      <c r="D6113" s="12">
        <v>270</v>
      </c>
    </row>
    <row r="6114" spans="1:4" x14ac:dyDescent="0.2">
      <c r="A6114" s="12" t="s">
        <v>2687</v>
      </c>
      <c r="B6114" s="12" t="s">
        <v>2686</v>
      </c>
      <c r="C6114" s="12">
        <v>2200</v>
      </c>
      <c r="D6114" s="12">
        <v>220</v>
      </c>
    </row>
    <row r="6115" spans="1:4" x14ac:dyDescent="0.2">
      <c r="A6115" s="12" t="s">
        <v>2536</v>
      </c>
      <c r="B6115" s="12" t="s">
        <v>2535</v>
      </c>
      <c r="C6115" s="12">
        <v>1</v>
      </c>
      <c r="D6115" s="12">
        <v>0.1</v>
      </c>
    </row>
    <row r="6116" spans="1:4" x14ac:dyDescent="0.2">
      <c r="A6116" s="12" t="s">
        <v>4144</v>
      </c>
      <c r="B6116" s="12" t="s">
        <v>4143</v>
      </c>
      <c r="C6116" s="12">
        <v>3500</v>
      </c>
      <c r="D6116" s="12">
        <v>350</v>
      </c>
    </row>
    <row r="6117" spans="1:4" x14ac:dyDescent="0.2">
      <c r="A6117" s="12" t="s">
        <v>9363</v>
      </c>
      <c r="B6117" s="12" t="s">
        <v>9362</v>
      </c>
      <c r="C6117" s="12">
        <v>20</v>
      </c>
      <c r="D6117" s="12">
        <v>2</v>
      </c>
    </row>
    <row r="6118" spans="1:4" x14ac:dyDescent="0.2">
      <c r="A6118" s="12" t="s">
        <v>4792</v>
      </c>
      <c r="B6118" s="12" t="s">
        <v>4791</v>
      </c>
      <c r="C6118" s="12" t="s">
        <v>59</v>
      </c>
      <c r="D6118" s="12" t="s">
        <v>59</v>
      </c>
    </row>
    <row r="6119" spans="1:4" x14ac:dyDescent="0.2">
      <c r="A6119" s="12" t="s">
        <v>4793</v>
      </c>
      <c r="B6119" s="12" t="s">
        <v>4791</v>
      </c>
      <c r="C6119" s="12">
        <v>1000</v>
      </c>
      <c r="D6119" s="12">
        <v>100</v>
      </c>
    </row>
    <row r="6120" spans="1:4" x14ac:dyDescent="0.2">
      <c r="A6120" s="12" t="s">
        <v>9000</v>
      </c>
      <c r="B6120" s="12" t="s">
        <v>8999</v>
      </c>
      <c r="C6120" s="12">
        <v>3500</v>
      </c>
      <c r="D6120" s="12">
        <v>350</v>
      </c>
    </row>
    <row r="6121" spans="1:4" x14ac:dyDescent="0.2">
      <c r="A6121" s="12" t="s">
        <v>7575</v>
      </c>
      <c r="B6121" s="12" t="s">
        <v>7574</v>
      </c>
      <c r="C6121" s="12">
        <v>3500</v>
      </c>
      <c r="D6121" s="12">
        <v>350</v>
      </c>
    </row>
    <row r="6122" spans="1:4" x14ac:dyDescent="0.2">
      <c r="A6122" s="12" t="s">
        <v>9724</v>
      </c>
      <c r="B6122" s="12" t="s">
        <v>9723</v>
      </c>
      <c r="C6122" s="12">
        <v>59000</v>
      </c>
      <c r="D6122" s="12">
        <v>7100</v>
      </c>
    </row>
    <row r="6123" spans="1:4" x14ac:dyDescent="0.2">
      <c r="A6123" s="12" t="s">
        <v>7454</v>
      </c>
      <c r="B6123" s="12" t="s">
        <v>7453</v>
      </c>
      <c r="C6123" s="12">
        <v>700</v>
      </c>
      <c r="D6123" s="12">
        <v>70</v>
      </c>
    </row>
    <row r="6124" spans="1:4" x14ac:dyDescent="0.2">
      <c r="A6124" s="12" t="s">
        <v>7491</v>
      </c>
      <c r="B6124" s="12" t="s">
        <v>7490</v>
      </c>
      <c r="C6124" s="12">
        <v>5600</v>
      </c>
      <c r="D6124" s="12">
        <v>200</v>
      </c>
    </row>
    <row r="6125" spans="1:4" x14ac:dyDescent="0.2">
      <c r="A6125" s="12" t="s">
        <v>1544</v>
      </c>
      <c r="B6125" s="12" t="s">
        <v>1543</v>
      </c>
      <c r="C6125" s="12">
        <v>4800</v>
      </c>
      <c r="D6125" s="12">
        <v>450</v>
      </c>
    </row>
    <row r="6126" spans="1:4" x14ac:dyDescent="0.2">
      <c r="A6126" s="12" t="s">
        <v>9934</v>
      </c>
      <c r="B6126" s="12" t="s">
        <v>9933</v>
      </c>
      <c r="C6126" s="12">
        <v>3.6</v>
      </c>
      <c r="D6126" s="12">
        <v>4.1000000000000002E-2</v>
      </c>
    </row>
    <row r="6127" spans="1:4" x14ac:dyDescent="0.2">
      <c r="A6127" s="12" t="s">
        <v>2590</v>
      </c>
      <c r="B6127" s="12" t="s">
        <v>2589</v>
      </c>
      <c r="C6127" s="12">
        <v>4800</v>
      </c>
      <c r="D6127" s="12">
        <v>450</v>
      </c>
    </row>
    <row r="6128" spans="1:4" x14ac:dyDescent="0.2">
      <c r="A6128" s="12" t="s">
        <v>882</v>
      </c>
      <c r="B6128" s="12" t="s">
        <v>881</v>
      </c>
      <c r="C6128" s="12">
        <v>1400</v>
      </c>
      <c r="D6128" s="12">
        <v>140</v>
      </c>
    </row>
    <row r="6129" spans="1:4" x14ac:dyDescent="0.2">
      <c r="A6129" s="12" t="s">
        <v>5243</v>
      </c>
      <c r="B6129" s="12" t="s">
        <v>5242</v>
      </c>
      <c r="C6129" s="12">
        <v>1700</v>
      </c>
      <c r="D6129" s="12">
        <v>170</v>
      </c>
    </row>
    <row r="6130" spans="1:4" x14ac:dyDescent="0.2">
      <c r="A6130" s="12" t="s">
        <v>2059</v>
      </c>
      <c r="B6130" s="12" t="s">
        <v>2058</v>
      </c>
      <c r="C6130" s="12">
        <v>60</v>
      </c>
      <c r="D6130" s="12">
        <v>6</v>
      </c>
    </row>
    <row r="6131" spans="1:4" x14ac:dyDescent="0.2">
      <c r="A6131" s="12" t="s">
        <v>2173</v>
      </c>
      <c r="B6131" s="12" t="s">
        <v>2172</v>
      </c>
      <c r="C6131" s="12">
        <v>90</v>
      </c>
      <c r="D6131" s="12">
        <v>9</v>
      </c>
    </row>
    <row r="6132" spans="1:4" x14ac:dyDescent="0.2">
      <c r="A6132" s="12" t="s">
        <v>2621</v>
      </c>
      <c r="B6132" s="12" t="s">
        <v>2620</v>
      </c>
      <c r="C6132" s="12">
        <v>3500</v>
      </c>
      <c r="D6132" s="12">
        <v>350</v>
      </c>
    </row>
    <row r="6133" spans="1:4" x14ac:dyDescent="0.2">
      <c r="A6133" s="12" t="s">
        <v>9256</v>
      </c>
      <c r="B6133" s="12" t="s">
        <v>9255</v>
      </c>
      <c r="C6133" s="12">
        <v>1</v>
      </c>
      <c r="D6133" s="12">
        <v>0.1</v>
      </c>
    </row>
    <row r="6134" spans="1:4" x14ac:dyDescent="0.2">
      <c r="A6134" s="12" t="s">
        <v>9842</v>
      </c>
      <c r="B6134" s="12" t="s">
        <v>9841</v>
      </c>
      <c r="C6134" s="12" t="s">
        <v>59</v>
      </c>
      <c r="D6134" s="12" t="s">
        <v>59</v>
      </c>
    </row>
    <row r="6135" spans="1:4" x14ac:dyDescent="0.2">
      <c r="A6135" s="12" t="s">
        <v>9843</v>
      </c>
      <c r="B6135" s="12" t="s">
        <v>9841</v>
      </c>
      <c r="C6135" s="12">
        <v>450</v>
      </c>
      <c r="D6135" s="12">
        <v>45</v>
      </c>
    </row>
    <row r="6136" spans="1:4" x14ac:dyDescent="0.2">
      <c r="A6136" s="12" t="s">
        <v>6048</v>
      </c>
      <c r="B6136" s="12" t="s">
        <v>6047</v>
      </c>
      <c r="C6136" s="12">
        <v>100</v>
      </c>
      <c r="D6136" s="12">
        <v>10</v>
      </c>
    </row>
    <row r="6137" spans="1:4" x14ac:dyDescent="0.2">
      <c r="A6137" s="12" t="s">
        <v>6015</v>
      </c>
      <c r="B6137" s="12" t="s">
        <v>6014</v>
      </c>
      <c r="C6137" s="12">
        <v>100</v>
      </c>
      <c r="D6137" s="12">
        <v>10</v>
      </c>
    </row>
    <row r="6138" spans="1:4" x14ac:dyDescent="0.2">
      <c r="A6138" s="12" t="s">
        <v>374</v>
      </c>
      <c r="B6138" s="12" t="s">
        <v>373</v>
      </c>
      <c r="C6138" s="12">
        <v>3400</v>
      </c>
      <c r="D6138" s="12">
        <v>340</v>
      </c>
    </row>
    <row r="6139" spans="1:4" x14ac:dyDescent="0.2">
      <c r="A6139" s="12" t="s">
        <v>4411</v>
      </c>
      <c r="B6139" s="12" t="s">
        <v>4410</v>
      </c>
      <c r="C6139" s="12">
        <v>13</v>
      </c>
      <c r="D6139" s="12">
        <v>1.3</v>
      </c>
    </row>
    <row r="6140" spans="1:4" x14ac:dyDescent="0.2">
      <c r="A6140" s="12" t="s">
        <v>3273</v>
      </c>
      <c r="B6140" s="12" t="s">
        <v>3272</v>
      </c>
      <c r="C6140" s="12">
        <v>1800</v>
      </c>
      <c r="D6140" s="12">
        <v>180</v>
      </c>
    </row>
    <row r="6141" spans="1:4" x14ac:dyDescent="0.2">
      <c r="A6141" s="12" t="s">
        <v>10533</v>
      </c>
      <c r="B6141" s="12" t="s">
        <v>10532</v>
      </c>
      <c r="C6141" s="12">
        <v>60</v>
      </c>
      <c r="D6141" s="12">
        <v>20</v>
      </c>
    </row>
    <row r="6142" spans="1:4" x14ac:dyDescent="0.2">
      <c r="A6142" s="12" t="s">
        <v>700</v>
      </c>
      <c r="B6142" s="12" t="s">
        <v>699</v>
      </c>
      <c r="C6142" s="12">
        <v>160</v>
      </c>
      <c r="D6142" s="12">
        <v>16</v>
      </c>
    </row>
    <row r="6143" spans="1:4" x14ac:dyDescent="0.2">
      <c r="A6143" s="12" t="s">
        <v>6168</v>
      </c>
      <c r="B6143" s="12" t="s">
        <v>6167</v>
      </c>
      <c r="C6143" s="12">
        <v>200</v>
      </c>
      <c r="D6143" s="12">
        <v>20</v>
      </c>
    </row>
    <row r="6144" spans="1:4" x14ac:dyDescent="0.2">
      <c r="A6144" s="12" t="s">
        <v>3026</v>
      </c>
      <c r="B6144" s="12" t="s">
        <v>3025</v>
      </c>
      <c r="C6144" s="12">
        <v>1</v>
      </c>
      <c r="D6144" s="12">
        <v>0.1</v>
      </c>
    </row>
    <row r="6145" spans="1:4" x14ac:dyDescent="0.2">
      <c r="A6145" s="12" t="s">
        <v>2615</v>
      </c>
      <c r="B6145" s="12" t="s">
        <v>2614</v>
      </c>
      <c r="C6145" s="12">
        <v>4800</v>
      </c>
      <c r="D6145" s="12">
        <v>450</v>
      </c>
    </row>
    <row r="6146" spans="1:4" x14ac:dyDescent="0.2">
      <c r="A6146" s="12" t="s">
        <v>7988</v>
      </c>
      <c r="B6146" s="12" t="s">
        <v>7987</v>
      </c>
      <c r="C6146" s="12">
        <v>50</v>
      </c>
      <c r="D6146" s="12">
        <v>5</v>
      </c>
    </row>
    <row r="6147" spans="1:4" x14ac:dyDescent="0.2">
      <c r="A6147" s="12" t="s">
        <v>11584</v>
      </c>
      <c r="B6147" s="12" t="s">
        <v>11583</v>
      </c>
      <c r="C6147" s="12" t="s">
        <v>59</v>
      </c>
      <c r="D6147" s="12" t="s">
        <v>59</v>
      </c>
    </row>
    <row r="6148" spans="1:4" x14ac:dyDescent="0.2">
      <c r="A6148" s="12" t="s">
        <v>11585</v>
      </c>
      <c r="B6148" s="12" t="s">
        <v>11583</v>
      </c>
      <c r="C6148" s="12">
        <v>500</v>
      </c>
      <c r="D6148" s="12">
        <v>50</v>
      </c>
    </row>
    <row r="6149" spans="1:4" x14ac:dyDescent="0.2">
      <c r="A6149" s="12" t="s">
        <v>3327</v>
      </c>
      <c r="B6149" s="12" t="s">
        <v>3326</v>
      </c>
      <c r="C6149" s="12">
        <v>1000</v>
      </c>
      <c r="D6149" s="12">
        <v>100</v>
      </c>
    </row>
    <row r="6150" spans="1:4" x14ac:dyDescent="0.2">
      <c r="A6150" s="12" t="s">
        <v>4811</v>
      </c>
      <c r="B6150" s="12" t="s">
        <v>4810</v>
      </c>
      <c r="C6150" s="12">
        <v>50</v>
      </c>
      <c r="D6150" s="12">
        <v>5</v>
      </c>
    </row>
    <row r="6151" spans="1:4" x14ac:dyDescent="0.2">
      <c r="A6151" s="12" t="s">
        <v>12088</v>
      </c>
      <c r="B6151" s="12" t="s">
        <v>12087</v>
      </c>
      <c r="C6151" s="12" t="s">
        <v>59</v>
      </c>
      <c r="D6151" s="12" t="s">
        <v>59</v>
      </c>
    </row>
    <row r="6152" spans="1:4" x14ac:dyDescent="0.2">
      <c r="A6152" s="12" t="s">
        <v>12089</v>
      </c>
      <c r="B6152" s="12" t="s">
        <v>12087</v>
      </c>
      <c r="C6152" s="12">
        <v>1000</v>
      </c>
      <c r="D6152" s="12">
        <v>100</v>
      </c>
    </row>
    <row r="6153" spans="1:4" x14ac:dyDescent="0.2">
      <c r="A6153" s="12" t="s">
        <v>852</v>
      </c>
      <c r="B6153" s="12" t="s">
        <v>851</v>
      </c>
      <c r="C6153" s="12">
        <v>500</v>
      </c>
      <c r="D6153" s="12">
        <v>50</v>
      </c>
    </row>
    <row r="6154" spans="1:4" x14ac:dyDescent="0.2">
      <c r="A6154" s="12" t="s">
        <v>9850</v>
      </c>
      <c r="B6154" s="12" t="s">
        <v>9849</v>
      </c>
      <c r="C6154" s="12" t="s">
        <v>59</v>
      </c>
      <c r="D6154" s="12" t="s">
        <v>59</v>
      </c>
    </row>
    <row r="6155" spans="1:4" x14ac:dyDescent="0.2">
      <c r="A6155" s="12" t="s">
        <v>6320</v>
      </c>
      <c r="B6155" s="12" t="s">
        <v>6319</v>
      </c>
      <c r="C6155" s="12" t="s">
        <v>59</v>
      </c>
      <c r="D6155" s="12" t="s">
        <v>59</v>
      </c>
    </row>
    <row r="6156" spans="1:4" x14ac:dyDescent="0.2">
      <c r="A6156" s="12" t="s">
        <v>4291</v>
      </c>
      <c r="B6156" s="12" t="s">
        <v>4290</v>
      </c>
      <c r="C6156" s="12">
        <v>0.2</v>
      </c>
      <c r="D6156" s="12">
        <v>0.02</v>
      </c>
    </row>
    <row r="6157" spans="1:4" x14ac:dyDescent="0.2">
      <c r="A6157" s="12" t="s">
        <v>3313</v>
      </c>
      <c r="B6157" s="12" t="s">
        <v>3312</v>
      </c>
      <c r="C6157" s="12">
        <v>8200</v>
      </c>
      <c r="D6157" s="12">
        <v>820</v>
      </c>
    </row>
    <row r="6158" spans="1:4" x14ac:dyDescent="0.2">
      <c r="A6158" s="12" t="s">
        <v>1256</v>
      </c>
      <c r="B6158" s="12" t="s">
        <v>1255</v>
      </c>
      <c r="C6158" s="12">
        <v>380</v>
      </c>
      <c r="D6158" s="12">
        <v>38</v>
      </c>
    </row>
    <row r="6159" spans="1:4" x14ac:dyDescent="0.2">
      <c r="A6159" s="12" t="s">
        <v>5960</v>
      </c>
      <c r="B6159" s="12" t="s">
        <v>5959</v>
      </c>
      <c r="C6159" s="12">
        <v>290</v>
      </c>
      <c r="D6159" s="12">
        <v>29</v>
      </c>
    </row>
    <row r="6160" spans="1:4" x14ac:dyDescent="0.2">
      <c r="A6160" s="12" t="s">
        <v>6715</v>
      </c>
      <c r="B6160" s="12" t="s">
        <v>6714</v>
      </c>
      <c r="C6160" s="12">
        <v>250</v>
      </c>
      <c r="D6160" s="12">
        <v>77</v>
      </c>
    </row>
    <row r="6161" spans="1:4" x14ac:dyDescent="0.2">
      <c r="A6161" s="12" t="s">
        <v>2840</v>
      </c>
      <c r="B6161" s="12" t="s">
        <v>2839</v>
      </c>
      <c r="C6161" s="12">
        <v>60</v>
      </c>
      <c r="D6161" s="12">
        <v>6</v>
      </c>
    </row>
    <row r="6162" spans="1:4" x14ac:dyDescent="0.2">
      <c r="A6162" s="12" t="s">
        <v>9268</v>
      </c>
      <c r="B6162" s="12" t="s">
        <v>9267</v>
      </c>
      <c r="C6162" s="12">
        <v>1</v>
      </c>
      <c r="D6162" s="12">
        <v>0.1</v>
      </c>
    </row>
    <row r="6163" spans="1:4" x14ac:dyDescent="0.2">
      <c r="A6163" s="12" t="s">
        <v>2027</v>
      </c>
      <c r="B6163" s="12" t="s">
        <v>2026</v>
      </c>
      <c r="C6163" s="12">
        <v>1100</v>
      </c>
      <c r="D6163" s="12">
        <v>110</v>
      </c>
    </row>
    <row r="6164" spans="1:4" x14ac:dyDescent="0.2">
      <c r="A6164" s="12" t="s">
        <v>11875</v>
      </c>
      <c r="B6164" s="12" t="s">
        <v>11874</v>
      </c>
      <c r="C6164" s="12">
        <v>3500</v>
      </c>
      <c r="D6164" s="12">
        <v>350</v>
      </c>
    </row>
    <row r="6165" spans="1:4" x14ac:dyDescent="0.2">
      <c r="A6165" s="12" t="s">
        <v>549</v>
      </c>
      <c r="B6165" s="12" t="s">
        <v>548</v>
      </c>
      <c r="C6165" s="12">
        <v>250</v>
      </c>
      <c r="D6165" s="12">
        <v>25</v>
      </c>
    </row>
    <row r="6166" spans="1:4" x14ac:dyDescent="0.2">
      <c r="A6166" s="12" t="s">
        <v>7361</v>
      </c>
      <c r="B6166" s="12" t="s">
        <v>7360</v>
      </c>
      <c r="C6166" s="12">
        <v>50</v>
      </c>
      <c r="D6166" s="12">
        <v>5</v>
      </c>
    </row>
    <row r="6167" spans="1:4" x14ac:dyDescent="0.2">
      <c r="A6167" s="12" t="s">
        <v>2057</v>
      </c>
      <c r="B6167" s="12" t="s">
        <v>2056</v>
      </c>
      <c r="C6167" s="12">
        <v>900</v>
      </c>
      <c r="D6167" s="12">
        <v>90</v>
      </c>
    </row>
    <row r="6168" spans="1:4" x14ac:dyDescent="0.2">
      <c r="A6168" s="12" t="s">
        <v>8924</v>
      </c>
      <c r="B6168" s="12" t="s">
        <v>8923</v>
      </c>
      <c r="C6168" s="12">
        <v>280</v>
      </c>
      <c r="D6168" s="12">
        <v>28</v>
      </c>
    </row>
    <row r="6169" spans="1:4" x14ac:dyDescent="0.2">
      <c r="A6169" s="12" t="s">
        <v>910</v>
      </c>
      <c r="B6169" s="12" t="s">
        <v>909</v>
      </c>
      <c r="C6169" s="12">
        <v>1000</v>
      </c>
      <c r="D6169" s="12">
        <v>100</v>
      </c>
    </row>
    <row r="6170" spans="1:4" x14ac:dyDescent="0.2">
      <c r="A6170" s="12" t="s">
        <v>1376</v>
      </c>
      <c r="B6170" s="12" t="s">
        <v>1375</v>
      </c>
      <c r="C6170" s="12" t="s">
        <v>59</v>
      </c>
      <c r="D6170" s="12" t="s">
        <v>59</v>
      </c>
    </row>
    <row r="6171" spans="1:4" x14ac:dyDescent="0.2">
      <c r="A6171" s="12" t="s">
        <v>10341</v>
      </c>
      <c r="B6171" s="12" t="s">
        <v>10340</v>
      </c>
      <c r="C6171" s="12" t="s">
        <v>59</v>
      </c>
      <c r="D6171" s="12" t="s">
        <v>59</v>
      </c>
    </row>
    <row r="6172" spans="1:4" x14ac:dyDescent="0.2">
      <c r="A6172" s="12" t="s">
        <v>9547</v>
      </c>
      <c r="B6172" s="12" t="s">
        <v>9546</v>
      </c>
      <c r="C6172" s="12">
        <v>190</v>
      </c>
      <c r="D6172" s="12">
        <v>7.9</v>
      </c>
    </row>
    <row r="6173" spans="1:4" x14ac:dyDescent="0.2">
      <c r="A6173" s="12" t="s">
        <v>594</v>
      </c>
      <c r="B6173" s="12" t="s">
        <v>593</v>
      </c>
      <c r="C6173" s="12">
        <v>2450</v>
      </c>
      <c r="D6173" s="12">
        <v>245</v>
      </c>
    </row>
    <row r="6174" spans="1:4" x14ac:dyDescent="0.2">
      <c r="A6174" s="12" t="s">
        <v>729</v>
      </c>
      <c r="B6174" s="12" t="s">
        <v>728</v>
      </c>
      <c r="C6174" s="12">
        <v>2450</v>
      </c>
      <c r="D6174" s="12">
        <v>245</v>
      </c>
    </row>
    <row r="6175" spans="1:4" x14ac:dyDescent="0.2">
      <c r="A6175" s="12" t="s">
        <v>3075</v>
      </c>
      <c r="B6175" s="12" t="s">
        <v>3074</v>
      </c>
      <c r="C6175" s="12">
        <v>2450</v>
      </c>
      <c r="D6175" s="12">
        <v>245</v>
      </c>
    </row>
    <row r="6176" spans="1:4" x14ac:dyDescent="0.2">
      <c r="A6176" s="12" t="s">
        <v>2405</v>
      </c>
      <c r="B6176" s="12" t="s">
        <v>2404</v>
      </c>
      <c r="C6176" s="12">
        <v>500</v>
      </c>
      <c r="D6176" s="12">
        <v>50</v>
      </c>
    </row>
    <row r="6177" spans="1:4" x14ac:dyDescent="0.2">
      <c r="A6177" s="12" t="s">
        <v>1193</v>
      </c>
      <c r="B6177" s="12" t="s">
        <v>1192</v>
      </c>
      <c r="C6177" s="12">
        <v>440</v>
      </c>
      <c r="D6177" s="12">
        <v>44</v>
      </c>
    </row>
    <row r="6178" spans="1:4" x14ac:dyDescent="0.2">
      <c r="A6178" s="12" t="s">
        <v>10523</v>
      </c>
      <c r="B6178" s="12" t="s">
        <v>10522</v>
      </c>
      <c r="C6178" s="12">
        <v>190</v>
      </c>
      <c r="D6178" s="12">
        <v>19</v>
      </c>
    </row>
    <row r="6179" spans="1:4" x14ac:dyDescent="0.2">
      <c r="A6179" s="12" t="s">
        <v>11336</v>
      </c>
      <c r="B6179" s="12" t="s">
        <v>11335</v>
      </c>
      <c r="C6179" s="12">
        <v>450</v>
      </c>
      <c r="D6179" s="12">
        <v>4.5</v>
      </c>
    </row>
    <row r="6180" spans="1:4" x14ac:dyDescent="0.2">
      <c r="A6180" s="12" t="s">
        <v>11337</v>
      </c>
      <c r="B6180" s="12" t="s">
        <v>11335</v>
      </c>
      <c r="C6180" s="12" t="s">
        <v>59</v>
      </c>
      <c r="D6180" s="12" t="s">
        <v>59</v>
      </c>
    </row>
    <row r="6181" spans="1:4" x14ac:dyDescent="0.2">
      <c r="A6181" s="12" t="s">
        <v>8397</v>
      </c>
      <c r="B6181" s="12" t="s">
        <v>8396</v>
      </c>
      <c r="C6181" s="12">
        <v>610</v>
      </c>
      <c r="D6181" s="12">
        <v>61</v>
      </c>
    </row>
    <row r="6182" spans="1:4" x14ac:dyDescent="0.2">
      <c r="A6182" s="12" t="s">
        <v>1254</v>
      </c>
      <c r="B6182" s="12" t="s">
        <v>1253</v>
      </c>
      <c r="C6182" s="12" t="s">
        <v>59</v>
      </c>
      <c r="D6182" s="12" t="s">
        <v>59</v>
      </c>
    </row>
    <row r="6183" spans="1:4" x14ac:dyDescent="0.2">
      <c r="A6183" s="12" t="s">
        <v>152</v>
      </c>
      <c r="B6183" s="12" t="s">
        <v>151</v>
      </c>
      <c r="C6183" s="12">
        <v>5700</v>
      </c>
      <c r="D6183" s="12">
        <v>570</v>
      </c>
    </row>
    <row r="6184" spans="1:4" x14ac:dyDescent="0.2">
      <c r="A6184" s="12" t="s">
        <v>9772</v>
      </c>
      <c r="B6184" s="12" t="s">
        <v>9771</v>
      </c>
      <c r="C6184" s="12" t="s">
        <v>59</v>
      </c>
      <c r="D6184" s="12" t="s">
        <v>59</v>
      </c>
    </row>
    <row r="6185" spans="1:4" x14ac:dyDescent="0.2">
      <c r="A6185" s="12" t="s">
        <v>1639</v>
      </c>
      <c r="B6185" s="12" t="s">
        <v>1638</v>
      </c>
      <c r="C6185" s="12" t="s">
        <v>59</v>
      </c>
      <c r="D6185" s="12" t="s">
        <v>59</v>
      </c>
    </row>
    <row r="6186" spans="1:4" x14ac:dyDescent="0.2">
      <c r="A6186" s="12" t="s">
        <v>7696</v>
      </c>
      <c r="B6186" s="12" t="s">
        <v>7695</v>
      </c>
      <c r="C6186" s="12" t="s">
        <v>59</v>
      </c>
      <c r="D6186" s="12" t="s">
        <v>59</v>
      </c>
    </row>
    <row r="6187" spans="1:4" x14ac:dyDescent="0.2">
      <c r="A6187" s="12" t="s">
        <v>3540</v>
      </c>
      <c r="B6187" s="12" t="s">
        <v>3539</v>
      </c>
      <c r="C6187" s="12">
        <v>1500</v>
      </c>
      <c r="D6187" s="12">
        <v>150</v>
      </c>
    </row>
    <row r="6188" spans="1:4" x14ac:dyDescent="0.2">
      <c r="A6188" s="12" t="s">
        <v>9478</v>
      </c>
      <c r="B6188" s="12" t="s">
        <v>9477</v>
      </c>
      <c r="C6188" s="12">
        <v>100</v>
      </c>
      <c r="D6188" s="12">
        <v>10</v>
      </c>
    </row>
    <row r="6189" spans="1:4" x14ac:dyDescent="0.2">
      <c r="A6189" s="12" t="s">
        <v>6607</v>
      </c>
      <c r="B6189" s="12" t="s">
        <v>6606</v>
      </c>
      <c r="C6189" s="12">
        <v>250</v>
      </c>
      <c r="D6189" s="12">
        <v>25</v>
      </c>
    </row>
    <row r="6190" spans="1:4" x14ac:dyDescent="0.2">
      <c r="A6190" s="12" t="s">
        <v>3652</v>
      </c>
      <c r="B6190" s="12" t="s">
        <v>3651</v>
      </c>
      <c r="C6190" s="12">
        <v>5700</v>
      </c>
      <c r="D6190" s="12">
        <v>570</v>
      </c>
    </row>
    <row r="6191" spans="1:4" x14ac:dyDescent="0.2">
      <c r="A6191" s="12" t="s">
        <v>3653</v>
      </c>
      <c r="B6191" s="12" t="s">
        <v>3651</v>
      </c>
      <c r="C6191" s="12" t="s">
        <v>59</v>
      </c>
      <c r="D6191" s="12" t="s">
        <v>59</v>
      </c>
    </row>
    <row r="6192" spans="1:4" x14ac:dyDescent="0.2">
      <c r="A6192" s="12" t="s">
        <v>11325</v>
      </c>
      <c r="B6192" s="12" t="s">
        <v>11324</v>
      </c>
      <c r="C6192" s="12">
        <v>1000</v>
      </c>
      <c r="D6192" s="12">
        <v>100</v>
      </c>
    </row>
    <row r="6193" spans="1:4" x14ac:dyDescent="0.2">
      <c r="A6193" s="12" t="s">
        <v>6238</v>
      </c>
      <c r="B6193" s="12" t="s">
        <v>6237</v>
      </c>
      <c r="C6193" s="12">
        <v>610</v>
      </c>
      <c r="D6193" s="12">
        <v>61</v>
      </c>
    </row>
    <row r="6194" spans="1:4" x14ac:dyDescent="0.2">
      <c r="A6194" s="12" t="s">
        <v>6239</v>
      </c>
      <c r="B6194" s="12" t="s">
        <v>6237</v>
      </c>
      <c r="C6194" s="12" t="s">
        <v>59</v>
      </c>
      <c r="D6194" s="12" t="s">
        <v>59</v>
      </c>
    </row>
    <row r="6195" spans="1:4" x14ac:dyDescent="0.2">
      <c r="A6195" s="12" t="s">
        <v>12329</v>
      </c>
      <c r="B6195" s="12" t="s">
        <v>12328</v>
      </c>
      <c r="C6195" s="12">
        <v>200</v>
      </c>
      <c r="D6195" s="12">
        <v>20</v>
      </c>
    </row>
    <row r="6196" spans="1:4" x14ac:dyDescent="0.2">
      <c r="A6196" s="12" t="s">
        <v>4251</v>
      </c>
      <c r="B6196" s="12" t="s">
        <v>4250</v>
      </c>
      <c r="C6196" s="12">
        <v>2450</v>
      </c>
      <c r="D6196" s="12">
        <v>245</v>
      </c>
    </row>
    <row r="6197" spans="1:4" x14ac:dyDescent="0.2">
      <c r="A6197" s="12" t="s">
        <v>206</v>
      </c>
      <c r="B6197" s="12" t="s">
        <v>205</v>
      </c>
      <c r="C6197" s="12" t="s">
        <v>59</v>
      </c>
      <c r="D6197" s="12" t="s">
        <v>59</v>
      </c>
    </row>
    <row r="6198" spans="1:4" x14ac:dyDescent="0.2">
      <c r="A6198" s="12" t="s">
        <v>10584</v>
      </c>
      <c r="B6198" s="12" t="s">
        <v>10583</v>
      </c>
      <c r="C6198" s="12" t="s">
        <v>59</v>
      </c>
      <c r="D6198" s="12" t="s">
        <v>59</v>
      </c>
    </row>
    <row r="6199" spans="1:4" x14ac:dyDescent="0.2">
      <c r="A6199" s="12" t="s">
        <v>5270</v>
      </c>
      <c r="B6199" s="12" t="s">
        <v>5269</v>
      </c>
      <c r="C6199" s="12">
        <v>1100</v>
      </c>
      <c r="D6199" s="12">
        <v>110</v>
      </c>
    </row>
    <row r="6200" spans="1:4" x14ac:dyDescent="0.2">
      <c r="A6200" s="12" t="s">
        <v>10056</v>
      </c>
      <c r="B6200" s="12" t="s">
        <v>10055</v>
      </c>
      <c r="C6200" s="12">
        <v>1120</v>
      </c>
      <c r="D6200" s="12">
        <v>112</v>
      </c>
    </row>
    <row r="6201" spans="1:4" x14ac:dyDescent="0.2">
      <c r="A6201" s="12" t="s">
        <v>12028</v>
      </c>
      <c r="B6201" s="12" t="s">
        <v>12027</v>
      </c>
      <c r="C6201" s="12">
        <v>2900</v>
      </c>
      <c r="D6201" s="12">
        <v>3700</v>
      </c>
    </row>
    <row r="6202" spans="1:4" x14ac:dyDescent="0.2">
      <c r="A6202" s="12" t="s">
        <v>6593</v>
      </c>
      <c r="B6202" s="12" t="s">
        <v>6592</v>
      </c>
      <c r="C6202" s="12">
        <v>500</v>
      </c>
      <c r="D6202" s="12">
        <v>50</v>
      </c>
    </row>
    <row r="6203" spans="1:4" x14ac:dyDescent="0.2">
      <c r="A6203" s="12" t="s">
        <v>8805</v>
      </c>
      <c r="B6203" s="12" t="s">
        <v>8804</v>
      </c>
      <c r="C6203" s="12">
        <v>50</v>
      </c>
      <c r="D6203" s="12">
        <v>5</v>
      </c>
    </row>
    <row r="6204" spans="1:4" x14ac:dyDescent="0.2">
      <c r="A6204" s="12" t="s">
        <v>4337</v>
      </c>
      <c r="B6204" s="12" t="s">
        <v>4336</v>
      </c>
      <c r="C6204" s="12">
        <v>50</v>
      </c>
      <c r="D6204" s="12">
        <v>5</v>
      </c>
    </row>
    <row r="6205" spans="1:4" x14ac:dyDescent="0.2">
      <c r="A6205" s="12" t="s">
        <v>743</v>
      </c>
      <c r="B6205" s="12" t="s">
        <v>742</v>
      </c>
      <c r="C6205" s="12" t="s">
        <v>59</v>
      </c>
      <c r="D6205" s="12" t="s">
        <v>59</v>
      </c>
    </row>
    <row r="6206" spans="1:4" x14ac:dyDescent="0.2">
      <c r="A6206" s="12" t="s">
        <v>7203</v>
      </c>
      <c r="B6206" s="12" t="s">
        <v>7202</v>
      </c>
      <c r="C6206" s="12">
        <v>1</v>
      </c>
      <c r="D6206" s="12">
        <v>0.1</v>
      </c>
    </row>
    <row r="6207" spans="1:4" x14ac:dyDescent="0.2">
      <c r="A6207" s="12" t="s">
        <v>8772</v>
      </c>
      <c r="B6207" s="12" t="s">
        <v>8771</v>
      </c>
      <c r="C6207" s="12">
        <v>100</v>
      </c>
      <c r="D6207" s="12">
        <v>10</v>
      </c>
    </row>
    <row r="6208" spans="1:4" x14ac:dyDescent="0.2">
      <c r="A6208" s="12" t="s">
        <v>6273</v>
      </c>
      <c r="B6208" s="12" t="s">
        <v>6272</v>
      </c>
      <c r="C6208" s="12">
        <v>220</v>
      </c>
      <c r="D6208" s="12">
        <v>22</v>
      </c>
    </row>
    <row r="6209" spans="1:4" x14ac:dyDescent="0.2">
      <c r="A6209" s="12" t="s">
        <v>6000</v>
      </c>
      <c r="B6209" s="12" t="s">
        <v>5999</v>
      </c>
      <c r="C6209" s="12">
        <v>350</v>
      </c>
      <c r="D6209" s="12">
        <v>35</v>
      </c>
    </row>
    <row r="6210" spans="1:4" x14ac:dyDescent="0.2">
      <c r="A6210" s="12" t="s">
        <v>10785</v>
      </c>
      <c r="B6210" s="12" t="s">
        <v>10784</v>
      </c>
      <c r="C6210" s="12">
        <v>350</v>
      </c>
      <c r="D6210" s="12">
        <v>35</v>
      </c>
    </row>
    <row r="6211" spans="1:4" x14ac:dyDescent="0.2">
      <c r="A6211" s="12" t="s">
        <v>783</v>
      </c>
      <c r="B6211" s="12" t="s">
        <v>782</v>
      </c>
      <c r="C6211" s="12">
        <v>250</v>
      </c>
      <c r="D6211" s="12">
        <v>25</v>
      </c>
    </row>
    <row r="6212" spans="1:4" x14ac:dyDescent="0.2">
      <c r="A6212" s="12" t="s">
        <v>11384</v>
      </c>
      <c r="B6212" s="12" t="s">
        <v>11383</v>
      </c>
      <c r="C6212" s="12" t="s">
        <v>59</v>
      </c>
      <c r="D6212" s="12" t="s">
        <v>59</v>
      </c>
    </row>
    <row r="6213" spans="1:4" x14ac:dyDescent="0.2">
      <c r="A6213" s="12" t="s">
        <v>9147</v>
      </c>
      <c r="B6213" s="12" t="s">
        <v>9146</v>
      </c>
      <c r="C6213" s="12">
        <v>90</v>
      </c>
      <c r="D6213" s="12">
        <v>9</v>
      </c>
    </row>
    <row r="6214" spans="1:4" x14ac:dyDescent="0.2">
      <c r="A6214" s="12" t="s">
        <v>1061</v>
      </c>
      <c r="B6214" s="12" t="s">
        <v>1060</v>
      </c>
      <c r="C6214" s="12">
        <v>100</v>
      </c>
      <c r="D6214" s="12">
        <v>10</v>
      </c>
    </row>
    <row r="6215" spans="1:4" x14ac:dyDescent="0.2">
      <c r="A6215" s="12" t="s">
        <v>3052</v>
      </c>
      <c r="B6215" s="12" t="s">
        <v>3051</v>
      </c>
      <c r="C6215" s="12">
        <v>20</v>
      </c>
      <c r="D6215" s="12">
        <v>2</v>
      </c>
    </row>
    <row r="6216" spans="1:4" x14ac:dyDescent="0.2">
      <c r="A6216" s="12" t="s">
        <v>5831</v>
      </c>
      <c r="B6216" s="12" t="s">
        <v>5830</v>
      </c>
      <c r="C6216" s="12">
        <v>20</v>
      </c>
      <c r="D6216" s="12">
        <v>2</v>
      </c>
    </row>
    <row r="6217" spans="1:4" x14ac:dyDescent="0.2">
      <c r="A6217" s="12" t="s">
        <v>162</v>
      </c>
      <c r="B6217" s="12" t="s">
        <v>161</v>
      </c>
      <c r="C6217" s="12">
        <v>24</v>
      </c>
      <c r="D6217" s="12">
        <v>2.4</v>
      </c>
    </row>
    <row r="6218" spans="1:4" x14ac:dyDescent="0.2">
      <c r="A6218" s="12" t="s">
        <v>503</v>
      </c>
      <c r="B6218" s="12" t="s">
        <v>502</v>
      </c>
      <c r="C6218" s="12">
        <v>2450</v>
      </c>
      <c r="D6218" s="12">
        <v>245</v>
      </c>
    </row>
    <row r="6219" spans="1:4" x14ac:dyDescent="0.2">
      <c r="A6219" s="12" t="s">
        <v>10817</v>
      </c>
      <c r="B6219" s="12" t="s">
        <v>10816</v>
      </c>
      <c r="C6219" s="12">
        <v>8</v>
      </c>
      <c r="D6219" s="12">
        <v>0.8</v>
      </c>
    </row>
    <row r="6220" spans="1:4" x14ac:dyDescent="0.2">
      <c r="A6220" s="12" t="s">
        <v>8954</v>
      </c>
      <c r="B6220" s="12" t="s">
        <v>8953</v>
      </c>
      <c r="C6220" s="12">
        <v>100</v>
      </c>
      <c r="D6220" s="12">
        <v>10</v>
      </c>
    </row>
    <row r="6221" spans="1:4" x14ac:dyDescent="0.2">
      <c r="A6221" s="12" t="s">
        <v>2069</v>
      </c>
      <c r="B6221" s="12" t="s">
        <v>2068</v>
      </c>
      <c r="C6221" s="12">
        <v>500</v>
      </c>
      <c r="D6221" s="12">
        <v>50</v>
      </c>
    </row>
    <row r="6222" spans="1:4" x14ac:dyDescent="0.2">
      <c r="A6222" s="12" t="s">
        <v>8347</v>
      </c>
      <c r="B6222" s="12" t="s">
        <v>8346</v>
      </c>
      <c r="C6222" s="12">
        <v>4</v>
      </c>
      <c r="D6222" s="12">
        <v>0.4</v>
      </c>
    </row>
    <row r="6223" spans="1:4" x14ac:dyDescent="0.2">
      <c r="A6223" s="12" t="s">
        <v>1997</v>
      </c>
      <c r="B6223" s="12" t="s">
        <v>1996</v>
      </c>
      <c r="C6223" s="12">
        <v>50</v>
      </c>
      <c r="D6223" s="12">
        <v>5</v>
      </c>
    </row>
    <row r="6224" spans="1:4" x14ac:dyDescent="0.2">
      <c r="A6224" s="12" t="s">
        <v>7690</v>
      </c>
      <c r="B6224" s="12" t="s">
        <v>7689</v>
      </c>
      <c r="C6224" s="12">
        <v>240</v>
      </c>
      <c r="D6224" s="12">
        <v>24</v>
      </c>
    </row>
    <row r="6225" spans="1:4" x14ac:dyDescent="0.2">
      <c r="A6225" s="12" t="s">
        <v>463</v>
      </c>
      <c r="B6225" s="12" t="s">
        <v>462</v>
      </c>
      <c r="C6225" s="12">
        <v>120</v>
      </c>
      <c r="D6225" s="12">
        <v>12</v>
      </c>
    </row>
    <row r="6226" spans="1:4" x14ac:dyDescent="0.2">
      <c r="A6226" s="12" t="s">
        <v>1248</v>
      </c>
      <c r="B6226" s="12" t="s">
        <v>1247</v>
      </c>
      <c r="C6226" s="12">
        <v>100</v>
      </c>
      <c r="D6226" s="12">
        <v>10</v>
      </c>
    </row>
    <row r="6227" spans="1:4" x14ac:dyDescent="0.2">
      <c r="A6227" s="12" t="s">
        <v>924</v>
      </c>
      <c r="B6227" s="12" t="s">
        <v>923</v>
      </c>
      <c r="C6227" s="12">
        <v>25</v>
      </c>
      <c r="D6227" s="12">
        <v>2.5</v>
      </c>
    </row>
    <row r="6228" spans="1:4" x14ac:dyDescent="0.2">
      <c r="A6228" s="12" t="s">
        <v>4327</v>
      </c>
      <c r="B6228" s="12" t="s">
        <v>4326</v>
      </c>
      <c r="C6228" s="12">
        <v>50</v>
      </c>
      <c r="D6228" s="12">
        <v>5</v>
      </c>
    </row>
    <row r="6229" spans="1:4" x14ac:dyDescent="0.2">
      <c r="A6229" s="12" t="s">
        <v>11374</v>
      </c>
      <c r="B6229" s="12" t="s">
        <v>11373</v>
      </c>
      <c r="C6229" s="12">
        <v>600</v>
      </c>
      <c r="D6229" s="12">
        <v>60</v>
      </c>
    </row>
    <row r="6230" spans="1:4" x14ac:dyDescent="0.2">
      <c r="A6230" s="12" t="s">
        <v>1288</v>
      </c>
      <c r="B6230" s="12" t="s">
        <v>1287</v>
      </c>
      <c r="C6230" s="12">
        <v>100</v>
      </c>
      <c r="D6230" s="12">
        <v>10</v>
      </c>
    </row>
    <row r="6231" spans="1:4" x14ac:dyDescent="0.2">
      <c r="A6231" s="12" t="s">
        <v>9585</v>
      </c>
      <c r="B6231" s="12" t="s">
        <v>9584</v>
      </c>
      <c r="C6231" s="12">
        <v>2200</v>
      </c>
      <c r="D6231" s="12">
        <v>180</v>
      </c>
    </row>
    <row r="6232" spans="1:4" x14ac:dyDescent="0.2">
      <c r="A6232" s="12" t="s">
        <v>7499</v>
      </c>
      <c r="B6232" s="12" t="s">
        <v>7498</v>
      </c>
      <c r="C6232" s="12">
        <v>100</v>
      </c>
      <c r="D6232" s="12">
        <v>10</v>
      </c>
    </row>
    <row r="6233" spans="1:4" x14ac:dyDescent="0.2">
      <c r="A6233" s="12" t="s">
        <v>9398</v>
      </c>
      <c r="B6233" s="12" t="s">
        <v>9397</v>
      </c>
      <c r="C6233" s="12">
        <v>4.4000000000000004</v>
      </c>
      <c r="D6233" s="12">
        <v>10</v>
      </c>
    </row>
    <row r="6234" spans="1:4" x14ac:dyDescent="0.2">
      <c r="A6234" s="12" t="s">
        <v>5114</v>
      </c>
      <c r="B6234" s="12" t="s">
        <v>5113</v>
      </c>
      <c r="C6234" s="12">
        <v>230</v>
      </c>
      <c r="D6234" s="12">
        <v>260</v>
      </c>
    </row>
    <row r="6235" spans="1:4" x14ac:dyDescent="0.2">
      <c r="A6235" s="12" t="s">
        <v>572</v>
      </c>
      <c r="B6235" s="12" t="s">
        <v>571</v>
      </c>
      <c r="C6235" s="12">
        <v>900</v>
      </c>
      <c r="D6235" s="12">
        <v>160</v>
      </c>
    </row>
    <row r="6236" spans="1:4" x14ac:dyDescent="0.2">
      <c r="A6236" s="12" t="s">
        <v>10253</v>
      </c>
      <c r="B6236" s="12" t="s">
        <v>10252</v>
      </c>
      <c r="C6236" s="12">
        <v>1000</v>
      </c>
      <c r="D6236" s="12">
        <v>100</v>
      </c>
    </row>
    <row r="6237" spans="1:4" x14ac:dyDescent="0.2">
      <c r="A6237" s="12" t="s">
        <v>9388</v>
      </c>
      <c r="B6237" s="12" t="s">
        <v>9387</v>
      </c>
      <c r="C6237" s="12">
        <v>46</v>
      </c>
      <c r="D6237" s="12">
        <v>4.5999999999999996</v>
      </c>
    </row>
    <row r="6238" spans="1:4" x14ac:dyDescent="0.2">
      <c r="A6238" s="12" t="s">
        <v>9542</v>
      </c>
      <c r="B6238" s="12" t="s">
        <v>9541</v>
      </c>
      <c r="C6238" s="12">
        <v>90</v>
      </c>
      <c r="D6238" s="12">
        <v>9</v>
      </c>
    </row>
    <row r="6239" spans="1:4" x14ac:dyDescent="0.2">
      <c r="A6239" s="12" t="s">
        <v>9501</v>
      </c>
      <c r="B6239" s="12" t="s">
        <v>9500</v>
      </c>
      <c r="C6239" s="12">
        <v>1</v>
      </c>
      <c r="D6239" s="12">
        <v>0.1</v>
      </c>
    </row>
    <row r="6240" spans="1:4" x14ac:dyDescent="0.2">
      <c r="A6240" s="12" t="s">
        <v>9392</v>
      </c>
      <c r="B6240" s="12" t="s">
        <v>9391</v>
      </c>
      <c r="C6240" s="12">
        <v>19</v>
      </c>
      <c r="D6240" s="12">
        <v>30</v>
      </c>
    </row>
    <row r="6241" spans="1:4" x14ac:dyDescent="0.2">
      <c r="A6241" s="12" t="s">
        <v>505</v>
      </c>
      <c r="B6241" s="12" t="s">
        <v>504</v>
      </c>
      <c r="C6241" s="12">
        <v>4400</v>
      </c>
      <c r="D6241" s="12">
        <v>54</v>
      </c>
    </row>
    <row r="6242" spans="1:4" x14ac:dyDescent="0.2">
      <c r="A6242" s="12" t="s">
        <v>2596</v>
      </c>
      <c r="B6242" s="12" t="s">
        <v>2595</v>
      </c>
      <c r="C6242" s="12">
        <v>290</v>
      </c>
      <c r="D6242" s="12">
        <v>3.3</v>
      </c>
    </row>
    <row r="6243" spans="1:4" x14ac:dyDescent="0.2">
      <c r="A6243" s="12" t="s">
        <v>8575</v>
      </c>
      <c r="B6243" s="12" t="s">
        <v>8574</v>
      </c>
      <c r="C6243" s="12">
        <v>20</v>
      </c>
      <c r="D6243" s="12">
        <v>2</v>
      </c>
    </row>
    <row r="6244" spans="1:4" x14ac:dyDescent="0.2">
      <c r="A6244" s="12" t="s">
        <v>2815</v>
      </c>
      <c r="B6244" s="12" t="s">
        <v>2814</v>
      </c>
      <c r="C6244" s="12">
        <v>100</v>
      </c>
      <c r="D6244" s="12">
        <v>10</v>
      </c>
    </row>
    <row r="6245" spans="1:4" x14ac:dyDescent="0.2">
      <c r="A6245" s="12" t="s">
        <v>2580</v>
      </c>
      <c r="B6245" s="12" t="s">
        <v>2579</v>
      </c>
      <c r="C6245" s="12">
        <v>46</v>
      </c>
      <c r="D6245" s="12">
        <v>4.5999999999999996</v>
      </c>
    </row>
    <row r="6246" spans="1:4" x14ac:dyDescent="0.2">
      <c r="A6246" s="12" t="s">
        <v>12578</v>
      </c>
      <c r="B6246" s="12" t="s">
        <v>7379</v>
      </c>
      <c r="C6246" s="12"/>
      <c r="D6246" s="12">
        <v>0.71</v>
      </c>
    </row>
    <row r="6247" spans="1:4" x14ac:dyDescent="0.2">
      <c r="A6247" s="12" t="s">
        <v>12577</v>
      </c>
      <c r="B6247" s="12" t="s">
        <v>7378</v>
      </c>
      <c r="C6247" s="12">
        <v>2.8</v>
      </c>
      <c r="D6247" s="12">
        <v>0.56999999999999995</v>
      </c>
    </row>
    <row r="6248" spans="1:4" x14ac:dyDescent="0.2">
      <c r="A6248" s="12" t="s">
        <v>7377</v>
      </c>
      <c r="B6248" s="12" t="s">
        <v>7376</v>
      </c>
      <c r="C6248" s="12">
        <v>17</v>
      </c>
      <c r="D6248" s="12">
        <v>8.1</v>
      </c>
    </row>
    <row r="6249" spans="1:4" x14ac:dyDescent="0.2">
      <c r="A6249" s="12" t="s">
        <v>11837</v>
      </c>
      <c r="B6249" s="12" t="s">
        <v>11836</v>
      </c>
      <c r="C6249" s="12">
        <v>2.5</v>
      </c>
      <c r="D6249" s="12">
        <v>0.25</v>
      </c>
    </row>
    <row r="6250" spans="1:4" x14ac:dyDescent="0.2">
      <c r="A6250" s="12" t="s">
        <v>1734</v>
      </c>
      <c r="B6250" s="12" t="s">
        <v>1733</v>
      </c>
      <c r="C6250" s="12">
        <v>46</v>
      </c>
      <c r="D6250" s="12">
        <v>4.5999999999999996</v>
      </c>
    </row>
    <row r="6251" spans="1:4" x14ac:dyDescent="0.2">
      <c r="A6251" s="12" t="s">
        <v>1787</v>
      </c>
      <c r="B6251" s="12" t="s">
        <v>1786</v>
      </c>
      <c r="C6251" s="12">
        <v>290</v>
      </c>
      <c r="D6251" s="12">
        <v>3.3</v>
      </c>
    </row>
    <row r="6252" spans="1:4" x14ac:dyDescent="0.2">
      <c r="A6252" s="12" t="s">
        <v>1050</v>
      </c>
      <c r="B6252" s="12" t="s">
        <v>1049</v>
      </c>
      <c r="C6252" s="12">
        <v>50</v>
      </c>
      <c r="D6252" s="12">
        <v>5</v>
      </c>
    </row>
    <row r="6253" spans="1:4" x14ac:dyDescent="0.2">
      <c r="A6253" s="12" t="s">
        <v>5899</v>
      </c>
      <c r="B6253" s="12" t="s">
        <v>5898</v>
      </c>
      <c r="C6253" s="12">
        <v>100</v>
      </c>
      <c r="D6253" s="12">
        <v>10</v>
      </c>
    </row>
    <row r="6254" spans="1:4" x14ac:dyDescent="0.2">
      <c r="A6254" s="12" t="s">
        <v>4441</v>
      </c>
      <c r="B6254" s="12" t="s">
        <v>4440</v>
      </c>
      <c r="C6254" s="12">
        <v>50</v>
      </c>
      <c r="D6254" s="12">
        <v>5</v>
      </c>
    </row>
    <row r="6255" spans="1:4" x14ac:dyDescent="0.2">
      <c r="A6255" s="12" t="s">
        <v>489</v>
      </c>
      <c r="B6255" s="12" t="s">
        <v>488</v>
      </c>
      <c r="C6255" s="12">
        <v>2450</v>
      </c>
      <c r="D6255" s="12">
        <v>245</v>
      </c>
    </row>
    <row r="6256" spans="1:4" x14ac:dyDescent="0.2">
      <c r="A6256" s="12" t="s">
        <v>484</v>
      </c>
      <c r="B6256" s="12" t="s">
        <v>483</v>
      </c>
      <c r="C6256" s="12" t="s">
        <v>59</v>
      </c>
      <c r="D6256" s="12" t="s">
        <v>59</v>
      </c>
    </row>
    <row r="6257" spans="1:4" x14ac:dyDescent="0.2">
      <c r="A6257" s="12" t="s">
        <v>485</v>
      </c>
      <c r="B6257" s="12" t="s">
        <v>483</v>
      </c>
      <c r="C6257" s="12">
        <v>400</v>
      </c>
      <c r="D6257" s="12">
        <v>40</v>
      </c>
    </row>
    <row r="6258" spans="1:4" x14ac:dyDescent="0.2">
      <c r="A6258" s="12" t="s">
        <v>1637</v>
      </c>
      <c r="B6258" s="12" t="s">
        <v>1636</v>
      </c>
      <c r="C6258" s="12">
        <v>440</v>
      </c>
      <c r="D6258" s="12">
        <v>44</v>
      </c>
    </row>
    <row r="6259" spans="1:4" x14ac:dyDescent="0.2">
      <c r="A6259" s="12" t="s">
        <v>3726</v>
      </c>
      <c r="B6259" s="12" t="s">
        <v>3725</v>
      </c>
      <c r="C6259" s="12">
        <v>110</v>
      </c>
      <c r="D6259" s="12">
        <v>11</v>
      </c>
    </row>
    <row r="6260" spans="1:4" x14ac:dyDescent="0.2">
      <c r="A6260" s="12" t="s">
        <v>11339</v>
      </c>
      <c r="B6260" s="12" t="s">
        <v>11338</v>
      </c>
      <c r="C6260" s="12">
        <v>310</v>
      </c>
      <c r="D6260" s="12">
        <v>210</v>
      </c>
    </row>
    <row r="6261" spans="1:4" x14ac:dyDescent="0.2">
      <c r="A6261" s="12" t="s">
        <v>5880</v>
      </c>
      <c r="B6261" s="12" t="s">
        <v>5879</v>
      </c>
      <c r="C6261" s="12">
        <v>20</v>
      </c>
      <c r="D6261" s="12">
        <v>2</v>
      </c>
    </row>
    <row r="6262" spans="1:4" x14ac:dyDescent="0.2">
      <c r="A6262" s="12" t="s">
        <v>560</v>
      </c>
      <c r="B6262" s="12" t="s">
        <v>559</v>
      </c>
      <c r="C6262" s="12">
        <v>0.1</v>
      </c>
      <c r="D6262" s="12">
        <v>0.01</v>
      </c>
    </row>
    <row r="6263" spans="1:4" x14ac:dyDescent="0.2">
      <c r="A6263" s="12" t="s">
        <v>2896</v>
      </c>
      <c r="B6263" s="12" t="s">
        <v>2895</v>
      </c>
      <c r="C6263" s="12">
        <v>5600</v>
      </c>
      <c r="D6263" s="12">
        <v>200</v>
      </c>
    </row>
    <row r="6264" spans="1:4" x14ac:dyDescent="0.2">
      <c r="A6264" s="12" t="s">
        <v>2302</v>
      </c>
      <c r="B6264" s="12" t="s">
        <v>2301</v>
      </c>
      <c r="C6264" s="12">
        <v>1800</v>
      </c>
      <c r="D6264" s="12">
        <v>180</v>
      </c>
    </row>
    <row r="6265" spans="1:4" x14ac:dyDescent="0.2">
      <c r="A6265" s="12" t="s">
        <v>472</v>
      </c>
      <c r="B6265" s="12" t="s">
        <v>471</v>
      </c>
      <c r="C6265" s="12">
        <v>600</v>
      </c>
      <c r="D6265" s="12">
        <v>60</v>
      </c>
    </row>
    <row r="6266" spans="1:4" x14ac:dyDescent="0.2">
      <c r="A6266" s="12" t="s">
        <v>476</v>
      </c>
      <c r="B6266" s="12" t="s">
        <v>475</v>
      </c>
      <c r="C6266" s="12">
        <v>45</v>
      </c>
      <c r="D6266" s="12">
        <v>4.5</v>
      </c>
    </row>
    <row r="6267" spans="1:4" ht="28.5" x14ac:dyDescent="0.2">
      <c r="A6267" s="12" t="s">
        <v>120</v>
      </c>
      <c r="B6267" s="12" t="s">
        <v>119</v>
      </c>
      <c r="C6267" s="12" t="s">
        <v>59</v>
      </c>
      <c r="D6267" s="12" t="s">
        <v>59</v>
      </c>
    </row>
    <row r="6268" spans="1:4" x14ac:dyDescent="0.2">
      <c r="A6268" s="12" t="s">
        <v>2924</v>
      </c>
      <c r="B6268" s="12" t="s">
        <v>2923</v>
      </c>
      <c r="C6268" s="12">
        <v>7000</v>
      </c>
      <c r="D6268" s="12">
        <v>700</v>
      </c>
    </row>
    <row r="6269" spans="1:4" x14ac:dyDescent="0.2">
      <c r="A6269" s="12" t="s">
        <v>702</v>
      </c>
      <c r="B6269" s="12" t="s">
        <v>701</v>
      </c>
      <c r="C6269" s="12">
        <v>130</v>
      </c>
      <c r="D6269" s="12">
        <v>13</v>
      </c>
    </row>
    <row r="6270" spans="1:4" x14ac:dyDescent="0.2">
      <c r="A6270" s="12" t="s">
        <v>2702</v>
      </c>
      <c r="B6270" s="12" t="s">
        <v>2701</v>
      </c>
      <c r="C6270" s="12">
        <v>50</v>
      </c>
      <c r="D6270" s="12">
        <v>5</v>
      </c>
    </row>
    <row r="6271" spans="1:4" x14ac:dyDescent="0.2">
      <c r="A6271" s="12" t="s">
        <v>11774</v>
      </c>
      <c r="B6271" s="12" t="s">
        <v>11773</v>
      </c>
      <c r="C6271" s="12">
        <v>190</v>
      </c>
      <c r="D6271" s="12">
        <v>19</v>
      </c>
    </row>
    <row r="6272" spans="1:4" x14ac:dyDescent="0.2">
      <c r="A6272" s="12" t="s">
        <v>8430</v>
      </c>
      <c r="B6272" s="12" t="s">
        <v>8429</v>
      </c>
      <c r="C6272" s="12">
        <v>360</v>
      </c>
      <c r="D6272" s="12">
        <v>36</v>
      </c>
    </row>
    <row r="6273" spans="1:4" x14ac:dyDescent="0.2">
      <c r="A6273" s="12" t="s">
        <v>8393</v>
      </c>
      <c r="B6273" s="12" t="s">
        <v>8392</v>
      </c>
      <c r="C6273" s="12">
        <v>60</v>
      </c>
      <c r="D6273" s="12">
        <v>7</v>
      </c>
    </row>
    <row r="6274" spans="1:4" x14ac:dyDescent="0.2">
      <c r="A6274" s="12" t="s">
        <v>5055</v>
      </c>
      <c r="B6274" s="12" t="s">
        <v>5054</v>
      </c>
      <c r="C6274" s="12">
        <v>45</v>
      </c>
      <c r="D6274" s="12">
        <v>4.5</v>
      </c>
    </row>
    <row r="6275" spans="1:4" x14ac:dyDescent="0.2">
      <c r="A6275" s="12" t="s">
        <v>8442</v>
      </c>
      <c r="B6275" s="12" t="s">
        <v>8441</v>
      </c>
      <c r="C6275" s="12">
        <v>250</v>
      </c>
      <c r="D6275" s="12">
        <v>25</v>
      </c>
    </row>
    <row r="6276" spans="1:4" x14ac:dyDescent="0.2">
      <c r="A6276" s="12" t="s">
        <v>8553</v>
      </c>
      <c r="B6276" s="12" t="s">
        <v>8552</v>
      </c>
      <c r="C6276" s="12">
        <v>2600</v>
      </c>
      <c r="D6276" s="12">
        <v>260</v>
      </c>
    </row>
    <row r="6277" spans="1:4" x14ac:dyDescent="0.2">
      <c r="A6277" s="12" t="s">
        <v>5588</v>
      </c>
      <c r="B6277" s="12" t="s">
        <v>5587</v>
      </c>
      <c r="C6277" s="12">
        <v>7200</v>
      </c>
      <c r="D6277" s="12">
        <v>720</v>
      </c>
    </row>
    <row r="6278" spans="1:4" x14ac:dyDescent="0.2">
      <c r="A6278" s="12" t="s">
        <v>6756</v>
      </c>
      <c r="B6278" s="12" t="s">
        <v>6755</v>
      </c>
      <c r="C6278" s="12" t="s">
        <v>59</v>
      </c>
      <c r="D6278" s="12" t="s">
        <v>59</v>
      </c>
    </row>
    <row r="6279" spans="1:4" x14ac:dyDescent="0.2">
      <c r="A6279" s="12" t="s">
        <v>2351</v>
      </c>
      <c r="B6279" s="12" t="s">
        <v>2350</v>
      </c>
      <c r="C6279" s="12">
        <v>1500</v>
      </c>
      <c r="D6279" s="12">
        <v>150</v>
      </c>
    </row>
    <row r="6280" spans="1:4" x14ac:dyDescent="0.2">
      <c r="A6280" s="12" t="s">
        <v>7264</v>
      </c>
      <c r="B6280" s="12" t="s">
        <v>7263</v>
      </c>
      <c r="C6280" s="12">
        <v>180</v>
      </c>
      <c r="D6280" s="12">
        <v>18</v>
      </c>
    </row>
    <row r="6281" spans="1:4" x14ac:dyDescent="0.2">
      <c r="A6281" s="12" t="s">
        <v>6723</v>
      </c>
      <c r="B6281" s="12" t="s">
        <v>6722</v>
      </c>
      <c r="C6281" s="12" t="s">
        <v>59</v>
      </c>
      <c r="D6281" s="12" t="s">
        <v>59</v>
      </c>
    </row>
    <row r="6282" spans="1:4" x14ac:dyDescent="0.2">
      <c r="A6282" s="12" t="s">
        <v>6724</v>
      </c>
      <c r="B6282" s="12" t="s">
        <v>6722</v>
      </c>
      <c r="C6282" s="12">
        <v>500</v>
      </c>
      <c r="D6282" s="12">
        <v>50</v>
      </c>
    </row>
    <row r="6283" spans="1:4" ht="28.5" x14ac:dyDescent="0.2">
      <c r="A6283" s="12" t="s">
        <v>6958</v>
      </c>
      <c r="B6283" s="12" t="s">
        <v>6957</v>
      </c>
      <c r="C6283" s="12" t="s">
        <v>59</v>
      </c>
      <c r="D6283" s="12" t="s">
        <v>59</v>
      </c>
    </row>
    <row r="6284" spans="1:4" ht="28.5" x14ac:dyDescent="0.2">
      <c r="A6284" s="12" t="s">
        <v>6959</v>
      </c>
      <c r="B6284" s="12" t="s">
        <v>6957</v>
      </c>
      <c r="C6284" s="12">
        <v>1000</v>
      </c>
      <c r="D6284" s="12">
        <v>100</v>
      </c>
    </row>
    <row r="6285" spans="1:4" x14ac:dyDescent="0.2">
      <c r="A6285" s="12" t="s">
        <v>2999</v>
      </c>
      <c r="B6285" s="12" t="s">
        <v>2998</v>
      </c>
      <c r="C6285" s="12">
        <v>50</v>
      </c>
      <c r="D6285" s="12">
        <v>5</v>
      </c>
    </row>
    <row r="6286" spans="1:4" x14ac:dyDescent="0.2">
      <c r="A6286" s="12" t="s">
        <v>1712</v>
      </c>
      <c r="B6286" s="12" t="s">
        <v>1711</v>
      </c>
      <c r="C6286" s="12">
        <v>290</v>
      </c>
      <c r="D6286" s="12">
        <v>3.3</v>
      </c>
    </row>
    <row r="6287" spans="1:4" x14ac:dyDescent="0.2">
      <c r="A6287" s="12" t="s">
        <v>874</v>
      </c>
      <c r="B6287" s="12" t="s">
        <v>873</v>
      </c>
      <c r="C6287" s="12" t="s">
        <v>59</v>
      </c>
      <c r="D6287" s="12" t="s">
        <v>59</v>
      </c>
    </row>
    <row r="6288" spans="1:4" x14ac:dyDescent="0.2">
      <c r="A6288" s="12" t="s">
        <v>3189</v>
      </c>
      <c r="B6288" s="12" t="s">
        <v>3188</v>
      </c>
      <c r="C6288" s="12">
        <v>30</v>
      </c>
      <c r="D6288" s="12">
        <v>3</v>
      </c>
    </row>
    <row r="6289" spans="1:4" x14ac:dyDescent="0.2">
      <c r="A6289" s="12" t="s">
        <v>6803</v>
      </c>
      <c r="B6289" s="12" t="s">
        <v>6802</v>
      </c>
      <c r="C6289" s="12">
        <v>560</v>
      </c>
      <c r="D6289" s="12">
        <v>56</v>
      </c>
    </row>
    <row r="6290" spans="1:4" x14ac:dyDescent="0.2">
      <c r="A6290" s="12" t="s">
        <v>3938</v>
      </c>
      <c r="B6290" s="12" t="s">
        <v>3937</v>
      </c>
      <c r="C6290" s="12">
        <v>100</v>
      </c>
      <c r="D6290" s="12">
        <v>10</v>
      </c>
    </row>
    <row r="6291" spans="1:4" x14ac:dyDescent="0.2">
      <c r="A6291" s="12" t="s">
        <v>3657</v>
      </c>
      <c r="B6291" s="12" t="s">
        <v>3656</v>
      </c>
      <c r="C6291" s="12">
        <v>5000</v>
      </c>
      <c r="D6291" s="12">
        <v>500</v>
      </c>
    </row>
    <row r="6292" spans="1:4" x14ac:dyDescent="0.2">
      <c r="A6292" s="12" t="s">
        <v>6627</v>
      </c>
      <c r="B6292" s="12" t="s">
        <v>6626</v>
      </c>
      <c r="C6292" s="12">
        <v>840</v>
      </c>
      <c r="D6292" s="12">
        <v>84</v>
      </c>
    </row>
    <row r="6293" spans="1:4" x14ac:dyDescent="0.2">
      <c r="A6293" s="12" t="s">
        <v>6583</v>
      </c>
      <c r="B6293" s="12" t="s">
        <v>6582</v>
      </c>
      <c r="C6293" s="12">
        <v>60</v>
      </c>
      <c r="D6293" s="12">
        <v>500</v>
      </c>
    </row>
    <row r="6294" spans="1:4" x14ac:dyDescent="0.2">
      <c r="A6294" s="12" t="s">
        <v>6637</v>
      </c>
      <c r="B6294" s="12" t="s">
        <v>6636</v>
      </c>
      <c r="C6294" s="12">
        <v>1930</v>
      </c>
      <c r="D6294" s="12">
        <v>193</v>
      </c>
    </row>
    <row r="6295" spans="1:4" x14ac:dyDescent="0.2">
      <c r="A6295" s="12" t="s">
        <v>7832</v>
      </c>
      <c r="B6295" s="12" t="s">
        <v>7831</v>
      </c>
      <c r="C6295" s="12">
        <v>900</v>
      </c>
      <c r="D6295" s="12">
        <v>90</v>
      </c>
    </row>
    <row r="6296" spans="1:4" x14ac:dyDescent="0.2">
      <c r="A6296" s="12" t="s">
        <v>4456</v>
      </c>
      <c r="B6296" s="12" t="s">
        <v>4455</v>
      </c>
      <c r="C6296" s="12">
        <v>30</v>
      </c>
      <c r="D6296" s="12">
        <v>3</v>
      </c>
    </row>
    <row r="6297" spans="1:4" x14ac:dyDescent="0.2">
      <c r="A6297" s="12" t="s">
        <v>6376</v>
      </c>
      <c r="B6297" s="12" t="s">
        <v>6375</v>
      </c>
      <c r="C6297" s="12">
        <v>20</v>
      </c>
      <c r="D6297" s="12">
        <v>2</v>
      </c>
    </row>
    <row r="6298" spans="1:4" x14ac:dyDescent="0.2">
      <c r="A6298" s="12" t="s">
        <v>8837</v>
      </c>
      <c r="B6298" s="12" t="s">
        <v>8836</v>
      </c>
      <c r="C6298" s="12">
        <v>180</v>
      </c>
      <c r="D6298" s="12">
        <v>18</v>
      </c>
    </row>
    <row r="6299" spans="1:4" x14ac:dyDescent="0.2">
      <c r="A6299" s="12" t="s">
        <v>2175</v>
      </c>
      <c r="B6299" s="12" t="s">
        <v>2174</v>
      </c>
      <c r="C6299" s="12">
        <v>3000</v>
      </c>
      <c r="D6299" s="12">
        <v>300</v>
      </c>
    </row>
    <row r="6300" spans="1:4" x14ac:dyDescent="0.2">
      <c r="A6300" s="12" t="s">
        <v>7816</v>
      </c>
      <c r="B6300" s="12" t="s">
        <v>7815</v>
      </c>
      <c r="C6300" s="12">
        <v>1900</v>
      </c>
      <c r="D6300" s="12">
        <v>190</v>
      </c>
    </row>
    <row r="6301" spans="1:4" x14ac:dyDescent="0.2">
      <c r="A6301" s="12" t="s">
        <v>4614</v>
      </c>
      <c r="B6301" s="12" t="s">
        <v>4613</v>
      </c>
      <c r="C6301" s="12">
        <v>3000</v>
      </c>
      <c r="D6301" s="12">
        <v>300</v>
      </c>
    </row>
    <row r="6302" spans="1:4" x14ac:dyDescent="0.2">
      <c r="A6302" s="12" t="s">
        <v>4620</v>
      </c>
      <c r="B6302" s="12" t="s">
        <v>4619</v>
      </c>
      <c r="C6302" s="12">
        <v>7000</v>
      </c>
      <c r="D6302" s="12">
        <v>700</v>
      </c>
    </row>
    <row r="6303" spans="1:4" x14ac:dyDescent="0.2">
      <c r="A6303" s="12" t="s">
        <v>6711</v>
      </c>
      <c r="B6303" s="12" t="s">
        <v>6710</v>
      </c>
      <c r="C6303" s="12">
        <v>700</v>
      </c>
      <c r="D6303" s="12">
        <v>70</v>
      </c>
    </row>
    <row r="6304" spans="1:4" x14ac:dyDescent="0.2">
      <c r="A6304" s="12" t="s">
        <v>12009</v>
      </c>
      <c r="B6304" s="12" t="s">
        <v>12008</v>
      </c>
      <c r="C6304" s="12">
        <v>20</v>
      </c>
      <c r="D6304" s="12">
        <v>2</v>
      </c>
    </row>
    <row r="6305" spans="1:4" x14ac:dyDescent="0.2">
      <c r="A6305" s="12" t="s">
        <v>2061</v>
      </c>
      <c r="B6305" s="12" t="s">
        <v>2060</v>
      </c>
      <c r="C6305" s="12">
        <v>3600</v>
      </c>
      <c r="D6305" s="12">
        <v>360</v>
      </c>
    </row>
    <row r="6306" spans="1:4" x14ac:dyDescent="0.2">
      <c r="A6306" s="12" t="s">
        <v>5051</v>
      </c>
      <c r="B6306" s="12" t="s">
        <v>5050</v>
      </c>
      <c r="C6306" s="12">
        <v>30</v>
      </c>
      <c r="D6306" s="12">
        <v>3</v>
      </c>
    </row>
    <row r="6307" spans="1:4" x14ac:dyDescent="0.2">
      <c r="A6307" s="12" t="s">
        <v>11689</v>
      </c>
      <c r="B6307" s="12" t="s">
        <v>11688</v>
      </c>
      <c r="C6307" s="12">
        <v>20</v>
      </c>
      <c r="D6307" s="12">
        <v>2</v>
      </c>
    </row>
    <row r="6308" spans="1:4" x14ac:dyDescent="0.2">
      <c r="A6308" s="12" t="s">
        <v>7249</v>
      </c>
      <c r="B6308" s="12" t="s">
        <v>7248</v>
      </c>
      <c r="C6308" s="12">
        <v>400</v>
      </c>
      <c r="D6308" s="12">
        <v>40</v>
      </c>
    </row>
    <row r="6309" spans="1:4" x14ac:dyDescent="0.2">
      <c r="A6309" s="12" t="s">
        <v>7247</v>
      </c>
      <c r="B6309" s="12" t="s">
        <v>7246</v>
      </c>
      <c r="C6309" s="12">
        <v>80</v>
      </c>
      <c r="D6309" s="12">
        <v>8</v>
      </c>
    </row>
    <row r="6310" spans="1:4" x14ac:dyDescent="0.2">
      <c r="A6310" s="12" t="s">
        <v>9996</v>
      </c>
      <c r="B6310" s="12" t="s">
        <v>9995</v>
      </c>
      <c r="C6310" s="12" t="s">
        <v>59</v>
      </c>
      <c r="D6310" s="12" t="s">
        <v>59</v>
      </c>
    </row>
    <row r="6311" spans="1:4" x14ac:dyDescent="0.2">
      <c r="A6311" s="12" t="s">
        <v>6152</v>
      </c>
      <c r="B6311" s="12" t="s">
        <v>6151</v>
      </c>
      <c r="C6311" s="12">
        <v>2450</v>
      </c>
      <c r="D6311" s="12">
        <v>245</v>
      </c>
    </row>
    <row r="6312" spans="1:4" x14ac:dyDescent="0.2">
      <c r="A6312" s="12" t="s">
        <v>4331</v>
      </c>
      <c r="B6312" s="12" t="s">
        <v>4330</v>
      </c>
      <c r="C6312" s="12">
        <v>8</v>
      </c>
      <c r="D6312" s="12">
        <v>0.8</v>
      </c>
    </row>
    <row r="6313" spans="1:4" x14ac:dyDescent="0.2">
      <c r="A6313" s="12" t="s">
        <v>4333</v>
      </c>
      <c r="B6313" s="12" t="s">
        <v>4332</v>
      </c>
      <c r="C6313" s="12">
        <v>125</v>
      </c>
      <c r="D6313" s="12">
        <v>12.5</v>
      </c>
    </row>
    <row r="6314" spans="1:4" x14ac:dyDescent="0.2">
      <c r="A6314" s="12" t="s">
        <v>2508</v>
      </c>
      <c r="B6314" s="12" t="s">
        <v>2507</v>
      </c>
      <c r="C6314" s="12">
        <v>20</v>
      </c>
      <c r="D6314" s="12">
        <v>2</v>
      </c>
    </row>
    <row r="6315" spans="1:4" x14ac:dyDescent="0.2">
      <c r="A6315" s="12" t="s">
        <v>11594</v>
      </c>
      <c r="B6315" s="12" t="s">
        <v>11593</v>
      </c>
      <c r="C6315" s="12">
        <v>3300</v>
      </c>
      <c r="D6315" s="12">
        <v>330</v>
      </c>
    </row>
    <row r="6316" spans="1:4" x14ac:dyDescent="0.2">
      <c r="A6316" s="12" t="s">
        <v>3209</v>
      </c>
      <c r="B6316" s="12" t="s">
        <v>3208</v>
      </c>
      <c r="C6316" s="12">
        <v>290</v>
      </c>
      <c r="D6316" s="12">
        <v>3.3</v>
      </c>
    </row>
    <row r="6317" spans="1:4" x14ac:dyDescent="0.2">
      <c r="A6317" s="12" t="s">
        <v>3210</v>
      </c>
      <c r="B6317" s="12" t="s">
        <v>3208</v>
      </c>
      <c r="C6317" s="12" t="s">
        <v>59</v>
      </c>
      <c r="D6317" s="12" t="s">
        <v>59</v>
      </c>
    </row>
    <row r="6318" spans="1:4" x14ac:dyDescent="0.2">
      <c r="A6318" s="12" t="s">
        <v>11553</v>
      </c>
      <c r="B6318" s="12" t="s">
        <v>11552</v>
      </c>
      <c r="C6318" s="12">
        <v>20</v>
      </c>
      <c r="D6318" s="12">
        <v>2</v>
      </c>
    </row>
    <row r="6319" spans="1:4" x14ac:dyDescent="0.2">
      <c r="A6319" s="12" t="s">
        <v>8644</v>
      </c>
      <c r="B6319" s="12" t="s">
        <v>8643</v>
      </c>
      <c r="C6319" s="12" t="s">
        <v>59</v>
      </c>
      <c r="D6319" s="12" t="s">
        <v>59</v>
      </c>
    </row>
    <row r="6320" spans="1:4" x14ac:dyDescent="0.2">
      <c r="A6320" s="12" t="s">
        <v>3215</v>
      </c>
      <c r="B6320" s="12" t="s">
        <v>3214</v>
      </c>
      <c r="C6320" s="12">
        <v>60</v>
      </c>
      <c r="D6320" s="12">
        <v>6</v>
      </c>
    </row>
    <row r="6321" spans="1:4" x14ac:dyDescent="0.2">
      <c r="A6321" s="12" t="s">
        <v>6574</v>
      </c>
      <c r="B6321" s="12" t="s">
        <v>6573</v>
      </c>
      <c r="C6321" s="12">
        <v>2700</v>
      </c>
      <c r="D6321" s="12">
        <v>270</v>
      </c>
    </row>
    <row r="6322" spans="1:4" x14ac:dyDescent="0.2">
      <c r="A6322" s="12" t="s">
        <v>3212</v>
      </c>
      <c r="B6322" s="12" t="s">
        <v>3211</v>
      </c>
      <c r="C6322" s="12">
        <v>2340</v>
      </c>
      <c r="D6322" s="12">
        <v>234</v>
      </c>
    </row>
    <row r="6323" spans="1:4" x14ac:dyDescent="0.2">
      <c r="A6323" s="12" t="s">
        <v>3213</v>
      </c>
      <c r="B6323" s="12" t="s">
        <v>3211</v>
      </c>
      <c r="C6323" s="12" t="s">
        <v>59</v>
      </c>
      <c r="D6323" s="12" t="s">
        <v>59</v>
      </c>
    </row>
    <row r="6324" spans="1:4" x14ac:dyDescent="0.2">
      <c r="A6324" s="12" t="s">
        <v>10603</v>
      </c>
      <c r="B6324" s="12" t="s">
        <v>10602</v>
      </c>
      <c r="C6324" s="12">
        <v>38</v>
      </c>
      <c r="D6324" s="12">
        <v>3.8</v>
      </c>
    </row>
    <row r="6325" spans="1:4" x14ac:dyDescent="0.2">
      <c r="A6325" s="12" t="s">
        <v>3831</v>
      </c>
      <c r="B6325" s="12" t="s">
        <v>3830</v>
      </c>
      <c r="C6325" s="12">
        <v>1000</v>
      </c>
      <c r="D6325" s="12">
        <v>100</v>
      </c>
    </row>
    <row r="6326" spans="1:4" x14ac:dyDescent="0.2">
      <c r="A6326" s="12" t="s">
        <v>965</v>
      </c>
      <c r="B6326" s="12" t="s">
        <v>964</v>
      </c>
      <c r="C6326" s="12">
        <v>1830</v>
      </c>
      <c r="D6326" s="12">
        <v>183</v>
      </c>
    </row>
    <row r="6327" spans="1:4" x14ac:dyDescent="0.2">
      <c r="A6327" s="12" t="s">
        <v>10610</v>
      </c>
      <c r="B6327" s="12" t="s">
        <v>10609</v>
      </c>
      <c r="C6327" s="12" t="s">
        <v>59</v>
      </c>
      <c r="D6327" s="12" t="s">
        <v>59</v>
      </c>
    </row>
    <row r="6328" spans="1:4" x14ac:dyDescent="0.2">
      <c r="A6328" s="12" t="s">
        <v>3123</v>
      </c>
      <c r="B6328" s="12" t="s">
        <v>3122</v>
      </c>
      <c r="C6328" s="12">
        <v>550</v>
      </c>
      <c r="D6328" s="12">
        <v>55</v>
      </c>
    </row>
    <row r="6329" spans="1:4" x14ac:dyDescent="0.2">
      <c r="A6329" s="12" t="s">
        <v>5471</v>
      </c>
      <c r="B6329" s="12" t="s">
        <v>5470</v>
      </c>
      <c r="C6329" s="12">
        <v>650</v>
      </c>
      <c r="D6329" s="12">
        <v>250</v>
      </c>
    </row>
    <row r="6330" spans="1:4" x14ac:dyDescent="0.2">
      <c r="A6330" s="12" t="s">
        <v>3823</v>
      </c>
      <c r="B6330" s="12" t="s">
        <v>3822</v>
      </c>
      <c r="C6330" s="12">
        <v>250</v>
      </c>
      <c r="D6330" s="12">
        <v>48</v>
      </c>
    </row>
    <row r="6331" spans="1:4" x14ac:dyDescent="0.2">
      <c r="A6331" s="12" t="s">
        <v>3821</v>
      </c>
      <c r="B6331" s="12" t="s">
        <v>3820</v>
      </c>
      <c r="C6331" s="12">
        <v>200</v>
      </c>
      <c r="D6331" s="12">
        <v>20</v>
      </c>
    </row>
    <row r="6332" spans="1:4" x14ac:dyDescent="0.2">
      <c r="A6332" s="12" t="s">
        <v>3448</v>
      </c>
      <c r="B6332" s="12" t="s">
        <v>3447</v>
      </c>
      <c r="C6332" s="12">
        <v>490</v>
      </c>
      <c r="D6332" s="12">
        <v>49</v>
      </c>
    </row>
    <row r="6333" spans="1:4" x14ac:dyDescent="0.2">
      <c r="A6333" s="12" t="s">
        <v>160</v>
      </c>
      <c r="B6333" s="12" t="s">
        <v>159</v>
      </c>
      <c r="C6333" s="12">
        <v>20</v>
      </c>
      <c r="D6333" s="12">
        <v>2</v>
      </c>
    </row>
    <row r="6334" spans="1:4" x14ac:dyDescent="0.2">
      <c r="A6334" s="12" t="s">
        <v>4335</v>
      </c>
      <c r="B6334" s="12" t="s">
        <v>4334</v>
      </c>
      <c r="C6334" s="12">
        <v>28</v>
      </c>
      <c r="D6334" s="12">
        <v>2.8</v>
      </c>
    </row>
    <row r="6335" spans="1:4" x14ac:dyDescent="0.2">
      <c r="A6335" s="12" t="s">
        <v>4660</v>
      </c>
      <c r="B6335" s="12" t="s">
        <v>4659</v>
      </c>
      <c r="C6335" s="12" t="s">
        <v>59</v>
      </c>
      <c r="D6335" s="12" t="s">
        <v>59</v>
      </c>
    </row>
    <row r="6336" spans="1:4" x14ac:dyDescent="0.2">
      <c r="A6336" s="12" t="s">
        <v>8930</v>
      </c>
      <c r="B6336" s="12" t="s">
        <v>8929</v>
      </c>
      <c r="C6336" s="12">
        <v>100</v>
      </c>
      <c r="D6336" s="12">
        <v>10</v>
      </c>
    </row>
    <row r="6337" spans="1:4" x14ac:dyDescent="0.2">
      <c r="A6337" s="12" t="s">
        <v>9206</v>
      </c>
      <c r="B6337" s="12" t="s">
        <v>9205</v>
      </c>
      <c r="C6337" s="12">
        <v>50</v>
      </c>
      <c r="D6337" s="12">
        <v>5</v>
      </c>
    </row>
    <row r="6338" spans="1:4" x14ac:dyDescent="0.2">
      <c r="A6338" s="12" t="s">
        <v>2948</v>
      </c>
      <c r="B6338" s="12" t="s">
        <v>2947</v>
      </c>
      <c r="C6338" s="12">
        <v>250</v>
      </c>
      <c r="D6338" s="12">
        <v>25</v>
      </c>
    </row>
    <row r="6339" spans="1:4" x14ac:dyDescent="0.2">
      <c r="A6339" s="12" t="s">
        <v>8672</v>
      </c>
      <c r="B6339" s="12" t="s">
        <v>8671</v>
      </c>
      <c r="C6339" s="12">
        <v>110</v>
      </c>
      <c r="D6339" s="12">
        <v>11</v>
      </c>
    </row>
    <row r="6340" spans="1:4" x14ac:dyDescent="0.2">
      <c r="A6340" s="12" t="s">
        <v>2914</v>
      </c>
      <c r="B6340" s="12" t="s">
        <v>2913</v>
      </c>
      <c r="C6340" s="12">
        <v>30</v>
      </c>
      <c r="D6340" s="12">
        <v>3</v>
      </c>
    </row>
    <row r="6341" spans="1:4" x14ac:dyDescent="0.2">
      <c r="A6341" s="12" t="s">
        <v>8512</v>
      </c>
      <c r="B6341" s="12" t="s">
        <v>8511</v>
      </c>
      <c r="C6341" s="12">
        <v>1000</v>
      </c>
      <c r="D6341" s="12">
        <v>100</v>
      </c>
    </row>
    <row r="6342" spans="1:4" x14ac:dyDescent="0.2">
      <c r="A6342" s="12" t="s">
        <v>1813</v>
      </c>
      <c r="B6342" s="12" t="s">
        <v>1812</v>
      </c>
      <c r="C6342" s="12">
        <v>50</v>
      </c>
      <c r="D6342" s="12">
        <v>5</v>
      </c>
    </row>
    <row r="6343" spans="1:4" x14ac:dyDescent="0.2">
      <c r="A6343" s="12" t="s">
        <v>656</v>
      </c>
      <c r="B6343" s="12" t="s">
        <v>655</v>
      </c>
      <c r="C6343" s="12">
        <v>10</v>
      </c>
      <c r="D6343" s="12">
        <v>1</v>
      </c>
    </row>
    <row r="6344" spans="1:4" x14ac:dyDescent="0.2">
      <c r="A6344" s="12" t="s">
        <v>10004</v>
      </c>
      <c r="B6344" s="12" t="s">
        <v>10003</v>
      </c>
      <c r="C6344" s="12" t="s">
        <v>59</v>
      </c>
      <c r="D6344" s="12" t="s">
        <v>59</v>
      </c>
    </row>
    <row r="6345" spans="1:4" x14ac:dyDescent="0.2">
      <c r="A6345" s="12" t="s">
        <v>11534</v>
      </c>
      <c r="B6345" s="12" t="s">
        <v>11533</v>
      </c>
      <c r="C6345" s="12">
        <v>800</v>
      </c>
      <c r="D6345" s="12">
        <v>80</v>
      </c>
    </row>
    <row r="6346" spans="1:4" x14ac:dyDescent="0.2">
      <c r="A6346" s="12" t="s">
        <v>9073</v>
      </c>
      <c r="B6346" s="12" t="s">
        <v>9072</v>
      </c>
      <c r="C6346" s="12">
        <v>100</v>
      </c>
      <c r="D6346" s="12">
        <v>10</v>
      </c>
    </row>
    <row r="6347" spans="1:4" x14ac:dyDescent="0.2">
      <c r="A6347" s="12" t="s">
        <v>2290</v>
      </c>
      <c r="B6347" s="12" t="s">
        <v>2289</v>
      </c>
      <c r="C6347" s="12">
        <v>10</v>
      </c>
      <c r="D6347" s="12">
        <v>1</v>
      </c>
    </row>
    <row r="6348" spans="1:4" x14ac:dyDescent="0.2">
      <c r="A6348" s="12" t="s">
        <v>3299</v>
      </c>
      <c r="B6348" s="12" t="s">
        <v>3298</v>
      </c>
      <c r="C6348" s="12">
        <v>30</v>
      </c>
      <c r="D6348" s="12">
        <v>3</v>
      </c>
    </row>
    <row r="6349" spans="1:4" x14ac:dyDescent="0.2">
      <c r="A6349" s="12" t="s">
        <v>723</v>
      </c>
      <c r="B6349" s="12" t="s">
        <v>722</v>
      </c>
      <c r="C6349" s="12">
        <v>2450</v>
      </c>
      <c r="D6349" s="12">
        <v>245</v>
      </c>
    </row>
    <row r="6350" spans="1:4" x14ac:dyDescent="0.2">
      <c r="A6350" s="12" t="s">
        <v>5915</v>
      </c>
      <c r="B6350" s="12" t="s">
        <v>5914</v>
      </c>
      <c r="C6350" s="12">
        <v>2200</v>
      </c>
      <c r="D6350" s="12">
        <v>220</v>
      </c>
    </row>
    <row r="6351" spans="1:4" x14ac:dyDescent="0.2">
      <c r="A6351" s="12" t="s">
        <v>12275</v>
      </c>
      <c r="B6351" s="12" t="s">
        <v>12274</v>
      </c>
      <c r="C6351" s="12">
        <v>900</v>
      </c>
      <c r="D6351" s="12">
        <v>90</v>
      </c>
    </row>
    <row r="6352" spans="1:4" x14ac:dyDescent="0.2">
      <c r="A6352" s="12" t="s">
        <v>10598</v>
      </c>
      <c r="B6352" s="12" t="s">
        <v>10597</v>
      </c>
      <c r="C6352" s="12">
        <v>130</v>
      </c>
      <c r="D6352" s="12">
        <v>13</v>
      </c>
    </row>
    <row r="6353" spans="1:4" x14ac:dyDescent="0.2">
      <c r="A6353" s="12" t="s">
        <v>12208</v>
      </c>
      <c r="B6353" s="12" t="s">
        <v>12207</v>
      </c>
      <c r="C6353" s="12" t="s">
        <v>59</v>
      </c>
      <c r="D6353" s="12" t="s">
        <v>59</v>
      </c>
    </row>
    <row r="6354" spans="1:4" x14ac:dyDescent="0.2">
      <c r="A6354" s="12" t="s">
        <v>12209</v>
      </c>
      <c r="B6354" s="12" t="s">
        <v>12207</v>
      </c>
      <c r="C6354" s="12">
        <v>1000</v>
      </c>
      <c r="D6354" s="12">
        <v>100</v>
      </c>
    </row>
    <row r="6355" spans="1:4" x14ac:dyDescent="0.2">
      <c r="A6355" s="12" t="s">
        <v>8506</v>
      </c>
      <c r="B6355" s="12" t="s">
        <v>8505</v>
      </c>
      <c r="C6355" s="12" t="s">
        <v>59</v>
      </c>
      <c r="D6355" s="12" t="s">
        <v>59</v>
      </c>
    </row>
    <row r="6356" spans="1:4" x14ac:dyDescent="0.2">
      <c r="A6356" s="12" t="s">
        <v>9979</v>
      </c>
      <c r="B6356" s="12" t="s">
        <v>9978</v>
      </c>
      <c r="C6356" s="12" t="s">
        <v>59</v>
      </c>
      <c r="D6356" s="12" t="s">
        <v>59</v>
      </c>
    </row>
    <row r="6357" spans="1:4" x14ac:dyDescent="0.2">
      <c r="A6357" s="12" t="s">
        <v>9980</v>
      </c>
      <c r="B6357" s="12" t="s">
        <v>9978</v>
      </c>
      <c r="C6357" s="12">
        <v>500</v>
      </c>
      <c r="D6357" s="12">
        <v>50</v>
      </c>
    </row>
    <row r="6358" spans="1:4" x14ac:dyDescent="0.2">
      <c r="A6358" s="12" t="s">
        <v>4421</v>
      </c>
      <c r="B6358" s="12" t="s">
        <v>4420</v>
      </c>
      <c r="C6358" s="12" t="s">
        <v>59</v>
      </c>
      <c r="D6358" s="12" t="s">
        <v>59</v>
      </c>
    </row>
    <row r="6359" spans="1:4" x14ac:dyDescent="0.2">
      <c r="A6359" s="12" t="s">
        <v>10094</v>
      </c>
      <c r="B6359" s="12" t="s">
        <v>10093</v>
      </c>
      <c r="C6359" s="12">
        <v>1100</v>
      </c>
      <c r="D6359" s="12">
        <v>110</v>
      </c>
    </row>
    <row r="6360" spans="1:4" x14ac:dyDescent="0.2">
      <c r="A6360" s="12" t="s">
        <v>12005</v>
      </c>
      <c r="B6360" s="12" t="s">
        <v>12004</v>
      </c>
      <c r="C6360" s="12">
        <v>2.5</v>
      </c>
      <c r="D6360" s="12">
        <v>0.25</v>
      </c>
    </row>
    <row r="6361" spans="1:4" x14ac:dyDescent="0.2">
      <c r="A6361" s="12" t="s">
        <v>10092</v>
      </c>
      <c r="B6361" s="12" t="s">
        <v>10091</v>
      </c>
      <c r="C6361" s="12">
        <v>1100</v>
      </c>
      <c r="D6361" s="12">
        <v>110</v>
      </c>
    </row>
    <row r="6362" spans="1:4" x14ac:dyDescent="0.2">
      <c r="A6362" s="12" t="s">
        <v>11940</v>
      </c>
      <c r="B6362" s="12" t="s">
        <v>11939</v>
      </c>
      <c r="C6362" s="12">
        <v>4.2</v>
      </c>
      <c r="D6362" s="12">
        <v>0.42</v>
      </c>
    </row>
    <row r="6363" spans="1:4" x14ac:dyDescent="0.2">
      <c r="A6363" s="12" t="s">
        <v>4399</v>
      </c>
      <c r="B6363" s="12" t="s">
        <v>4398</v>
      </c>
      <c r="C6363" s="12">
        <v>1120</v>
      </c>
      <c r="D6363" s="12">
        <v>112</v>
      </c>
    </row>
    <row r="6364" spans="1:4" x14ac:dyDescent="0.2">
      <c r="A6364" s="12" t="s">
        <v>7274</v>
      </c>
      <c r="B6364" s="12" t="s">
        <v>7273</v>
      </c>
      <c r="C6364" s="12">
        <v>1120</v>
      </c>
      <c r="D6364" s="12">
        <v>112</v>
      </c>
    </row>
    <row r="6365" spans="1:4" x14ac:dyDescent="0.2">
      <c r="A6365" s="12" t="s">
        <v>3829</v>
      </c>
      <c r="B6365" s="12" t="s">
        <v>3828</v>
      </c>
      <c r="C6365" s="12">
        <v>1120</v>
      </c>
      <c r="D6365" s="12">
        <v>112</v>
      </c>
    </row>
    <row r="6366" spans="1:4" x14ac:dyDescent="0.2">
      <c r="A6366" s="12" t="s">
        <v>9613</v>
      </c>
      <c r="B6366" s="12" t="s">
        <v>9612</v>
      </c>
      <c r="C6366" s="12">
        <v>2750</v>
      </c>
      <c r="D6366" s="12">
        <v>275</v>
      </c>
    </row>
    <row r="6367" spans="1:4" x14ac:dyDescent="0.2">
      <c r="A6367" s="12" t="s">
        <v>3120</v>
      </c>
      <c r="B6367" s="12" t="s">
        <v>3119</v>
      </c>
      <c r="C6367" s="12" t="s">
        <v>59</v>
      </c>
      <c r="D6367" s="12" t="s">
        <v>59</v>
      </c>
    </row>
    <row r="6368" spans="1:4" x14ac:dyDescent="0.2">
      <c r="A6368" s="12" t="s">
        <v>3121</v>
      </c>
      <c r="B6368" s="12" t="s">
        <v>3119</v>
      </c>
      <c r="C6368" s="12">
        <v>2500</v>
      </c>
      <c r="D6368" s="12">
        <v>250</v>
      </c>
    </row>
    <row r="6369" spans="1:4" x14ac:dyDescent="0.2">
      <c r="A6369" s="12" t="s">
        <v>2171</v>
      </c>
      <c r="B6369" s="12" t="s">
        <v>2170</v>
      </c>
      <c r="C6369" s="12">
        <v>30</v>
      </c>
      <c r="D6369" s="12">
        <v>3</v>
      </c>
    </row>
    <row r="6370" spans="1:4" x14ac:dyDescent="0.2">
      <c r="A6370" s="12" t="s">
        <v>8948</v>
      </c>
      <c r="B6370" s="12" t="s">
        <v>8947</v>
      </c>
      <c r="C6370" s="12">
        <v>90</v>
      </c>
      <c r="D6370" s="12">
        <v>9</v>
      </c>
    </row>
    <row r="6371" spans="1:4" x14ac:dyDescent="0.2">
      <c r="A6371" s="12" t="s">
        <v>10106</v>
      </c>
      <c r="B6371" s="12" t="s">
        <v>10105</v>
      </c>
      <c r="C6371" s="12">
        <v>110</v>
      </c>
      <c r="D6371" s="12">
        <v>11</v>
      </c>
    </row>
    <row r="6372" spans="1:4" x14ac:dyDescent="0.2">
      <c r="A6372" s="12" t="s">
        <v>7468</v>
      </c>
      <c r="B6372" s="12" t="s">
        <v>7467</v>
      </c>
      <c r="C6372" s="12">
        <v>200</v>
      </c>
      <c r="D6372" s="12">
        <v>20</v>
      </c>
    </row>
    <row r="6373" spans="1:4" x14ac:dyDescent="0.2">
      <c r="A6373" s="12" t="s">
        <v>1124</v>
      </c>
      <c r="B6373" s="12" t="s">
        <v>1123</v>
      </c>
      <c r="C6373" s="12">
        <v>1000</v>
      </c>
      <c r="D6373" s="12">
        <v>100</v>
      </c>
    </row>
    <row r="6374" spans="1:4" x14ac:dyDescent="0.2">
      <c r="A6374" s="12" t="s">
        <v>552</v>
      </c>
      <c r="B6374" s="12" t="s">
        <v>552</v>
      </c>
      <c r="C6374" s="12">
        <v>20</v>
      </c>
      <c r="D6374" s="12">
        <v>2</v>
      </c>
    </row>
    <row r="6375" spans="1:4" x14ac:dyDescent="0.2">
      <c r="A6375" s="12" t="s">
        <v>12496</v>
      </c>
      <c r="B6375" s="12" t="s">
        <v>12496</v>
      </c>
      <c r="C6375" s="12" t="s">
        <v>59</v>
      </c>
      <c r="D6375" s="12" t="s">
        <v>59</v>
      </c>
    </row>
    <row r="6376" spans="1:4" x14ac:dyDescent="0.2">
      <c r="A6376" s="12" t="s">
        <v>12497</v>
      </c>
      <c r="B6376" s="12" t="s">
        <v>12497</v>
      </c>
      <c r="C6376" s="12">
        <v>1000</v>
      </c>
      <c r="D6376" s="12">
        <v>100</v>
      </c>
    </row>
    <row r="6377" spans="1:4" x14ac:dyDescent="0.2">
      <c r="A6377" s="12" t="s">
        <v>1212</v>
      </c>
      <c r="B6377" s="12" t="s">
        <v>1212</v>
      </c>
      <c r="C6377" s="12">
        <v>20</v>
      </c>
      <c r="D6377" s="12">
        <v>2</v>
      </c>
    </row>
    <row r="6378" spans="1:4" x14ac:dyDescent="0.2">
      <c r="A6378" s="12" t="s">
        <v>1305</v>
      </c>
      <c r="B6378" s="12" t="s">
        <v>1305</v>
      </c>
      <c r="C6378" s="12">
        <v>500</v>
      </c>
      <c r="D6378" s="12">
        <v>50</v>
      </c>
    </row>
    <row r="6379" spans="1:4" x14ac:dyDescent="0.2">
      <c r="A6379" s="12" t="s">
        <v>1306</v>
      </c>
      <c r="B6379" s="12" t="s">
        <v>1306</v>
      </c>
      <c r="C6379" s="12">
        <v>20</v>
      </c>
      <c r="D6379" s="12">
        <v>2</v>
      </c>
    </row>
    <row r="6380" spans="1:4" x14ac:dyDescent="0.2">
      <c r="A6380" s="12" t="s">
        <v>2286</v>
      </c>
      <c r="B6380" s="12" t="s">
        <v>2286</v>
      </c>
      <c r="C6380" s="12">
        <v>70</v>
      </c>
      <c r="D6380" s="12">
        <v>7</v>
      </c>
    </row>
    <row r="6381" spans="1:4" x14ac:dyDescent="0.2">
      <c r="A6381" s="12" t="s">
        <v>2692</v>
      </c>
      <c r="B6381" s="12" t="s">
        <v>2692</v>
      </c>
      <c r="C6381" s="12">
        <v>350</v>
      </c>
      <c r="D6381" s="12">
        <v>35</v>
      </c>
    </row>
    <row r="6382" spans="1:4" x14ac:dyDescent="0.2">
      <c r="A6382" s="12" t="s">
        <v>3234</v>
      </c>
      <c r="B6382" s="12" t="s">
        <v>3234</v>
      </c>
      <c r="C6382" s="12">
        <v>720</v>
      </c>
      <c r="D6382" s="12">
        <v>72</v>
      </c>
    </row>
    <row r="6383" spans="1:4" x14ac:dyDescent="0.2">
      <c r="A6383" s="12" t="s">
        <v>3235</v>
      </c>
      <c r="B6383" s="12" t="s">
        <v>3235</v>
      </c>
      <c r="C6383" s="12">
        <v>720</v>
      </c>
      <c r="D6383" s="12">
        <v>72</v>
      </c>
    </row>
    <row r="6384" spans="1:4" x14ac:dyDescent="0.2">
      <c r="A6384" s="12" t="s">
        <v>3502</v>
      </c>
      <c r="B6384" s="12" t="s">
        <v>3502</v>
      </c>
      <c r="C6384" s="12" t="s">
        <v>59</v>
      </c>
      <c r="D6384" s="12" t="s">
        <v>59</v>
      </c>
    </row>
    <row r="6385" spans="1:4" x14ac:dyDescent="0.2">
      <c r="A6385" s="12" t="s">
        <v>3509</v>
      </c>
      <c r="B6385" s="12" t="s">
        <v>3509</v>
      </c>
      <c r="C6385" s="12" t="s">
        <v>59</v>
      </c>
      <c r="D6385" s="12" t="s">
        <v>59</v>
      </c>
    </row>
    <row r="6386" spans="1:4" x14ac:dyDescent="0.2">
      <c r="A6386" s="12" t="s">
        <v>3510</v>
      </c>
      <c r="B6386" s="12" t="s">
        <v>3510</v>
      </c>
      <c r="C6386" s="12" t="s">
        <v>59</v>
      </c>
      <c r="D6386" s="12" t="s">
        <v>59</v>
      </c>
    </row>
    <row r="6387" spans="1:4" x14ac:dyDescent="0.2">
      <c r="A6387" s="12" t="s">
        <v>3511</v>
      </c>
      <c r="B6387" s="12" t="s">
        <v>3511</v>
      </c>
      <c r="C6387" s="12" t="s">
        <v>59</v>
      </c>
      <c r="D6387" s="12" t="s">
        <v>59</v>
      </c>
    </row>
    <row r="6388" spans="1:4" x14ac:dyDescent="0.2">
      <c r="A6388" s="12" t="s">
        <v>3512</v>
      </c>
      <c r="B6388" s="12" t="s">
        <v>3512</v>
      </c>
      <c r="C6388" s="12" t="s">
        <v>59</v>
      </c>
      <c r="D6388" s="12" t="s">
        <v>59</v>
      </c>
    </row>
    <row r="6389" spans="1:4" x14ac:dyDescent="0.2">
      <c r="A6389" s="12" t="s">
        <v>3519</v>
      </c>
      <c r="B6389" s="12" t="s">
        <v>3519</v>
      </c>
      <c r="C6389" s="12">
        <v>160</v>
      </c>
      <c r="D6389" s="12">
        <v>16</v>
      </c>
    </row>
    <row r="6390" spans="1:4" x14ac:dyDescent="0.2">
      <c r="A6390" s="12" t="s">
        <v>12508</v>
      </c>
      <c r="B6390" s="12" t="s">
        <v>12508</v>
      </c>
      <c r="C6390" s="12" t="s">
        <v>59</v>
      </c>
      <c r="D6390" s="12" t="s">
        <v>59</v>
      </c>
    </row>
    <row r="6391" spans="1:4" x14ac:dyDescent="0.2">
      <c r="A6391" s="12" t="s">
        <v>12509</v>
      </c>
      <c r="B6391" s="12" t="s">
        <v>12509</v>
      </c>
      <c r="C6391" s="12">
        <v>600</v>
      </c>
      <c r="D6391" s="12">
        <v>60</v>
      </c>
    </row>
    <row r="6392" spans="1:4" x14ac:dyDescent="0.2">
      <c r="A6392" s="12" t="s">
        <v>3534</v>
      </c>
      <c r="B6392" s="12" t="s">
        <v>3534</v>
      </c>
      <c r="C6392" s="12">
        <v>600</v>
      </c>
      <c r="D6392" s="12">
        <v>60</v>
      </c>
    </row>
    <row r="6393" spans="1:4" x14ac:dyDescent="0.2">
      <c r="A6393" s="12" t="s">
        <v>3535</v>
      </c>
      <c r="B6393" s="12" t="s">
        <v>3535</v>
      </c>
      <c r="C6393" s="12">
        <v>600</v>
      </c>
      <c r="D6393" s="12">
        <v>60</v>
      </c>
    </row>
    <row r="6394" spans="1:4" x14ac:dyDescent="0.2">
      <c r="A6394" s="12" t="s">
        <v>3536</v>
      </c>
      <c r="B6394" s="12" t="s">
        <v>3536</v>
      </c>
      <c r="C6394" s="12">
        <v>2000</v>
      </c>
      <c r="D6394" s="12">
        <v>200</v>
      </c>
    </row>
    <row r="6395" spans="1:4" x14ac:dyDescent="0.2">
      <c r="A6395" s="12" t="s">
        <v>3612</v>
      </c>
      <c r="B6395" s="12" t="s">
        <v>3612</v>
      </c>
      <c r="C6395" s="12">
        <v>1800</v>
      </c>
      <c r="D6395" s="12">
        <v>180</v>
      </c>
    </row>
    <row r="6396" spans="1:4" x14ac:dyDescent="0.2">
      <c r="A6396" s="12" t="s">
        <v>3619</v>
      </c>
      <c r="B6396" s="12" t="s">
        <v>3619</v>
      </c>
      <c r="C6396" s="12">
        <v>100</v>
      </c>
      <c r="D6396" s="12">
        <v>10</v>
      </c>
    </row>
    <row r="6397" spans="1:4" x14ac:dyDescent="0.2">
      <c r="A6397" s="12" t="s">
        <v>3620</v>
      </c>
      <c r="B6397" s="12" t="s">
        <v>3620</v>
      </c>
      <c r="C6397" s="12">
        <v>500</v>
      </c>
      <c r="D6397" s="12">
        <v>50</v>
      </c>
    </row>
    <row r="6398" spans="1:4" x14ac:dyDescent="0.2">
      <c r="A6398" s="12" t="s">
        <v>3621</v>
      </c>
      <c r="B6398" s="12" t="s">
        <v>3621</v>
      </c>
      <c r="C6398" s="12">
        <v>50</v>
      </c>
      <c r="D6398" s="12">
        <v>5</v>
      </c>
    </row>
    <row r="6399" spans="1:4" x14ac:dyDescent="0.2">
      <c r="A6399" s="12" t="s">
        <v>3628</v>
      </c>
      <c r="B6399" s="12" t="s">
        <v>3628</v>
      </c>
      <c r="C6399" s="12" t="s">
        <v>59</v>
      </c>
      <c r="D6399" s="12" t="s">
        <v>59</v>
      </c>
    </row>
    <row r="6400" spans="1:4" x14ac:dyDescent="0.2">
      <c r="A6400" s="12" t="s">
        <v>3629</v>
      </c>
      <c r="B6400" s="12" t="s">
        <v>3629</v>
      </c>
      <c r="C6400" s="12">
        <v>8.1</v>
      </c>
      <c r="D6400" s="12">
        <v>0.55000000000000004</v>
      </c>
    </row>
    <row r="6401" spans="1:4" x14ac:dyDescent="0.2">
      <c r="A6401" s="12" t="s">
        <v>3638</v>
      </c>
      <c r="B6401" s="12" t="s">
        <v>3638</v>
      </c>
      <c r="C6401" s="12">
        <v>3500</v>
      </c>
      <c r="D6401" s="12">
        <v>350</v>
      </c>
    </row>
    <row r="6402" spans="1:4" x14ac:dyDescent="0.2">
      <c r="A6402" s="12" t="s">
        <v>3639</v>
      </c>
      <c r="B6402" s="12" t="s">
        <v>3639</v>
      </c>
      <c r="C6402" s="12">
        <v>100</v>
      </c>
      <c r="D6402" s="12">
        <v>10</v>
      </c>
    </row>
    <row r="6403" spans="1:4" x14ac:dyDescent="0.2">
      <c r="A6403" s="12" t="s">
        <v>3640</v>
      </c>
      <c r="B6403" s="12" t="s">
        <v>3640</v>
      </c>
      <c r="C6403" s="12">
        <v>50</v>
      </c>
      <c r="D6403" s="12">
        <v>5</v>
      </c>
    </row>
    <row r="6404" spans="1:4" x14ac:dyDescent="0.2">
      <c r="A6404" s="12" t="s">
        <v>3641</v>
      </c>
      <c r="B6404" s="12" t="s">
        <v>3641</v>
      </c>
      <c r="C6404" s="12">
        <v>50</v>
      </c>
      <c r="D6404" s="12">
        <v>5</v>
      </c>
    </row>
    <row r="6405" spans="1:4" x14ac:dyDescent="0.2">
      <c r="A6405" s="12" t="s">
        <v>3664</v>
      </c>
      <c r="B6405" s="12" t="s">
        <v>3664</v>
      </c>
      <c r="C6405" s="12">
        <v>5700</v>
      </c>
      <c r="D6405" s="12">
        <v>570</v>
      </c>
    </row>
    <row r="6406" spans="1:4" x14ac:dyDescent="0.2">
      <c r="A6406" s="12" t="s">
        <v>12510</v>
      </c>
      <c r="B6406" s="12" t="s">
        <v>12510</v>
      </c>
      <c r="C6406" s="12" t="s">
        <v>59</v>
      </c>
      <c r="D6406" s="12" t="s">
        <v>59</v>
      </c>
    </row>
    <row r="6407" spans="1:4" x14ac:dyDescent="0.2">
      <c r="A6407" s="12" t="s">
        <v>12511</v>
      </c>
      <c r="B6407" s="12" t="s">
        <v>12511</v>
      </c>
      <c r="C6407" s="12">
        <v>1000</v>
      </c>
      <c r="D6407" s="12">
        <v>100</v>
      </c>
    </row>
    <row r="6408" spans="1:4" x14ac:dyDescent="0.2">
      <c r="A6408" s="12" t="s">
        <v>3667</v>
      </c>
      <c r="B6408" s="12" t="s">
        <v>3667</v>
      </c>
      <c r="C6408" s="12">
        <v>600</v>
      </c>
      <c r="D6408" s="12">
        <v>60</v>
      </c>
    </row>
    <row r="6409" spans="1:4" x14ac:dyDescent="0.2">
      <c r="A6409" s="12" t="s">
        <v>3672</v>
      </c>
      <c r="B6409" s="12" t="s">
        <v>3672</v>
      </c>
      <c r="C6409" s="12">
        <v>1000</v>
      </c>
      <c r="D6409" s="12">
        <v>100</v>
      </c>
    </row>
    <row r="6410" spans="1:4" x14ac:dyDescent="0.2">
      <c r="A6410" s="12" t="s">
        <v>3673</v>
      </c>
      <c r="B6410" s="12" t="s">
        <v>3673</v>
      </c>
      <c r="C6410" s="12" t="s">
        <v>59</v>
      </c>
      <c r="D6410" s="12" t="s">
        <v>59</v>
      </c>
    </row>
    <row r="6411" spans="1:4" x14ac:dyDescent="0.2">
      <c r="A6411" s="12" t="s">
        <v>12512</v>
      </c>
      <c r="B6411" s="12" t="s">
        <v>12512</v>
      </c>
      <c r="C6411" s="12" t="s">
        <v>59</v>
      </c>
      <c r="D6411" s="12" t="s">
        <v>59</v>
      </c>
    </row>
    <row r="6412" spans="1:4" x14ac:dyDescent="0.2">
      <c r="A6412" s="12" t="s">
        <v>12513</v>
      </c>
      <c r="B6412" s="12" t="s">
        <v>12513</v>
      </c>
      <c r="C6412" s="12">
        <v>600</v>
      </c>
      <c r="D6412" s="12">
        <v>60</v>
      </c>
    </row>
    <row r="6413" spans="1:4" x14ac:dyDescent="0.2">
      <c r="A6413" s="12" t="s">
        <v>12514</v>
      </c>
      <c r="B6413" s="12" t="s">
        <v>12514</v>
      </c>
      <c r="C6413" s="12" t="s">
        <v>59</v>
      </c>
      <c r="D6413" s="12" t="s">
        <v>59</v>
      </c>
    </row>
    <row r="6414" spans="1:4" x14ac:dyDescent="0.2">
      <c r="A6414" s="12" t="s">
        <v>12515</v>
      </c>
      <c r="B6414" s="12" t="s">
        <v>12515</v>
      </c>
      <c r="C6414" s="12">
        <v>600</v>
      </c>
      <c r="D6414" s="12">
        <v>60</v>
      </c>
    </row>
    <row r="6415" spans="1:4" x14ac:dyDescent="0.2">
      <c r="A6415" s="12" t="s">
        <v>12516</v>
      </c>
      <c r="B6415" s="12" t="s">
        <v>12516</v>
      </c>
      <c r="C6415" s="12" t="s">
        <v>59</v>
      </c>
      <c r="D6415" s="12" t="s">
        <v>59</v>
      </c>
    </row>
    <row r="6416" spans="1:4" x14ac:dyDescent="0.2">
      <c r="A6416" s="12" t="s">
        <v>12517</v>
      </c>
      <c r="B6416" s="12" t="s">
        <v>12517</v>
      </c>
      <c r="C6416" s="12">
        <v>600</v>
      </c>
      <c r="D6416" s="12">
        <v>60</v>
      </c>
    </row>
    <row r="6417" spans="1:4" x14ac:dyDescent="0.2">
      <c r="A6417" s="12" t="s">
        <v>3682</v>
      </c>
      <c r="B6417" s="12" t="s">
        <v>3682</v>
      </c>
      <c r="C6417" s="12" t="s">
        <v>59</v>
      </c>
      <c r="D6417" s="12" t="s">
        <v>59</v>
      </c>
    </row>
    <row r="6418" spans="1:4" x14ac:dyDescent="0.2">
      <c r="A6418" s="12" t="s">
        <v>12518</v>
      </c>
      <c r="B6418" s="12" t="s">
        <v>12518</v>
      </c>
      <c r="C6418" s="12" t="s">
        <v>59</v>
      </c>
      <c r="D6418" s="12" t="s">
        <v>59</v>
      </c>
    </row>
    <row r="6419" spans="1:4" x14ac:dyDescent="0.2">
      <c r="A6419" s="12" t="s">
        <v>12519</v>
      </c>
      <c r="B6419" s="12" t="s">
        <v>12519</v>
      </c>
      <c r="C6419" s="12">
        <v>1000</v>
      </c>
      <c r="D6419" s="12">
        <v>100</v>
      </c>
    </row>
    <row r="6420" spans="1:4" x14ac:dyDescent="0.2">
      <c r="A6420" s="12" t="s">
        <v>3683</v>
      </c>
      <c r="B6420" s="12" t="s">
        <v>3683</v>
      </c>
      <c r="C6420" s="12">
        <v>1250</v>
      </c>
      <c r="D6420" s="12">
        <v>125</v>
      </c>
    </row>
    <row r="6421" spans="1:4" x14ac:dyDescent="0.2">
      <c r="A6421" s="12" t="s">
        <v>3684</v>
      </c>
      <c r="B6421" s="12" t="s">
        <v>3684</v>
      </c>
      <c r="C6421" s="12">
        <v>2450</v>
      </c>
      <c r="D6421" s="12">
        <v>245</v>
      </c>
    </row>
    <row r="6422" spans="1:4" x14ac:dyDescent="0.2">
      <c r="A6422" s="12" t="s">
        <v>3687</v>
      </c>
      <c r="B6422" s="12" t="s">
        <v>3687</v>
      </c>
      <c r="C6422" s="12">
        <v>180</v>
      </c>
      <c r="D6422" s="12">
        <v>18</v>
      </c>
    </row>
    <row r="6423" spans="1:4" x14ac:dyDescent="0.2">
      <c r="A6423" s="12" t="s">
        <v>3688</v>
      </c>
      <c r="B6423" s="12" t="s">
        <v>3688</v>
      </c>
      <c r="C6423" s="12">
        <v>200</v>
      </c>
      <c r="D6423" s="12">
        <v>20</v>
      </c>
    </row>
    <row r="6424" spans="1:4" x14ac:dyDescent="0.2">
      <c r="A6424" s="12" t="s">
        <v>3689</v>
      </c>
      <c r="B6424" s="12" t="s">
        <v>3689</v>
      </c>
      <c r="C6424" s="12">
        <v>600</v>
      </c>
      <c r="D6424" s="12">
        <v>60</v>
      </c>
    </row>
    <row r="6425" spans="1:4" x14ac:dyDescent="0.2">
      <c r="A6425" s="12" t="s">
        <v>3690</v>
      </c>
      <c r="B6425" s="12" t="s">
        <v>3690</v>
      </c>
      <c r="C6425" s="12" t="s">
        <v>59</v>
      </c>
      <c r="D6425" s="12" t="s">
        <v>59</v>
      </c>
    </row>
    <row r="6426" spans="1:4" x14ac:dyDescent="0.2">
      <c r="A6426" s="12" t="s">
        <v>3695</v>
      </c>
      <c r="B6426" s="12" t="s">
        <v>3695</v>
      </c>
      <c r="C6426" s="12">
        <v>2000</v>
      </c>
      <c r="D6426" s="12">
        <v>200</v>
      </c>
    </row>
    <row r="6427" spans="1:4" x14ac:dyDescent="0.2">
      <c r="A6427" s="12" t="s">
        <v>3698</v>
      </c>
      <c r="B6427" s="12" t="s">
        <v>3698</v>
      </c>
      <c r="C6427" s="12">
        <v>1250</v>
      </c>
      <c r="D6427" s="12">
        <v>125</v>
      </c>
    </row>
    <row r="6428" spans="1:4" x14ac:dyDescent="0.2">
      <c r="A6428" s="12" t="s">
        <v>3699</v>
      </c>
      <c r="B6428" s="12" t="s">
        <v>3699</v>
      </c>
      <c r="C6428" s="12">
        <v>150</v>
      </c>
      <c r="D6428" s="12">
        <v>15</v>
      </c>
    </row>
    <row r="6429" spans="1:4" x14ac:dyDescent="0.2">
      <c r="A6429" s="12" t="s">
        <v>3876</v>
      </c>
      <c r="B6429" s="12" t="s">
        <v>3876</v>
      </c>
      <c r="C6429" s="12">
        <v>50</v>
      </c>
      <c r="D6429" s="12">
        <v>5</v>
      </c>
    </row>
    <row r="6430" spans="1:4" x14ac:dyDescent="0.2">
      <c r="A6430" s="12" t="s">
        <v>3877</v>
      </c>
      <c r="B6430" s="12" t="s">
        <v>3877</v>
      </c>
      <c r="C6430" s="12">
        <v>20</v>
      </c>
      <c r="D6430" s="12">
        <v>2</v>
      </c>
    </row>
    <row r="6431" spans="1:4" x14ac:dyDescent="0.2">
      <c r="A6431" s="12" t="s">
        <v>3880</v>
      </c>
      <c r="B6431" s="12" t="s">
        <v>3880</v>
      </c>
      <c r="C6431" s="12">
        <v>100</v>
      </c>
      <c r="D6431" s="12">
        <v>10</v>
      </c>
    </row>
    <row r="6432" spans="1:4" x14ac:dyDescent="0.2">
      <c r="A6432" s="12" t="s">
        <v>3901</v>
      </c>
      <c r="B6432" s="12" t="s">
        <v>3901</v>
      </c>
      <c r="C6432" s="12" t="s">
        <v>59</v>
      </c>
      <c r="D6432" s="12" t="s">
        <v>59</v>
      </c>
    </row>
    <row r="6433" spans="1:4" x14ac:dyDescent="0.2">
      <c r="A6433" s="12" t="s">
        <v>12520</v>
      </c>
      <c r="B6433" s="12" t="s">
        <v>12520</v>
      </c>
      <c r="C6433" s="12" t="s">
        <v>59</v>
      </c>
      <c r="D6433" s="12" t="s">
        <v>59</v>
      </c>
    </row>
    <row r="6434" spans="1:4" x14ac:dyDescent="0.2">
      <c r="A6434" s="12" t="s">
        <v>12521</v>
      </c>
      <c r="B6434" s="12" t="s">
        <v>12521</v>
      </c>
      <c r="C6434" s="12">
        <v>1000</v>
      </c>
      <c r="D6434" s="12">
        <v>100</v>
      </c>
    </row>
    <row r="6435" spans="1:4" x14ac:dyDescent="0.2">
      <c r="A6435" s="12" t="s">
        <v>12522</v>
      </c>
      <c r="B6435" s="12" t="s">
        <v>12522</v>
      </c>
      <c r="C6435" s="12" t="s">
        <v>59</v>
      </c>
      <c r="D6435" s="12" t="s">
        <v>59</v>
      </c>
    </row>
    <row r="6436" spans="1:4" x14ac:dyDescent="0.2">
      <c r="A6436" s="12" t="s">
        <v>12523</v>
      </c>
      <c r="B6436" s="12" t="s">
        <v>12523</v>
      </c>
      <c r="C6436" s="12">
        <v>1000</v>
      </c>
      <c r="D6436" s="12">
        <v>100</v>
      </c>
    </row>
    <row r="6437" spans="1:4" x14ac:dyDescent="0.2">
      <c r="A6437" s="12" t="s">
        <v>3904</v>
      </c>
      <c r="B6437" s="12" t="s">
        <v>3904</v>
      </c>
      <c r="C6437" s="12" t="s">
        <v>59</v>
      </c>
      <c r="D6437" s="12" t="s">
        <v>59</v>
      </c>
    </row>
    <row r="6438" spans="1:4" x14ac:dyDescent="0.2">
      <c r="A6438" s="12" t="s">
        <v>3905</v>
      </c>
      <c r="B6438" s="12" t="s">
        <v>3905</v>
      </c>
      <c r="C6438" s="12" t="s">
        <v>59</v>
      </c>
      <c r="D6438" s="12" t="s">
        <v>59</v>
      </c>
    </row>
    <row r="6439" spans="1:4" x14ac:dyDescent="0.2">
      <c r="A6439" s="12" t="s">
        <v>12524</v>
      </c>
      <c r="B6439" s="12" t="s">
        <v>12524</v>
      </c>
      <c r="C6439" s="12" t="s">
        <v>59</v>
      </c>
      <c r="D6439" s="12" t="s">
        <v>59</v>
      </c>
    </row>
    <row r="6440" spans="1:4" x14ac:dyDescent="0.2">
      <c r="A6440" s="12" t="s">
        <v>12525</v>
      </c>
      <c r="B6440" s="12" t="s">
        <v>12525</v>
      </c>
      <c r="C6440" s="12">
        <v>1000</v>
      </c>
      <c r="D6440" s="12">
        <v>100</v>
      </c>
    </row>
    <row r="6441" spans="1:4" x14ac:dyDescent="0.2">
      <c r="A6441" s="12" t="s">
        <v>3906</v>
      </c>
      <c r="B6441" s="12" t="s">
        <v>3906</v>
      </c>
      <c r="C6441" s="12">
        <v>100</v>
      </c>
      <c r="D6441" s="12">
        <v>10</v>
      </c>
    </row>
    <row r="6442" spans="1:4" x14ac:dyDescent="0.2">
      <c r="A6442" s="12" t="s">
        <v>3907</v>
      </c>
      <c r="B6442" s="12" t="s">
        <v>3907</v>
      </c>
      <c r="C6442" s="12">
        <v>400</v>
      </c>
      <c r="D6442" s="12">
        <v>40</v>
      </c>
    </row>
    <row r="6443" spans="1:4" x14ac:dyDescent="0.2">
      <c r="A6443" s="12" t="s">
        <v>3939</v>
      </c>
      <c r="B6443" s="12" t="s">
        <v>3939</v>
      </c>
      <c r="C6443" s="12">
        <v>100</v>
      </c>
      <c r="D6443" s="12">
        <v>10</v>
      </c>
    </row>
    <row r="6444" spans="1:4" x14ac:dyDescent="0.2">
      <c r="A6444" s="12" t="s">
        <v>3940</v>
      </c>
      <c r="B6444" s="12" t="s">
        <v>3940</v>
      </c>
      <c r="C6444" s="12">
        <v>100</v>
      </c>
      <c r="D6444" s="12">
        <v>10</v>
      </c>
    </row>
    <row r="6445" spans="1:4" x14ac:dyDescent="0.2">
      <c r="A6445" s="12" t="s">
        <v>3978</v>
      </c>
      <c r="B6445" s="12" t="s">
        <v>3978</v>
      </c>
      <c r="C6445" s="12" t="s">
        <v>59</v>
      </c>
      <c r="D6445" s="12" t="s">
        <v>59</v>
      </c>
    </row>
    <row r="6446" spans="1:4" x14ac:dyDescent="0.2">
      <c r="A6446" s="12" t="s">
        <v>4090</v>
      </c>
      <c r="B6446" s="12" t="s">
        <v>4090</v>
      </c>
      <c r="C6446" s="12" t="s">
        <v>59</v>
      </c>
      <c r="D6446" s="12" t="s">
        <v>59</v>
      </c>
    </row>
    <row r="6447" spans="1:4" x14ac:dyDescent="0.2">
      <c r="A6447" s="12" t="s">
        <v>4105</v>
      </c>
      <c r="B6447" s="12" t="s">
        <v>4105</v>
      </c>
      <c r="C6447" s="12" t="s">
        <v>59</v>
      </c>
      <c r="D6447" s="12" t="s">
        <v>59</v>
      </c>
    </row>
    <row r="6448" spans="1:4" x14ac:dyDescent="0.2">
      <c r="A6448" s="12" t="s">
        <v>4108</v>
      </c>
      <c r="B6448" s="12" t="s">
        <v>4108</v>
      </c>
      <c r="C6448" s="12">
        <v>20</v>
      </c>
      <c r="D6448" s="12">
        <v>2</v>
      </c>
    </row>
    <row r="6449" spans="1:4" x14ac:dyDescent="0.2">
      <c r="A6449" s="12" t="s">
        <v>12532</v>
      </c>
      <c r="B6449" s="12" t="s">
        <v>12532</v>
      </c>
      <c r="C6449" s="12" t="s">
        <v>59</v>
      </c>
      <c r="D6449" s="12" t="s">
        <v>59</v>
      </c>
    </row>
    <row r="6450" spans="1:4" x14ac:dyDescent="0.2">
      <c r="A6450" s="12" t="s">
        <v>12533</v>
      </c>
      <c r="B6450" s="12" t="s">
        <v>12533</v>
      </c>
      <c r="C6450" s="12">
        <v>600</v>
      </c>
      <c r="D6450" s="12">
        <v>60</v>
      </c>
    </row>
    <row r="6451" spans="1:4" x14ac:dyDescent="0.2">
      <c r="A6451" s="12" t="s">
        <v>12534</v>
      </c>
      <c r="B6451" s="12" t="s">
        <v>12534</v>
      </c>
      <c r="C6451" s="12" t="s">
        <v>59</v>
      </c>
      <c r="D6451" s="12" t="s">
        <v>59</v>
      </c>
    </row>
    <row r="6452" spans="1:4" x14ac:dyDescent="0.2">
      <c r="A6452" s="12" t="s">
        <v>12535</v>
      </c>
      <c r="B6452" s="12" t="s">
        <v>12535</v>
      </c>
      <c r="C6452" s="12">
        <v>1000</v>
      </c>
      <c r="D6452" s="12">
        <v>100</v>
      </c>
    </row>
    <row r="6453" spans="1:4" x14ac:dyDescent="0.2">
      <c r="A6453" s="12" t="s">
        <v>12536</v>
      </c>
      <c r="B6453" s="12" t="s">
        <v>12536</v>
      </c>
      <c r="C6453" s="12" t="s">
        <v>59</v>
      </c>
      <c r="D6453" s="12" t="s">
        <v>59</v>
      </c>
    </row>
    <row r="6454" spans="1:4" x14ac:dyDescent="0.2">
      <c r="A6454" s="12" t="s">
        <v>12537</v>
      </c>
      <c r="B6454" s="12" t="s">
        <v>12537</v>
      </c>
      <c r="C6454" s="12">
        <v>1000</v>
      </c>
      <c r="D6454" s="12">
        <v>100</v>
      </c>
    </row>
    <row r="6455" spans="1:4" x14ac:dyDescent="0.2">
      <c r="A6455" s="12" t="s">
        <v>4132</v>
      </c>
      <c r="B6455" s="12" t="s">
        <v>4132</v>
      </c>
      <c r="C6455" s="12">
        <v>3</v>
      </c>
      <c r="D6455" s="12">
        <v>6.7000000000000004E-2</v>
      </c>
    </row>
    <row r="6456" spans="1:4" x14ac:dyDescent="0.2">
      <c r="A6456" s="12" t="s">
        <v>4133</v>
      </c>
      <c r="B6456" s="12" t="s">
        <v>4133</v>
      </c>
      <c r="C6456" s="12">
        <v>5</v>
      </c>
      <c r="D6456" s="12">
        <v>0.5</v>
      </c>
    </row>
    <row r="6457" spans="1:4" x14ac:dyDescent="0.2">
      <c r="A6457" s="12" t="s">
        <v>4136</v>
      </c>
      <c r="B6457" s="12" t="s">
        <v>4136</v>
      </c>
      <c r="C6457" s="12">
        <v>150</v>
      </c>
      <c r="D6457" s="12">
        <v>15</v>
      </c>
    </row>
    <row r="6458" spans="1:4" x14ac:dyDescent="0.2">
      <c r="A6458" s="12" t="s">
        <v>4137</v>
      </c>
      <c r="B6458" s="12" t="s">
        <v>4137</v>
      </c>
      <c r="C6458" s="12" t="s">
        <v>59</v>
      </c>
      <c r="D6458" s="12" t="s">
        <v>59</v>
      </c>
    </row>
    <row r="6459" spans="1:4" x14ac:dyDescent="0.2">
      <c r="A6459" s="12" t="s">
        <v>4149</v>
      </c>
      <c r="B6459" s="12" t="s">
        <v>4149</v>
      </c>
      <c r="C6459" s="12">
        <v>3500</v>
      </c>
      <c r="D6459" s="12">
        <v>350</v>
      </c>
    </row>
    <row r="6460" spans="1:4" x14ac:dyDescent="0.2">
      <c r="A6460" s="12" t="s">
        <v>4162</v>
      </c>
      <c r="B6460" s="12" t="s">
        <v>4162</v>
      </c>
      <c r="C6460" s="12">
        <v>0.21</v>
      </c>
      <c r="D6460" s="12">
        <v>1.6999999999999999E-3</v>
      </c>
    </row>
    <row r="6461" spans="1:4" x14ac:dyDescent="0.2">
      <c r="A6461" s="12" t="s">
        <v>4211</v>
      </c>
      <c r="B6461" s="12" t="s">
        <v>4211</v>
      </c>
      <c r="C6461" s="12">
        <v>50</v>
      </c>
      <c r="D6461" s="12">
        <v>5</v>
      </c>
    </row>
    <row r="6462" spans="1:4" x14ac:dyDescent="0.2">
      <c r="A6462" s="12" t="s">
        <v>4212</v>
      </c>
      <c r="B6462" s="12" t="s">
        <v>4212</v>
      </c>
      <c r="C6462" s="12">
        <v>5</v>
      </c>
      <c r="D6462" s="12">
        <v>0.5</v>
      </c>
    </row>
    <row r="6463" spans="1:4" x14ac:dyDescent="0.2">
      <c r="A6463" s="12" t="s">
        <v>12538</v>
      </c>
      <c r="B6463" s="12" t="s">
        <v>12538</v>
      </c>
      <c r="C6463" s="12" t="s">
        <v>59</v>
      </c>
      <c r="D6463" s="12" t="s">
        <v>59</v>
      </c>
    </row>
    <row r="6464" spans="1:4" x14ac:dyDescent="0.2">
      <c r="A6464" s="12" t="s">
        <v>12539</v>
      </c>
      <c r="B6464" s="12" t="s">
        <v>12539</v>
      </c>
      <c r="C6464" s="12">
        <v>1000</v>
      </c>
      <c r="D6464" s="12">
        <v>100</v>
      </c>
    </row>
    <row r="6465" spans="1:4" x14ac:dyDescent="0.2">
      <c r="A6465" s="12" t="s">
        <v>4504</v>
      </c>
      <c r="B6465" s="12" t="s">
        <v>4504</v>
      </c>
      <c r="C6465" s="12">
        <v>1250</v>
      </c>
      <c r="D6465" s="12">
        <v>125</v>
      </c>
    </row>
    <row r="6466" spans="1:4" x14ac:dyDescent="0.2">
      <c r="A6466" s="12" t="s">
        <v>4505</v>
      </c>
      <c r="B6466" s="12" t="s">
        <v>4505</v>
      </c>
      <c r="C6466" s="12" t="s">
        <v>59</v>
      </c>
      <c r="D6466" s="12" t="s">
        <v>59</v>
      </c>
    </row>
    <row r="6467" spans="1:4" x14ac:dyDescent="0.2">
      <c r="A6467" s="12" t="s">
        <v>4508</v>
      </c>
      <c r="B6467" s="12" t="s">
        <v>4508</v>
      </c>
      <c r="C6467" s="12">
        <v>20</v>
      </c>
      <c r="D6467" s="12">
        <v>2</v>
      </c>
    </row>
    <row r="6468" spans="1:4" x14ac:dyDescent="0.2">
      <c r="A6468" s="12" t="s">
        <v>4533</v>
      </c>
      <c r="B6468" s="12" t="s">
        <v>4533</v>
      </c>
      <c r="C6468" s="12" t="s">
        <v>59</v>
      </c>
      <c r="D6468" s="12" t="s">
        <v>59</v>
      </c>
    </row>
    <row r="6469" spans="1:4" x14ac:dyDescent="0.2">
      <c r="A6469" s="12" t="s">
        <v>4814</v>
      </c>
      <c r="B6469" s="12" t="s">
        <v>4814</v>
      </c>
      <c r="C6469" s="12" t="s">
        <v>59</v>
      </c>
      <c r="D6469" s="12" t="s">
        <v>59</v>
      </c>
    </row>
    <row r="6470" spans="1:4" x14ac:dyDescent="0.2">
      <c r="A6470" s="12" t="s">
        <v>4815</v>
      </c>
      <c r="B6470" s="12" t="s">
        <v>4815</v>
      </c>
      <c r="C6470" s="12">
        <v>1000</v>
      </c>
      <c r="D6470" s="12">
        <v>100</v>
      </c>
    </row>
    <row r="6471" spans="1:4" x14ac:dyDescent="0.2">
      <c r="A6471" s="12" t="s">
        <v>4820</v>
      </c>
      <c r="B6471" s="12" t="s">
        <v>4820</v>
      </c>
      <c r="C6471" s="12">
        <v>50</v>
      </c>
      <c r="D6471" s="12">
        <v>5</v>
      </c>
    </row>
    <row r="6472" spans="1:4" x14ac:dyDescent="0.2">
      <c r="A6472" s="12" t="s">
        <v>4891</v>
      </c>
      <c r="B6472" s="12" t="s">
        <v>4891</v>
      </c>
      <c r="C6472" s="12" t="s">
        <v>59</v>
      </c>
      <c r="D6472" s="12" t="s">
        <v>59</v>
      </c>
    </row>
    <row r="6473" spans="1:4" x14ac:dyDescent="0.2">
      <c r="A6473" s="12" t="s">
        <v>4947</v>
      </c>
      <c r="B6473" s="12" t="s">
        <v>4947</v>
      </c>
      <c r="C6473" s="12" t="s">
        <v>59</v>
      </c>
      <c r="D6473" s="12" t="s">
        <v>59</v>
      </c>
    </row>
    <row r="6474" spans="1:4" x14ac:dyDescent="0.2">
      <c r="A6474" s="12" t="s">
        <v>12544</v>
      </c>
      <c r="B6474" s="12" t="s">
        <v>12544</v>
      </c>
      <c r="C6474" s="12" t="s">
        <v>59</v>
      </c>
      <c r="D6474" s="12" t="s">
        <v>59</v>
      </c>
    </row>
    <row r="6475" spans="1:4" x14ac:dyDescent="0.2">
      <c r="A6475" s="12" t="s">
        <v>12545</v>
      </c>
      <c r="B6475" s="12" t="s">
        <v>12545</v>
      </c>
      <c r="C6475" s="12">
        <v>500</v>
      </c>
      <c r="D6475" s="12">
        <v>50</v>
      </c>
    </row>
    <row r="6476" spans="1:4" x14ac:dyDescent="0.2">
      <c r="A6476" s="12" t="s">
        <v>12548</v>
      </c>
      <c r="B6476" s="12" t="s">
        <v>12548</v>
      </c>
      <c r="C6476" s="12" t="s">
        <v>59</v>
      </c>
      <c r="D6476" s="12" t="s">
        <v>59</v>
      </c>
    </row>
    <row r="6477" spans="1:4" x14ac:dyDescent="0.2">
      <c r="A6477" s="12" t="s">
        <v>12549</v>
      </c>
      <c r="B6477" s="12" t="s">
        <v>12549</v>
      </c>
      <c r="C6477" s="12">
        <v>500</v>
      </c>
      <c r="D6477" s="12">
        <v>50</v>
      </c>
    </row>
    <row r="6478" spans="1:4" x14ac:dyDescent="0.2">
      <c r="A6478" s="12" t="s">
        <v>12550</v>
      </c>
      <c r="B6478" s="12" t="s">
        <v>12550</v>
      </c>
      <c r="C6478" s="12" t="s">
        <v>59</v>
      </c>
      <c r="D6478" s="12" t="s">
        <v>59</v>
      </c>
    </row>
    <row r="6479" spans="1:4" x14ac:dyDescent="0.2">
      <c r="A6479" s="12" t="s">
        <v>12551</v>
      </c>
      <c r="B6479" s="12" t="s">
        <v>12551</v>
      </c>
      <c r="C6479" s="12">
        <v>1000</v>
      </c>
      <c r="D6479" s="12">
        <v>100</v>
      </c>
    </row>
    <row r="6480" spans="1:4" x14ac:dyDescent="0.2">
      <c r="A6480" s="12" t="s">
        <v>4989</v>
      </c>
      <c r="B6480" s="12" t="s">
        <v>4989</v>
      </c>
      <c r="C6480" s="12" t="s">
        <v>59</v>
      </c>
      <c r="D6480" s="12" t="s">
        <v>59</v>
      </c>
    </row>
    <row r="6481" spans="1:4" x14ac:dyDescent="0.2">
      <c r="A6481" s="12" t="s">
        <v>5019</v>
      </c>
      <c r="B6481" s="12" t="s">
        <v>5019</v>
      </c>
      <c r="C6481" s="12" t="s">
        <v>59</v>
      </c>
      <c r="D6481" s="12" t="s">
        <v>59</v>
      </c>
    </row>
    <row r="6482" spans="1:4" x14ac:dyDescent="0.2">
      <c r="A6482" s="12" t="s">
        <v>5183</v>
      </c>
      <c r="B6482" s="12" t="s">
        <v>5183</v>
      </c>
      <c r="C6482" s="12">
        <v>3.6</v>
      </c>
      <c r="D6482" s="12">
        <v>4.1000000000000002E-2</v>
      </c>
    </row>
    <row r="6483" spans="1:4" x14ac:dyDescent="0.2">
      <c r="A6483" s="12" t="s">
        <v>5186</v>
      </c>
      <c r="B6483" s="12" t="s">
        <v>5186</v>
      </c>
      <c r="C6483" s="12">
        <v>0.39</v>
      </c>
      <c r="D6483" s="12">
        <v>4.3E-3</v>
      </c>
    </row>
    <row r="6484" spans="1:4" x14ac:dyDescent="0.2">
      <c r="A6484" s="12" t="s">
        <v>5320</v>
      </c>
      <c r="B6484" s="12" t="s">
        <v>5320</v>
      </c>
      <c r="C6484" s="12">
        <v>0.21</v>
      </c>
      <c r="D6484" s="12">
        <v>1.6999999999999999E-3</v>
      </c>
    </row>
    <row r="6485" spans="1:4" x14ac:dyDescent="0.2">
      <c r="A6485" s="12" t="s">
        <v>5365</v>
      </c>
      <c r="B6485" s="12" t="s">
        <v>5365</v>
      </c>
      <c r="C6485" s="12">
        <v>100</v>
      </c>
      <c r="D6485" s="12">
        <v>10</v>
      </c>
    </row>
    <row r="6486" spans="1:4" x14ac:dyDescent="0.2">
      <c r="A6486" s="12" t="s">
        <v>5366</v>
      </c>
      <c r="B6486" s="12" t="s">
        <v>5366</v>
      </c>
      <c r="C6486" s="12">
        <v>100</v>
      </c>
      <c r="D6486" s="12">
        <v>10</v>
      </c>
    </row>
    <row r="6487" spans="1:4" x14ac:dyDescent="0.2">
      <c r="A6487" s="12" t="s">
        <v>5396</v>
      </c>
      <c r="B6487" s="12" t="s">
        <v>5396</v>
      </c>
      <c r="C6487" s="12">
        <v>1.5</v>
      </c>
      <c r="D6487" s="12">
        <v>0.15</v>
      </c>
    </row>
    <row r="6488" spans="1:4" x14ac:dyDescent="0.2">
      <c r="A6488" s="12" t="s">
        <v>5405</v>
      </c>
      <c r="B6488" s="12" t="s">
        <v>5405</v>
      </c>
      <c r="C6488" s="12" t="s">
        <v>59</v>
      </c>
      <c r="D6488" s="12" t="s">
        <v>59</v>
      </c>
    </row>
    <row r="6489" spans="1:4" x14ac:dyDescent="0.2">
      <c r="A6489" s="12" t="s">
        <v>5406</v>
      </c>
      <c r="B6489" s="12" t="s">
        <v>5406</v>
      </c>
      <c r="C6489" s="12">
        <v>200</v>
      </c>
      <c r="D6489" s="12">
        <v>20</v>
      </c>
    </row>
    <row r="6490" spans="1:4" x14ac:dyDescent="0.2">
      <c r="A6490" s="12" t="s">
        <v>5434</v>
      </c>
      <c r="B6490" s="12" t="s">
        <v>5434</v>
      </c>
      <c r="C6490" s="12">
        <v>10</v>
      </c>
      <c r="D6490" s="12">
        <v>1</v>
      </c>
    </row>
    <row r="6491" spans="1:4" x14ac:dyDescent="0.2">
      <c r="A6491" s="12" t="s">
        <v>5439</v>
      </c>
      <c r="B6491" s="12" t="s">
        <v>5439</v>
      </c>
      <c r="C6491" s="12">
        <v>100</v>
      </c>
      <c r="D6491" s="12">
        <v>10</v>
      </c>
    </row>
    <row r="6492" spans="1:4" x14ac:dyDescent="0.2">
      <c r="A6492" s="12" t="s">
        <v>5466</v>
      </c>
      <c r="B6492" s="12" t="s">
        <v>5466</v>
      </c>
      <c r="C6492" s="12">
        <v>1000</v>
      </c>
      <c r="D6492" s="12">
        <v>100</v>
      </c>
    </row>
    <row r="6493" spans="1:4" x14ac:dyDescent="0.2">
      <c r="A6493" s="12" t="s">
        <v>5467</v>
      </c>
      <c r="B6493" s="12" t="s">
        <v>5467</v>
      </c>
      <c r="C6493" s="12">
        <v>3500</v>
      </c>
      <c r="D6493" s="12">
        <v>350</v>
      </c>
    </row>
    <row r="6494" spans="1:4" x14ac:dyDescent="0.2">
      <c r="A6494" s="12" t="s">
        <v>5484</v>
      </c>
      <c r="B6494" s="12" t="s">
        <v>5484</v>
      </c>
      <c r="C6494" s="12">
        <v>1000</v>
      </c>
      <c r="D6494" s="12">
        <v>100</v>
      </c>
    </row>
    <row r="6495" spans="1:4" x14ac:dyDescent="0.2">
      <c r="A6495" s="12" t="s">
        <v>5485</v>
      </c>
      <c r="B6495" s="12" t="s">
        <v>5485</v>
      </c>
      <c r="C6495" s="12">
        <v>1000</v>
      </c>
      <c r="D6495" s="12">
        <v>100</v>
      </c>
    </row>
    <row r="6496" spans="1:4" x14ac:dyDescent="0.2">
      <c r="A6496" s="12" t="s">
        <v>5500</v>
      </c>
      <c r="B6496" s="12" t="s">
        <v>5500</v>
      </c>
      <c r="C6496" s="12" t="s">
        <v>59</v>
      </c>
      <c r="D6496" s="12" t="s">
        <v>59</v>
      </c>
    </row>
    <row r="6497" spans="1:4" x14ac:dyDescent="0.2">
      <c r="A6497" s="12" t="s">
        <v>5505</v>
      </c>
      <c r="B6497" s="12" t="s">
        <v>5505</v>
      </c>
      <c r="C6497" s="12">
        <v>80</v>
      </c>
      <c r="D6497" s="12">
        <v>8</v>
      </c>
    </row>
    <row r="6498" spans="1:4" x14ac:dyDescent="0.2">
      <c r="A6498" s="12" t="s">
        <v>5528</v>
      </c>
      <c r="B6498" s="12" t="s">
        <v>5528</v>
      </c>
      <c r="C6498" s="12">
        <v>250</v>
      </c>
      <c r="D6498" s="12">
        <v>25</v>
      </c>
    </row>
    <row r="6499" spans="1:4" x14ac:dyDescent="0.2">
      <c r="A6499" s="12" t="s">
        <v>5650</v>
      </c>
      <c r="B6499" s="12" t="s">
        <v>5650</v>
      </c>
      <c r="C6499" s="12">
        <v>30</v>
      </c>
      <c r="D6499" s="12">
        <v>3</v>
      </c>
    </row>
    <row r="6500" spans="1:4" x14ac:dyDescent="0.2">
      <c r="A6500" s="12" t="s">
        <v>5696</v>
      </c>
      <c r="B6500" s="12" t="s">
        <v>5696</v>
      </c>
      <c r="C6500" s="12">
        <v>270</v>
      </c>
      <c r="D6500" s="12">
        <v>5.4</v>
      </c>
    </row>
    <row r="6501" spans="1:4" x14ac:dyDescent="0.2">
      <c r="A6501" s="12" t="s">
        <v>5705</v>
      </c>
      <c r="B6501" s="12" t="s">
        <v>5705</v>
      </c>
      <c r="C6501" s="12">
        <v>100</v>
      </c>
      <c r="D6501" s="12">
        <v>10</v>
      </c>
    </row>
    <row r="6502" spans="1:4" x14ac:dyDescent="0.2">
      <c r="A6502" s="12" t="s">
        <v>5720</v>
      </c>
      <c r="B6502" s="12" t="s">
        <v>5720</v>
      </c>
      <c r="C6502" s="12">
        <v>40</v>
      </c>
      <c r="D6502" s="12">
        <v>4</v>
      </c>
    </row>
    <row r="6503" spans="1:4" x14ac:dyDescent="0.2">
      <c r="A6503" s="12" t="s">
        <v>5735</v>
      </c>
      <c r="B6503" s="12" t="s">
        <v>5735</v>
      </c>
      <c r="C6503" s="12">
        <v>100</v>
      </c>
      <c r="D6503" s="12">
        <v>10</v>
      </c>
    </row>
    <row r="6504" spans="1:4" x14ac:dyDescent="0.2">
      <c r="A6504" s="12" t="s">
        <v>5744</v>
      </c>
      <c r="B6504" s="12" t="s">
        <v>5744</v>
      </c>
      <c r="C6504" s="12"/>
      <c r="D6504" s="12">
        <v>2.9999999999999997E-8</v>
      </c>
    </row>
    <row r="6505" spans="1:4" x14ac:dyDescent="0.2">
      <c r="A6505" s="12" t="s">
        <v>5870</v>
      </c>
      <c r="B6505" s="12" t="s">
        <v>5870</v>
      </c>
      <c r="C6505" s="12">
        <v>19</v>
      </c>
      <c r="D6505" s="12">
        <v>0.15</v>
      </c>
    </row>
    <row r="6506" spans="1:4" x14ac:dyDescent="0.2">
      <c r="A6506" s="12" t="s">
        <v>6053</v>
      </c>
      <c r="B6506" s="12" t="s">
        <v>6053</v>
      </c>
      <c r="C6506" s="12">
        <v>2450</v>
      </c>
      <c r="D6506" s="12">
        <v>245</v>
      </c>
    </row>
    <row r="6507" spans="1:4" x14ac:dyDescent="0.2">
      <c r="A6507" s="12" t="s">
        <v>6097</v>
      </c>
      <c r="B6507" s="12" t="s">
        <v>6097</v>
      </c>
      <c r="C6507" s="12">
        <v>3500</v>
      </c>
      <c r="D6507" s="12">
        <v>350</v>
      </c>
    </row>
    <row r="6508" spans="1:4" x14ac:dyDescent="0.2">
      <c r="A6508" s="12" t="s">
        <v>6116</v>
      </c>
      <c r="B6508" s="12" t="s">
        <v>6116</v>
      </c>
      <c r="C6508" s="12" t="s">
        <v>59</v>
      </c>
      <c r="D6508" s="12" t="s">
        <v>59</v>
      </c>
    </row>
    <row r="6509" spans="1:4" x14ac:dyDescent="0.2">
      <c r="A6509" s="12" t="s">
        <v>6146</v>
      </c>
      <c r="B6509" s="12" t="s">
        <v>6146</v>
      </c>
      <c r="C6509" s="12">
        <v>3500</v>
      </c>
      <c r="D6509" s="12">
        <v>350</v>
      </c>
    </row>
    <row r="6510" spans="1:4" x14ac:dyDescent="0.2">
      <c r="A6510" s="12" t="s">
        <v>6182</v>
      </c>
      <c r="B6510" s="12" t="s">
        <v>6182</v>
      </c>
      <c r="C6510" s="12">
        <v>10</v>
      </c>
      <c r="D6510" s="12">
        <v>1</v>
      </c>
    </row>
    <row r="6511" spans="1:4" x14ac:dyDescent="0.2">
      <c r="A6511" s="12" t="s">
        <v>6332</v>
      </c>
      <c r="B6511" s="12" t="s">
        <v>6332</v>
      </c>
      <c r="C6511" s="12" t="s">
        <v>59</v>
      </c>
      <c r="D6511" s="12" t="s">
        <v>59</v>
      </c>
    </row>
    <row r="6512" spans="1:4" x14ac:dyDescent="0.2">
      <c r="A6512" s="12" t="s">
        <v>6335</v>
      </c>
      <c r="B6512" s="12" t="s">
        <v>6335</v>
      </c>
      <c r="C6512" s="12">
        <v>1000</v>
      </c>
      <c r="D6512" s="12">
        <v>100</v>
      </c>
    </row>
    <row r="6513" spans="1:4" x14ac:dyDescent="0.2">
      <c r="A6513" s="12" t="s">
        <v>6374</v>
      </c>
      <c r="B6513" s="12" t="s">
        <v>6374</v>
      </c>
      <c r="C6513" s="12">
        <v>20</v>
      </c>
      <c r="D6513" s="12">
        <v>2</v>
      </c>
    </row>
    <row r="6514" spans="1:4" x14ac:dyDescent="0.2">
      <c r="A6514" s="12" t="s">
        <v>12553</v>
      </c>
      <c r="B6514" s="12" t="s">
        <v>12553</v>
      </c>
      <c r="C6514" s="12" t="s">
        <v>59</v>
      </c>
      <c r="D6514" s="12" t="s">
        <v>59</v>
      </c>
    </row>
    <row r="6515" spans="1:4" x14ac:dyDescent="0.2">
      <c r="A6515" s="12" t="s">
        <v>12554</v>
      </c>
      <c r="B6515" s="12" t="s">
        <v>12554</v>
      </c>
      <c r="C6515" s="12">
        <v>600</v>
      </c>
      <c r="D6515" s="12">
        <v>60</v>
      </c>
    </row>
    <row r="6516" spans="1:4" x14ac:dyDescent="0.2">
      <c r="A6516" s="12" t="s">
        <v>6389</v>
      </c>
      <c r="B6516" s="12" t="s">
        <v>6389</v>
      </c>
      <c r="C6516" s="12">
        <v>70</v>
      </c>
      <c r="D6516" s="12">
        <v>7</v>
      </c>
    </row>
    <row r="6517" spans="1:4" x14ac:dyDescent="0.2">
      <c r="A6517" s="12" t="s">
        <v>6488</v>
      </c>
      <c r="B6517" s="12" t="s">
        <v>6488</v>
      </c>
      <c r="C6517" s="12">
        <v>1000</v>
      </c>
      <c r="D6517" s="12">
        <v>100</v>
      </c>
    </row>
    <row r="6518" spans="1:4" x14ac:dyDescent="0.2">
      <c r="A6518" s="12" t="s">
        <v>12555</v>
      </c>
      <c r="B6518" s="12" t="s">
        <v>12555</v>
      </c>
      <c r="C6518" s="12" t="s">
        <v>59</v>
      </c>
      <c r="D6518" s="12" t="s">
        <v>59</v>
      </c>
    </row>
    <row r="6519" spans="1:4" x14ac:dyDescent="0.2">
      <c r="A6519" s="12" t="s">
        <v>12556</v>
      </c>
      <c r="B6519" s="12" t="s">
        <v>12556</v>
      </c>
      <c r="C6519" s="12">
        <v>600</v>
      </c>
      <c r="D6519" s="12">
        <v>60</v>
      </c>
    </row>
    <row r="6520" spans="1:4" x14ac:dyDescent="0.2">
      <c r="A6520" s="12" t="s">
        <v>6525</v>
      </c>
      <c r="B6520" s="12" t="s">
        <v>6525</v>
      </c>
      <c r="C6520" s="12" t="s">
        <v>59</v>
      </c>
      <c r="D6520" s="12" t="s">
        <v>59</v>
      </c>
    </row>
    <row r="6521" spans="1:4" x14ac:dyDescent="0.2">
      <c r="A6521" s="12" t="s">
        <v>6542</v>
      </c>
      <c r="B6521" s="12" t="s">
        <v>6542</v>
      </c>
      <c r="C6521" s="12">
        <v>97</v>
      </c>
      <c r="D6521" s="12">
        <v>7</v>
      </c>
    </row>
    <row r="6522" spans="1:4" x14ac:dyDescent="0.2">
      <c r="A6522" s="12" t="s">
        <v>6816</v>
      </c>
      <c r="B6522" s="12" t="s">
        <v>6816</v>
      </c>
      <c r="C6522" s="12">
        <v>1000</v>
      </c>
      <c r="D6522" s="12">
        <v>100</v>
      </c>
    </row>
    <row r="6523" spans="1:4" x14ac:dyDescent="0.2">
      <c r="A6523" s="12" t="s">
        <v>12557</v>
      </c>
      <c r="B6523" s="12" t="s">
        <v>12557</v>
      </c>
      <c r="C6523" s="12" t="s">
        <v>59</v>
      </c>
      <c r="D6523" s="12" t="s">
        <v>59</v>
      </c>
    </row>
    <row r="6524" spans="1:4" x14ac:dyDescent="0.2">
      <c r="A6524" s="12" t="s">
        <v>12558</v>
      </c>
      <c r="B6524" s="12" t="s">
        <v>12558</v>
      </c>
      <c r="C6524" s="12">
        <v>1000</v>
      </c>
      <c r="D6524" s="12">
        <v>100</v>
      </c>
    </row>
    <row r="6525" spans="1:4" x14ac:dyDescent="0.2">
      <c r="A6525" s="12" t="s">
        <v>7101</v>
      </c>
      <c r="B6525" s="12" t="s">
        <v>7101</v>
      </c>
      <c r="C6525" s="12">
        <v>600</v>
      </c>
      <c r="D6525" s="12">
        <v>60</v>
      </c>
    </row>
    <row r="6526" spans="1:4" x14ac:dyDescent="0.2">
      <c r="A6526" s="12" t="s">
        <v>12559</v>
      </c>
      <c r="B6526" s="12" t="s">
        <v>12559</v>
      </c>
      <c r="C6526" s="12" t="s">
        <v>59</v>
      </c>
      <c r="D6526" s="12" t="s">
        <v>59</v>
      </c>
    </row>
    <row r="6527" spans="1:4" x14ac:dyDescent="0.2">
      <c r="A6527" s="12" t="s">
        <v>12560</v>
      </c>
      <c r="B6527" s="12" t="s">
        <v>12560</v>
      </c>
      <c r="C6527" s="12">
        <v>1000</v>
      </c>
      <c r="D6527" s="12">
        <v>100</v>
      </c>
    </row>
    <row r="6528" spans="1:4" x14ac:dyDescent="0.2">
      <c r="A6528" s="12" t="s">
        <v>12561</v>
      </c>
      <c r="B6528" s="12" t="s">
        <v>12561</v>
      </c>
      <c r="C6528" s="12" t="s">
        <v>59</v>
      </c>
      <c r="D6528" s="12" t="s">
        <v>59</v>
      </c>
    </row>
    <row r="6529" spans="1:4" x14ac:dyDescent="0.2">
      <c r="A6529" s="12" t="s">
        <v>12562</v>
      </c>
      <c r="B6529" s="12" t="s">
        <v>12562</v>
      </c>
      <c r="C6529" s="12">
        <v>1000</v>
      </c>
      <c r="D6529" s="12">
        <v>100</v>
      </c>
    </row>
    <row r="6530" spans="1:4" x14ac:dyDescent="0.2">
      <c r="A6530" s="12" t="s">
        <v>7104</v>
      </c>
      <c r="B6530" s="12" t="s">
        <v>7104</v>
      </c>
      <c r="C6530" s="12">
        <v>100</v>
      </c>
      <c r="D6530" s="12">
        <v>10</v>
      </c>
    </row>
    <row r="6531" spans="1:4" x14ac:dyDescent="0.2">
      <c r="A6531" s="12" t="s">
        <v>12563</v>
      </c>
      <c r="B6531" s="12" t="s">
        <v>12563</v>
      </c>
      <c r="C6531" s="12" t="s">
        <v>59</v>
      </c>
      <c r="D6531" s="12" t="s">
        <v>59</v>
      </c>
    </row>
    <row r="6532" spans="1:4" x14ac:dyDescent="0.2">
      <c r="A6532" s="12" t="s">
        <v>12564</v>
      </c>
      <c r="B6532" s="12" t="s">
        <v>12564</v>
      </c>
      <c r="C6532" s="12">
        <v>1000</v>
      </c>
      <c r="D6532" s="12">
        <v>100</v>
      </c>
    </row>
    <row r="6533" spans="1:4" x14ac:dyDescent="0.2">
      <c r="A6533" s="12" t="s">
        <v>7147</v>
      </c>
      <c r="B6533" s="12" t="s">
        <v>7147</v>
      </c>
      <c r="C6533" s="12" t="s">
        <v>59</v>
      </c>
      <c r="D6533" s="12" t="s">
        <v>59</v>
      </c>
    </row>
    <row r="6534" spans="1:4" x14ac:dyDescent="0.2">
      <c r="A6534" s="12" t="s">
        <v>7150</v>
      </c>
      <c r="B6534" s="12" t="s">
        <v>7150</v>
      </c>
      <c r="C6534" s="12" t="s">
        <v>59</v>
      </c>
      <c r="D6534" s="12" t="s">
        <v>59</v>
      </c>
    </row>
    <row r="6535" spans="1:4" x14ac:dyDescent="0.2">
      <c r="A6535" s="12" t="s">
        <v>7185</v>
      </c>
      <c r="B6535" s="12" t="s">
        <v>7185</v>
      </c>
      <c r="C6535" s="12" t="s">
        <v>59</v>
      </c>
      <c r="D6535" s="12" t="s">
        <v>59</v>
      </c>
    </row>
    <row r="6536" spans="1:4" x14ac:dyDescent="0.2">
      <c r="A6536" s="12" t="s">
        <v>7211</v>
      </c>
      <c r="B6536" s="12" t="s">
        <v>7211</v>
      </c>
      <c r="C6536" s="12">
        <v>30</v>
      </c>
      <c r="D6536" s="12">
        <v>6.6</v>
      </c>
    </row>
    <row r="6537" spans="1:4" x14ac:dyDescent="0.2">
      <c r="A6537" s="12" t="s">
        <v>7220</v>
      </c>
      <c r="B6537" s="12" t="s">
        <v>7220</v>
      </c>
      <c r="C6537" s="12">
        <v>1000</v>
      </c>
      <c r="D6537" s="12">
        <v>100</v>
      </c>
    </row>
    <row r="6538" spans="1:4" x14ac:dyDescent="0.2">
      <c r="A6538" s="12" t="s">
        <v>7221</v>
      </c>
      <c r="B6538" s="12" t="s">
        <v>7221</v>
      </c>
      <c r="C6538" s="12">
        <v>38000</v>
      </c>
      <c r="D6538" s="12">
        <v>3800</v>
      </c>
    </row>
    <row r="6539" spans="1:4" x14ac:dyDescent="0.2">
      <c r="A6539" s="12" t="s">
        <v>7222</v>
      </c>
      <c r="B6539" s="12" t="s">
        <v>7222</v>
      </c>
      <c r="C6539" s="12">
        <v>10000</v>
      </c>
      <c r="D6539" s="12">
        <v>1000</v>
      </c>
    </row>
    <row r="6540" spans="1:4" x14ac:dyDescent="0.2">
      <c r="A6540" s="12" t="s">
        <v>7223</v>
      </c>
      <c r="B6540" s="12" t="s">
        <v>7223</v>
      </c>
      <c r="C6540" s="12">
        <v>1000</v>
      </c>
      <c r="D6540" s="12">
        <v>100</v>
      </c>
    </row>
    <row r="6541" spans="1:4" x14ac:dyDescent="0.2">
      <c r="A6541" s="12" t="s">
        <v>7230</v>
      </c>
      <c r="B6541" s="12" t="s">
        <v>7230</v>
      </c>
      <c r="C6541" s="12">
        <v>1000</v>
      </c>
      <c r="D6541" s="12">
        <v>100</v>
      </c>
    </row>
    <row r="6542" spans="1:4" x14ac:dyDescent="0.2">
      <c r="A6542" s="12" t="s">
        <v>7231</v>
      </c>
      <c r="B6542" s="12" t="s">
        <v>7231</v>
      </c>
      <c r="C6542" s="12">
        <v>2100</v>
      </c>
      <c r="D6542" s="12">
        <v>56</v>
      </c>
    </row>
    <row r="6543" spans="1:4" x14ac:dyDescent="0.2">
      <c r="A6543" s="12" t="s">
        <v>7258</v>
      </c>
      <c r="B6543" s="12" t="s">
        <v>7258</v>
      </c>
      <c r="C6543" s="12">
        <v>20</v>
      </c>
      <c r="D6543" s="12">
        <v>2</v>
      </c>
    </row>
    <row r="6544" spans="1:4" x14ac:dyDescent="0.2">
      <c r="A6544" s="12" t="s">
        <v>12575</v>
      </c>
      <c r="B6544" s="12" t="s">
        <v>12575</v>
      </c>
      <c r="C6544" s="12" t="s">
        <v>59</v>
      </c>
      <c r="D6544" s="12" t="s">
        <v>59</v>
      </c>
    </row>
    <row r="6545" spans="1:4" x14ac:dyDescent="0.2">
      <c r="A6545" s="12" t="s">
        <v>12576</v>
      </c>
      <c r="B6545" s="12" t="s">
        <v>12576</v>
      </c>
      <c r="C6545" s="12">
        <v>1000</v>
      </c>
      <c r="D6545" s="12">
        <v>100</v>
      </c>
    </row>
    <row r="6546" spans="1:4" x14ac:dyDescent="0.2">
      <c r="A6546" s="12" t="s">
        <v>7335</v>
      </c>
      <c r="B6546" s="12" t="s">
        <v>7335</v>
      </c>
      <c r="C6546" s="12">
        <v>1000</v>
      </c>
      <c r="D6546" s="12">
        <v>100</v>
      </c>
    </row>
    <row r="6547" spans="1:4" x14ac:dyDescent="0.2">
      <c r="A6547" s="12" t="s">
        <v>7355</v>
      </c>
      <c r="B6547" s="12" t="s">
        <v>7355</v>
      </c>
      <c r="C6547" s="12">
        <v>40</v>
      </c>
      <c r="D6547" s="12">
        <v>4</v>
      </c>
    </row>
    <row r="6548" spans="1:4" x14ac:dyDescent="0.2">
      <c r="A6548" s="12" t="s">
        <v>7390</v>
      </c>
      <c r="B6548" s="12" t="s">
        <v>7390</v>
      </c>
      <c r="C6548" s="12">
        <v>1250</v>
      </c>
      <c r="D6548" s="12">
        <v>125</v>
      </c>
    </row>
    <row r="6549" spans="1:4" x14ac:dyDescent="0.2">
      <c r="A6549" s="12" t="s">
        <v>7547</v>
      </c>
      <c r="B6549" s="12" t="s">
        <v>7547</v>
      </c>
      <c r="C6549" s="12">
        <v>1250</v>
      </c>
      <c r="D6549" s="12">
        <v>125</v>
      </c>
    </row>
    <row r="6550" spans="1:4" x14ac:dyDescent="0.2">
      <c r="A6550" s="12" t="s">
        <v>7554</v>
      </c>
      <c r="B6550" s="12" t="s">
        <v>7554</v>
      </c>
      <c r="C6550" s="12">
        <v>1000</v>
      </c>
      <c r="D6550" s="12">
        <v>100</v>
      </c>
    </row>
    <row r="6551" spans="1:4" x14ac:dyDescent="0.2">
      <c r="A6551" s="12" t="s">
        <v>7567</v>
      </c>
      <c r="B6551" s="12" t="s">
        <v>7567</v>
      </c>
      <c r="C6551" s="12" t="s">
        <v>59</v>
      </c>
      <c r="D6551" s="12" t="s">
        <v>59</v>
      </c>
    </row>
    <row r="6552" spans="1:4" x14ac:dyDescent="0.2">
      <c r="A6552" s="12" t="s">
        <v>7668</v>
      </c>
      <c r="B6552" s="12" t="s">
        <v>7668</v>
      </c>
      <c r="C6552" s="12">
        <v>90</v>
      </c>
      <c r="D6552" s="12">
        <v>9</v>
      </c>
    </row>
    <row r="6553" spans="1:4" x14ac:dyDescent="0.2">
      <c r="A6553" s="12" t="s">
        <v>12581</v>
      </c>
      <c r="B6553" s="12" t="s">
        <v>12581</v>
      </c>
      <c r="C6553" s="12" t="s">
        <v>59</v>
      </c>
      <c r="D6553" s="12" t="s">
        <v>59</v>
      </c>
    </row>
    <row r="6554" spans="1:4" x14ac:dyDescent="0.2">
      <c r="A6554" s="12" t="s">
        <v>12582</v>
      </c>
      <c r="B6554" s="12" t="s">
        <v>12582</v>
      </c>
      <c r="C6554" s="12">
        <v>600</v>
      </c>
      <c r="D6554" s="12">
        <v>60</v>
      </c>
    </row>
    <row r="6555" spans="1:4" x14ac:dyDescent="0.2">
      <c r="A6555" s="12" t="s">
        <v>7735</v>
      </c>
      <c r="B6555" s="12" t="s">
        <v>7735</v>
      </c>
      <c r="C6555" s="12">
        <v>10</v>
      </c>
      <c r="D6555" s="12">
        <v>1</v>
      </c>
    </row>
    <row r="6556" spans="1:4" x14ac:dyDescent="0.2">
      <c r="A6556" s="12" t="s">
        <v>7975</v>
      </c>
      <c r="B6556" s="12" t="s">
        <v>7975</v>
      </c>
      <c r="C6556" s="12">
        <v>0.7</v>
      </c>
      <c r="D6556" s="12">
        <v>0.1</v>
      </c>
    </row>
    <row r="6557" spans="1:4" x14ac:dyDescent="0.2">
      <c r="A6557" s="12" t="s">
        <v>7984</v>
      </c>
      <c r="B6557" s="12" t="s">
        <v>7984</v>
      </c>
      <c r="C6557" s="12">
        <v>1000</v>
      </c>
      <c r="D6557" s="12">
        <v>100</v>
      </c>
    </row>
    <row r="6558" spans="1:4" x14ac:dyDescent="0.2">
      <c r="A6558" s="12" t="s">
        <v>7995</v>
      </c>
      <c r="B6558" s="12" t="s">
        <v>7995</v>
      </c>
      <c r="C6558" s="12">
        <v>500</v>
      </c>
      <c r="D6558" s="12">
        <v>50</v>
      </c>
    </row>
    <row r="6559" spans="1:4" x14ac:dyDescent="0.2">
      <c r="A6559" s="12" t="s">
        <v>8098</v>
      </c>
      <c r="B6559" s="12" t="s">
        <v>8098</v>
      </c>
      <c r="C6559" s="12">
        <v>1250</v>
      </c>
      <c r="D6559" s="12">
        <v>125</v>
      </c>
    </row>
    <row r="6560" spans="1:4" x14ac:dyDescent="0.2">
      <c r="A6560" s="12" t="s">
        <v>8116</v>
      </c>
      <c r="B6560" s="12" t="s">
        <v>8116</v>
      </c>
      <c r="C6560" s="12">
        <v>600</v>
      </c>
      <c r="D6560" s="12">
        <v>60</v>
      </c>
    </row>
    <row r="6561" spans="1:4" x14ac:dyDescent="0.2">
      <c r="A6561" s="12" t="s">
        <v>8117</v>
      </c>
      <c r="B6561" s="12" t="s">
        <v>8117</v>
      </c>
      <c r="C6561" s="12" t="s">
        <v>59</v>
      </c>
      <c r="D6561" s="12" t="s">
        <v>59</v>
      </c>
    </row>
    <row r="6562" spans="1:4" x14ac:dyDescent="0.2">
      <c r="A6562" s="12" t="s">
        <v>8118</v>
      </c>
      <c r="B6562" s="12" t="s">
        <v>8118</v>
      </c>
      <c r="C6562" s="12">
        <v>600</v>
      </c>
      <c r="D6562" s="12">
        <v>60</v>
      </c>
    </row>
    <row r="6563" spans="1:4" x14ac:dyDescent="0.2">
      <c r="A6563" s="12" t="s">
        <v>8122</v>
      </c>
      <c r="B6563" s="12" t="s">
        <v>8122</v>
      </c>
      <c r="C6563" s="12" t="s">
        <v>59</v>
      </c>
      <c r="D6563" s="12" t="s">
        <v>59</v>
      </c>
    </row>
    <row r="6564" spans="1:4" x14ac:dyDescent="0.2">
      <c r="A6564" s="12" t="s">
        <v>8152</v>
      </c>
      <c r="B6564" s="12" t="s">
        <v>8152</v>
      </c>
      <c r="C6564" s="12">
        <v>2</v>
      </c>
      <c r="D6564" s="12">
        <v>0.2</v>
      </c>
    </row>
    <row r="6565" spans="1:4" x14ac:dyDescent="0.2">
      <c r="A6565" s="12" t="s">
        <v>8159</v>
      </c>
      <c r="B6565" s="12" t="s">
        <v>8159</v>
      </c>
      <c r="C6565" s="12" t="s">
        <v>59</v>
      </c>
      <c r="D6565" s="12" t="s">
        <v>59</v>
      </c>
    </row>
    <row r="6566" spans="1:4" x14ac:dyDescent="0.2">
      <c r="A6566" s="12" t="s">
        <v>8166</v>
      </c>
      <c r="B6566" s="12" t="s">
        <v>8166</v>
      </c>
      <c r="C6566" s="12">
        <v>90</v>
      </c>
      <c r="D6566" s="12">
        <v>9</v>
      </c>
    </row>
    <row r="6567" spans="1:4" x14ac:dyDescent="0.2">
      <c r="A6567" s="12" t="s">
        <v>8271</v>
      </c>
      <c r="B6567" s="12" t="s">
        <v>8271</v>
      </c>
      <c r="C6567" s="12">
        <v>2.7</v>
      </c>
      <c r="D6567" s="12">
        <v>0.25</v>
      </c>
    </row>
    <row r="6568" spans="1:4" x14ac:dyDescent="0.2">
      <c r="A6568" s="12" t="s">
        <v>8289</v>
      </c>
      <c r="B6568" s="12" t="s">
        <v>8289</v>
      </c>
      <c r="C6568" s="12">
        <v>1250</v>
      </c>
      <c r="D6568" s="12">
        <v>125</v>
      </c>
    </row>
    <row r="6569" spans="1:4" x14ac:dyDescent="0.2">
      <c r="A6569" s="12" t="s">
        <v>12587</v>
      </c>
      <c r="B6569" s="12" t="s">
        <v>12587</v>
      </c>
      <c r="C6569" s="12">
        <v>18</v>
      </c>
      <c r="D6569" s="12">
        <v>1.8</v>
      </c>
    </row>
    <row r="6570" spans="1:4" x14ac:dyDescent="0.2">
      <c r="A6570" s="12" t="s">
        <v>8300</v>
      </c>
      <c r="B6570" s="12" t="s">
        <v>8300</v>
      </c>
      <c r="C6570" s="12">
        <v>430</v>
      </c>
      <c r="D6570" s="12">
        <v>43</v>
      </c>
    </row>
    <row r="6571" spans="1:4" x14ac:dyDescent="0.2">
      <c r="A6571" s="12" t="s">
        <v>8307</v>
      </c>
      <c r="B6571" s="12" t="s">
        <v>8307</v>
      </c>
      <c r="C6571" s="12">
        <v>0.1</v>
      </c>
      <c r="D6571" s="12">
        <v>0.01</v>
      </c>
    </row>
    <row r="6572" spans="1:4" x14ac:dyDescent="0.2">
      <c r="A6572" s="12" t="s">
        <v>8308</v>
      </c>
      <c r="B6572" s="12" t="s">
        <v>8308</v>
      </c>
      <c r="C6572" s="12">
        <v>1</v>
      </c>
      <c r="D6572" s="12">
        <v>0.1</v>
      </c>
    </row>
    <row r="6573" spans="1:4" x14ac:dyDescent="0.2">
      <c r="A6573" s="12" t="s">
        <v>8309</v>
      </c>
      <c r="B6573" s="12" t="s">
        <v>8309</v>
      </c>
      <c r="C6573" s="12">
        <v>0.25</v>
      </c>
      <c r="D6573" s="12">
        <v>2.5000000000000001E-2</v>
      </c>
    </row>
    <row r="6574" spans="1:4" x14ac:dyDescent="0.2">
      <c r="A6574" s="12" t="s">
        <v>8318</v>
      </c>
      <c r="B6574" s="12" t="s">
        <v>8318</v>
      </c>
      <c r="C6574" s="12">
        <v>35</v>
      </c>
      <c r="D6574" s="12">
        <v>3.5</v>
      </c>
    </row>
    <row r="6575" spans="1:4" x14ac:dyDescent="0.2">
      <c r="A6575" s="12" t="s">
        <v>8426</v>
      </c>
      <c r="B6575" s="12" t="s">
        <v>8426</v>
      </c>
      <c r="C6575" s="12">
        <v>1250</v>
      </c>
      <c r="D6575" s="12">
        <v>125</v>
      </c>
    </row>
    <row r="6576" spans="1:4" x14ac:dyDescent="0.2">
      <c r="A6576" s="12" t="s">
        <v>8657</v>
      </c>
      <c r="B6576" s="12" t="s">
        <v>8657</v>
      </c>
      <c r="C6576" s="12" t="s">
        <v>59</v>
      </c>
      <c r="D6576" s="12" t="s">
        <v>59</v>
      </c>
    </row>
    <row r="6577" spans="1:4" x14ac:dyDescent="0.2">
      <c r="A6577" s="12" t="s">
        <v>8662</v>
      </c>
      <c r="B6577" s="12" t="s">
        <v>8662</v>
      </c>
      <c r="C6577" s="12" t="s">
        <v>59</v>
      </c>
      <c r="D6577" s="12" t="s">
        <v>59</v>
      </c>
    </row>
    <row r="6578" spans="1:4" x14ac:dyDescent="0.2">
      <c r="A6578" s="12" t="s">
        <v>8677</v>
      </c>
      <c r="B6578" s="12" t="s">
        <v>8677</v>
      </c>
      <c r="C6578" s="12">
        <v>100</v>
      </c>
      <c r="D6578" s="12">
        <v>10</v>
      </c>
    </row>
    <row r="6579" spans="1:4" x14ac:dyDescent="0.2">
      <c r="A6579" s="12" t="s">
        <v>8683</v>
      </c>
      <c r="B6579" s="12" t="s">
        <v>8683</v>
      </c>
      <c r="C6579" s="12">
        <v>100</v>
      </c>
      <c r="D6579" s="12">
        <v>10</v>
      </c>
    </row>
    <row r="6580" spans="1:4" x14ac:dyDescent="0.2">
      <c r="A6580" s="12" t="s">
        <v>8686</v>
      </c>
      <c r="B6580" s="12" t="s">
        <v>8686</v>
      </c>
      <c r="C6580" s="12" t="s">
        <v>59</v>
      </c>
      <c r="D6580" s="12" t="s">
        <v>59</v>
      </c>
    </row>
    <row r="6581" spans="1:4" x14ac:dyDescent="0.2">
      <c r="A6581" s="12" t="s">
        <v>8699</v>
      </c>
      <c r="B6581" s="12" t="s">
        <v>8699</v>
      </c>
      <c r="C6581" s="12">
        <v>30</v>
      </c>
      <c r="D6581" s="12">
        <v>3</v>
      </c>
    </row>
    <row r="6582" spans="1:4" x14ac:dyDescent="0.2">
      <c r="A6582" s="12" t="s">
        <v>8700</v>
      </c>
      <c r="B6582" s="12" t="s">
        <v>8700</v>
      </c>
      <c r="C6582" s="12">
        <v>5</v>
      </c>
      <c r="D6582" s="12">
        <v>0.5</v>
      </c>
    </row>
    <row r="6583" spans="1:4" x14ac:dyDescent="0.2">
      <c r="A6583" s="12" t="s">
        <v>8738</v>
      </c>
      <c r="B6583" s="12" t="s">
        <v>8738</v>
      </c>
      <c r="C6583" s="12">
        <v>1000</v>
      </c>
      <c r="D6583" s="12">
        <v>100</v>
      </c>
    </row>
    <row r="6584" spans="1:4" x14ac:dyDescent="0.2">
      <c r="A6584" s="12" t="s">
        <v>8739</v>
      </c>
      <c r="B6584" s="12" t="s">
        <v>8739</v>
      </c>
      <c r="C6584" s="12">
        <v>1000</v>
      </c>
      <c r="D6584" s="12">
        <v>100</v>
      </c>
    </row>
    <row r="6585" spans="1:4" x14ac:dyDescent="0.2">
      <c r="A6585" s="12" t="s">
        <v>9133</v>
      </c>
      <c r="B6585" s="12" t="s">
        <v>9133</v>
      </c>
      <c r="C6585" s="12">
        <v>27</v>
      </c>
      <c r="D6585" s="12">
        <v>2</v>
      </c>
    </row>
    <row r="6586" spans="1:4" x14ac:dyDescent="0.2">
      <c r="A6586" s="12" t="s">
        <v>9176</v>
      </c>
      <c r="B6586" s="12" t="s">
        <v>9176</v>
      </c>
      <c r="C6586" s="12" t="s">
        <v>59</v>
      </c>
      <c r="D6586" s="12" t="s">
        <v>59</v>
      </c>
    </row>
    <row r="6587" spans="1:4" x14ac:dyDescent="0.2">
      <c r="A6587" s="12" t="s">
        <v>9187</v>
      </c>
      <c r="B6587" s="12" t="s">
        <v>9187</v>
      </c>
      <c r="C6587" s="12">
        <v>0.33</v>
      </c>
      <c r="D6587" s="12">
        <v>5.8999999999999997E-2</v>
      </c>
    </row>
    <row r="6588" spans="1:4" x14ac:dyDescent="0.2">
      <c r="A6588" s="12" t="s">
        <v>9295</v>
      </c>
      <c r="B6588" s="12" t="s">
        <v>9295</v>
      </c>
      <c r="C6588" s="12" t="s">
        <v>59</v>
      </c>
      <c r="D6588" s="12" t="s">
        <v>59</v>
      </c>
    </row>
    <row r="6589" spans="1:4" x14ac:dyDescent="0.2">
      <c r="A6589" s="12" t="s">
        <v>9364</v>
      </c>
      <c r="B6589" s="12" t="s">
        <v>9364</v>
      </c>
      <c r="C6589" s="12" t="s">
        <v>59</v>
      </c>
      <c r="D6589" s="12" t="s">
        <v>59</v>
      </c>
    </row>
    <row r="6590" spans="1:4" x14ac:dyDescent="0.2">
      <c r="A6590" s="12" t="s">
        <v>9438</v>
      </c>
      <c r="B6590" s="12" t="s">
        <v>9438</v>
      </c>
      <c r="C6590" s="12">
        <v>340</v>
      </c>
      <c r="D6590" s="12">
        <v>34</v>
      </c>
    </row>
    <row r="6591" spans="1:4" x14ac:dyDescent="0.2">
      <c r="A6591" s="12" t="s">
        <v>9470</v>
      </c>
      <c r="B6591" s="12" t="s">
        <v>9470</v>
      </c>
      <c r="C6591" s="12">
        <v>30</v>
      </c>
      <c r="D6591" s="12">
        <v>3</v>
      </c>
    </row>
    <row r="6592" spans="1:4" x14ac:dyDescent="0.2">
      <c r="A6592" s="12" t="s">
        <v>9489</v>
      </c>
      <c r="B6592" s="12" t="s">
        <v>9489</v>
      </c>
      <c r="C6592" s="12">
        <v>50</v>
      </c>
      <c r="D6592" s="12">
        <v>5</v>
      </c>
    </row>
    <row r="6593" spans="1:4" x14ac:dyDescent="0.2">
      <c r="A6593" s="12" t="s">
        <v>9513</v>
      </c>
      <c r="B6593" s="12" t="s">
        <v>9513</v>
      </c>
      <c r="C6593" s="12">
        <v>100</v>
      </c>
      <c r="D6593" s="12">
        <v>10</v>
      </c>
    </row>
    <row r="6594" spans="1:4" x14ac:dyDescent="0.2">
      <c r="A6594" s="12" t="s">
        <v>9518</v>
      </c>
      <c r="B6594" s="12" t="s">
        <v>9518</v>
      </c>
      <c r="C6594" s="12">
        <v>1000</v>
      </c>
      <c r="D6594" s="12">
        <v>100</v>
      </c>
    </row>
    <row r="6595" spans="1:4" x14ac:dyDescent="0.2">
      <c r="A6595" s="12" t="s">
        <v>9519</v>
      </c>
      <c r="B6595" s="12" t="s">
        <v>9519</v>
      </c>
      <c r="C6595" s="12">
        <v>1000</v>
      </c>
      <c r="D6595" s="12">
        <v>100</v>
      </c>
    </row>
    <row r="6596" spans="1:4" x14ac:dyDescent="0.2">
      <c r="A6596" s="12" t="s">
        <v>12594</v>
      </c>
      <c r="B6596" s="12" t="s">
        <v>12594</v>
      </c>
      <c r="C6596" s="12" t="s">
        <v>59</v>
      </c>
      <c r="D6596" s="12" t="s">
        <v>59</v>
      </c>
    </row>
    <row r="6597" spans="1:4" x14ac:dyDescent="0.2">
      <c r="A6597" s="12" t="s">
        <v>12595</v>
      </c>
      <c r="B6597" s="12" t="s">
        <v>12595</v>
      </c>
      <c r="C6597" s="12">
        <v>1000</v>
      </c>
      <c r="D6597" s="12">
        <v>100</v>
      </c>
    </row>
    <row r="6598" spans="1:4" x14ac:dyDescent="0.2">
      <c r="A6598" s="12" t="s">
        <v>9520</v>
      </c>
      <c r="B6598" s="12" t="s">
        <v>9520</v>
      </c>
      <c r="C6598" s="12">
        <v>50</v>
      </c>
      <c r="D6598" s="12">
        <v>5</v>
      </c>
    </row>
    <row r="6599" spans="1:4" x14ac:dyDescent="0.2">
      <c r="A6599" s="12" t="s">
        <v>9543</v>
      </c>
      <c r="B6599" s="12" t="s">
        <v>9543</v>
      </c>
      <c r="C6599" s="12">
        <v>90</v>
      </c>
      <c r="D6599" s="12">
        <v>9</v>
      </c>
    </row>
    <row r="6600" spans="1:4" x14ac:dyDescent="0.2">
      <c r="A6600" s="12" t="s">
        <v>9548</v>
      </c>
      <c r="B6600" s="12" t="s">
        <v>9548</v>
      </c>
      <c r="C6600" s="12" t="s">
        <v>59</v>
      </c>
      <c r="D6600" s="12" t="s">
        <v>59</v>
      </c>
    </row>
    <row r="6601" spans="1:4" x14ac:dyDescent="0.2">
      <c r="A6601" s="12" t="s">
        <v>12596</v>
      </c>
      <c r="B6601" s="12" t="s">
        <v>12596</v>
      </c>
      <c r="C6601" s="12" t="s">
        <v>59</v>
      </c>
      <c r="D6601" s="12" t="s">
        <v>59</v>
      </c>
    </row>
    <row r="6602" spans="1:4" x14ac:dyDescent="0.2">
      <c r="A6602" s="12" t="s">
        <v>12597</v>
      </c>
      <c r="B6602" s="12" t="s">
        <v>12597</v>
      </c>
      <c r="C6602" s="12">
        <v>1000</v>
      </c>
      <c r="D6602" s="12">
        <v>100</v>
      </c>
    </row>
    <row r="6603" spans="1:4" x14ac:dyDescent="0.2">
      <c r="A6603" s="12" t="s">
        <v>9570</v>
      </c>
      <c r="B6603" s="12" t="s">
        <v>9570</v>
      </c>
      <c r="C6603" s="12">
        <v>2750</v>
      </c>
      <c r="D6603" s="12">
        <v>275</v>
      </c>
    </row>
    <row r="6604" spans="1:4" x14ac:dyDescent="0.2">
      <c r="A6604" s="12" t="s">
        <v>12598</v>
      </c>
      <c r="B6604" s="12" t="s">
        <v>12598</v>
      </c>
      <c r="C6604" s="12" t="s">
        <v>59</v>
      </c>
      <c r="D6604" s="12" t="s">
        <v>59</v>
      </c>
    </row>
    <row r="6605" spans="1:4" x14ac:dyDescent="0.2">
      <c r="A6605" s="12" t="s">
        <v>12599</v>
      </c>
      <c r="B6605" s="12" t="s">
        <v>12599</v>
      </c>
      <c r="C6605" s="12">
        <v>600</v>
      </c>
      <c r="D6605" s="12">
        <v>60</v>
      </c>
    </row>
    <row r="6606" spans="1:4" x14ac:dyDescent="0.2">
      <c r="A6606" s="12" t="s">
        <v>9616</v>
      </c>
      <c r="B6606" s="12" t="s">
        <v>9616</v>
      </c>
      <c r="C6606" s="12">
        <v>3500</v>
      </c>
      <c r="D6606" s="12">
        <v>350</v>
      </c>
    </row>
    <row r="6607" spans="1:4" x14ac:dyDescent="0.2">
      <c r="A6607" s="12" t="s">
        <v>9647</v>
      </c>
      <c r="B6607" s="12" t="s">
        <v>9647</v>
      </c>
      <c r="C6607" s="12" t="s">
        <v>59</v>
      </c>
      <c r="D6607" s="12" t="s">
        <v>59</v>
      </c>
    </row>
    <row r="6608" spans="1:4" x14ac:dyDescent="0.2">
      <c r="A6608" s="12" t="s">
        <v>9686</v>
      </c>
      <c r="B6608" s="12" t="s">
        <v>9686</v>
      </c>
      <c r="C6608" s="12">
        <v>1800</v>
      </c>
      <c r="D6608" s="12">
        <v>180</v>
      </c>
    </row>
    <row r="6609" spans="1:4" x14ac:dyDescent="0.2">
      <c r="A6609" s="12" t="s">
        <v>9753</v>
      </c>
      <c r="B6609" s="12" t="s">
        <v>9753</v>
      </c>
      <c r="C6609" s="12">
        <v>200</v>
      </c>
      <c r="D6609" s="12">
        <v>20</v>
      </c>
    </row>
    <row r="6610" spans="1:4" x14ac:dyDescent="0.2">
      <c r="A6610" s="12" t="s">
        <v>9781</v>
      </c>
      <c r="B6610" s="12" t="s">
        <v>9781</v>
      </c>
      <c r="C6610" s="12">
        <v>10</v>
      </c>
      <c r="D6610" s="12">
        <v>1</v>
      </c>
    </row>
    <row r="6611" spans="1:4" x14ac:dyDescent="0.2">
      <c r="A6611" s="12" t="s">
        <v>9786</v>
      </c>
      <c r="B6611" s="12" t="s">
        <v>9786</v>
      </c>
      <c r="C6611" s="12">
        <v>50</v>
      </c>
      <c r="D6611" s="12">
        <v>5</v>
      </c>
    </row>
    <row r="6612" spans="1:4" x14ac:dyDescent="0.2">
      <c r="A6612" s="12" t="s">
        <v>9846</v>
      </c>
      <c r="B6612" s="12" t="s">
        <v>9846</v>
      </c>
      <c r="C6612" s="12">
        <v>200</v>
      </c>
      <c r="D6612" s="12">
        <v>20</v>
      </c>
    </row>
    <row r="6613" spans="1:4" x14ac:dyDescent="0.2">
      <c r="A6613" s="12" t="s">
        <v>9903</v>
      </c>
      <c r="B6613" s="12" t="s">
        <v>9903</v>
      </c>
      <c r="C6613" s="12">
        <v>100</v>
      </c>
      <c r="D6613" s="12">
        <v>10</v>
      </c>
    </row>
    <row r="6614" spans="1:4" x14ac:dyDescent="0.2">
      <c r="A6614" s="12" t="s">
        <v>9908</v>
      </c>
      <c r="B6614" s="12" t="s">
        <v>9908</v>
      </c>
      <c r="C6614" s="12" t="s">
        <v>59</v>
      </c>
      <c r="D6614" s="12" t="s">
        <v>59</v>
      </c>
    </row>
    <row r="6615" spans="1:4" x14ac:dyDescent="0.2">
      <c r="A6615" s="12" t="s">
        <v>9950</v>
      </c>
      <c r="B6615" s="12" t="s">
        <v>9950</v>
      </c>
      <c r="C6615" s="12">
        <v>50</v>
      </c>
      <c r="D6615" s="12">
        <v>5</v>
      </c>
    </row>
    <row r="6616" spans="1:4" x14ac:dyDescent="0.2">
      <c r="A6616" s="12" t="s">
        <v>9963</v>
      </c>
      <c r="B6616" s="12" t="s">
        <v>9963</v>
      </c>
      <c r="C6616" s="12">
        <v>50</v>
      </c>
      <c r="D6616" s="12">
        <v>5</v>
      </c>
    </row>
    <row r="6617" spans="1:4" x14ac:dyDescent="0.2">
      <c r="A6617" s="12" t="s">
        <v>10078</v>
      </c>
      <c r="B6617" s="12" t="s">
        <v>10078</v>
      </c>
      <c r="C6617" s="12" t="s">
        <v>59</v>
      </c>
      <c r="D6617" s="12" t="s">
        <v>59</v>
      </c>
    </row>
    <row r="6618" spans="1:4" x14ac:dyDescent="0.2">
      <c r="A6618" s="12" t="s">
        <v>10087</v>
      </c>
      <c r="B6618" s="12" t="s">
        <v>10087</v>
      </c>
      <c r="C6618" s="12">
        <v>10</v>
      </c>
      <c r="D6618" s="12">
        <v>1</v>
      </c>
    </row>
    <row r="6619" spans="1:4" x14ac:dyDescent="0.2">
      <c r="A6619" s="12" t="s">
        <v>10088</v>
      </c>
      <c r="B6619" s="12" t="s">
        <v>10088</v>
      </c>
      <c r="C6619" s="12">
        <v>0.02</v>
      </c>
      <c r="D6619" s="12">
        <v>2E-3</v>
      </c>
    </row>
    <row r="6620" spans="1:4" x14ac:dyDescent="0.2">
      <c r="A6620" s="12" t="s">
        <v>12604</v>
      </c>
      <c r="B6620" s="12" t="s">
        <v>12604</v>
      </c>
      <c r="C6620" s="12" t="s">
        <v>59</v>
      </c>
      <c r="D6620" s="12" t="s">
        <v>59</v>
      </c>
    </row>
    <row r="6621" spans="1:4" x14ac:dyDescent="0.2">
      <c r="A6621" s="12" t="s">
        <v>12605</v>
      </c>
      <c r="B6621" s="12" t="s">
        <v>12605</v>
      </c>
      <c r="C6621" s="12">
        <v>1000</v>
      </c>
      <c r="D6621" s="12">
        <v>100</v>
      </c>
    </row>
    <row r="6622" spans="1:4" x14ac:dyDescent="0.2">
      <c r="A6622" s="12" t="s">
        <v>10198</v>
      </c>
      <c r="B6622" s="12" t="s">
        <v>10198</v>
      </c>
      <c r="C6622" s="12">
        <v>1000</v>
      </c>
      <c r="D6622" s="12">
        <v>100</v>
      </c>
    </row>
    <row r="6623" spans="1:4" x14ac:dyDescent="0.2">
      <c r="A6623" s="12" t="s">
        <v>10207</v>
      </c>
      <c r="B6623" s="12" t="s">
        <v>10207</v>
      </c>
      <c r="C6623" s="12">
        <v>100</v>
      </c>
      <c r="D6623" s="12">
        <v>10</v>
      </c>
    </row>
    <row r="6624" spans="1:4" x14ac:dyDescent="0.2">
      <c r="A6624" s="12" t="s">
        <v>10208</v>
      </c>
      <c r="B6624" s="12" t="s">
        <v>10208</v>
      </c>
      <c r="C6624" s="12">
        <v>50</v>
      </c>
      <c r="D6624" s="12">
        <v>5</v>
      </c>
    </row>
    <row r="6625" spans="1:4" x14ac:dyDescent="0.2">
      <c r="A6625" s="12" t="s">
        <v>10209</v>
      </c>
      <c r="B6625" s="12" t="s">
        <v>10209</v>
      </c>
      <c r="C6625" s="12" t="s">
        <v>59</v>
      </c>
      <c r="D6625" s="12" t="s">
        <v>59</v>
      </c>
    </row>
    <row r="6626" spans="1:4" x14ac:dyDescent="0.2">
      <c r="A6626" s="12" t="s">
        <v>10212</v>
      </c>
      <c r="B6626" s="12" t="s">
        <v>10212</v>
      </c>
      <c r="C6626" s="12">
        <v>100</v>
      </c>
      <c r="D6626" s="12">
        <v>10</v>
      </c>
    </row>
    <row r="6627" spans="1:4" x14ac:dyDescent="0.2">
      <c r="A6627" s="12" t="s">
        <v>10213</v>
      </c>
      <c r="B6627" s="12" t="s">
        <v>10213</v>
      </c>
      <c r="C6627" s="12" t="s">
        <v>59</v>
      </c>
      <c r="D6627" s="12" t="s">
        <v>59</v>
      </c>
    </row>
    <row r="6628" spans="1:4" x14ac:dyDescent="0.2">
      <c r="A6628" s="12" t="s">
        <v>10220</v>
      </c>
      <c r="B6628" s="12" t="s">
        <v>10220</v>
      </c>
      <c r="C6628" s="12"/>
      <c r="D6628" s="12">
        <v>2.9999999999999997E-8</v>
      </c>
    </row>
    <row r="6629" spans="1:4" x14ac:dyDescent="0.2">
      <c r="A6629" s="12" t="s">
        <v>10223</v>
      </c>
      <c r="B6629" s="12" t="s">
        <v>10223</v>
      </c>
      <c r="C6629" s="12">
        <v>0.5</v>
      </c>
      <c r="D6629" s="12">
        <v>0.05</v>
      </c>
    </row>
    <row r="6630" spans="1:4" x14ac:dyDescent="0.2">
      <c r="A6630" s="12" t="s">
        <v>10232</v>
      </c>
      <c r="B6630" s="12" t="s">
        <v>10232</v>
      </c>
      <c r="C6630" s="12" t="s">
        <v>59</v>
      </c>
      <c r="D6630" s="12" t="s">
        <v>59</v>
      </c>
    </row>
    <row r="6631" spans="1:4" x14ac:dyDescent="0.2">
      <c r="A6631" s="12" t="s">
        <v>12606</v>
      </c>
      <c r="B6631" s="12" t="s">
        <v>12606</v>
      </c>
      <c r="C6631" s="12" t="s">
        <v>59</v>
      </c>
      <c r="D6631" s="12" t="s">
        <v>59</v>
      </c>
    </row>
    <row r="6632" spans="1:4" x14ac:dyDescent="0.2">
      <c r="A6632" s="12" t="s">
        <v>12607</v>
      </c>
      <c r="B6632" s="12" t="s">
        <v>12607</v>
      </c>
      <c r="C6632" s="12">
        <v>1000</v>
      </c>
      <c r="D6632" s="12">
        <v>100</v>
      </c>
    </row>
    <row r="6633" spans="1:4" x14ac:dyDescent="0.2">
      <c r="A6633" s="12" t="s">
        <v>10242</v>
      </c>
      <c r="B6633" s="12" t="s">
        <v>10242</v>
      </c>
      <c r="C6633" s="12">
        <v>1000</v>
      </c>
      <c r="D6633" s="12">
        <v>100</v>
      </c>
    </row>
    <row r="6634" spans="1:4" x14ac:dyDescent="0.2">
      <c r="A6634" s="12" t="s">
        <v>10278</v>
      </c>
      <c r="B6634" s="12" t="s">
        <v>10278</v>
      </c>
      <c r="C6634" s="12">
        <v>100</v>
      </c>
      <c r="D6634" s="12">
        <v>10</v>
      </c>
    </row>
    <row r="6635" spans="1:4" x14ac:dyDescent="0.2">
      <c r="A6635" s="12" t="s">
        <v>10281</v>
      </c>
      <c r="B6635" s="12" t="s">
        <v>10281</v>
      </c>
      <c r="C6635" s="12">
        <v>1000</v>
      </c>
      <c r="D6635" s="12">
        <v>100</v>
      </c>
    </row>
    <row r="6636" spans="1:4" x14ac:dyDescent="0.2">
      <c r="A6636" s="12" t="s">
        <v>10290</v>
      </c>
      <c r="B6636" s="12" t="s">
        <v>10290</v>
      </c>
      <c r="C6636" s="12" t="s">
        <v>59</v>
      </c>
      <c r="D6636" s="12" t="s">
        <v>59</v>
      </c>
    </row>
    <row r="6637" spans="1:4" x14ac:dyDescent="0.2">
      <c r="A6637" s="12" t="s">
        <v>10307</v>
      </c>
      <c r="B6637" s="12" t="s">
        <v>10307</v>
      </c>
      <c r="C6637" s="12">
        <v>100</v>
      </c>
      <c r="D6637" s="12">
        <v>10</v>
      </c>
    </row>
    <row r="6638" spans="1:4" x14ac:dyDescent="0.2">
      <c r="A6638" s="12" t="s">
        <v>10308</v>
      </c>
      <c r="B6638" s="12" t="s">
        <v>10308</v>
      </c>
      <c r="C6638" s="12">
        <v>100</v>
      </c>
      <c r="D6638" s="12">
        <v>10</v>
      </c>
    </row>
    <row r="6639" spans="1:4" x14ac:dyDescent="0.2">
      <c r="A6639" s="12" t="s">
        <v>10309</v>
      </c>
      <c r="B6639" s="12" t="s">
        <v>10309</v>
      </c>
      <c r="C6639" s="12" t="s">
        <v>59</v>
      </c>
      <c r="D6639" s="12" t="s">
        <v>59</v>
      </c>
    </row>
    <row r="6640" spans="1:4" x14ac:dyDescent="0.2">
      <c r="A6640" s="12" t="s">
        <v>10339</v>
      </c>
      <c r="B6640" s="12" t="s">
        <v>10339</v>
      </c>
      <c r="C6640" s="12">
        <v>100</v>
      </c>
      <c r="D6640" s="12">
        <v>10</v>
      </c>
    </row>
    <row r="6641" spans="1:4" x14ac:dyDescent="0.2">
      <c r="A6641" s="12" t="s">
        <v>10342</v>
      </c>
      <c r="B6641" s="12" t="s">
        <v>10342</v>
      </c>
      <c r="C6641" s="12" t="s">
        <v>59</v>
      </c>
      <c r="D6641" s="12" t="s">
        <v>59</v>
      </c>
    </row>
    <row r="6642" spans="1:4" x14ac:dyDescent="0.2">
      <c r="A6642" s="12" t="s">
        <v>10370</v>
      </c>
      <c r="B6642" s="12" t="s">
        <v>10370</v>
      </c>
      <c r="C6642" s="12" t="s">
        <v>59</v>
      </c>
      <c r="D6642" s="12" t="s">
        <v>59</v>
      </c>
    </row>
    <row r="6643" spans="1:4" x14ac:dyDescent="0.2">
      <c r="A6643" s="12" t="s">
        <v>10526</v>
      </c>
      <c r="B6643" s="12" t="s">
        <v>10526</v>
      </c>
      <c r="C6643" s="12">
        <v>1500</v>
      </c>
      <c r="D6643" s="12">
        <v>150</v>
      </c>
    </row>
    <row r="6644" spans="1:4" x14ac:dyDescent="0.2">
      <c r="A6644" s="12" t="s">
        <v>10531</v>
      </c>
      <c r="B6644" s="12" t="s">
        <v>10531</v>
      </c>
      <c r="C6644" s="12">
        <v>400</v>
      </c>
      <c r="D6644" s="12">
        <v>40</v>
      </c>
    </row>
    <row r="6645" spans="1:4" x14ac:dyDescent="0.2">
      <c r="A6645" s="12" t="s">
        <v>10542</v>
      </c>
      <c r="B6645" s="12" t="s">
        <v>10542</v>
      </c>
      <c r="C6645" s="12">
        <v>10</v>
      </c>
      <c r="D6645" s="12">
        <v>1</v>
      </c>
    </row>
    <row r="6646" spans="1:4" x14ac:dyDescent="0.2">
      <c r="A6646" s="12" t="s">
        <v>10555</v>
      </c>
      <c r="B6646" s="12" t="s">
        <v>10555</v>
      </c>
      <c r="C6646" s="12">
        <v>460</v>
      </c>
      <c r="D6646" s="12">
        <v>46</v>
      </c>
    </row>
    <row r="6647" spans="1:4" x14ac:dyDescent="0.2">
      <c r="A6647" s="12" t="s">
        <v>10582</v>
      </c>
      <c r="B6647" s="12" t="s">
        <v>10582</v>
      </c>
      <c r="C6647" s="12">
        <v>250</v>
      </c>
      <c r="D6647" s="12">
        <v>25</v>
      </c>
    </row>
    <row r="6648" spans="1:4" x14ac:dyDescent="0.2">
      <c r="A6648" s="12" t="s">
        <v>10644</v>
      </c>
      <c r="B6648" s="12" t="s">
        <v>10644</v>
      </c>
      <c r="C6648" s="12">
        <v>20</v>
      </c>
      <c r="D6648" s="12">
        <v>2</v>
      </c>
    </row>
    <row r="6649" spans="1:4" x14ac:dyDescent="0.2">
      <c r="A6649" s="12" t="s">
        <v>10649</v>
      </c>
      <c r="B6649" s="12" t="s">
        <v>10649</v>
      </c>
      <c r="C6649" s="12">
        <v>420</v>
      </c>
      <c r="D6649" s="12">
        <v>11</v>
      </c>
    </row>
    <row r="6650" spans="1:4" x14ac:dyDescent="0.2">
      <c r="A6650" s="12" t="s">
        <v>10658</v>
      </c>
      <c r="B6650" s="12" t="s">
        <v>10658</v>
      </c>
      <c r="C6650" s="12">
        <v>20</v>
      </c>
      <c r="D6650" s="12">
        <v>2</v>
      </c>
    </row>
    <row r="6651" spans="1:4" x14ac:dyDescent="0.2">
      <c r="A6651" s="12" t="s">
        <v>10661</v>
      </c>
      <c r="B6651" s="12" t="s">
        <v>10661</v>
      </c>
      <c r="C6651" s="12" t="s">
        <v>59</v>
      </c>
      <c r="D6651" s="12" t="s">
        <v>59</v>
      </c>
    </row>
    <row r="6652" spans="1:4" ht="28.5" x14ac:dyDescent="0.2">
      <c r="A6652" s="12" t="s">
        <v>10664</v>
      </c>
      <c r="B6652" s="12" t="s">
        <v>10664</v>
      </c>
      <c r="C6652" s="12" t="s">
        <v>59</v>
      </c>
      <c r="D6652" s="12" t="s">
        <v>59</v>
      </c>
    </row>
    <row r="6653" spans="1:4" x14ac:dyDescent="0.2">
      <c r="A6653" s="12" t="s">
        <v>10683</v>
      </c>
      <c r="B6653" s="12" t="s">
        <v>10683</v>
      </c>
      <c r="C6653" s="12" t="s">
        <v>59</v>
      </c>
      <c r="D6653" s="12" t="s">
        <v>59</v>
      </c>
    </row>
    <row r="6654" spans="1:4" x14ac:dyDescent="0.2">
      <c r="A6654" s="12" t="s">
        <v>10746</v>
      </c>
      <c r="B6654" s="12" t="s">
        <v>10746</v>
      </c>
      <c r="C6654" s="12">
        <v>3500</v>
      </c>
      <c r="D6654" s="12">
        <v>350</v>
      </c>
    </row>
    <row r="6655" spans="1:4" x14ac:dyDescent="0.2">
      <c r="A6655" s="12" t="s">
        <v>10747</v>
      </c>
      <c r="B6655" s="12" t="s">
        <v>10747</v>
      </c>
      <c r="C6655" s="12" t="s">
        <v>59</v>
      </c>
      <c r="D6655" s="12" t="s">
        <v>59</v>
      </c>
    </row>
    <row r="6656" spans="1:4" x14ac:dyDescent="0.2">
      <c r="A6656" s="12" t="s">
        <v>10750</v>
      </c>
      <c r="B6656" s="12" t="s">
        <v>10750</v>
      </c>
      <c r="C6656" s="12">
        <v>1</v>
      </c>
      <c r="D6656" s="12">
        <v>0.1</v>
      </c>
    </row>
    <row r="6657" spans="1:4" x14ac:dyDescent="0.2">
      <c r="A6657" s="12" t="s">
        <v>10751</v>
      </c>
      <c r="B6657" s="12" t="s">
        <v>10751</v>
      </c>
      <c r="C6657" s="12">
        <v>0.01</v>
      </c>
      <c r="D6657" s="12">
        <v>1E-3</v>
      </c>
    </row>
    <row r="6658" spans="1:4" x14ac:dyDescent="0.2">
      <c r="A6658" s="12" t="s">
        <v>10752</v>
      </c>
      <c r="B6658" s="12" t="s">
        <v>10752</v>
      </c>
      <c r="C6658" s="12">
        <v>1000</v>
      </c>
      <c r="D6658" s="12">
        <v>100</v>
      </c>
    </row>
    <row r="6659" spans="1:4" x14ac:dyDescent="0.2">
      <c r="A6659" s="12" t="s">
        <v>10761</v>
      </c>
      <c r="B6659" s="12" t="s">
        <v>10761</v>
      </c>
      <c r="C6659" s="12">
        <v>1</v>
      </c>
      <c r="D6659" s="12">
        <v>0.1</v>
      </c>
    </row>
    <row r="6660" spans="1:4" x14ac:dyDescent="0.2">
      <c r="A6660" s="12" t="s">
        <v>10854</v>
      </c>
      <c r="B6660" s="12" t="s">
        <v>10854</v>
      </c>
      <c r="C6660" s="12">
        <v>27</v>
      </c>
      <c r="D6660" s="12">
        <v>2</v>
      </c>
    </row>
    <row r="6661" spans="1:4" x14ac:dyDescent="0.2">
      <c r="A6661" s="12" t="s">
        <v>12612</v>
      </c>
      <c r="B6661" s="12" t="s">
        <v>12612</v>
      </c>
      <c r="C6661" s="12">
        <v>14</v>
      </c>
      <c r="D6661" s="12"/>
    </row>
    <row r="6662" spans="1:4" x14ac:dyDescent="0.2">
      <c r="A6662" s="12" t="s">
        <v>12613</v>
      </c>
      <c r="B6662" s="12" t="s">
        <v>12613</v>
      </c>
      <c r="C6662" s="12"/>
      <c r="D6662" s="12">
        <v>0.27</v>
      </c>
    </row>
    <row r="6663" spans="1:4" x14ac:dyDescent="0.2">
      <c r="A6663" s="12" t="s">
        <v>10869</v>
      </c>
      <c r="B6663" s="12" t="s">
        <v>10869</v>
      </c>
      <c r="C6663" s="12" t="s">
        <v>59</v>
      </c>
      <c r="D6663" s="12" t="s">
        <v>59</v>
      </c>
    </row>
    <row r="6664" spans="1:4" x14ac:dyDescent="0.2">
      <c r="A6664" s="12" t="s">
        <v>10912</v>
      </c>
      <c r="B6664" s="12" t="s">
        <v>10912</v>
      </c>
      <c r="C6664" s="12" t="s">
        <v>59</v>
      </c>
      <c r="D6664" s="12" t="s">
        <v>59</v>
      </c>
    </row>
    <row r="6665" spans="1:4" x14ac:dyDescent="0.2">
      <c r="A6665" s="12" t="s">
        <v>12620</v>
      </c>
      <c r="B6665" s="12" t="s">
        <v>12620</v>
      </c>
      <c r="C6665" s="12" t="s">
        <v>59</v>
      </c>
      <c r="D6665" s="12" t="s">
        <v>59</v>
      </c>
    </row>
    <row r="6666" spans="1:4" x14ac:dyDescent="0.2">
      <c r="A6666" s="12" t="s">
        <v>12621</v>
      </c>
      <c r="B6666" s="12" t="s">
        <v>12621</v>
      </c>
      <c r="C6666" s="12">
        <v>1000</v>
      </c>
      <c r="D6666" s="12">
        <v>100</v>
      </c>
    </row>
    <row r="6667" spans="1:4" x14ac:dyDescent="0.2">
      <c r="A6667" s="12" t="s">
        <v>12622</v>
      </c>
      <c r="B6667" s="12" t="s">
        <v>12622</v>
      </c>
      <c r="C6667" s="12" t="s">
        <v>59</v>
      </c>
      <c r="D6667" s="12" t="s">
        <v>59</v>
      </c>
    </row>
    <row r="6668" spans="1:4" x14ac:dyDescent="0.2">
      <c r="A6668" s="12" t="s">
        <v>12623</v>
      </c>
      <c r="B6668" s="12" t="s">
        <v>12623</v>
      </c>
      <c r="C6668" s="12">
        <v>1000</v>
      </c>
      <c r="D6668" s="12">
        <v>100</v>
      </c>
    </row>
    <row r="6669" spans="1:4" x14ac:dyDescent="0.2">
      <c r="A6669" s="12" t="s">
        <v>10956</v>
      </c>
      <c r="B6669" s="12" t="s">
        <v>10956</v>
      </c>
      <c r="C6669" s="12">
        <v>0.1</v>
      </c>
      <c r="D6669" s="12">
        <v>0.01</v>
      </c>
    </row>
    <row r="6670" spans="1:4" x14ac:dyDescent="0.2">
      <c r="A6670" s="12" t="s">
        <v>10964</v>
      </c>
      <c r="B6670" s="12" t="s">
        <v>10964</v>
      </c>
      <c r="C6670" s="12" t="s">
        <v>59</v>
      </c>
      <c r="D6670" s="12" t="s">
        <v>59</v>
      </c>
    </row>
    <row r="6671" spans="1:4" x14ac:dyDescent="0.2">
      <c r="A6671" s="12" t="s">
        <v>10965</v>
      </c>
      <c r="B6671" s="12" t="s">
        <v>10965</v>
      </c>
      <c r="C6671" s="12" t="s">
        <v>59</v>
      </c>
      <c r="D6671" s="12" t="s">
        <v>59</v>
      </c>
    </row>
    <row r="6672" spans="1:4" x14ac:dyDescent="0.2">
      <c r="A6672" s="12" t="s">
        <v>10982</v>
      </c>
      <c r="B6672" s="12" t="s">
        <v>10982</v>
      </c>
      <c r="C6672" s="12" t="s">
        <v>59</v>
      </c>
      <c r="D6672" s="12" t="s">
        <v>59</v>
      </c>
    </row>
    <row r="6673" spans="1:4" x14ac:dyDescent="0.2">
      <c r="A6673" s="12" t="s">
        <v>11152</v>
      </c>
      <c r="B6673" s="12" t="s">
        <v>11152</v>
      </c>
      <c r="C6673" s="12" t="s">
        <v>59</v>
      </c>
      <c r="D6673" s="12" t="s">
        <v>59</v>
      </c>
    </row>
    <row r="6674" spans="1:4" x14ac:dyDescent="0.2">
      <c r="A6674" s="12" t="s">
        <v>11163</v>
      </c>
      <c r="B6674" s="12" t="s">
        <v>11163</v>
      </c>
      <c r="C6674" s="12" t="s">
        <v>59</v>
      </c>
      <c r="D6674" s="12" t="s">
        <v>59</v>
      </c>
    </row>
    <row r="6675" spans="1:4" x14ac:dyDescent="0.2">
      <c r="A6675" s="12" t="s">
        <v>11207</v>
      </c>
      <c r="B6675" s="12" t="s">
        <v>11207</v>
      </c>
      <c r="C6675" s="12">
        <v>17</v>
      </c>
      <c r="D6675" s="12">
        <v>8.1</v>
      </c>
    </row>
    <row r="6676" spans="1:4" x14ac:dyDescent="0.2">
      <c r="A6676" s="12" t="s">
        <v>11208</v>
      </c>
      <c r="B6676" s="12" t="s">
        <v>11208</v>
      </c>
      <c r="C6676" s="12">
        <v>2.8</v>
      </c>
      <c r="D6676" s="12">
        <v>0.56999999999999995</v>
      </c>
    </row>
    <row r="6677" spans="1:4" x14ac:dyDescent="0.2">
      <c r="A6677" s="12" t="s">
        <v>11209</v>
      </c>
      <c r="B6677" s="12" t="s">
        <v>11209</v>
      </c>
      <c r="C6677" s="12"/>
      <c r="D6677" s="12">
        <v>0.71</v>
      </c>
    </row>
    <row r="6678" spans="1:4" x14ac:dyDescent="0.2">
      <c r="A6678" s="12" t="s">
        <v>12634</v>
      </c>
      <c r="B6678" s="12" t="s">
        <v>12634</v>
      </c>
      <c r="C6678" s="12" t="s">
        <v>59</v>
      </c>
      <c r="D6678" s="12" t="s">
        <v>59</v>
      </c>
    </row>
    <row r="6679" spans="1:4" x14ac:dyDescent="0.2">
      <c r="A6679" s="12" t="s">
        <v>12635</v>
      </c>
      <c r="B6679" s="12" t="s">
        <v>12635</v>
      </c>
      <c r="C6679" s="12">
        <v>1000</v>
      </c>
      <c r="D6679" s="12">
        <v>100</v>
      </c>
    </row>
    <row r="6680" spans="1:4" x14ac:dyDescent="0.2">
      <c r="A6680" s="12" t="s">
        <v>11300</v>
      </c>
      <c r="B6680" s="12" t="s">
        <v>11300</v>
      </c>
      <c r="C6680" s="12" t="s">
        <v>59</v>
      </c>
      <c r="D6680" s="12" t="s">
        <v>59</v>
      </c>
    </row>
    <row r="6681" spans="1:4" x14ac:dyDescent="0.2">
      <c r="A6681" s="12" t="s">
        <v>11321</v>
      </c>
      <c r="B6681" s="12" t="s">
        <v>11321</v>
      </c>
      <c r="C6681" s="12">
        <v>20</v>
      </c>
      <c r="D6681" s="12">
        <v>2</v>
      </c>
    </row>
    <row r="6682" spans="1:4" x14ac:dyDescent="0.2">
      <c r="A6682" s="12" t="s">
        <v>11326</v>
      </c>
      <c r="B6682" s="12" t="s">
        <v>11326</v>
      </c>
      <c r="C6682" s="12">
        <v>100</v>
      </c>
      <c r="D6682" s="12">
        <v>10</v>
      </c>
    </row>
    <row r="6683" spans="1:4" x14ac:dyDescent="0.2">
      <c r="A6683" s="12" t="s">
        <v>12638</v>
      </c>
      <c r="B6683" s="12" t="s">
        <v>12638</v>
      </c>
      <c r="C6683" s="12" t="s">
        <v>59</v>
      </c>
      <c r="D6683" s="12" t="s">
        <v>59</v>
      </c>
    </row>
    <row r="6684" spans="1:4" x14ac:dyDescent="0.2">
      <c r="A6684" s="12" t="s">
        <v>12639</v>
      </c>
      <c r="B6684" s="12" t="s">
        <v>12639</v>
      </c>
      <c r="C6684" s="12">
        <v>600</v>
      </c>
      <c r="D6684" s="12">
        <v>60</v>
      </c>
    </row>
    <row r="6685" spans="1:4" x14ac:dyDescent="0.2">
      <c r="A6685" s="12" t="s">
        <v>11362</v>
      </c>
      <c r="B6685" s="12" t="s">
        <v>11362</v>
      </c>
      <c r="C6685" s="12">
        <v>140</v>
      </c>
      <c r="D6685" s="12">
        <v>14</v>
      </c>
    </row>
    <row r="6686" spans="1:4" x14ac:dyDescent="0.2">
      <c r="A6686" s="12" t="s">
        <v>11369</v>
      </c>
      <c r="B6686" s="12" t="s">
        <v>11369</v>
      </c>
      <c r="C6686" s="12" t="s">
        <v>59</v>
      </c>
      <c r="D6686" s="12" t="s">
        <v>59</v>
      </c>
    </row>
    <row r="6687" spans="1:4" x14ac:dyDescent="0.2">
      <c r="A6687" s="12" t="s">
        <v>12644</v>
      </c>
      <c r="B6687" s="12" t="s">
        <v>12644</v>
      </c>
      <c r="C6687" s="12" t="s">
        <v>59</v>
      </c>
      <c r="D6687" s="12" t="s">
        <v>59</v>
      </c>
    </row>
    <row r="6688" spans="1:4" x14ac:dyDescent="0.2">
      <c r="A6688" s="12" t="s">
        <v>12645</v>
      </c>
      <c r="B6688" s="12" t="s">
        <v>12645</v>
      </c>
      <c r="C6688" s="12">
        <v>600</v>
      </c>
      <c r="D6688" s="12">
        <v>60</v>
      </c>
    </row>
    <row r="6689" spans="1:4" x14ac:dyDescent="0.2">
      <c r="A6689" s="12" t="s">
        <v>11432</v>
      </c>
      <c r="B6689" s="12" t="s">
        <v>11432</v>
      </c>
      <c r="C6689" s="12">
        <v>50</v>
      </c>
      <c r="D6689" s="12">
        <v>5</v>
      </c>
    </row>
    <row r="6690" spans="1:4" x14ac:dyDescent="0.2">
      <c r="A6690" s="12" t="s">
        <v>11433</v>
      </c>
      <c r="B6690" s="12" t="s">
        <v>11433</v>
      </c>
      <c r="C6690" s="12">
        <v>1120</v>
      </c>
      <c r="D6690" s="12">
        <v>112</v>
      </c>
    </row>
    <row r="6691" spans="1:4" x14ac:dyDescent="0.2">
      <c r="A6691" s="12" t="s">
        <v>11473</v>
      </c>
      <c r="B6691" s="12" t="s">
        <v>11473</v>
      </c>
      <c r="C6691" s="12">
        <v>100</v>
      </c>
      <c r="D6691" s="12">
        <v>10</v>
      </c>
    </row>
    <row r="6692" spans="1:4" x14ac:dyDescent="0.2">
      <c r="A6692" s="12" t="s">
        <v>11588</v>
      </c>
      <c r="B6692" s="12" t="s">
        <v>11588</v>
      </c>
      <c r="C6692" s="12">
        <v>70</v>
      </c>
      <c r="D6692" s="12">
        <v>7</v>
      </c>
    </row>
    <row r="6693" spans="1:4" x14ac:dyDescent="0.2">
      <c r="A6693" s="12" t="s">
        <v>12646</v>
      </c>
      <c r="B6693" s="12" t="s">
        <v>12646</v>
      </c>
      <c r="C6693" s="12" t="s">
        <v>59</v>
      </c>
      <c r="D6693" s="12" t="s">
        <v>59</v>
      </c>
    </row>
    <row r="6694" spans="1:4" x14ac:dyDescent="0.2">
      <c r="A6694" s="12" t="s">
        <v>12647</v>
      </c>
      <c r="B6694" s="12" t="s">
        <v>12647</v>
      </c>
      <c r="C6694" s="12">
        <v>1000</v>
      </c>
      <c r="D6694" s="12">
        <v>100</v>
      </c>
    </row>
    <row r="6695" spans="1:4" x14ac:dyDescent="0.2">
      <c r="A6695" s="12" t="s">
        <v>11760</v>
      </c>
      <c r="B6695" s="12" t="s">
        <v>11760</v>
      </c>
      <c r="C6695" s="12" t="s">
        <v>59</v>
      </c>
      <c r="D6695" s="12" t="s">
        <v>59</v>
      </c>
    </row>
    <row r="6696" spans="1:4" x14ac:dyDescent="0.2">
      <c r="A6696" s="12" t="s">
        <v>11796</v>
      </c>
      <c r="B6696" s="12" t="s">
        <v>11796</v>
      </c>
      <c r="C6696" s="12">
        <v>20</v>
      </c>
      <c r="D6696" s="12">
        <v>2</v>
      </c>
    </row>
    <row r="6697" spans="1:4" x14ac:dyDescent="0.2">
      <c r="A6697" s="12" t="s">
        <v>11801</v>
      </c>
      <c r="B6697" s="12" t="s">
        <v>11801</v>
      </c>
      <c r="C6697" s="12">
        <v>20</v>
      </c>
      <c r="D6697" s="12">
        <v>2</v>
      </c>
    </row>
    <row r="6698" spans="1:4" x14ac:dyDescent="0.2">
      <c r="A6698" s="12" t="s">
        <v>11802</v>
      </c>
      <c r="B6698" s="12" t="s">
        <v>11802</v>
      </c>
      <c r="C6698" s="12">
        <v>1</v>
      </c>
      <c r="D6698" s="12">
        <v>0.1</v>
      </c>
    </row>
    <row r="6699" spans="1:4" x14ac:dyDescent="0.2">
      <c r="A6699" s="12" t="s">
        <v>11856</v>
      </c>
      <c r="B6699" s="12" t="s">
        <v>11856</v>
      </c>
      <c r="C6699" s="12" t="s">
        <v>59</v>
      </c>
      <c r="D6699" s="12" t="s">
        <v>59</v>
      </c>
    </row>
    <row r="6700" spans="1:4" x14ac:dyDescent="0.2">
      <c r="A6700" s="12" t="s">
        <v>11908</v>
      </c>
      <c r="B6700" s="12" t="s">
        <v>11908</v>
      </c>
      <c r="C6700" s="12">
        <v>100</v>
      </c>
      <c r="D6700" s="12">
        <v>10</v>
      </c>
    </row>
    <row r="6701" spans="1:4" x14ac:dyDescent="0.2">
      <c r="A6701" s="12" t="s">
        <v>12235</v>
      </c>
      <c r="B6701" s="12" t="s">
        <v>12235</v>
      </c>
      <c r="C6701" s="12">
        <v>50</v>
      </c>
      <c r="D6701" s="12">
        <v>5</v>
      </c>
    </row>
    <row r="6702" spans="1:4" x14ac:dyDescent="0.2">
      <c r="A6702" s="12" t="s">
        <v>12236</v>
      </c>
      <c r="B6702" s="12" t="s">
        <v>12236</v>
      </c>
      <c r="C6702" s="12">
        <v>10</v>
      </c>
      <c r="D6702" s="12">
        <v>1</v>
      </c>
    </row>
    <row r="6703" spans="1:4" x14ac:dyDescent="0.2">
      <c r="A6703" s="12" t="s">
        <v>12252</v>
      </c>
      <c r="B6703" s="12" t="s">
        <v>12252</v>
      </c>
      <c r="C6703" s="12">
        <v>100</v>
      </c>
      <c r="D6703" s="12">
        <v>10</v>
      </c>
    </row>
    <row r="6704" spans="1:4" x14ac:dyDescent="0.2">
      <c r="A6704" s="12" t="s">
        <v>12257</v>
      </c>
      <c r="B6704" s="12" t="s">
        <v>12257</v>
      </c>
      <c r="C6704" s="12">
        <v>2</v>
      </c>
      <c r="D6704" s="12">
        <v>0.2</v>
      </c>
    </row>
    <row r="6705" spans="1:4" x14ac:dyDescent="0.2">
      <c r="A6705" s="12" t="s">
        <v>12258</v>
      </c>
      <c r="B6705" s="12" t="s">
        <v>12258</v>
      </c>
      <c r="C6705" s="12">
        <v>0.5</v>
      </c>
      <c r="D6705" s="12">
        <v>0.05</v>
      </c>
    </row>
    <row r="6706" spans="1:4" x14ac:dyDescent="0.2">
      <c r="A6706" s="12" t="s">
        <v>12263</v>
      </c>
      <c r="B6706" s="12" t="s">
        <v>12263</v>
      </c>
      <c r="C6706" s="12">
        <v>410</v>
      </c>
      <c r="D6706" s="12">
        <v>41</v>
      </c>
    </row>
    <row r="6707" spans="1:4" x14ac:dyDescent="0.2">
      <c r="A6707" s="12" t="s">
        <v>12284</v>
      </c>
      <c r="B6707" s="12" t="s">
        <v>12284</v>
      </c>
      <c r="C6707" s="12">
        <v>20</v>
      </c>
      <c r="D6707" s="12">
        <v>2</v>
      </c>
    </row>
    <row r="6708" spans="1:4" x14ac:dyDescent="0.2">
      <c r="A6708" s="12" t="s">
        <v>12321</v>
      </c>
      <c r="B6708" s="12" t="s">
        <v>12321</v>
      </c>
      <c r="C6708" s="12" t="s">
        <v>59</v>
      </c>
      <c r="D6708" s="12" t="s">
        <v>59</v>
      </c>
    </row>
    <row r="6709" spans="1:4" x14ac:dyDescent="0.2">
      <c r="A6709" s="12" t="s">
        <v>12344</v>
      </c>
      <c r="B6709" s="12" t="s">
        <v>12344</v>
      </c>
      <c r="C6709" s="12" t="s">
        <v>59</v>
      </c>
      <c r="D6709" s="12" t="s">
        <v>59</v>
      </c>
    </row>
    <row r="6710" spans="1:4" x14ac:dyDescent="0.2">
      <c r="A6710" s="12" t="s">
        <v>12347</v>
      </c>
      <c r="B6710" s="12" t="s">
        <v>12347</v>
      </c>
      <c r="C6710" s="12" t="s">
        <v>59</v>
      </c>
      <c r="D6710" s="12" t="s">
        <v>59</v>
      </c>
    </row>
    <row r="6711" spans="1:4" x14ac:dyDescent="0.2">
      <c r="A6711" s="12" t="s">
        <v>12352</v>
      </c>
      <c r="B6711" s="12" t="s">
        <v>12352</v>
      </c>
      <c r="C6711" s="12">
        <v>10</v>
      </c>
      <c r="D6711" s="12">
        <v>1</v>
      </c>
    </row>
    <row r="6712" spans="1:4" x14ac:dyDescent="0.2">
      <c r="A6712" s="12" t="s">
        <v>12353</v>
      </c>
      <c r="B6712" s="12" t="s">
        <v>12353</v>
      </c>
      <c r="C6712" s="12" t="s">
        <v>59</v>
      </c>
      <c r="D6712" s="12" t="s">
        <v>59</v>
      </c>
    </row>
    <row r="6713" spans="1:4" x14ac:dyDescent="0.2">
      <c r="A6713" s="12" t="s">
        <v>12421</v>
      </c>
      <c r="B6713" s="12" t="s">
        <v>12421</v>
      </c>
      <c r="C6713" s="12">
        <v>20</v>
      </c>
      <c r="D6713" s="12">
        <v>2</v>
      </c>
    </row>
    <row r="6714" spans="1:4" x14ac:dyDescent="0.2">
      <c r="A6714" s="12" t="s">
        <v>12466</v>
      </c>
      <c r="B6714" s="12" t="s">
        <v>12466</v>
      </c>
      <c r="C6714" s="12">
        <v>50</v>
      </c>
      <c r="D6714" s="12">
        <v>5</v>
      </c>
    </row>
  </sheetData>
  <sheetProtection algorithmName="SHA-512" hashValue="rlmm0/GP5lBd3eDmzbPXsvpNYTh12SpBKfwFjSypgbzeDc6fOxEq1mi62H0PLh0TuwT0ncBplHcFBenEXH+ovw==" saltValue="JOcX138OeKMx13FI9o3TbA==" spinCount="100000" sheet="1" objects="1" scenarios="1" formatColumns="0" formatRows="0" autoFilter="0"/>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EB-7C22-4A65-9CBD-BC36E9AC2F2F}">
  <sheetPr codeName="Sheet2">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INDEX((standard_components_1[[#This Row],[Component]]=factor_eff_table[Component])*(standard_components_1[[#This Row],[Service]]=factor_eff_table[Service]), 0, 1), 0)),
 "-")</f>
        <v>-</v>
      </c>
      <c r="E25" s="145" t="str" cm="1">
        <f t="array" ref="E2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25" s="145" t="str" cm="1">
        <f t="array" ref="F2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25" s="145" t="str" cm="1">
        <f t="array" ref="G2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2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2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INDEX((standard_components_1[[#This Row],[Component]]=factor_eff_table[Component])*(standard_components_1[[#This Row],[Service]]=factor_eff_table[Service]), 0, 1), 0)),
 "-")</f>
        <v>-</v>
      </c>
      <c r="E26" s="145" t="str" cm="1">
        <f t="array" ref="E2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26" s="145" t="str" cm="1">
        <f t="array" ref="F2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26" s="145" t="str" cm="1">
        <f t="array" ref="G2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2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2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INDEX((standard_components_1[[#This Row],[Component]]=factor_eff_table[Component])*(standard_components_1[[#This Row],[Service]]=factor_eff_table[Service]), 0, 1), 0)),
 "-")</f>
        <v>-</v>
      </c>
      <c r="E27" s="145" t="str" cm="1">
        <f t="array" ref="E2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27" s="145" t="str" cm="1">
        <f t="array" ref="F2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27" s="145" t="str" cm="1">
        <f t="array" ref="G2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2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2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INDEX((standard_components_1[[#This Row],[Component]]=factor_eff_table[Component])*(standard_components_1[[#This Row],[Service]]=factor_eff_table[Service]), 0, 1), 0)),
 "-")</f>
        <v>-</v>
      </c>
      <c r="E28" s="145" t="str" cm="1">
        <f t="array" ref="E2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28" s="145" t="str" cm="1">
        <f t="array" ref="F2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28" s="145" t="str" cm="1">
        <f t="array" ref="G2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2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2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INDEX((standard_components_1[[#This Row],[Component]]=factor_eff_table[Component])*(standard_components_1[[#This Row],[Service]]=factor_eff_table[Service]), 0, 1), 0)),
 "-")</f>
        <v>-</v>
      </c>
      <c r="E29" s="145" t="str" cm="1">
        <f t="array" ref="E2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29" s="145" t="str" cm="1">
        <f t="array" ref="F2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29" s="145" t="str" cm="1">
        <f t="array" ref="G2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2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2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INDEX((standard_components_1[[#This Row],[Component]]=factor_eff_table[Component])*(standard_components_1[[#This Row],[Service]]=factor_eff_table[Service]), 0, 1), 0)),
 "-")</f>
        <v>-</v>
      </c>
      <c r="E30" s="145" t="str" cm="1">
        <f t="array" ref="E3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0" s="145" t="str" cm="1">
        <f t="array" ref="F3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0" s="145" t="str" cm="1">
        <f t="array" ref="G3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INDEX((standard_components_1[[#This Row],[Component]]=factor_eff_table[Component])*(standard_components_1[[#This Row],[Service]]=factor_eff_table[Service]), 0, 1), 0)),
 "-")</f>
        <v>-</v>
      </c>
      <c r="E31" s="145" t="str" cm="1">
        <f t="array" ref="E3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1" s="145" t="str" cm="1">
        <f t="array" ref="F3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1" s="145" t="str" cm="1">
        <f t="array" ref="G3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INDEX((standard_components_1[[#This Row],[Component]]=factor_eff_table[Component])*(standard_components_1[[#This Row],[Service]]=factor_eff_table[Service]), 0, 1), 0)),
 "-")</f>
        <v>-</v>
      </c>
      <c r="E32" s="145" t="str" cm="1">
        <f t="array" ref="E3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2" s="145" t="str" cm="1">
        <f t="array" ref="F3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2" s="145" t="str" cm="1">
        <f t="array" ref="G3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INDEX((standard_components_1[[#This Row],[Component]]=factor_eff_table[Component])*(standard_components_1[[#This Row],[Service]]=factor_eff_table[Service]), 0, 1), 0)),
 "-")</f>
        <v>-</v>
      </c>
      <c r="E33" s="145" t="str" cm="1">
        <f t="array" ref="E3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3" s="145" t="str" cm="1">
        <f t="array" ref="F3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3" s="145" t="str" cm="1">
        <f t="array" ref="G3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INDEX((standard_components_1[[#This Row],[Component]]=factor_eff_table[Component])*(standard_components_1[[#This Row],[Service]]=factor_eff_table[Service]), 0, 1), 0)),
 "-")</f>
        <v>-</v>
      </c>
      <c r="E34" s="145" t="str" cm="1">
        <f t="array" ref="E3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4" s="145" t="str" cm="1">
        <f t="array" ref="F3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4" s="145" t="str" cm="1">
        <f t="array" ref="G3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INDEX((standard_components_1[[#This Row],[Component]]=factor_eff_table[Component])*(standard_components_1[[#This Row],[Service]]=factor_eff_table[Service]), 0, 1), 0)),
 "-")</f>
        <v>-</v>
      </c>
      <c r="E35" s="145" t="str" cm="1">
        <f t="array" ref="E3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5" s="145" t="str" cm="1">
        <f t="array" ref="F3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5" s="145" t="str" cm="1">
        <f t="array" ref="G3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INDEX((standard_components_1[[#This Row],[Component]]=factor_eff_table[Component])*(standard_components_1[[#This Row],[Service]]=factor_eff_table[Service]), 0, 1), 0)),
 "-")</f>
        <v>-</v>
      </c>
      <c r="E36" s="145" t="str" cm="1">
        <f t="array" ref="E3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6" s="145" t="str" cm="1">
        <f t="array" ref="F3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6" s="145" t="str" cm="1">
        <f t="array" ref="G3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INDEX((standard_components_1[[#This Row],[Component]]=factor_eff_table[Component])*(standard_components_1[[#This Row],[Service]]=factor_eff_table[Service]), 0, 1), 0)),
 "-")</f>
        <v>-</v>
      </c>
      <c r="E37" s="145" t="str" cm="1">
        <f t="array" ref="E3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7" s="145" t="str" cm="1">
        <f t="array" ref="F3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7" s="145" t="str" cm="1">
        <f t="array" ref="G3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INDEX((standard_components_1[[#This Row],[Component]]=factor_eff_table[Component])*(standard_components_1[[#This Row],[Service]]=factor_eff_table[Service]), 0, 1), 0)),
 "-")</f>
        <v>-</v>
      </c>
      <c r="E38" s="145" t="str" cm="1">
        <f t="array" ref="E3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8" s="145" t="str" cm="1">
        <f t="array" ref="F3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8" s="145" t="str" cm="1">
        <f t="array" ref="G3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INDEX((standard_components_1[[#This Row],[Component]]=factor_eff_table[Component])*(standard_components_1[[#This Row],[Service]]=factor_eff_table[Service]), 0, 1), 0)),
 "-")</f>
        <v>-</v>
      </c>
      <c r="E39" s="145" t="str" cm="1">
        <f t="array" ref="E3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39" s="145" t="str" cm="1">
        <f t="array" ref="F3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39" s="145" t="str" cm="1">
        <f t="array" ref="G3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3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3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INDEX((standard_components_1[[#This Row],[Component]]=factor_eff_table[Component])*(standard_components_1[[#This Row],[Service]]=factor_eff_table[Service]), 0, 1), 0)),
 "-")</f>
        <v>-</v>
      </c>
      <c r="E40" s="145" t="str" cm="1">
        <f t="array" ref="E4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0" s="145" t="str" cm="1">
        <f t="array" ref="F4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0" s="145" t="str" cm="1">
        <f t="array" ref="G4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INDEX((standard_components_1[[#This Row],[Component]]=factor_eff_table[Component])*(standard_components_1[[#This Row],[Service]]=factor_eff_table[Service]), 0, 1), 0)),
 "-")</f>
        <v>-</v>
      </c>
      <c r="E41" s="145" t="str" cm="1">
        <f t="array" ref="E4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1" s="145" t="str" cm="1">
        <f t="array" ref="F4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1" s="145" t="str" cm="1">
        <f t="array" ref="G4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INDEX((standard_components_1[[#This Row],[Component]]=factor_eff_table[Component])*(standard_components_1[[#This Row],[Service]]=factor_eff_table[Service]), 0, 1), 0)),
 "-")</f>
        <v>-</v>
      </c>
      <c r="E42" s="145" t="str" cm="1">
        <f t="array" ref="E4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2" s="145" t="str" cm="1">
        <f t="array" ref="F4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2" s="145" t="str" cm="1">
        <f t="array" ref="G4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INDEX((standard_components_1[[#This Row],[Component]]=factor_eff_table[Component])*(standard_components_1[[#This Row],[Service]]=factor_eff_table[Service]), 0, 1), 0)),
 "-")</f>
        <v>-</v>
      </c>
      <c r="E43" s="145" t="str" cm="1">
        <f t="array" ref="E4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3" s="145" t="str" cm="1">
        <f t="array" ref="F4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3" s="145" t="str" cm="1">
        <f t="array" ref="G4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INDEX((standard_components_1[[#This Row],[Component]]=factor_eff_table[Component])*(standard_components_1[[#This Row],[Service]]=factor_eff_table[Service]), 0, 1), 0)),
 "-")</f>
        <v>-</v>
      </c>
      <c r="E44" s="145" t="str" cm="1">
        <f t="array" ref="E4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4" s="145" t="str" cm="1">
        <f t="array" ref="F4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4" s="145" t="str" cm="1">
        <f t="array" ref="G4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INDEX((standard_components_1[[#This Row],[Component]]=factor_eff_table[Component])*(standard_components_1[[#This Row],[Service]]=factor_eff_table[Service]), 0, 1), 0)),
 "-")</f>
        <v>-</v>
      </c>
      <c r="E45" s="145" t="str" cm="1">
        <f t="array" ref="E4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5" s="145" t="str" cm="1">
        <f t="array" ref="F4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5" s="145" t="str" cm="1">
        <f t="array" ref="G4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INDEX((standard_components_1[[#This Row],[Component]]=factor_eff_table[Component])*(standard_components_1[[#This Row],[Service]]=factor_eff_table[Service]), 0, 1), 0)),
 "-")</f>
        <v>-</v>
      </c>
      <c r="E46" s="145" t="str" cm="1">
        <f t="array" ref="E4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6" s="145" t="str" cm="1">
        <f t="array" ref="F4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6" s="145" t="str" cm="1">
        <f t="array" ref="G4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INDEX((standard_components_1[[#This Row],[Component]]=factor_eff_table[Component])*(standard_components_1[[#This Row],[Service]]=factor_eff_table[Service]), 0, 1), 0)),
 "-")</f>
        <v>-</v>
      </c>
      <c r="E47" s="145" t="str" cm="1">
        <f t="array" ref="E4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7" s="145" t="str" cm="1">
        <f t="array" ref="F4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7" s="145" t="str" cm="1">
        <f t="array" ref="G4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INDEX((standard_components_1[[#This Row],[Component]]=factor_eff_table[Component])*(standard_components_1[[#This Row],[Service]]=factor_eff_table[Service]), 0, 1), 0)),
 "-")</f>
        <v>-</v>
      </c>
      <c r="E48" s="145" t="str" cm="1">
        <f t="array" ref="E4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8" s="145" t="str" cm="1">
        <f t="array" ref="F4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8" s="145" t="str" cm="1">
        <f t="array" ref="G4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INDEX((standard_components_1[[#This Row],[Component]]=factor_eff_table[Component])*(standard_components_1[[#This Row],[Service]]=factor_eff_table[Service]), 0, 1), 0)),
 "-")</f>
        <v>-</v>
      </c>
      <c r="E49" s="145" t="str" cm="1">
        <f t="array" ref="E4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49" s="145" t="str" cm="1">
        <f t="array" ref="F4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49" s="145" t="str" cm="1">
        <f t="array" ref="G4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4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4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INDEX((standard_components_1[[#This Row],[Component]]=factor_eff_table[Component])*(standard_components_1[[#This Row],[Service]]=factor_eff_table[Service]), 0, 1), 0)),
 "-")</f>
        <v>-</v>
      </c>
      <c r="E50" s="145" t="str" cm="1">
        <f t="array" ref="E5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0" s="145" t="str" cm="1">
        <f t="array" ref="F5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0" s="145" t="str" cm="1">
        <f t="array" ref="G5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INDEX((standard_components_1[[#This Row],[Component]]=factor_eff_table[Component])*(standard_components_1[[#This Row],[Service]]=factor_eff_table[Service]), 0, 1), 0)),
 "-")</f>
        <v>-</v>
      </c>
      <c r="E51" s="145" t="str" cm="1">
        <f t="array" ref="E5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1" s="145" t="str" cm="1">
        <f t="array" ref="F5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1" s="145" t="str" cm="1">
        <f t="array" ref="G5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INDEX((standard_components_1[[#This Row],[Component]]=factor_eff_table[Component])*(standard_components_1[[#This Row],[Service]]=factor_eff_table[Service]), 0, 1), 0)),
 "-")</f>
        <v>-</v>
      </c>
      <c r="E52" s="145" t="str" cm="1">
        <f t="array" ref="E5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2" s="145" t="str" cm="1">
        <f t="array" ref="F5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2" s="145" t="str" cm="1">
        <f t="array" ref="G5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INDEX((standard_components_1[[#This Row],[Component]]=factor_eff_table[Component])*(standard_components_1[[#This Row],[Service]]=factor_eff_table[Service]), 0, 1), 0)),
 "-")</f>
        <v>-</v>
      </c>
      <c r="E53" s="145" t="str" cm="1">
        <f t="array" ref="E5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3" s="145" t="str" cm="1">
        <f t="array" ref="F5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3" s="145" t="str" cm="1">
        <f t="array" ref="G5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INDEX((standard_components_1[[#This Row],[Component]]=factor_eff_table[Component])*(standard_components_1[[#This Row],[Service]]=factor_eff_table[Service]), 0, 1), 0)),
 "-")</f>
        <v>-</v>
      </c>
      <c r="E54" s="145" t="str" cm="1">
        <f t="array" ref="E5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4" s="145" t="str" cm="1">
        <f t="array" ref="F5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4" s="145" t="str" cm="1">
        <f t="array" ref="G5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INDEX((standard_components_1[[#This Row],[Component]]=factor_eff_table[Component])*(standard_components_1[[#This Row],[Service]]=factor_eff_table[Service]), 0, 1), 0)),
 "-")</f>
        <v>-</v>
      </c>
      <c r="E55" s="145" t="str" cm="1">
        <f t="array" ref="E5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5" s="145" t="str" cm="1">
        <f t="array" ref="F5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5" s="145" t="str" cm="1">
        <f t="array" ref="G5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INDEX((standard_components_1[[#This Row],[Component]]=factor_eff_table[Component])*(standard_components_1[[#This Row],[Service]]=factor_eff_table[Service]), 0, 1), 0)),
 "-")</f>
        <v>-</v>
      </c>
      <c r="E56" s="145" t="str" cm="1">
        <f t="array" ref="E5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6" s="145" t="str" cm="1">
        <f t="array" ref="F5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6" s="145" t="str" cm="1">
        <f t="array" ref="G5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INDEX((standard_components_1[[#This Row],[Component]]=factor_eff_table[Component])*(standard_components_1[[#This Row],[Service]]=factor_eff_table[Service]), 0, 1), 0)),
 "-")</f>
        <v>-</v>
      </c>
      <c r="E57" s="145" t="str" cm="1">
        <f t="array" ref="E5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7" s="145" t="str" cm="1">
        <f t="array" ref="F5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7" s="145" t="str" cm="1">
        <f t="array" ref="G5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INDEX((standard_components_1[[#This Row],[Component]]=factor_eff_table[Component])*(standard_components_1[[#This Row],[Service]]=factor_eff_table[Service]), 0, 1), 0)),
 "-")</f>
        <v>-</v>
      </c>
      <c r="E58" s="145" t="str" cm="1">
        <f t="array" ref="E5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8" s="145" t="str" cm="1">
        <f t="array" ref="F5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8" s="145" t="str" cm="1">
        <f t="array" ref="G5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INDEX((standard_components_1[[#This Row],[Component]]=factor_eff_table[Component])*(standard_components_1[[#This Row],[Service]]=factor_eff_table[Service]), 0, 1), 0)),
 "-")</f>
        <v>-</v>
      </c>
      <c r="E59" s="145" t="str" cm="1">
        <f t="array" ref="E5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59" s="145" t="str" cm="1">
        <f t="array" ref="F5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59" s="145" t="str" cm="1">
        <f t="array" ref="G5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5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5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INDEX((standard_components_1[[#This Row],[Component]]=factor_eff_table[Component])*(standard_components_1[[#This Row],[Service]]=factor_eff_table[Service]), 0, 1), 0)),
 "-")</f>
        <v>-</v>
      </c>
      <c r="E60" s="145" t="str" cm="1">
        <f t="array" ref="E6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0" s="145" t="str" cm="1">
        <f t="array" ref="F6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0" s="145" t="str" cm="1">
        <f t="array" ref="G6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INDEX((standard_components_1[[#This Row],[Component]]=factor_eff_table[Component])*(standard_components_1[[#This Row],[Service]]=factor_eff_table[Service]), 0, 1), 0)),
 "-")</f>
        <v>-</v>
      </c>
      <c r="E61" s="145" t="str" cm="1">
        <f t="array" ref="E6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1" s="145" t="str" cm="1">
        <f t="array" ref="F6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1" s="145" t="str" cm="1">
        <f t="array" ref="G6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INDEX((standard_components_1[[#This Row],[Component]]=factor_eff_table[Component])*(standard_components_1[[#This Row],[Service]]=factor_eff_table[Service]), 0, 1), 0)),
 "-")</f>
        <v>-</v>
      </c>
      <c r="E62" s="145" t="str" cm="1">
        <f t="array" ref="E6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2" s="145" t="str" cm="1">
        <f t="array" ref="F6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2" s="145" t="str" cm="1">
        <f t="array" ref="G6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INDEX((standard_components_1[[#This Row],[Component]]=factor_eff_table[Component])*(standard_components_1[[#This Row],[Service]]=factor_eff_table[Service]), 0, 1), 0)),
 "-")</f>
        <v>-</v>
      </c>
      <c r="E63" s="145" t="str" cm="1">
        <f t="array" ref="E6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3" s="145" t="str" cm="1">
        <f t="array" ref="F6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3" s="145" t="str" cm="1">
        <f t="array" ref="G6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INDEX((standard_components_1[[#This Row],[Component]]=factor_eff_table[Component])*(standard_components_1[[#This Row],[Service]]=factor_eff_table[Service]), 0, 1), 0)),
 "-")</f>
        <v>-</v>
      </c>
      <c r="E64" s="145" t="str" cm="1">
        <f t="array" ref="E6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4" s="145" t="str" cm="1">
        <f t="array" ref="F6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4" s="145" t="str" cm="1">
        <f t="array" ref="G6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INDEX((standard_components_1[[#This Row],[Component]]=factor_eff_table[Component])*(standard_components_1[[#This Row],[Service]]=factor_eff_table[Service]), 0, 1), 0)),
 "-")</f>
        <v>-</v>
      </c>
      <c r="E65" s="145" t="str" cm="1">
        <f t="array" ref="E6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5" s="145" t="str" cm="1">
        <f t="array" ref="F6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5" s="145" t="str" cm="1">
        <f t="array" ref="G6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INDEX((standard_components_1[[#This Row],[Component]]=factor_eff_table[Component])*(standard_components_1[[#This Row],[Service]]=factor_eff_table[Service]), 0, 1), 0)),
 "-")</f>
        <v>-</v>
      </c>
      <c r="E66" s="145" t="str" cm="1">
        <f t="array" ref="E6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6" s="145" t="str" cm="1">
        <f t="array" ref="F6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6" s="145" t="str" cm="1">
        <f t="array" ref="G6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INDEX((standard_components_1[[#This Row],[Component]]=factor_eff_table[Component])*(standard_components_1[[#This Row],[Service]]=factor_eff_table[Service]), 0, 1), 0)),
 "-")</f>
        <v>-</v>
      </c>
      <c r="E67" s="145" t="str" cm="1">
        <f t="array" ref="E6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7" s="145" t="str" cm="1">
        <f t="array" ref="F6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7" s="145" t="str" cm="1">
        <f t="array" ref="G6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INDEX((standard_components_1[[#This Row],[Component]]=factor_eff_table[Component])*(standard_components_1[[#This Row],[Service]]=factor_eff_table[Service]), 0, 1), 0)),
 "-")</f>
        <v>-</v>
      </c>
      <c r="E68" s="145" t="str" cm="1">
        <f t="array" ref="E6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8" s="145" t="str" cm="1">
        <f t="array" ref="F6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8" s="145" t="str" cm="1">
        <f t="array" ref="G6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INDEX((standard_components_1[[#This Row],[Component]]=factor_eff_table[Component])*(standard_components_1[[#This Row],[Service]]=factor_eff_table[Service]), 0, 1), 0)),
 "-")</f>
        <v>-</v>
      </c>
      <c r="E69" s="145" t="str" cm="1">
        <f t="array" ref="E6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69" s="145" t="str" cm="1">
        <f t="array" ref="F6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69" s="145" t="str" cm="1">
        <f t="array" ref="G6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6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6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INDEX((standard_components_1[[#This Row],[Component]]=factor_eff_table[Component])*(standard_components_1[[#This Row],[Service]]=factor_eff_table[Service]), 0, 1), 0)),
 "-")</f>
        <v>-</v>
      </c>
      <c r="E70" s="145" t="str" cm="1">
        <f t="array" ref="E7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0" s="145" t="str" cm="1">
        <f t="array" ref="F7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0" s="145" t="str" cm="1">
        <f t="array" ref="G7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INDEX((standard_components_1[[#This Row],[Component]]=factor_eff_table[Component])*(standard_components_1[[#This Row],[Service]]=factor_eff_table[Service]), 0, 1), 0)),
 "-")</f>
        <v>-</v>
      </c>
      <c r="E71" s="145" t="str" cm="1">
        <f t="array" ref="E7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1" s="145" t="str" cm="1">
        <f t="array" ref="F7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1" s="145" t="str" cm="1">
        <f t="array" ref="G7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INDEX((standard_components_1[[#This Row],[Component]]=factor_eff_table[Component])*(standard_components_1[[#This Row],[Service]]=factor_eff_table[Service]), 0, 1), 0)),
 "-")</f>
        <v>-</v>
      </c>
      <c r="E72" s="145" t="str" cm="1">
        <f t="array" ref="E7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2" s="145" t="str" cm="1">
        <f t="array" ref="F7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2" s="145" t="str" cm="1">
        <f t="array" ref="G7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INDEX((standard_components_1[[#This Row],[Component]]=factor_eff_table[Component])*(standard_components_1[[#This Row],[Service]]=factor_eff_table[Service]), 0, 1), 0)),
 "-")</f>
        <v>-</v>
      </c>
      <c r="E73" s="145" t="str" cm="1">
        <f t="array" ref="E7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3" s="145" t="str" cm="1">
        <f t="array" ref="F7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3" s="145" t="str" cm="1">
        <f t="array" ref="G7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INDEX((standard_components_1[[#This Row],[Component]]=factor_eff_table[Component])*(standard_components_1[[#This Row],[Service]]=factor_eff_table[Service]), 0, 1), 0)),
 "-")</f>
        <v>-</v>
      </c>
      <c r="E74" s="145" t="str" cm="1">
        <f t="array" ref="E7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4" s="145" t="str" cm="1">
        <f t="array" ref="F7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4" s="145" t="str" cm="1">
        <f t="array" ref="G7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INDEX((standard_components_1[[#This Row],[Component]]=factor_eff_table[Component])*(standard_components_1[[#This Row],[Service]]=factor_eff_table[Service]), 0, 1), 0)),
 "-")</f>
        <v>-</v>
      </c>
      <c r="E75" s="145" t="str" cm="1">
        <f t="array" ref="E7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5" s="145" t="str" cm="1">
        <f t="array" ref="F7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5" s="145" t="str" cm="1">
        <f t="array" ref="G7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INDEX((standard_components_1[[#This Row],[Component]]=factor_eff_table[Component])*(standard_components_1[[#This Row],[Service]]=factor_eff_table[Service]), 0, 1), 0)),
 "-")</f>
        <v>-</v>
      </c>
      <c r="E76" s="145" t="str" cm="1">
        <f t="array" ref="E7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6" s="145" t="str" cm="1">
        <f t="array" ref="F7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6" s="145" t="str" cm="1">
        <f t="array" ref="G7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INDEX((standard_components_1[[#This Row],[Component]]=factor_eff_table[Component])*(standard_components_1[[#This Row],[Service]]=factor_eff_table[Service]), 0, 1), 0)),
 "-")</f>
        <v>-</v>
      </c>
      <c r="E77" s="145" t="str" cm="1">
        <f t="array" ref="E7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7" s="145" t="str" cm="1">
        <f t="array" ref="F7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7" s="145" t="str" cm="1">
        <f t="array" ref="G7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INDEX((standard_components_1[[#This Row],[Component]]=factor_eff_table[Component])*(standard_components_1[[#This Row],[Service]]=factor_eff_table[Service]), 0, 1), 0)),
 "-")</f>
        <v>-</v>
      </c>
      <c r="E78" s="145" t="str" cm="1">
        <f t="array" ref="E7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8" s="145" t="str" cm="1">
        <f t="array" ref="F7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8" s="145" t="str" cm="1">
        <f t="array" ref="G7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INDEX((standard_components_1[[#This Row],[Component]]=factor_eff_table[Component])*(standard_components_1[[#This Row],[Service]]=factor_eff_table[Service]), 0, 1), 0)),
 "-")</f>
        <v>-</v>
      </c>
      <c r="E79" s="145" t="str" cm="1">
        <f t="array" ref="E7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79" s="145" t="str" cm="1">
        <f t="array" ref="F7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79" s="145" t="str" cm="1">
        <f t="array" ref="G7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7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7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INDEX((standard_components_1[[#This Row],[Component]]=factor_eff_table[Component])*(standard_components_1[[#This Row],[Service]]=factor_eff_table[Service]), 0, 1), 0)),
 "-")</f>
        <v>-</v>
      </c>
      <c r="E80" s="145" t="str" cm="1">
        <f t="array" ref="E8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0" s="145" t="str" cm="1">
        <f t="array" ref="F8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0" s="145" t="str" cm="1">
        <f t="array" ref="G8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INDEX((standard_components_1[[#This Row],[Component]]=factor_eff_table[Component])*(standard_components_1[[#This Row],[Service]]=factor_eff_table[Service]), 0, 1), 0)),
 "-")</f>
        <v>-</v>
      </c>
      <c r="E81" s="145" t="str" cm="1">
        <f t="array" ref="E8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1" s="145" t="str" cm="1">
        <f t="array" ref="F8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1" s="145" t="str" cm="1">
        <f t="array" ref="G8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INDEX((standard_components_1[[#This Row],[Component]]=factor_eff_table[Component])*(standard_components_1[[#This Row],[Service]]=factor_eff_table[Service]), 0, 1), 0)),
 "-")</f>
        <v>-</v>
      </c>
      <c r="E82" s="145" t="str" cm="1">
        <f t="array" ref="E8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2" s="145" t="str" cm="1">
        <f t="array" ref="F8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2" s="145" t="str" cm="1">
        <f t="array" ref="G8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INDEX((standard_components_1[[#This Row],[Component]]=factor_eff_table[Component])*(standard_components_1[[#This Row],[Service]]=factor_eff_table[Service]), 0, 1), 0)),
 "-")</f>
        <v>-</v>
      </c>
      <c r="E83" s="145" t="str" cm="1">
        <f t="array" ref="E8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3" s="145" t="str" cm="1">
        <f t="array" ref="F8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3" s="145" t="str" cm="1">
        <f t="array" ref="G8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INDEX((standard_components_1[[#This Row],[Component]]=factor_eff_table[Component])*(standard_components_1[[#This Row],[Service]]=factor_eff_table[Service]), 0, 1), 0)),
 "-")</f>
        <v>-</v>
      </c>
      <c r="E84" s="145" t="str" cm="1">
        <f t="array" ref="E8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4" s="145" t="str" cm="1">
        <f t="array" ref="F8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4" s="145" t="str" cm="1">
        <f t="array" ref="G8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INDEX((standard_components_1[[#This Row],[Component]]=factor_eff_table[Component])*(standard_components_1[[#This Row],[Service]]=factor_eff_table[Service]), 0, 1), 0)),
 "-")</f>
        <v>-</v>
      </c>
      <c r="E85" s="145" t="str" cm="1">
        <f t="array" ref="E8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5" s="145" t="str" cm="1">
        <f t="array" ref="F8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5" s="145" t="str" cm="1">
        <f t="array" ref="G8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INDEX((standard_components_1[[#This Row],[Component]]=factor_eff_table[Component])*(standard_components_1[[#This Row],[Service]]=factor_eff_table[Service]), 0, 1), 0)),
 "-")</f>
        <v>-</v>
      </c>
      <c r="E86" s="145" t="str" cm="1">
        <f t="array" ref="E8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6" s="145" t="str" cm="1">
        <f t="array" ref="F8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6" s="145" t="str" cm="1">
        <f t="array" ref="G8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INDEX((standard_components_1[[#This Row],[Component]]=factor_eff_table[Component])*(standard_components_1[[#This Row],[Service]]=factor_eff_table[Service]), 0, 1), 0)),
 "-")</f>
        <v>-</v>
      </c>
      <c r="E87" s="145" t="str" cm="1">
        <f t="array" ref="E8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7" s="145" t="str" cm="1">
        <f t="array" ref="F8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7" s="145" t="str" cm="1">
        <f t="array" ref="G8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INDEX((standard_components_1[[#This Row],[Component]]=factor_eff_table[Component])*(standard_components_1[[#This Row],[Service]]=factor_eff_table[Service]), 0, 1), 0)),
 "-")</f>
        <v>-</v>
      </c>
      <c r="E88" s="145" t="str" cm="1">
        <f t="array" ref="E8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8" s="145" t="str" cm="1">
        <f t="array" ref="F8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8" s="145" t="str" cm="1">
        <f t="array" ref="G8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INDEX((standard_components_1[[#This Row],[Component]]=factor_eff_table[Component])*(standard_components_1[[#This Row],[Service]]=factor_eff_table[Service]), 0, 1), 0)),
 "-")</f>
        <v>-</v>
      </c>
      <c r="E89" s="145" t="str" cm="1">
        <f t="array" ref="E8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89" s="145" t="str" cm="1">
        <f t="array" ref="F8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89" s="145" t="str" cm="1">
        <f t="array" ref="G8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8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8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INDEX((standard_components_1[[#This Row],[Component]]=factor_eff_table[Component])*(standard_components_1[[#This Row],[Service]]=factor_eff_table[Service]), 0, 1), 0)),
 "-")</f>
        <v>-</v>
      </c>
      <c r="E90" s="145" t="str" cm="1">
        <f t="array" ref="E9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0" s="145" t="str" cm="1">
        <f t="array" ref="F9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0" s="145" t="str" cm="1">
        <f t="array" ref="G9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INDEX((standard_components_1[[#This Row],[Component]]=factor_eff_table[Component])*(standard_components_1[[#This Row],[Service]]=factor_eff_table[Service]), 0, 1), 0)),
 "-")</f>
        <v>-</v>
      </c>
      <c r="E91" s="145" t="str" cm="1">
        <f t="array" ref="E91">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1" s="145" t="str" cm="1">
        <f t="array" ref="F91">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1" s="145" t="str" cm="1">
        <f t="array" ref="G91">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1"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1"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INDEX((standard_components_1[[#This Row],[Component]]=factor_eff_table[Component])*(standard_components_1[[#This Row],[Service]]=factor_eff_table[Service]), 0, 1), 0)),
 "-")</f>
        <v>-</v>
      </c>
      <c r="E92" s="145" t="str" cm="1">
        <f t="array" ref="E92">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2" s="145" t="str" cm="1">
        <f t="array" ref="F92">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2" s="145" t="str" cm="1">
        <f t="array" ref="G92">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2"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2"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INDEX((standard_components_1[[#This Row],[Component]]=factor_eff_table[Component])*(standard_components_1[[#This Row],[Service]]=factor_eff_table[Service]), 0, 1), 0)),
 "-")</f>
        <v>-</v>
      </c>
      <c r="E93" s="145" t="str" cm="1">
        <f t="array" ref="E93">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3" s="145" t="str" cm="1">
        <f t="array" ref="F93">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3" s="145" t="str" cm="1">
        <f t="array" ref="G93">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3"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3"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INDEX((standard_components_1[[#This Row],[Component]]=factor_eff_table[Component])*(standard_components_1[[#This Row],[Service]]=factor_eff_table[Service]), 0, 1), 0)),
 "-")</f>
        <v>-</v>
      </c>
      <c r="E94" s="145" t="str" cm="1">
        <f t="array" ref="E94">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4" s="145" t="str" cm="1">
        <f t="array" ref="F94">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4" s="145" t="str" cm="1">
        <f t="array" ref="G94">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4"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4"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INDEX((standard_components_1[[#This Row],[Component]]=factor_eff_table[Component])*(standard_components_1[[#This Row],[Service]]=factor_eff_table[Service]), 0, 1), 0)),
 "-")</f>
        <v>-</v>
      </c>
      <c r="E95" s="145" t="str" cm="1">
        <f t="array" ref="E95">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5" s="145" t="str" cm="1">
        <f t="array" ref="F95">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5" s="145" t="str" cm="1">
        <f t="array" ref="G95">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5"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5"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INDEX((standard_components_1[[#This Row],[Component]]=factor_eff_table[Component])*(standard_components_1[[#This Row],[Service]]=factor_eff_table[Service]), 0, 1), 0)),
 "-")</f>
        <v>-</v>
      </c>
      <c r="E96" s="145" t="str" cm="1">
        <f t="array" ref="E96">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6" s="145" t="str" cm="1">
        <f t="array" ref="F96">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6" s="145" t="str" cm="1">
        <f t="array" ref="G96">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6"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6"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INDEX((standard_components_1[[#This Row],[Component]]=factor_eff_table[Component])*(standard_components_1[[#This Row],[Service]]=factor_eff_table[Service]), 0, 1), 0)),
 "-")</f>
        <v>-</v>
      </c>
      <c r="E97" s="145" t="str" cm="1">
        <f t="array" ref="E97">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7" s="145" t="str" cm="1">
        <f t="array" ref="F97">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7" s="145" t="str" cm="1">
        <f t="array" ref="G97">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7"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7"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INDEX((standard_components_1[[#This Row],[Component]]=factor_eff_table[Component])*(standard_components_1[[#This Row],[Service]]=factor_eff_table[Service]), 0, 1), 0)),
 "-")</f>
        <v>-</v>
      </c>
      <c r="E98" s="145" t="str" cm="1">
        <f t="array" ref="E98">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8" s="145" t="str" cm="1">
        <f t="array" ref="F98">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8" s="145" t="str" cm="1">
        <f t="array" ref="G98">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8"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8"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INDEX((standard_components_1[[#This Row],[Component]]=factor_eff_table[Component])*(standard_components_1[[#This Row],[Service]]=factor_eff_table[Service]), 0, 1), 0)),
 "-")</f>
        <v>-</v>
      </c>
      <c r="E99" s="145" t="str" cm="1">
        <f t="array" ref="E99">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99" s="145" t="str" cm="1">
        <f t="array" ref="F99">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99" s="145" t="str" cm="1">
        <f t="array" ref="G99">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99"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99"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INDEX((standard_components_1[[#This Row],[Component]]=factor_eff_table[Component])*(standard_components_1[[#This Row],[Service]]=factor_eff_table[Service]), 0, 1), 0)),
 "-")</f>
        <v>-</v>
      </c>
      <c r="E100" s="145" t="str" cm="1">
        <f t="array" ref="E100">IF(AND(process_drain_bool="Yes",LEFT(standard_components_1[[#This Row],[Component]], LEN("Process drains"))="Process Drains", ISBLANK(instrument_ldar)=FALSE), process_drain_eff,
IFERROR(
INDEX(
INDEX(factor_eff_table[], , MATCH(instrument_ldar, factor_eff_table[#Headers], 0)),
MATCH(1, INDEX((standard_components_1[[#This Row],[Component]]=factor_eff_table[Component])*(standard_components_1[[#This Row],[Service]]=factor_eff_table[Service]), 0, 1), 0)),
 "-"))</f>
        <v>-</v>
      </c>
      <c r="F100" s="145" t="str" cm="1">
        <f t="array" ref="F100">IF(AND(process_drain_bool="Yes",LEFT(standard_components_1[[#This Row],[Component]], LEN("Process drains"))="Process Drains", ISBLANK(connector_ldar)=FALSE), process_drain_eff,
IFERROR(
INDEX(
INDEX(factor_eff_table[], , MATCH(connector_ldar, factor_eff_table[#Headers], 0)),
MATCH(1, INDEX((standard_components_1[[#This Row],[Component]]=factor_eff_table[Component])*(standard_components_1[[#This Row],[Service]]=factor_eff_table[Service]), 0, 1), 0)),
 "-"))</f>
        <v>-</v>
      </c>
      <c r="G100" s="145" t="str" cm="1">
        <f t="array" ref="G100">IF(AND(process_drain_bool="Yes",LEFT(standard_components_1[[#This Row],[Component]], LEN("Process Drains"))="Process Drains", ISBLANK(inspection_ldar)=FALSE), process_drain_eff,
IFERROR(
INDEX(
INDEX(factor_eff_table[], , MATCH(inspection_ldar, factor_eff_table[#Headers], 0)),
MATCH(1, INDEX((standard_components_1[[#This Row],[Component]]=factor_eff_table[Component])*(standard_components_1[[#This Row],[Service]]=factor_eff_table[Service]), 0, 1), 0)),
 "-"))</f>
        <v>-</v>
      </c>
      <c r="H100" s="146" t="str">
        <f>IF(standard_components_1[[#This Row],[Component]]="Sampling Connections (annual) [2]", "N/A",
 IF(standard_components_1[[#This Row],[Component]]="Sampling Connections (hourly) [1]", standard_components_1[[#This Row],[Count]]*standard_components_1[[#This Row],[Industry Emission Factor]],
IFERROR(standard_components_1[[#This Row],[Count]]*standard_components_1[[#This Row],[Industry Emission Factor]]*MIN(1-standard_components_1[[#This Row],[Instrument Monitoring LDAR Control Efficiency]], 1-standard_components_1[[#This Row],[Physical Inspection LDAR Control Efficiency]], 1-standard_components_1[[#This Row],[Connector Monitoring LDAR Control Efficiency]]), "-")))</f>
        <v>-</v>
      </c>
      <c r="I100" s="146" t="str">
        <f>IF(standard_components_1[[#This Row],[Component]]="Sampling Connections (hourly) [1]", "N/A",
 IF(standard_components_1[[#This Row],[Component]]="Sampling Connections (annual) [2]", standard_components_1[[#This Row],[Count]]*standard_components_1[[#This Row],[Industry Emission Factor]]/stons_to_lbs,
 IFERROR(years_to_hrs/stons_to_lbs*standard_components_1[[#This Row],[Controlled
lb/hr]], "-")))</f>
        <v>-</v>
      </c>
    </row>
    <row r="101" spans="1:9" ht="15" x14ac:dyDescent="0.25">
      <c r="A101" s="147" t="s">
        <v>12776</v>
      </c>
      <c r="B101" s="148"/>
      <c r="C101" s="149">
        <f>SUBTOTAL(109,standard_components_1[Count])</f>
        <v>0</v>
      </c>
      <c r="D101" s="150"/>
      <c r="E101" s="150"/>
      <c r="F101" s="150"/>
      <c r="G101" s="150"/>
      <c r="H101" s="151">
        <f>SUBTOTAL(109,standard_components_1[Controlled
lb/hr])</f>
        <v>0</v>
      </c>
      <c r="I101" s="151">
        <f>SUBTOTAL(109,standard_components_1[Controlled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unique_components_1[[#This Row],[Count]]*unique_components_1[[#This Row],[Proposed Emission Factor]]*(1-unique_components_1[[#This Row],[Proposed Control Efficiency]])</f>
        <v>0</v>
      </c>
      <c r="G107" s="155">
        <f>IFERROR(unique_components_1[[#This Row],[Controlled lb/hr]]*4.38,"")</f>
        <v>0</v>
      </c>
    </row>
    <row r="108" spans="1:9" x14ac:dyDescent="0.2">
      <c r="A108" s="103"/>
      <c r="B108" s="104"/>
      <c r="C108" s="153"/>
      <c r="D108" s="154"/>
      <c r="E108" s="154"/>
      <c r="F108" s="146">
        <f>unique_components_1[[#This Row],[Count]]*unique_components_1[[#This Row],[Proposed Emission Factor]]*(1-unique_components_1[[#This Row],[Proposed Control Efficiency]])</f>
        <v>0</v>
      </c>
      <c r="G108" s="155">
        <f>IFERROR(unique_components_1[[#This Row],[Controlled lb/hr]]*4.38,"")</f>
        <v>0</v>
      </c>
    </row>
    <row r="109" spans="1:9" x14ac:dyDescent="0.2">
      <c r="A109" s="103"/>
      <c r="B109" s="104"/>
      <c r="C109" s="153"/>
      <c r="D109" s="154"/>
      <c r="E109" s="154"/>
      <c r="F109" s="146">
        <f>unique_components_1[[#This Row],[Count]]*unique_components_1[[#This Row],[Proposed Emission Factor]]*(1-unique_components_1[[#This Row],[Proposed Control Efficiency]])</f>
        <v>0</v>
      </c>
      <c r="G109" s="155">
        <f>IFERROR(unique_components_1[[#This Row],[Controlled lb/hr]]*4.38,"")</f>
        <v>0</v>
      </c>
    </row>
    <row r="110" spans="1:9" x14ac:dyDescent="0.2">
      <c r="A110" s="103"/>
      <c r="B110" s="104"/>
      <c r="C110" s="153"/>
      <c r="D110" s="154"/>
      <c r="E110" s="154"/>
      <c r="F110" s="146">
        <f>unique_components_1[[#This Row],[Count]]*unique_components_1[[#This Row],[Proposed Emission Factor]]*(1-unique_components_1[[#This Row],[Proposed Control Efficiency]])</f>
        <v>0</v>
      </c>
      <c r="G110" s="155">
        <f>IFERROR(unique_components_1[[#This Row],[Controlled lb/hr]]*4.38,"")</f>
        <v>0</v>
      </c>
    </row>
    <row r="111" spans="1:9" x14ac:dyDescent="0.2">
      <c r="A111" s="103"/>
      <c r="B111" s="104"/>
      <c r="C111" s="153"/>
      <c r="D111" s="154"/>
      <c r="E111" s="154"/>
      <c r="F111" s="146">
        <f>unique_components_1[[#This Row],[Count]]*unique_components_1[[#This Row],[Proposed Emission Factor]]*(1-unique_components_1[[#This Row],[Proposed Control Efficiency]])</f>
        <v>0</v>
      </c>
      <c r="G111" s="155">
        <f>IFERROR(unique_components_1[[#This Row],[Controlled lb/hr]]*4.38,"")</f>
        <v>0</v>
      </c>
    </row>
    <row r="112" spans="1:9" x14ac:dyDescent="0.2">
      <c r="A112" s="103"/>
      <c r="B112" s="104"/>
      <c r="C112" s="153"/>
      <c r="D112" s="154"/>
      <c r="E112" s="154"/>
      <c r="F112" s="146">
        <f>unique_components_1[[#This Row],[Count]]*unique_components_1[[#This Row],[Proposed Emission Factor]]*(1-unique_components_1[[#This Row],[Proposed Control Efficiency]])</f>
        <v>0</v>
      </c>
      <c r="G112" s="155">
        <f>IFERROR(unique_components_1[[#This Row],[Controlled lb/hr]]*4.38,"")</f>
        <v>0</v>
      </c>
    </row>
    <row r="113" spans="1:8" x14ac:dyDescent="0.2">
      <c r="A113" s="103"/>
      <c r="B113" s="104"/>
      <c r="C113" s="153"/>
      <c r="D113" s="154"/>
      <c r="E113" s="154"/>
      <c r="F113" s="146">
        <f>unique_components_1[[#This Row],[Count]]*unique_components_1[[#This Row],[Proposed Emission Factor]]*(1-unique_components_1[[#This Row],[Proposed Control Efficiency]])</f>
        <v>0</v>
      </c>
      <c r="G113" s="155">
        <f>IFERROR(unique_components_1[[#This Row],[Controlled lb/hr]]*4.38,"")</f>
        <v>0</v>
      </c>
    </row>
    <row r="114" spans="1:8" x14ac:dyDescent="0.2">
      <c r="A114" s="103"/>
      <c r="B114" s="104"/>
      <c r="C114" s="153"/>
      <c r="D114" s="154"/>
      <c r="E114" s="154"/>
      <c r="F114" s="146">
        <f>unique_components_1[[#This Row],[Count]]*unique_components_1[[#This Row],[Proposed Emission Factor]]*(1-unique_components_1[[#This Row],[Proposed Control Efficiency]])</f>
        <v>0</v>
      </c>
      <c r="G114" s="155">
        <f>IFERROR(unique_components_1[[#This Row],[Controlled lb/hr]]*4.38,"")</f>
        <v>0</v>
      </c>
    </row>
    <row r="115" spans="1:8" x14ac:dyDescent="0.2">
      <c r="A115" s="103"/>
      <c r="B115" s="104"/>
      <c r="C115" s="153"/>
      <c r="D115" s="154"/>
      <c r="E115" s="154"/>
      <c r="F115" s="146">
        <f>unique_components_1[[#This Row],[Count]]*unique_components_1[[#This Row],[Proposed Emission Factor]]*(1-unique_components_1[[#This Row],[Proposed Control Efficiency]])</f>
        <v>0</v>
      </c>
      <c r="G115" s="155">
        <f>IFERROR(unique_components_1[[#This Row],[Controlled lb/hr]]*4.38,"")</f>
        <v>0</v>
      </c>
    </row>
    <row r="116" spans="1:8" x14ac:dyDescent="0.2">
      <c r="A116" s="103"/>
      <c r="B116" s="104"/>
      <c r="C116" s="153"/>
      <c r="D116" s="154"/>
      <c r="E116" s="154"/>
      <c r="F116" s="146">
        <f>unique_components_1[[#This Row],[Count]]*unique_components_1[[#This Row],[Proposed Emission Factor]]*(1-unique_components_1[[#This Row],[Proposed Control Efficiency]])</f>
        <v>0</v>
      </c>
      <c r="G116" s="155">
        <f>IFERROR(unique_components_1[[#This Row],[Controlled lb/hr]]*4.38,"")</f>
        <v>0</v>
      </c>
    </row>
    <row r="117" spans="1:8" x14ac:dyDescent="0.2">
      <c r="A117" s="103"/>
      <c r="B117" s="104"/>
      <c r="C117" s="153"/>
      <c r="D117" s="154"/>
      <c r="E117" s="154"/>
      <c r="F117" s="146">
        <f>unique_components_1[[#This Row],[Count]]*unique_components_1[[#This Row],[Proposed Emission Factor]]*(1-unique_components_1[[#This Row],[Proposed Control Efficiency]])</f>
        <v>0</v>
      </c>
      <c r="G117" s="155">
        <f>IFERROR(unique_components_1[[#This Row],[Controlled lb/hr]]*4.38,"")</f>
        <v>0</v>
      </c>
    </row>
    <row r="118" spans="1:8" x14ac:dyDescent="0.2">
      <c r="A118" s="103"/>
      <c r="B118" s="104"/>
      <c r="C118" s="153"/>
      <c r="D118" s="154"/>
      <c r="E118" s="154"/>
      <c r="F118" s="146">
        <f>unique_components_1[[#This Row],[Count]]*unique_components_1[[#This Row],[Proposed Emission Factor]]*(1-unique_components_1[[#This Row],[Proposed Control Efficiency]])</f>
        <v>0</v>
      </c>
      <c r="G118" s="155">
        <f>IFERROR(unique_components_1[[#This Row],[Controlled lb/hr]]*4.38,"")</f>
        <v>0</v>
      </c>
    </row>
    <row r="119" spans="1:8" x14ac:dyDescent="0.2">
      <c r="A119" s="103"/>
      <c r="B119" s="104"/>
      <c r="C119" s="153"/>
      <c r="D119" s="154"/>
      <c r="E119" s="154"/>
      <c r="F119" s="146">
        <f>unique_components_1[[#This Row],[Count]]*unique_components_1[[#This Row],[Proposed Emission Factor]]*(1-unique_components_1[[#This Row],[Proposed Control Efficiency]])</f>
        <v>0</v>
      </c>
      <c r="G119" s="155">
        <f>IFERROR(unique_components_1[[#This Row],[Controlled lb/hr]]*4.38,"")</f>
        <v>0</v>
      </c>
    </row>
    <row r="120" spans="1:8" x14ac:dyDescent="0.2">
      <c r="A120" s="103"/>
      <c r="B120" s="104"/>
      <c r="C120" s="153"/>
      <c r="D120" s="154"/>
      <c r="E120" s="154"/>
      <c r="F120" s="146">
        <f>unique_components_1[[#This Row],[Count]]*unique_components_1[[#This Row],[Proposed Emission Factor]]*(1-unique_components_1[[#This Row],[Proposed Control Efficiency]])</f>
        <v>0</v>
      </c>
      <c r="G120" s="155">
        <f>IFERROR(unique_components_1[[#This Row],[Controlled lb/hr]]*4.38,"")</f>
        <v>0</v>
      </c>
    </row>
    <row r="121" spans="1:8" x14ac:dyDescent="0.2">
      <c r="A121" s="103"/>
      <c r="B121" s="104"/>
      <c r="C121" s="153"/>
      <c r="D121" s="154"/>
      <c r="E121" s="154"/>
      <c r="F121" s="146">
        <f>unique_components_1[[#This Row],[Count]]*unique_components_1[[#This Row],[Proposed Emission Factor]]*(1-unique_components_1[[#This Row],[Proposed Control Efficiency]])</f>
        <v>0</v>
      </c>
      <c r="G121" s="155">
        <f>IFERROR(unique_components_1[[#This Row],[Controlled lb/hr]]*4.38,"")</f>
        <v>0</v>
      </c>
    </row>
    <row r="122" spans="1:8" x14ac:dyDescent="0.2">
      <c r="A122" s="103"/>
      <c r="B122" s="104"/>
      <c r="C122" s="153"/>
      <c r="D122" s="154"/>
      <c r="E122" s="154"/>
      <c r="F122" s="146">
        <f>unique_components_1[[#This Row],[Count]]*unique_components_1[[#This Row],[Proposed Emission Factor]]*(1-unique_components_1[[#This Row],[Proposed Control Efficiency]])</f>
        <v>0</v>
      </c>
      <c r="G122" s="155">
        <f>IFERROR(unique_components_1[[#This Row],[Controlled lb/hr]]*4.38,"")</f>
        <v>0</v>
      </c>
    </row>
    <row r="123" spans="1:8" x14ac:dyDescent="0.2">
      <c r="A123" s="103"/>
      <c r="B123" s="104"/>
      <c r="C123" s="153"/>
      <c r="D123" s="154"/>
      <c r="E123" s="154"/>
      <c r="F123" s="146">
        <f>unique_components_1[[#This Row],[Count]]*unique_components_1[[#This Row],[Proposed Emission Factor]]*(1-unique_components_1[[#This Row],[Proposed Control Efficiency]])</f>
        <v>0</v>
      </c>
      <c r="G123" s="155">
        <f>IFERROR(unique_components_1[[#This Row],[Controlled lb/hr]]*4.38,"")</f>
        <v>0</v>
      </c>
    </row>
    <row r="124" spans="1:8" x14ac:dyDescent="0.2">
      <c r="A124" s="103"/>
      <c r="B124" s="104"/>
      <c r="C124" s="153"/>
      <c r="D124" s="154"/>
      <c r="E124" s="154"/>
      <c r="F124" s="146">
        <f>unique_components_1[[#This Row],[Count]]*unique_components_1[[#This Row],[Proposed Emission Factor]]*(1-unique_components_1[[#This Row],[Proposed Control Efficiency]])</f>
        <v>0</v>
      </c>
      <c r="G124" s="155">
        <f>IFERROR(unique_components_1[[#This Row],[Controlled lb/hr]]*4.38,"")</f>
        <v>0</v>
      </c>
    </row>
    <row r="125" spans="1:8" x14ac:dyDescent="0.2">
      <c r="A125" s="103"/>
      <c r="B125" s="104"/>
      <c r="C125" s="153"/>
      <c r="D125" s="154"/>
      <c r="E125" s="154"/>
      <c r="F125" s="146">
        <f>unique_components_1[[#This Row],[Count]]*unique_components_1[[#This Row],[Proposed Emission Factor]]*(1-unique_components_1[[#This Row],[Proposed Control Efficiency]])</f>
        <v>0</v>
      </c>
      <c r="G125" s="155">
        <f>IFERROR(unique_components_1[[#This Row],[Controlled lb/hr]]*4.38,"")</f>
        <v>0</v>
      </c>
    </row>
    <row r="126" spans="1:8" x14ac:dyDescent="0.2">
      <c r="A126" s="105"/>
      <c r="B126" s="106"/>
      <c r="C126" s="156"/>
      <c r="D126" s="154"/>
      <c r="E126" s="157"/>
      <c r="F126" s="158">
        <f>unique_components_1[[#This Row],[Count]]*unique_components_1[[#This Row],[Proposed Emission Factor]]*(1-unique_components_1[[#This Row],[Proposed Control Efficiency]])</f>
        <v>0</v>
      </c>
      <c r="G126" s="159">
        <f>IFERROR(unique_components_1[[#This Row],[Controlled lb/hr]]*4.38,"")</f>
        <v>0</v>
      </c>
    </row>
    <row r="127" spans="1:8" ht="30" x14ac:dyDescent="0.2">
      <c r="A127" s="57" t="s">
        <v>13297</v>
      </c>
      <c r="B127" s="54"/>
      <c r="C127" s="160">
        <f>SUBTOTAL(109,unique_components_1[Count])</f>
        <v>0</v>
      </c>
      <c r="D127" s="161"/>
      <c r="E127" s="161"/>
      <c r="F127" s="162">
        <f>SUBTOTAL(109,unique_components_1[Controlled lb/hr])</f>
        <v>0</v>
      </c>
      <c r="G127" s="162">
        <f>SUBTOTAL(109,unique_components_1[Controlled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IFERROR(VLOOKUP(speciated_chemicals_1[[#This Row],[CAS '#]],species[],MATCH("Substance", species[#Headers], 0),FALSE),"No CAS Number Entered")</f>
        <v>No CAS Number Entered</v>
      </c>
      <c r="C131" s="102"/>
      <c r="D131" s="102" t="s">
        <v>12666</v>
      </c>
      <c r="E131" s="102" t="s">
        <v>12666</v>
      </c>
      <c r="F131" s="102" t="s">
        <v>12666</v>
      </c>
      <c r="G131" s="102" t="s">
        <v>12666</v>
      </c>
      <c r="H131" s="164"/>
      <c r="I131" s="51">
        <f>IF(speciated_chemicals_1[[#This Row],[Inert / Not a Contaminant?]]="Yes", 0, speciated_chemicals_1[[#This Row],[Weight Percent]]*(unique_components_1[[#Totals],[Controlled lb/hr]]+standard_components_1[[#Totals],[Controlled
lb/hr]]))</f>
        <v>0</v>
      </c>
      <c r="J131" s="51">
        <f>IF(speciated_chemicals_1[[#This Row],[Inert / Not a Contaminant?]]="Yes", 0, speciated_chemicals_1[[#This Row],[Weight Percent]]*(unique_components_1[[#Totals],[Controlled
tpy]]+standard_components_1[[#Totals],[Controlled
tpy]]))</f>
        <v>0</v>
      </c>
    </row>
    <row r="132" spans="1:10" x14ac:dyDescent="0.2">
      <c r="A132" s="103"/>
      <c r="B132" s="51" t="str">
        <f>IFERROR(VLOOKUP(speciated_chemicals_1[[#This Row],[CAS '#]],species[],MATCH("Substance", species[#Headers], 0),FALSE),"No CAS Number Entered")</f>
        <v>No CAS Number Entered</v>
      </c>
      <c r="C132" s="102"/>
      <c r="D132" s="102" t="s">
        <v>12666</v>
      </c>
      <c r="E132" s="102" t="s">
        <v>12666</v>
      </c>
      <c r="F132" s="102" t="s">
        <v>12666</v>
      </c>
      <c r="G132" s="102" t="s">
        <v>12666</v>
      </c>
      <c r="H132" s="164"/>
      <c r="I132" s="51">
        <f>IF(speciated_chemicals_1[[#This Row],[Inert / Not a Contaminant?]]="Yes", 0, speciated_chemicals_1[[#This Row],[Weight Percent]]*(unique_components_1[[#Totals],[Controlled lb/hr]]+standard_components_1[[#Totals],[Controlled
lb/hr]]))</f>
        <v>0</v>
      </c>
      <c r="J132" s="51">
        <f>IF(speciated_chemicals_1[[#This Row],[Inert / Not a Contaminant?]]="Yes", 0, speciated_chemicals_1[[#This Row],[Weight Percent]]*(unique_components_1[[#Totals],[Controlled
tpy]]+standard_components_1[[#Totals],[Controlled
tpy]]))</f>
        <v>0</v>
      </c>
    </row>
    <row r="133" spans="1:10" x14ac:dyDescent="0.2">
      <c r="A133" s="103"/>
      <c r="B133" s="51" t="str">
        <f>IFERROR(VLOOKUP(speciated_chemicals_1[[#This Row],[CAS '#]],species[],MATCH("Substance", species[#Headers], 0),FALSE),"No CAS Number Entered")</f>
        <v>No CAS Number Entered</v>
      </c>
      <c r="C133" s="102"/>
      <c r="D133" s="102" t="s">
        <v>12666</v>
      </c>
      <c r="E133" s="102" t="s">
        <v>12666</v>
      </c>
      <c r="F133" s="102" t="s">
        <v>12666</v>
      </c>
      <c r="G133" s="102" t="s">
        <v>12666</v>
      </c>
      <c r="H133" s="164"/>
      <c r="I133" s="51">
        <f>IF(speciated_chemicals_1[[#This Row],[Inert / Not a Contaminant?]]="Yes", 0, speciated_chemicals_1[[#This Row],[Weight Percent]]*(unique_components_1[[#Totals],[Controlled lb/hr]]+standard_components_1[[#Totals],[Controlled
lb/hr]]))</f>
        <v>0</v>
      </c>
      <c r="J133" s="51">
        <f>IF(speciated_chemicals_1[[#This Row],[Inert / Not a Contaminant?]]="Yes", 0, speciated_chemicals_1[[#This Row],[Weight Percent]]*(unique_components_1[[#Totals],[Controlled
tpy]]+standard_components_1[[#Totals],[Controlled
tpy]]))</f>
        <v>0</v>
      </c>
    </row>
    <row r="134" spans="1:10" x14ac:dyDescent="0.2">
      <c r="A134" s="103"/>
      <c r="B134" s="51" t="str">
        <f>IFERROR(VLOOKUP(speciated_chemicals_1[[#This Row],[CAS '#]],species[],MATCH("Substance", species[#Headers], 0),FALSE),"No CAS Number Entered")</f>
        <v>No CAS Number Entered</v>
      </c>
      <c r="C134" s="102"/>
      <c r="D134" s="102" t="s">
        <v>12666</v>
      </c>
      <c r="E134" s="102" t="s">
        <v>12666</v>
      </c>
      <c r="F134" s="102" t="s">
        <v>12666</v>
      </c>
      <c r="G134" s="102" t="s">
        <v>12666</v>
      </c>
      <c r="H134" s="164"/>
      <c r="I134" s="51">
        <f>IF(speciated_chemicals_1[[#This Row],[Inert / Not a Contaminant?]]="Yes", 0, speciated_chemicals_1[[#This Row],[Weight Percent]]*(unique_components_1[[#Totals],[Controlled lb/hr]]+standard_components_1[[#Totals],[Controlled
lb/hr]]))</f>
        <v>0</v>
      </c>
      <c r="J134" s="51">
        <f>IF(speciated_chemicals_1[[#This Row],[Inert / Not a Contaminant?]]="Yes", 0, speciated_chemicals_1[[#This Row],[Weight Percent]]*(unique_components_1[[#Totals],[Controlled
tpy]]+standard_components_1[[#Totals],[Controlled
tpy]]))</f>
        <v>0</v>
      </c>
    </row>
    <row r="135" spans="1:10" x14ac:dyDescent="0.2">
      <c r="A135" s="103"/>
      <c r="B135" s="51" t="str">
        <f>IFERROR(VLOOKUP(speciated_chemicals_1[[#This Row],[CAS '#]],species[],MATCH("Substance", species[#Headers], 0),FALSE),"No CAS Number Entered")</f>
        <v>No CAS Number Entered</v>
      </c>
      <c r="C135" s="102"/>
      <c r="D135" s="102" t="s">
        <v>12666</v>
      </c>
      <c r="E135" s="102" t="s">
        <v>12666</v>
      </c>
      <c r="F135" s="102" t="s">
        <v>12666</v>
      </c>
      <c r="G135" s="102" t="s">
        <v>12666</v>
      </c>
      <c r="H135" s="164"/>
      <c r="I135" s="51">
        <f>IF(speciated_chemicals_1[[#This Row],[Inert / Not a Contaminant?]]="Yes", 0, speciated_chemicals_1[[#This Row],[Weight Percent]]*(unique_components_1[[#Totals],[Controlled lb/hr]]+standard_components_1[[#Totals],[Controlled
lb/hr]]))</f>
        <v>0</v>
      </c>
      <c r="J135" s="51">
        <f>IF(speciated_chemicals_1[[#This Row],[Inert / Not a Contaminant?]]="Yes", 0, speciated_chemicals_1[[#This Row],[Weight Percent]]*(unique_components_1[[#Totals],[Controlled
tpy]]+standard_components_1[[#Totals],[Controlled
tpy]]))</f>
        <v>0</v>
      </c>
    </row>
    <row r="136" spans="1:10" x14ac:dyDescent="0.2">
      <c r="A136" s="103"/>
      <c r="B136" s="51" t="str">
        <f>IFERROR(VLOOKUP(speciated_chemicals_1[[#This Row],[CAS '#]],species[],MATCH("Substance", species[#Headers], 0),FALSE),"No CAS Number Entered")</f>
        <v>No CAS Number Entered</v>
      </c>
      <c r="C136" s="102"/>
      <c r="D136" s="102" t="s">
        <v>12666</v>
      </c>
      <c r="E136" s="102" t="s">
        <v>12666</v>
      </c>
      <c r="F136" s="102" t="s">
        <v>12666</v>
      </c>
      <c r="G136" s="102" t="s">
        <v>12666</v>
      </c>
      <c r="H136" s="164"/>
      <c r="I136" s="51">
        <f>IF(speciated_chemicals_1[[#This Row],[Inert / Not a Contaminant?]]="Yes", 0, speciated_chemicals_1[[#This Row],[Weight Percent]]*(unique_components_1[[#Totals],[Controlled lb/hr]]+standard_components_1[[#Totals],[Controlled
lb/hr]]))</f>
        <v>0</v>
      </c>
      <c r="J136" s="51">
        <f>IF(speciated_chemicals_1[[#This Row],[Inert / Not a Contaminant?]]="Yes", 0, speciated_chemicals_1[[#This Row],[Weight Percent]]*(unique_components_1[[#Totals],[Controlled
tpy]]+standard_components_1[[#Totals],[Controlled
tpy]]))</f>
        <v>0</v>
      </c>
    </row>
    <row r="137" spans="1:10" x14ac:dyDescent="0.2">
      <c r="A137" s="103"/>
      <c r="B137" s="51" t="str">
        <f>IFERROR(VLOOKUP(speciated_chemicals_1[[#This Row],[CAS '#]],species[],MATCH("Substance", species[#Headers], 0),FALSE),"No CAS Number Entered")</f>
        <v>No CAS Number Entered</v>
      </c>
      <c r="C137" s="102"/>
      <c r="D137" s="102" t="s">
        <v>12666</v>
      </c>
      <c r="E137" s="102" t="s">
        <v>12666</v>
      </c>
      <c r="F137" s="102" t="s">
        <v>12666</v>
      </c>
      <c r="G137" s="102" t="s">
        <v>12666</v>
      </c>
      <c r="H137" s="164"/>
      <c r="I137" s="51">
        <f>IF(speciated_chemicals_1[[#This Row],[Inert / Not a Contaminant?]]="Yes", 0, speciated_chemicals_1[[#This Row],[Weight Percent]]*(unique_components_1[[#Totals],[Controlled lb/hr]]+standard_components_1[[#Totals],[Controlled
lb/hr]]))</f>
        <v>0</v>
      </c>
      <c r="J137" s="51">
        <f>IF(speciated_chemicals_1[[#This Row],[Inert / Not a Contaminant?]]="Yes", 0, speciated_chemicals_1[[#This Row],[Weight Percent]]*(unique_components_1[[#Totals],[Controlled
tpy]]+standard_components_1[[#Totals],[Controlled
tpy]]))</f>
        <v>0</v>
      </c>
    </row>
    <row r="138" spans="1:10" x14ac:dyDescent="0.2">
      <c r="A138" s="103"/>
      <c r="B138" s="51" t="str">
        <f>IFERROR(VLOOKUP(speciated_chemicals_1[[#This Row],[CAS '#]],species[],MATCH("Substance", species[#Headers], 0),FALSE),"No CAS Number Entered")</f>
        <v>No CAS Number Entered</v>
      </c>
      <c r="C138" s="102"/>
      <c r="D138" s="102" t="s">
        <v>12666</v>
      </c>
      <c r="E138" s="102" t="s">
        <v>12666</v>
      </c>
      <c r="F138" s="102" t="s">
        <v>12666</v>
      </c>
      <c r="G138" s="102" t="s">
        <v>12666</v>
      </c>
      <c r="H138" s="164"/>
      <c r="I138" s="51">
        <f>IF(speciated_chemicals_1[[#This Row],[Inert / Not a Contaminant?]]="Yes", 0, speciated_chemicals_1[[#This Row],[Weight Percent]]*(unique_components_1[[#Totals],[Controlled lb/hr]]+standard_components_1[[#Totals],[Controlled
lb/hr]]))</f>
        <v>0</v>
      </c>
      <c r="J138" s="51">
        <f>IF(speciated_chemicals_1[[#This Row],[Inert / Not a Contaminant?]]="Yes", 0, speciated_chemicals_1[[#This Row],[Weight Percent]]*(unique_components_1[[#Totals],[Controlled
tpy]]+standard_components_1[[#Totals],[Controlled
tpy]]))</f>
        <v>0</v>
      </c>
    </row>
    <row r="139" spans="1:10" x14ac:dyDescent="0.2">
      <c r="A139" s="103"/>
      <c r="B139" s="51" t="str">
        <f>IFERROR(VLOOKUP(speciated_chemicals_1[[#This Row],[CAS '#]],species[],MATCH("Substance", species[#Headers], 0),FALSE),"No CAS Number Entered")</f>
        <v>No CAS Number Entered</v>
      </c>
      <c r="C139" s="102"/>
      <c r="D139" s="102" t="s">
        <v>12666</v>
      </c>
      <c r="E139" s="102" t="s">
        <v>12666</v>
      </c>
      <c r="F139" s="102" t="s">
        <v>12666</v>
      </c>
      <c r="G139" s="102" t="s">
        <v>12666</v>
      </c>
      <c r="H139" s="164"/>
      <c r="I139" s="51">
        <f>IF(speciated_chemicals_1[[#This Row],[Inert / Not a Contaminant?]]="Yes", 0, speciated_chemicals_1[[#This Row],[Weight Percent]]*(unique_components_1[[#Totals],[Controlled lb/hr]]+standard_components_1[[#Totals],[Controlled
lb/hr]]))</f>
        <v>0</v>
      </c>
      <c r="J139" s="51">
        <f>IF(speciated_chemicals_1[[#This Row],[Inert / Not a Contaminant?]]="Yes", 0, speciated_chemicals_1[[#This Row],[Weight Percent]]*(unique_components_1[[#Totals],[Controlled
tpy]]+standard_components_1[[#Totals],[Controlled
tpy]]))</f>
        <v>0</v>
      </c>
    </row>
    <row r="140" spans="1:10" x14ac:dyDescent="0.2">
      <c r="A140" s="103"/>
      <c r="B140" s="51" t="str">
        <f>IFERROR(VLOOKUP(speciated_chemicals_1[[#This Row],[CAS '#]],species[],MATCH("Substance", species[#Headers], 0),FALSE),"No CAS Number Entered")</f>
        <v>No CAS Number Entered</v>
      </c>
      <c r="C140" s="102"/>
      <c r="D140" s="102" t="s">
        <v>12666</v>
      </c>
      <c r="E140" s="102" t="s">
        <v>12666</v>
      </c>
      <c r="F140" s="102" t="s">
        <v>12666</v>
      </c>
      <c r="G140" s="102" t="s">
        <v>12666</v>
      </c>
      <c r="H140" s="164"/>
      <c r="I140" s="51">
        <f>IF(speciated_chemicals_1[[#This Row],[Inert / Not a Contaminant?]]="Yes", 0, speciated_chemicals_1[[#This Row],[Weight Percent]]*(unique_components_1[[#Totals],[Controlled lb/hr]]+standard_components_1[[#Totals],[Controlled
lb/hr]]))</f>
        <v>0</v>
      </c>
      <c r="J140" s="51">
        <f>IF(speciated_chemicals_1[[#This Row],[Inert / Not a Contaminant?]]="Yes", 0, speciated_chemicals_1[[#This Row],[Weight Percent]]*(unique_components_1[[#Totals],[Controlled
tpy]]+standard_components_1[[#Totals],[Controlled
tpy]]))</f>
        <v>0</v>
      </c>
    </row>
    <row r="141" spans="1:10" x14ac:dyDescent="0.2">
      <c r="A141" s="103"/>
      <c r="B141" s="51" t="str">
        <f>IFERROR(VLOOKUP(speciated_chemicals_1[[#This Row],[CAS '#]],species[],MATCH("Substance", species[#Headers], 0),FALSE),"No CAS Number Entered")</f>
        <v>No CAS Number Entered</v>
      </c>
      <c r="C141" s="102"/>
      <c r="D141" s="102" t="s">
        <v>12666</v>
      </c>
      <c r="E141" s="102" t="s">
        <v>12666</v>
      </c>
      <c r="F141" s="102" t="s">
        <v>12666</v>
      </c>
      <c r="G141" s="102" t="s">
        <v>12666</v>
      </c>
      <c r="H141" s="164"/>
      <c r="I141" s="51">
        <f>IF(speciated_chemicals_1[[#This Row],[Inert / Not a Contaminant?]]="Yes", 0, speciated_chemicals_1[[#This Row],[Weight Percent]]*(unique_components_1[[#Totals],[Controlled lb/hr]]+standard_components_1[[#Totals],[Controlled
lb/hr]]))</f>
        <v>0</v>
      </c>
      <c r="J141" s="51">
        <f>IF(speciated_chemicals_1[[#This Row],[Inert / Not a Contaminant?]]="Yes", 0, speciated_chemicals_1[[#This Row],[Weight Percent]]*(unique_components_1[[#Totals],[Controlled
tpy]]+standard_components_1[[#Totals],[Controlled
tpy]]))</f>
        <v>0</v>
      </c>
    </row>
    <row r="142" spans="1:10" x14ac:dyDescent="0.2">
      <c r="A142" s="103"/>
      <c r="B142" s="51" t="str">
        <f>IFERROR(VLOOKUP(speciated_chemicals_1[[#This Row],[CAS '#]],species[],MATCH("Substance", species[#Headers], 0),FALSE),"No CAS Number Entered")</f>
        <v>No CAS Number Entered</v>
      </c>
      <c r="C142" s="102"/>
      <c r="D142" s="102" t="s">
        <v>12666</v>
      </c>
      <c r="E142" s="102" t="s">
        <v>12666</v>
      </c>
      <c r="F142" s="102" t="s">
        <v>12666</v>
      </c>
      <c r="G142" s="102" t="s">
        <v>12666</v>
      </c>
      <c r="H142" s="164"/>
      <c r="I142" s="51">
        <f>IF(speciated_chemicals_1[[#This Row],[Inert / Not a Contaminant?]]="Yes", 0, speciated_chemicals_1[[#This Row],[Weight Percent]]*(unique_components_1[[#Totals],[Controlled lb/hr]]+standard_components_1[[#Totals],[Controlled
lb/hr]]))</f>
        <v>0</v>
      </c>
      <c r="J142" s="51">
        <f>IF(speciated_chemicals_1[[#This Row],[Inert / Not a Contaminant?]]="Yes", 0, speciated_chemicals_1[[#This Row],[Weight Percent]]*(unique_components_1[[#Totals],[Controlled
tpy]]+standard_components_1[[#Totals],[Controlled
tpy]]))</f>
        <v>0</v>
      </c>
    </row>
    <row r="143" spans="1:10" x14ac:dyDescent="0.2">
      <c r="A143" s="103"/>
      <c r="B143" s="51" t="str">
        <f>IFERROR(VLOOKUP(speciated_chemicals_1[[#This Row],[CAS '#]],species[],MATCH("Substance", species[#Headers], 0),FALSE),"No CAS Number Entered")</f>
        <v>No CAS Number Entered</v>
      </c>
      <c r="C143" s="102"/>
      <c r="D143" s="102" t="s">
        <v>12666</v>
      </c>
      <c r="E143" s="102" t="s">
        <v>12666</v>
      </c>
      <c r="F143" s="102" t="s">
        <v>12666</v>
      </c>
      <c r="G143" s="102" t="s">
        <v>12666</v>
      </c>
      <c r="H143" s="164"/>
      <c r="I143" s="51">
        <f>IF(speciated_chemicals_1[[#This Row],[Inert / Not a Contaminant?]]="Yes", 0, speciated_chemicals_1[[#This Row],[Weight Percent]]*(unique_components_1[[#Totals],[Controlled lb/hr]]+standard_components_1[[#Totals],[Controlled
lb/hr]]))</f>
        <v>0</v>
      </c>
      <c r="J143" s="51">
        <f>IF(speciated_chemicals_1[[#This Row],[Inert / Not a Contaminant?]]="Yes", 0, speciated_chemicals_1[[#This Row],[Weight Percent]]*(unique_components_1[[#Totals],[Controlled
tpy]]+standard_components_1[[#Totals],[Controlled
tpy]]))</f>
        <v>0</v>
      </c>
    </row>
    <row r="144" spans="1:10" x14ac:dyDescent="0.2">
      <c r="A144" s="103"/>
      <c r="B144" s="51" t="str">
        <f>IFERROR(VLOOKUP(speciated_chemicals_1[[#This Row],[CAS '#]],species[],MATCH("Substance", species[#Headers], 0),FALSE),"No CAS Number Entered")</f>
        <v>No CAS Number Entered</v>
      </c>
      <c r="C144" s="102"/>
      <c r="D144" s="102" t="s">
        <v>12666</v>
      </c>
      <c r="E144" s="102" t="s">
        <v>12666</v>
      </c>
      <c r="F144" s="102" t="s">
        <v>12666</v>
      </c>
      <c r="G144" s="102" t="s">
        <v>12666</v>
      </c>
      <c r="H144" s="164"/>
      <c r="I144" s="51">
        <f>IF(speciated_chemicals_1[[#This Row],[Inert / Not a Contaminant?]]="Yes", 0, speciated_chemicals_1[[#This Row],[Weight Percent]]*(unique_components_1[[#Totals],[Controlled lb/hr]]+standard_components_1[[#Totals],[Controlled
lb/hr]]))</f>
        <v>0</v>
      </c>
      <c r="J144" s="51">
        <f>IF(speciated_chemicals_1[[#This Row],[Inert / Not a Contaminant?]]="Yes", 0, speciated_chemicals_1[[#This Row],[Weight Percent]]*(unique_components_1[[#Totals],[Controlled
tpy]]+standard_components_1[[#Totals],[Controlled
tpy]]))</f>
        <v>0</v>
      </c>
    </row>
    <row r="145" spans="1:10" x14ac:dyDescent="0.2">
      <c r="A145" s="103"/>
      <c r="B145" s="51" t="str">
        <f>IFERROR(VLOOKUP(speciated_chemicals_1[[#This Row],[CAS '#]],species[],MATCH("Substance", species[#Headers], 0),FALSE),"No CAS Number Entered")</f>
        <v>No CAS Number Entered</v>
      </c>
      <c r="C145" s="102"/>
      <c r="D145" s="102" t="s">
        <v>12666</v>
      </c>
      <c r="E145" s="102" t="s">
        <v>12666</v>
      </c>
      <c r="F145" s="102" t="s">
        <v>12666</v>
      </c>
      <c r="G145" s="102" t="s">
        <v>12666</v>
      </c>
      <c r="H145" s="164"/>
      <c r="I145" s="51">
        <f>IF(speciated_chemicals_1[[#This Row],[Inert / Not a Contaminant?]]="Yes", 0, speciated_chemicals_1[[#This Row],[Weight Percent]]*(unique_components_1[[#Totals],[Controlled lb/hr]]+standard_components_1[[#Totals],[Controlled
lb/hr]]))</f>
        <v>0</v>
      </c>
      <c r="J145" s="51">
        <f>IF(speciated_chemicals_1[[#This Row],[Inert / Not a Contaminant?]]="Yes", 0, speciated_chemicals_1[[#This Row],[Weight Percent]]*(unique_components_1[[#Totals],[Controlled
tpy]]+standard_components_1[[#Totals],[Controlled
tpy]]))</f>
        <v>0</v>
      </c>
    </row>
    <row r="146" spans="1:10" x14ac:dyDescent="0.2">
      <c r="A146" s="103"/>
      <c r="B146" s="51" t="str">
        <f>IFERROR(VLOOKUP(speciated_chemicals_1[[#This Row],[CAS '#]],species[],MATCH("Substance", species[#Headers], 0),FALSE),"No CAS Number Entered")</f>
        <v>No CAS Number Entered</v>
      </c>
      <c r="C146" s="102"/>
      <c r="D146" s="102" t="s">
        <v>12666</v>
      </c>
      <c r="E146" s="102" t="s">
        <v>12666</v>
      </c>
      <c r="F146" s="102" t="s">
        <v>12666</v>
      </c>
      <c r="G146" s="102" t="s">
        <v>12666</v>
      </c>
      <c r="H146" s="164"/>
      <c r="I146" s="51">
        <f>IF(speciated_chemicals_1[[#This Row],[Inert / Not a Contaminant?]]="Yes", 0, speciated_chemicals_1[[#This Row],[Weight Percent]]*(unique_components_1[[#Totals],[Controlled lb/hr]]+standard_components_1[[#Totals],[Controlled
lb/hr]]))</f>
        <v>0</v>
      </c>
      <c r="J146" s="51">
        <f>IF(speciated_chemicals_1[[#This Row],[Inert / Not a Contaminant?]]="Yes", 0, speciated_chemicals_1[[#This Row],[Weight Percent]]*(unique_components_1[[#Totals],[Controlled
tpy]]+standard_components_1[[#Totals],[Controlled
tpy]]))</f>
        <v>0</v>
      </c>
    </row>
    <row r="147" spans="1:10" x14ac:dyDescent="0.2">
      <c r="A147" s="103"/>
      <c r="B147" s="51" t="str">
        <f>IFERROR(VLOOKUP(speciated_chemicals_1[[#This Row],[CAS '#]],species[],MATCH("Substance", species[#Headers], 0),FALSE),"No CAS Number Entered")</f>
        <v>No CAS Number Entered</v>
      </c>
      <c r="C147" s="102"/>
      <c r="D147" s="102" t="s">
        <v>12666</v>
      </c>
      <c r="E147" s="102" t="s">
        <v>12666</v>
      </c>
      <c r="F147" s="102" t="s">
        <v>12666</v>
      </c>
      <c r="G147" s="102" t="s">
        <v>12666</v>
      </c>
      <c r="H147" s="164"/>
      <c r="I147" s="51">
        <f>IF(speciated_chemicals_1[[#This Row],[Inert / Not a Contaminant?]]="Yes", 0, speciated_chemicals_1[[#This Row],[Weight Percent]]*(unique_components_1[[#Totals],[Controlled lb/hr]]+standard_components_1[[#Totals],[Controlled
lb/hr]]))</f>
        <v>0</v>
      </c>
      <c r="J147" s="51">
        <f>IF(speciated_chemicals_1[[#This Row],[Inert / Not a Contaminant?]]="Yes", 0, speciated_chemicals_1[[#This Row],[Weight Percent]]*(unique_components_1[[#Totals],[Controlled
tpy]]+standard_components_1[[#Totals],[Controlled
tpy]]))</f>
        <v>0</v>
      </c>
    </row>
    <row r="148" spans="1:10" x14ac:dyDescent="0.2">
      <c r="A148" s="103"/>
      <c r="B148" s="51" t="str">
        <f>IFERROR(VLOOKUP(speciated_chemicals_1[[#This Row],[CAS '#]],species[],MATCH("Substance", species[#Headers], 0),FALSE),"No CAS Number Entered")</f>
        <v>No CAS Number Entered</v>
      </c>
      <c r="C148" s="102"/>
      <c r="D148" s="102" t="s">
        <v>12666</v>
      </c>
      <c r="E148" s="102" t="s">
        <v>12666</v>
      </c>
      <c r="F148" s="102" t="s">
        <v>12666</v>
      </c>
      <c r="G148" s="102" t="s">
        <v>12666</v>
      </c>
      <c r="H148" s="164"/>
      <c r="I148" s="51">
        <f>IF(speciated_chemicals_1[[#This Row],[Inert / Not a Contaminant?]]="Yes", 0, speciated_chemicals_1[[#This Row],[Weight Percent]]*(unique_components_1[[#Totals],[Controlled lb/hr]]+standard_components_1[[#Totals],[Controlled
lb/hr]]))</f>
        <v>0</v>
      </c>
      <c r="J148" s="51">
        <f>IF(speciated_chemicals_1[[#This Row],[Inert / Not a Contaminant?]]="Yes", 0, speciated_chemicals_1[[#This Row],[Weight Percent]]*(unique_components_1[[#Totals],[Controlled
tpy]]+standard_components_1[[#Totals],[Controlled
tpy]]))</f>
        <v>0</v>
      </c>
    </row>
    <row r="149" spans="1:10" x14ac:dyDescent="0.2">
      <c r="A149" s="103"/>
      <c r="B149" s="51" t="str">
        <f>IFERROR(VLOOKUP(speciated_chemicals_1[[#This Row],[CAS '#]],species[],MATCH("Substance", species[#Headers], 0),FALSE),"No CAS Number Entered")</f>
        <v>No CAS Number Entered</v>
      </c>
      <c r="C149" s="102"/>
      <c r="D149" s="102" t="s">
        <v>12666</v>
      </c>
      <c r="E149" s="102" t="s">
        <v>12666</v>
      </c>
      <c r="F149" s="102" t="s">
        <v>12666</v>
      </c>
      <c r="G149" s="102" t="s">
        <v>12666</v>
      </c>
      <c r="H149" s="164"/>
      <c r="I149" s="51">
        <f>IF(speciated_chemicals_1[[#This Row],[Inert / Not a Contaminant?]]="Yes", 0, speciated_chemicals_1[[#This Row],[Weight Percent]]*(unique_components_1[[#Totals],[Controlled lb/hr]]+standard_components_1[[#Totals],[Controlled
lb/hr]]))</f>
        <v>0</v>
      </c>
      <c r="J149" s="51">
        <f>IF(speciated_chemicals_1[[#This Row],[Inert / Not a Contaminant?]]="Yes", 0, speciated_chemicals_1[[#This Row],[Weight Percent]]*(unique_components_1[[#Totals],[Controlled
tpy]]+standard_components_1[[#Totals],[Controlled
tpy]]))</f>
        <v>0</v>
      </c>
    </row>
    <row r="150" spans="1:10" x14ac:dyDescent="0.2">
      <c r="A150" s="103"/>
      <c r="B150" s="51" t="str">
        <f>IFERROR(VLOOKUP(speciated_chemicals_1[[#This Row],[CAS '#]],species[],MATCH("Substance", species[#Headers], 0),FALSE),"No CAS Number Entered")</f>
        <v>No CAS Number Entered</v>
      </c>
      <c r="C150" s="102"/>
      <c r="D150" s="102" t="s">
        <v>12666</v>
      </c>
      <c r="E150" s="102" t="s">
        <v>12666</v>
      </c>
      <c r="F150" s="102" t="s">
        <v>12666</v>
      </c>
      <c r="G150" s="102" t="s">
        <v>12666</v>
      </c>
      <c r="H150" s="164"/>
      <c r="I150" s="51">
        <f>IF(speciated_chemicals_1[[#This Row],[Inert / Not a Contaminant?]]="Yes", 0, speciated_chemicals_1[[#This Row],[Weight Percent]]*(unique_components_1[[#Totals],[Controlled lb/hr]]+standard_components_1[[#Totals],[Controlled
lb/hr]]))</f>
        <v>0</v>
      </c>
      <c r="J150" s="51">
        <f>IF(speciated_chemicals_1[[#This Row],[Inert / Not a Contaminant?]]="Yes", 0, speciated_chemicals_1[[#This Row],[Weight Percent]]*(unique_components_1[[#Totals],[Controlled
tpy]]+standard_components_1[[#Totals],[Controlled
tpy]]))</f>
        <v>0</v>
      </c>
    </row>
    <row r="151" spans="1:10" x14ac:dyDescent="0.2">
      <c r="A151" s="103"/>
      <c r="B151" s="51" t="str">
        <f>IFERROR(VLOOKUP(speciated_chemicals_1[[#This Row],[CAS '#]],species[],MATCH("Substance", species[#Headers], 0),FALSE),"No CAS Number Entered")</f>
        <v>No CAS Number Entered</v>
      </c>
      <c r="C151" s="102"/>
      <c r="D151" s="102" t="s">
        <v>12666</v>
      </c>
      <c r="E151" s="102" t="s">
        <v>12666</v>
      </c>
      <c r="F151" s="102" t="s">
        <v>12666</v>
      </c>
      <c r="G151" s="102" t="s">
        <v>12666</v>
      </c>
      <c r="H151" s="164"/>
      <c r="I151" s="51">
        <f>IF(speciated_chemicals_1[[#This Row],[Inert / Not a Contaminant?]]="Yes", 0, speciated_chemicals_1[[#This Row],[Weight Percent]]*(unique_components_1[[#Totals],[Controlled lb/hr]]+standard_components_1[[#Totals],[Controlled
lb/hr]]))</f>
        <v>0</v>
      </c>
      <c r="J151" s="51">
        <f>IF(speciated_chemicals_1[[#This Row],[Inert / Not a Contaminant?]]="Yes", 0, speciated_chemicals_1[[#This Row],[Weight Percent]]*(unique_components_1[[#Totals],[Controlled
tpy]]+standard_components_1[[#Totals],[Controlled
tpy]]))</f>
        <v>0</v>
      </c>
    </row>
    <row r="152" spans="1:10" x14ac:dyDescent="0.2">
      <c r="A152" s="103"/>
      <c r="B152" s="51" t="str">
        <f>IFERROR(VLOOKUP(speciated_chemicals_1[[#This Row],[CAS '#]],species[],MATCH("Substance", species[#Headers], 0),FALSE),"No CAS Number Entered")</f>
        <v>No CAS Number Entered</v>
      </c>
      <c r="C152" s="102"/>
      <c r="D152" s="102" t="s">
        <v>12666</v>
      </c>
      <c r="E152" s="102" t="s">
        <v>12666</v>
      </c>
      <c r="F152" s="102" t="s">
        <v>12666</v>
      </c>
      <c r="G152" s="102" t="s">
        <v>12666</v>
      </c>
      <c r="H152" s="164"/>
      <c r="I152" s="51">
        <f>IF(speciated_chemicals_1[[#This Row],[Inert / Not a Contaminant?]]="Yes", 0, speciated_chemicals_1[[#This Row],[Weight Percent]]*(unique_components_1[[#Totals],[Controlled lb/hr]]+standard_components_1[[#Totals],[Controlled
lb/hr]]))</f>
        <v>0</v>
      </c>
      <c r="J152" s="51">
        <f>IF(speciated_chemicals_1[[#This Row],[Inert / Not a Contaminant?]]="Yes", 0, speciated_chemicals_1[[#This Row],[Weight Percent]]*(unique_components_1[[#Totals],[Controlled
tpy]]+standard_components_1[[#Totals],[Controlled
tpy]]))</f>
        <v>0</v>
      </c>
    </row>
    <row r="153" spans="1:10" x14ac:dyDescent="0.2">
      <c r="A153" s="103"/>
      <c r="B153" s="51" t="str">
        <f>IFERROR(VLOOKUP(speciated_chemicals_1[[#This Row],[CAS '#]],species[],MATCH("Substance", species[#Headers], 0),FALSE),"No CAS Number Entered")</f>
        <v>No CAS Number Entered</v>
      </c>
      <c r="C153" s="102"/>
      <c r="D153" s="102" t="s">
        <v>12666</v>
      </c>
      <c r="E153" s="102" t="s">
        <v>12666</v>
      </c>
      <c r="F153" s="102" t="s">
        <v>12666</v>
      </c>
      <c r="G153" s="102" t="s">
        <v>12666</v>
      </c>
      <c r="H153" s="164"/>
      <c r="I153" s="51">
        <f>IF(speciated_chemicals_1[[#This Row],[Inert / Not a Contaminant?]]="Yes", 0, speciated_chemicals_1[[#This Row],[Weight Percent]]*(unique_components_1[[#Totals],[Controlled lb/hr]]+standard_components_1[[#Totals],[Controlled
lb/hr]]))</f>
        <v>0</v>
      </c>
      <c r="J153" s="51">
        <f>IF(speciated_chemicals_1[[#This Row],[Inert / Not a Contaminant?]]="Yes", 0, speciated_chemicals_1[[#This Row],[Weight Percent]]*(unique_components_1[[#Totals],[Controlled
tpy]]+standard_components_1[[#Totals],[Controlled
tpy]]))</f>
        <v>0</v>
      </c>
    </row>
    <row r="154" spans="1:10" x14ac:dyDescent="0.2">
      <c r="A154" s="103"/>
      <c r="B154" s="51" t="str">
        <f>IFERROR(VLOOKUP(speciated_chemicals_1[[#This Row],[CAS '#]],species[],MATCH("Substance", species[#Headers], 0),FALSE),"No CAS Number Entered")</f>
        <v>No CAS Number Entered</v>
      </c>
      <c r="C154" s="102"/>
      <c r="D154" s="102" t="s">
        <v>12666</v>
      </c>
      <c r="E154" s="102" t="s">
        <v>12666</v>
      </c>
      <c r="F154" s="102" t="s">
        <v>12666</v>
      </c>
      <c r="G154" s="102" t="s">
        <v>12666</v>
      </c>
      <c r="H154" s="164"/>
      <c r="I154" s="51">
        <f>IF(speciated_chemicals_1[[#This Row],[Inert / Not a Contaminant?]]="Yes", 0, speciated_chemicals_1[[#This Row],[Weight Percent]]*(unique_components_1[[#Totals],[Controlled lb/hr]]+standard_components_1[[#Totals],[Controlled
lb/hr]]))</f>
        <v>0</v>
      </c>
      <c r="J154" s="51">
        <f>IF(speciated_chemicals_1[[#This Row],[Inert / Not a Contaminant?]]="Yes", 0, speciated_chemicals_1[[#This Row],[Weight Percent]]*(unique_components_1[[#Totals],[Controlled
tpy]]+standard_components_1[[#Totals],[Controlled
tpy]]))</f>
        <v>0</v>
      </c>
    </row>
    <row r="155" spans="1:10" x14ac:dyDescent="0.2">
      <c r="A155" s="103"/>
      <c r="B155" s="51" t="str">
        <f>IFERROR(VLOOKUP(speciated_chemicals_1[[#This Row],[CAS '#]],species[],MATCH("Substance", species[#Headers], 0),FALSE),"No CAS Number Entered")</f>
        <v>No CAS Number Entered</v>
      </c>
      <c r="C155" s="102"/>
      <c r="D155" s="102" t="s">
        <v>12666</v>
      </c>
      <c r="E155" s="102" t="s">
        <v>12666</v>
      </c>
      <c r="F155" s="102" t="s">
        <v>12666</v>
      </c>
      <c r="G155" s="102" t="s">
        <v>12666</v>
      </c>
      <c r="H155" s="164"/>
      <c r="I155" s="51">
        <f>IF(speciated_chemicals_1[[#This Row],[Inert / Not a Contaminant?]]="Yes", 0, speciated_chemicals_1[[#This Row],[Weight Percent]]*(unique_components_1[[#Totals],[Controlled lb/hr]]+standard_components_1[[#Totals],[Controlled
lb/hr]]))</f>
        <v>0</v>
      </c>
      <c r="J155" s="51">
        <f>IF(speciated_chemicals_1[[#This Row],[Inert / Not a Contaminant?]]="Yes", 0, speciated_chemicals_1[[#This Row],[Weight Percent]]*(unique_components_1[[#Totals],[Controlled
tpy]]+standard_components_1[[#Totals],[Controlled
tpy]]))</f>
        <v>0</v>
      </c>
    </row>
    <row r="156" spans="1:10" x14ac:dyDescent="0.2">
      <c r="A156" s="103"/>
      <c r="B156" s="51" t="str">
        <f>IFERROR(VLOOKUP(speciated_chemicals_1[[#This Row],[CAS '#]],species[],MATCH("Substance", species[#Headers], 0),FALSE),"No CAS Number Entered")</f>
        <v>No CAS Number Entered</v>
      </c>
      <c r="C156" s="102"/>
      <c r="D156" s="102" t="s">
        <v>12666</v>
      </c>
      <c r="E156" s="102" t="s">
        <v>12666</v>
      </c>
      <c r="F156" s="102" t="s">
        <v>12666</v>
      </c>
      <c r="G156" s="102" t="s">
        <v>12666</v>
      </c>
      <c r="H156" s="164"/>
      <c r="I156" s="51">
        <f>IF(speciated_chemicals_1[[#This Row],[Inert / Not a Contaminant?]]="Yes", 0, speciated_chemicals_1[[#This Row],[Weight Percent]]*(unique_components_1[[#Totals],[Controlled lb/hr]]+standard_components_1[[#Totals],[Controlled
lb/hr]]))</f>
        <v>0</v>
      </c>
      <c r="J156" s="51">
        <f>IF(speciated_chemicals_1[[#This Row],[Inert / Not a Contaminant?]]="Yes", 0, speciated_chemicals_1[[#This Row],[Weight Percent]]*(unique_components_1[[#Totals],[Controlled
tpy]]+standard_components_1[[#Totals],[Controlled
tpy]]))</f>
        <v>0</v>
      </c>
    </row>
    <row r="157" spans="1:10" x14ac:dyDescent="0.2">
      <c r="A157" s="103"/>
      <c r="B157" s="51" t="str">
        <f>IFERROR(VLOOKUP(speciated_chemicals_1[[#This Row],[CAS '#]],species[],MATCH("Substance", species[#Headers], 0),FALSE),"No CAS Number Entered")</f>
        <v>No CAS Number Entered</v>
      </c>
      <c r="C157" s="102"/>
      <c r="D157" s="102" t="s">
        <v>12666</v>
      </c>
      <c r="E157" s="102" t="s">
        <v>12666</v>
      </c>
      <c r="F157" s="102" t="s">
        <v>12666</v>
      </c>
      <c r="G157" s="102" t="s">
        <v>12666</v>
      </c>
      <c r="H157" s="164"/>
      <c r="I157" s="51">
        <f>IF(speciated_chemicals_1[[#This Row],[Inert / Not a Contaminant?]]="Yes", 0, speciated_chemicals_1[[#This Row],[Weight Percent]]*(unique_components_1[[#Totals],[Controlled lb/hr]]+standard_components_1[[#Totals],[Controlled
lb/hr]]))</f>
        <v>0</v>
      </c>
      <c r="J157" s="51">
        <f>IF(speciated_chemicals_1[[#This Row],[Inert / Not a Contaminant?]]="Yes", 0, speciated_chemicals_1[[#This Row],[Weight Percent]]*(unique_components_1[[#Totals],[Controlled
tpy]]+standard_components_1[[#Totals],[Controlled
tpy]]))</f>
        <v>0</v>
      </c>
    </row>
    <row r="158" spans="1:10" x14ac:dyDescent="0.2">
      <c r="A158" s="103"/>
      <c r="B158" s="51" t="str">
        <f>IFERROR(VLOOKUP(speciated_chemicals_1[[#This Row],[CAS '#]],species[],MATCH("Substance", species[#Headers], 0),FALSE),"No CAS Number Entered")</f>
        <v>No CAS Number Entered</v>
      </c>
      <c r="C158" s="102"/>
      <c r="D158" s="102" t="s">
        <v>12666</v>
      </c>
      <c r="E158" s="102" t="s">
        <v>12666</v>
      </c>
      <c r="F158" s="102" t="s">
        <v>12666</v>
      </c>
      <c r="G158" s="102" t="s">
        <v>12666</v>
      </c>
      <c r="H158" s="164"/>
      <c r="I158" s="51">
        <f>IF(speciated_chemicals_1[[#This Row],[Inert / Not a Contaminant?]]="Yes", 0, speciated_chemicals_1[[#This Row],[Weight Percent]]*(unique_components_1[[#Totals],[Controlled lb/hr]]+standard_components_1[[#Totals],[Controlled
lb/hr]]))</f>
        <v>0</v>
      </c>
      <c r="J158" s="51">
        <f>IF(speciated_chemicals_1[[#This Row],[Inert / Not a Contaminant?]]="Yes", 0, speciated_chemicals_1[[#This Row],[Weight Percent]]*(unique_components_1[[#Totals],[Controlled
tpy]]+standard_components_1[[#Totals],[Controlled
tpy]]))</f>
        <v>0</v>
      </c>
    </row>
    <row r="159" spans="1:10" x14ac:dyDescent="0.2">
      <c r="A159" s="103"/>
      <c r="B159" s="51" t="str">
        <f>IFERROR(VLOOKUP(speciated_chemicals_1[[#This Row],[CAS '#]],species[],MATCH("Substance", species[#Headers], 0),FALSE),"No CAS Number Entered")</f>
        <v>No CAS Number Entered</v>
      </c>
      <c r="C159" s="102"/>
      <c r="D159" s="102" t="s">
        <v>12666</v>
      </c>
      <c r="E159" s="102" t="s">
        <v>12666</v>
      </c>
      <c r="F159" s="102" t="s">
        <v>12666</v>
      </c>
      <c r="G159" s="102" t="s">
        <v>12666</v>
      </c>
      <c r="H159" s="164"/>
      <c r="I159" s="51">
        <f>IF(speciated_chemicals_1[[#This Row],[Inert / Not a Contaminant?]]="Yes", 0, speciated_chemicals_1[[#This Row],[Weight Percent]]*(unique_components_1[[#Totals],[Controlled lb/hr]]+standard_components_1[[#Totals],[Controlled
lb/hr]]))</f>
        <v>0</v>
      </c>
      <c r="J159" s="51">
        <f>IF(speciated_chemicals_1[[#This Row],[Inert / Not a Contaminant?]]="Yes", 0, speciated_chemicals_1[[#This Row],[Weight Percent]]*(unique_components_1[[#Totals],[Controlled
tpy]]+standard_components_1[[#Totals],[Controlled
tpy]]))</f>
        <v>0</v>
      </c>
    </row>
    <row r="160" spans="1:10" x14ac:dyDescent="0.2">
      <c r="A160" s="103"/>
      <c r="B160" s="51" t="str">
        <f>IFERROR(VLOOKUP(speciated_chemicals_1[[#This Row],[CAS '#]],species[],MATCH("Substance", species[#Headers], 0),FALSE),"No CAS Number Entered")</f>
        <v>No CAS Number Entered</v>
      </c>
      <c r="C160" s="102"/>
      <c r="D160" s="102" t="s">
        <v>12666</v>
      </c>
      <c r="E160" s="102" t="s">
        <v>12666</v>
      </c>
      <c r="F160" s="102" t="s">
        <v>12666</v>
      </c>
      <c r="G160" s="102" t="s">
        <v>12666</v>
      </c>
      <c r="H160" s="164"/>
      <c r="I160" s="51">
        <f>IF(speciated_chemicals_1[[#This Row],[Inert / Not a Contaminant?]]="Yes", 0, speciated_chemicals_1[[#This Row],[Weight Percent]]*(unique_components_1[[#Totals],[Controlled lb/hr]]+standard_components_1[[#Totals],[Controlled
lb/hr]]))</f>
        <v>0</v>
      </c>
      <c r="J160" s="51">
        <f>IF(speciated_chemicals_1[[#This Row],[Inert / Not a Contaminant?]]="Yes", 0, speciated_chemicals_1[[#This Row],[Weight Percent]]*(unique_components_1[[#Totals],[Controlled
tpy]]+standard_components_1[[#Totals],[Controlled
tpy]]))</f>
        <v>0</v>
      </c>
    </row>
    <row r="161" spans="1:10" x14ac:dyDescent="0.2">
      <c r="A161" s="103"/>
      <c r="B161" s="51" t="str">
        <f>IFERROR(VLOOKUP(speciated_chemicals_1[[#This Row],[CAS '#]],species[],MATCH("Substance", species[#Headers], 0),FALSE),"No CAS Number Entered")</f>
        <v>No CAS Number Entered</v>
      </c>
      <c r="C161" s="102"/>
      <c r="D161" s="102" t="s">
        <v>12666</v>
      </c>
      <c r="E161" s="102" t="s">
        <v>12666</v>
      </c>
      <c r="F161" s="102" t="s">
        <v>12666</v>
      </c>
      <c r="G161" s="102" t="s">
        <v>12666</v>
      </c>
      <c r="H161" s="164"/>
      <c r="I161" s="51">
        <f>IF(speciated_chemicals_1[[#This Row],[Inert / Not a Contaminant?]]="Yes", 0, speciated_chemicals_1[[#This Row],[Weight Percent]]*(unique_components_1[[#Totals],[Controlled lb/hr]]+standard_components_1[[#Totals],[Controlled
lb/hr]]))</f>
        <v>0</v>
      </c>
      <c r="J161" s="51">
        <f>IF(speciated_chemicals_1[[#This Row],[Inert / Not a Contaminant?]]="Yes", 0, speciated_chemicals_1[[#This Row],[Weight Percent]]*(unique_components_1[[#Totals],[Controlled
tpy]]+standard_components_1[[#Totals],[Controlled
tpy]]))</f>
        <v>0</v>
      </c>
    </row>
    <row r="162" spans="1:10" x14ac:dyDescent="0.2">
      <c r="A162" s="103"/>
      <c r="B162" s="51" t="str">
        <f>IFERROR(VLOOKUP(speciated_chemicals_1[[#This Row],[CAS '#]],species[],MATCH("Substance", species[#Headers], 0),FALSE),"No CAS Number Entered")</f>
        <v>No CAS Number Entered</v>
      </c>
      <c r="C162" s="102"/>
      <c r="D162" s="102" t="s">
        <v>12666</v>
      </c>
      <c r="E162" s="102" t="s">
        <v>12666</v>
      </c>
      <c r="F162" s="102" t="s">
        <v>12666</v>
      </c>
      <c r="G162" s="102" t="s">
        <v>12666</v>
      </c>
      <c r="H162" s="164"/>
      <c r="I162" s="51">
        <f>IF(speciated_chemicals_1[[#This Row],[Inert / Not a Contaminant?]]="Yes", 0, speciated_chemicals_1[[#This Row],[Weight Percent]]*(unique_components_1[[#Totals],[Controlled lb/hr]]+standard_components_1[[#Totals],[Controlled
lb/hr]]))</f>
        <v>0</v>
      </c>
      <c r="J162" s="51">
        <f>IF(speciated_chemicals_1[[#This Row],[Inert / Not a Contaminant?]]="Yes", 0, speciated_chemicals_1[[#This Row],[Weight Percent]]*(unique_components_1[[#Totals],[Controlled
tpy]]+standard_components_1[[#Totals],[Controlled
tpy]]))</f>
        <v>0</v>
      </c>
    </row>
    <row r="163" spans="1:10" x14ac:dyDescent="0.2">
      <c r="A163" s="103"/>
      <c r="B163" s="51" t="str">
        <f>IFERROR(VLOOKUP(speciated_chemicals_1[[#This Row],[CAS '#]],species[],MATCH("Substance", species[#Headers], 0),FALSE),"No CAS Number Entered")</f>
        <v>No CAS Number Entered</v>
      </c>
      <c r="C163" s="102"/>
      <c r="D163" s="102" t="s">
        <v>12666</v>
      </c>
      <c r="E163" s="102" t="s">
        <v>12666</v>
      </c>
      <c r="F163" s="102" t="s">
        <v>12666</v>
      </c>
      <c r="G163" s="102" t="s">
        <v>12666</v>
      </c>
      <c r="H163" s="164"/>
      <c r="I163" s="51">
        <f>IF(speciated_chemicals_1[[#This Row],[Inert / Not a Contaminant?]]="Yes", 0, speciated_chemicals_1[[#This Row],[Weight Percent]]*(unique_components_1[[#Totals],[Controlled lb/hr]]+standard_components_1[[#Totals],[Controlled
lb/hr]]))</f>
        <v>0</v>
      </c>
      <c r="J163" s="51">
        <f>IF(speciated_chemicals_1[[#This Row],[Inert / Not a Contaminant?]]="Yes", 0, speciated_chemicals_1[[#This Row],[Weight Percent]]*(unique_components_1[[#Totals],[Controlled
tpy]]+standard_components_1[[#Totals],[Controlled
tpy]]))</f>
        <v>0</v>
      </c>
    </row>
    <row r="164" spans="1:10" x14ac:dyDescent="0.2">
      <c r="A164" s="103"/>
      <c r="B164" s="51" t="str">
        <f>IFERROR(VLOOKUP(speciated_chemicals_1[[#This Row],[CAS '#]],species[],MATCH("Substance", species[#Headers], 0),FALSE),"No CAS Number Entered")</f>
        <v>No CAS Number Entered</v>
      </c>
      <c r="C164" s="102"/>
      <c r="D164" s="102" t="s">
        <v>12666</v>
      </c>
      <c r="E164" s="102" t="s">
        <v>12666</v>
      </c>
      <c r="F164" s="102" t="s">
        <v>12666</v>
      </c>
      <c r="G164" s="102" t="s">
        <v>12666</v>
      </c>
      <c r="H164" s="164"/>
      <c r="I164" s="51">
        <f>IF(speciated_chemicals_1[[#This Row],[Inert / Not a Contaminant?]]="Yes", 0, speciated_chemicals_1[[#This Row],[Weight Percent]]*(unique_components_1[[#Totals],[Controlled lb/hr]]+standard_components_1[[#Totals],[Controlled
lb/hr]]))</f>
        <v>0</v>
      </c>
      <c r="J164" s="51">
        <f>IF(speciated_chemicals_1[[#This Row],[Inert / Not a Contaminant?]]="Yes", 0, speciated_chemicals_1[[#This Row],[Weight Percent]]*(unique_components_1[[#Totals],[Controlled
tpy]]+standard_components_1[[#Totals],[Controlled
tpy]]))</f>
        <v>0</v>
      </c>
    </row>
    <row r="165" spans="1:10" x14ac:dyDescent="0.2">
      <c r="A165" s="103"/>
      <c r="B165" s="51" t="str">
        <f>IFERROR(VLOOKUP(speciated_chemicals_1[[#This Row],[CAS '#]],species[],MATCH("Substance", species[#Headers], 0),FALSE),"No CAS Number Entered")</f>
        <v>No CAS Number Entered</v>
      </c>
      <c r="C165" s="102"/>
      <c r="D165" s="102" t="s">
        <v>12666</v>
      </c>
      <c r="E165" s="102" t="s">
        <v>12666</v>
      </c>
      <c r="F165" s="102" t="s">
        <v>12666</v>
      </c>
      <c r="G165" s="102" t="s">
        <v>12666</v>
      </c>
      <c r="H165" s="164"/>
      <c r="I165" s="51">
        <f>IF(speciated_chemicals_1[[#This Row],[Inert / Not a Contaminant?]]="Yes", 0, speciated_chemicals_1[[#This Row],[Weight Percent]]*(unique_components_1[[#Totals],[Controlled lb/hr]]+standard_components_1[[#Totals],[Controlled
lb/hr]]))</f>
        <v>0</v>
      </c>
      <c r="J165" s="51">
        <f>IF(speciated_chemicals_1[[#This Row],[Inert / Not a Contaminant?]]="Yes", 0, speciated_chemicals_1[[#This Row],[Weight Percent]]*(unique_components_1[[#Totals],[Controlled
tpy]]+standard_components_1[[#Totals],[Controlled
tpy]]))</f>
        <v>0</v>
      </c>
    </row>
    <row r="166" spans="1:10" x14ac:dyDescent="0.2">
      <c r="A166" s="103"/>
      <c r="B166" s="51" t="str">
        <f>IFERROR(VLOOKUP(speciated_chemicals_1[[#This Row],[CAS '#]],species[],MATCH("Substance", species[#Headers], 0),FALSE),"No CAS Number Entered")</f>
        <v>No CAS Number Entered</v>
      </c>
      <c r="C166" s="102"/>
      <c r="D166" s="102" t="s">
        <v>12666</v>
      </c>
      <c r="E166" s="102" t="s">
        <v>12666</v>
      </c>
      <c r="F166" s="102" t="s">
        <v>12666</v>
      </c>
      <c r="G166" s="102" t="s">
        <v>12666</v>
      </c>
      <c r="H166" s="164"/>
      <c r="I166" s="51">
        <f>IF(speciated_chemicals_1[[#This Row],[Inert / Not a Contaminant?]]="Yes", 0, speciated_chemicals_1[[#This Row],[Weight Percent]]*(unique_components_1[[#Totals],[Controlled lb/hr]]+standard_components_1[[#Totals],[Controlled
lb/hr]]))</f>
        <v>0</v>
      </c>
      <c r="J166" s="51">
        <f>IF(speciated_chemicals_1[[#This Row],[Inert / Not a Contaminant?]]="Yes", 0, speciated_chemicals_1[[#This Row],[Weight Percent]]*(unique_components_1[[#Totals],[Controlled
tpy]]+standard_components_1[[#Totals],[Controlled
tpy]]))</f>
        <v>0</v>
      </c>
    </row>
    <row r="167" spans="1:10" x14ac:dyDescent="0.2">
      <c r="A167" s="103"/>
      <c r="B167" s="51" t="str">
        <f>IFERROR(VLOOKUP(speciated_chemicals_1[[#This Row],[CAS '#]],species[],MATCH("Substance", species[#Headers], 0),FALSE),"No CAS Number Entered")</f>
        <v>No CAS Number Entered</v>
      </c>
      <c r="C167" s="102"/>
      <c r="D167" s="102" t="s">
        <v>12666</v>
      </c>
      <c r="E167" s="102" t="s">
        <v>12666</v>
      </c>
      <c r="F167" s="102" t="s">
        <v>12666</v>
      </c>
      <c r="G167" s="102" t="s">
        <v>12666</v>
      </c>
      <c r="H167" s="164"/>
      <c r="I167" s="51">
        <f>IF(speciated_chemicals_1[[#This Row],[Inert / Not a Contaminant?]]="Yes", 0, speciated_chemicals_1[[#This Row],[Weight Percent]]*(unique_components_1[[#Totals],[Controlled lb/hr]]+standard_components_1[[#Totals],[Controlled
lb/hr]]))</f>
        <v>0</v>
      </c>
      <c r="J167" s="51">
        <f>IF(speciated_chemicals_1[[#This Row],[Inert / Not a Contaminant?]]="Yes", 0, speciated_chemicals_1[[#This Row],[Weight Percent]]*(unique_components_1[[#Totals],[Controlled
tpy]]+standard_components_1[[#Totals],[Controlled
tpy]]))</f>
        <v>0</v>
      </c>
    </row>
    <row r="168" spans="1:10" x14ac:dyDescent="0.2">
      <c r="A168" s="103"/>
      <c r="B168" s="51" t="str">
        <f>IFERROR(VLOOKUP(speciated_chemicals_1[[#This Row],[CAS '#]],species[],MATCH("Substance", species[#Headers], 0),FALSE),"No CAS Number Entered")</f>
        <v>No CAS Number Entered</v>
      </c>
      <c r="C168" s="102"/>
      <c r="D168" s="102" t="s">
        <v>12666</v>
      </c>
      <c r="E168" s="102" t="s">
        <v>12666</v>
      </c>
      <c r="F168" s="102" t="s">
        <v>12666</v>
      </c>
      <c r="G168" s="102" t="s">
        <v>12666</v>
      </c>
      <c r="H168" s="164"/>
      <c r="I168" s="51">
        <f>IF(speciated_chemicals_1[[#This Row],[Inert / Not a Contaminant?]]="Yes", 0, speciated_chemicals_1[[#This Row],[Weight Percent]]*(unique_components_1[[#Totals],[Controlled lb/hr]]+standard_components_1[[#Totals],[Controlled
lb/hr]]))</f>
        <v>0</v>
      </c>
      <c r="J168" s="51">
        <f>IF(speciated_chemicals_1[[#This Row],[Inert / Not a Contaminant?]]="Yes", 0, speciated_chemicals_1[[#This Row],[Weight Percent]]*(unique_components_1[[#Totals],[Controlled
tpy]]+standard_components_1[[#Totals],[Controlled
tpy]]))</f>
        <v>0</v>
      </c>
    </row>
    <row r="169" spans="1:10" x14ac:dyDescent="0.2">
      <c r="A169" s="103"/>
      <c r="B169" s="51" t="str">
        <f>IFERROR(VLOOKUP(speciated_chemicals_1[[#This Row],[CAS '#]],species[],MATCH("Substance", species[#Headers], 0),FALSE),"No CAS Number Entered")</f>
        <v>No CAS Number Entered</v>
      </c>
      <c r="C169" s="102"/>
      <c r="D169" s="102" t="s">
        <v>12666</v>
      </c>
      <c r="E169" s="102" t="s">
        <v>12666</v>
      </c>
      <c r="F169" s="102" t="s">
        <v>12666</v>
      </c>
      <c r="G169" s="102" t="s">
        <v>12666</v>
      </c>
      <c r="H169" s="164"/>
      <c r="I169" s="51">
        <f>IF(speciated_chemicals_1[[#This Row],[Inert / Not a Contaminant?]]="Yes", 0, speciated_chemicals_1[[#This Row],[Weight Percent]]*(unique_components_1[[#Totals],[Controlled lb/hr]]+standard_components_1[[#Totals],[Controlled
lb/hr]]))</f>
        <v>0</v>
      </c>
      <c r="J169" s="51">
        <f>IF(speciated_chemicals_1[[#This Row],[Inert / Not a Contaminant?]]="Yes", 0, speciated_chemicals_1[[#This Row],[Weight Percent]]*(unique_components_1[[#Totals],[Controlled
tpy]]+standard_components_1[[#Totals],[Controlled
tpy]]))</f>
        <v>0</v>
      </c>
    </row>
    <row r="170" spans="1:10" x14ac:dyDescent="0.2">
      <c r="A170" s="103"/>
      <c r="B170" s="51" t="str">
        <f>IFERROR(VLOOKUP(speciated_chemicals_1[[#This Row],[CAS '#]],species[],MATCH("Substance", species[#Headers], 0),FALSE),"No CAS Number Entered")</f>
        <v>No CAS Number Entered</v>
      </c>
      <c r="C170" s="102"/>
      <c r="D170" s="102" t="s">
        <v>12666</v>
      </c>
      <c r="E170" s="102" t="s">
        <v>12666</v>
      </c>
      <c r="F170" s="102" t="s">
        <v>12666</v>
      </c>
      <c r="G170" s="102" t="s">
        <v>12666</v>
      </c>
      <c r="H170" s="164"/>
      <c r="I170" s="51">
        <f>IF(speciated_chemicals_1[[#This Row],[Inert / Not a Contaminant?]]="Yes", 0, speciated_chemicals_1[[#This Row],[Weight Percent]]*(unique_components_1[[#Totals],[Controlled lb/hr]]+standard_components_1[[#Totals],[Controlled
lb/hr]]))</f>
        <v>0</v>
      </c>
      <c r="J170" s="51">
        <f>IF(speciated_chemicals_1[[#This Row],[Inert / Not a Contaminant?]]="Yes", 0, speciated_chemicals_1[[#This Row],[Weight Percent]]*(unique_components_1[[#Totals],[Controlled
tpy]]+standard_components_1[[#Totals],[Controlled
tpy]]))</f>
        <v>0</v>
      </c>
    </row>
    <row r="171" spans="1:10" x14ac:dyDescent="0.2">
      <c r="A171" s="103"/>
      <c r="B171" s="51" t="str">
        <f>IFERROR(VLOOKUP(speciated_chemicals_1[[#This Row],[CAS '#]],species[],MATCH("Substance", species[#Headers], 0),FALSE),"No CAS Number Entered")</f>
        <v>No CAS Number Entered</v>
      </c>
      <c r="C171" s="102"/>
      <c r="D171" s="102" t="s">
        <v>12666</v>
      </c>
      <c r="E171" s="102" t="s">
        <v>12666</v>
      </c>
      <c r="F171" s="102" t="s">
        <v>12666</v>
      </c>
      <c r="G171" s="102" t="s">
        <v>12666</v>
      </c>
      <c r="H171" s="164"/>
      <c r="I171" s="51">
        <f>IF(speciated_chemicals_1[[#This Row],[Inert / Not a Contaminant?]]="Yes", 0, speciated_chemicals_1[[#This Row],[Weight Percent]]*(unique_components_1[[#Totals],[Controlled lb/hr]]+standard_components_1[[#Totals],[Controlled
lb/hr]]))</f>
        <v>0</v>
      </c>
      <c r="J171" s="51">
        <f>IF(speciated_chemicals_1[[#This Row],[Inert / Not a Contaminant?]]="Yes", 0, speciated_chemicals_1[[#This Row],[Weight Percent]]*(unique_components_1[[#Totals],[Controlled
tpy]]+standard_components_1[[#Totals],[Controlled
tpy]]))</f>
        <v>0</v>
      </c>
    </row>
    <row r="172" spans="1:10" x14ac:dyDescent="0.2">
      <c r="A172" s="103"/>
      <c r="B172" s="51" t="str">
        <f>IFERROR(VLOOKUP(speciated_chemicals_1[[#This Row],[CAS '#]],species[],MATCH("Substance", species[#Headers], 0),FALSE),"No CAS Number Entered")</f>
        <v>No CAS Number Entered</v>
      </c>
      <c r="C172" s="102"/>
      <c r="D172" s="102" t="s">
        <v>12666</v>
      </c>
      <c r="E172" s="102" t="s">
        <v>12666</v>
      </c>
      <c r="F172" s="102" t="s">
        <v>12666</v>
      </c>
      <c r="G172" s="102" t="s">
        <v>12666</v>
      </c>
      <c r="H172" s="164"/>
      <c r="I172" s="51">
        <f>IF(speciated_chemicals_1[[#This Row],[Inert / Not a Contaminant?]]="Yes", 0, speciated_chemicals_1[[#This Row],[Weight Percent]]*(unique_components_1[[#Totals],[Controlled lb/hr]]+standard_components_1[[#Totals],[Controlled
lb/hr]]))</f>
        <v>0</v>
      </c>
      <c r="J172" s="51">
        <f>IF(speciated_chemicals_1[[#This Row],[Inert / Not a Contaminant?]]="Yes", 0, speciated_chemicals_1[[#This Row],[Weight Percent]]*(unique_components_1[[#Totals],[Controlled
tpy]]+standard_components_1[[#Totals],[Controlled
tpy]]))</f>
        <v>0</v>
      </c>
    </row>
    <row r="173" spans="1:10" x14ac:dyDescent="0.2">
      <c r="A173" s="103"/>
      <c r="B173" s="51" t="str">
        <f>IFERROR(VLOOKUP(speciated_chemicals_1[[#This Row],[CAS '#]],species[],MATCH("Substance", species[#Headers], 0),FALSE),"No CAS Number Entered")</f>
        <v>No CAS Number Entered</v>
      </c>
      <c r="C173" s="102"/>
      <c r="D173" s="102" t="s">
        <v>12666</v>
      </c>
      <c r="E173" s="102" t="s">
        <v>12666</v>
      </c>
      <c r="F173" s="102" t="s">
        <v>12666</v>
      </c>
      <c r="G173" s="102" t="s">
        <v>12666</v>
      </c>
      <c r="H173" s="164"/>
      <c r="I173" s="51">
        <f>IF(speciated_chemicals_1[[#This Row],[Inert / Not a Contaminant?]]="Yes", 0, speciated_chemicals_1[[#This Row],[Weight Percent]]*(unique_components_1[[#Totals],[Controlled lb/hr]]+standard_components_1[[#Totals],[Controlled
lb/hr]]))</f>
        <v>0</v>
      </c>
      <c r="J173" s="51">
        <f>IF(speciated_chemicals_1[[#This Row],[Inert / Not a Contaminant?]]="Yes", 0, speciated_chemicals_1[[#This Row],[Weight Percent]]*(unique_components_1[[#Totals],[Controlled
tpy]]+standard_components_1[[#Totals],[Controlled
tpy]]))</f>
        <v>0</v>
      </c>
    </row>
    <row r="174" spans="1:10" x14ac:dyDescent="0.2">
      <c r="A174" s="103"/>
      <c r="B174" s="51" t="str">
        <f>IFERROR(VLOOKUP(speciated_chemicals_1[[#This Row],[CAS '#]],species[],MATCH("Substance", species[#Headers], 0),FALSE),"No CAS Number Entered")</f>
        <v>No CAS Number Entered</v>
      </c>
      <c r="C174" s="102"/>
      <c r="D174" s="102" t="s">
        <v>12666</v>
      </c>
      <c r="E174" s="102" t="s">
        <v>12666</v>
      </c>
      <c r="F174" s="102" t="s">
        <v>12666</v>
      </c>
      <c r="G174" s="102" t="s">
        <v>12666</v>
      </c>
      <c r="H174" s="164"/>
      <c r="I174" s="51">
        <f>IF(speciated_chemicals_1[[#This Row],[Inert / Not a Contaminant?]]="Yes", 0, speciated_chemicals_1[[#This Row],[Weight Percent]]*(unique_components_1[[#Totals],[Controlled lb/hr]]+standard_components_1[[#Totals],[Controlled
lb/hr]]))</f>
        <v>0</v>
      </c>
      <c r="J174" s="51">
        <f>IF(speciated_chemicals_1[[#This Row],[Inert / Not a Contaminant?]]="Yes", 0, speciated_chemicals_1[[#This Row],[Weight Percent]]*(unique_components_1[[#Totals],[Controlled
tpy]]+standard_components_1[[#Totals],[Controlled
tpy]]))</f>
        <v>0</v>
      </c>
    </row>
    <row r="175" spans="1:10" x14ac:dyDescent="0.2">
      <c r="A175" s="103"/>
      <c r="B175" s="51" t="str">
        <f>IFERROR(VLOOKUP(speciated_chemicals_1[[#This Row],[CAS '#]],species[],MATCH("Substance", species[#Headers], 0),FALSE),"No CAS Number Entered")</f>
        <v>No CAS Number Entered</v>
      </c>
      <c r="C175" s="102"/>
      <c r="D175" s="102" t="s">
        <v>12666</v>
      </c>
      <c r="E175" s="102" t="s">
        <v>12666</v>
      </c>
      <c r="F175" s="102" t="s">
        <v>12666</v>
      </c>
      <c r="G175" s="102" t="s">
        <v>12666</v>
      </c>
      <c r="H175" s="164"/>
      <c r="I175" s="51">
        <f>IF(speciated_chemicals_1[[#This Row],[Inert / Not a Contaminant?]]="Yes", 0, speciated_chemicals_1[[#This Row],[Weight Percent]]*(unique_components_1[[#Totals],[Controlled lb/hr]]+standard_components_1[[#Totals],[Controlled
lb/hr]]))</f>
        <v>0</v>
      </c>
      <c r="J175" s="51">
        <f>IF(speciated_chemicals_1[[#This Row],[Inert / Not a Contaminant?]]="Yes", 0, speciated_chemicals_1[[#This Row],[Weight Percent]]*(unique_components_1[[#Totals],[Controlled
tpy]]+standard_components_1[[#Totals],[Controlled
tpy]]))</f>
        <v>0</v>
      </c>
    </row>
    <row r="176" spans="1:10" x14ac:dyDescent="0.2">
      <c r="A176" s="165"/>
      <c r="B176" s="51" t="str">
        <f>IFERROR(VLOOKUP(speciated_chemicals_1[[#This Row],[CAS '#]],species[],MATCH("Substance", species[#Headers], 0),FALSE),"No CAS Number Entered")</f>
        <v>No CAS Number Entered</v>
      </c>
      <c r="C176" s="102"/>
      <c r="D176" s="102" t="s">
        <v>12666</v>
      </c>
      <c r="E176" s="102" t="s">
        <v>12666</v>
      </c>
      <c r="F176" s="102" t="s">
        <v>12666</v>
      </c>
      <c r="G176" s="102" t="s">
        <v>12666</v>
      </c>
      <c r="H176" s="164"/>
      <c r="I176" s="51">
        <f>IF(speciated_chemicals_1[[#This Row],[Inert / Not a Contaminant?]]="Yes", 0, speciated_chemicals_1[[#This Row],[Weight Percent]]*(unique_components_1[[#Totals],[Controlled lb/hr]]+standard_components_1[[#Totals],[Controlled
lb/hr]]))</f>
        <v>0</v>
      </c>
      <c r="J176" s="51">
        <f>IF(speciated_chemicals_1[[#This Row],[Inert / Not a Contaminant?]]="Yes", 0, speciated_chemicals_1[[#This Row],[Weight Percent]]*(unique_components_1[[#Totals],[Controlled
tpy]]+standard_components_1[[#Totals],[Controlled
tpy]]))</f>
        <v>0</v>
      </c>
    </row>
    <row r="177" spans="1:10" x14ac:dyDescent="0.2">
      <c r="A177" s="103"/>
      <c r="B177" s="51" t="str">
        <f>IFERROR(VLOOKUP(speciated_chemicals_1[[#This Row],[CAS '#]],species[],MATCH("Substance", species[#Headers], 0),FALSE),"No CAS Number Entered")</f>
        <v>No CAS Number Entered</v>
      </c>
      <c r="C177" s="102"/>
      <c r="D177" s="102" t="s">
        <v>12666</v>
      </c>
      <c r="E177" s="102" t="s">
        <v>12666</v>
      </c>
      <c r="F177" s="102" t="s">
        <v>12666</v>
      </c>
      <c r="G177" s="102" t="s">
        <v>12666</v>
      </c>
      <c r="H177" s="164"/>
      <c r="I177" s="51">
        <f>IF(speciated_chemicals_1[[#This Row],[Inert / Not a Contaminant?]]="Yes", 0, speciated_chemicals_1[[#This Row],[Weight Percent]]*(unique_components_1[[#Totals],[Controlled lb/hr]]+standard_components_1[[#Totals],[Controlled
lb/hr]]))</f>
        <v>0</v>
      </c>
      <c r="J177" s="51">
        <f>IF(speciated_chemicals_1[[#This Row],[Inert / Not a Contaminant?]]="Yes", 0, speciated_chemicals_1[[#This Row],[Weight Percent]]*(unique_components_1[[#Totals],[Controlled
tpy]]+standard_components_1[[#Totals],[Controlled
tpy]]))</f>
        <v>0</v>
      </c>
    </row>
    <row r="178" spans="1:10" x14ac:dyDescent="0.2">
      <c r="A178" s="103"/>
      <c r="B178" s="51" t="str">
        <f>IFERROR(VLOOKUP(speciated_chemicals_1[[#This Row],[CAS '#]],species[],MATCH("Substance", species[#Headers], 0),FALSE),"No CAS Number Entered")</f>
        <v>No CAS Number Entered</v>
      </c>
      <c r="C178" s="102"/>
      <c r="D178" s="102" t="s">
        <v>12666</v>
      </c>
      <c r="E178" s="102" t="s">
        <v>12666</v>
      </c>
      <c r="F178" s="102" t="s">
        <v>12666</v>
      </c>
      <c r="G178" s="102" t="s">
        <v>12666</v>
      </c>
      <c r="H178" s="164"/>
      <c r="I178" s="51">
        <f>IF(speciated_chemicals_1[[#This Row],[Inert / Not a Contaminant?]]="Yes", 0, speciated_chemicals_1[[#This Row],[Weight Percent]]*(unique_components_1[[#Totals],[Controlled lb/hr]]+standard_components_1[[#Totals],[Controlled
lb/hr]]))</f>
        <v>0</v>
      </c>
      <c r="J178" s="51">
        <f>IF(speciated_chemicals_1[[#This Row],[Inert / Not a Contaminant?]]="Yes", 0, speciated_chemicals_1[[#This Row],[Weight Percent]]*(unique_components_1[[#Totals],[Controlled
tpy]]+standard_components_1[[#Totals],[Controlled
tpy]]))</f>
        <v>0</v>
      </c>
    </row>
    <row r="179" spans="1:10" x14ac:dyDescent="0.2">
      <c r="A179" s="103"/>
      <c r="B179" s="51" t="str">
        <f>IFERROR(VLOOKUP(speciated_chemicals_1[[#This Row],[CAS '#]],species[],MATCH("Substance", species[#Headers], 0),FALSE),"No CAS Number Entered")</f>
        <v>No CAS Number Entered</v>
      </c>
      <c r="C179" s="102"/>
      <c r="D179" s="102" t="s">
        <v>12666</v>
      </c>
      <c r="E179" s="102" t="s">
        <v>12666</v>
      </c>
      <c r="F179" s="102" t="s">
        <v>12666</v>
      </c>
      <c r="G179" s="102" t="s">
        <v>12666</v>
      </c>
      <c r="H179" s="164"/>
      <c r="I179" s="51">
        <f>IF(speciated_chemicals_1[[#This Row],[Inert / Not a Contaminant?]]="Yes", 0, speciated_chemicals_1[[#This Row],[Weight Percent]]*(unique_components_1[[#Totals],[Controlled lb/hr]]+standard_components_1[[#Totals],[Controlled
lb/hr]]))</f>
        <v>0</v>
      </c>
      <c r="J179" s="51">
        <f>IF(speciated_chemicals_1[[#This Row],[Inert / Not a Contaminant?]]="Yes", 0, speciated_chemicals_1[[#This Row],[Weight Percent]]*(unique_components_1[[#Totals],[Controlled
tpy]]+standard_components_1[[#Totals],[Controlled
tpy]]))</f>
        <v>0</v>
      </c>
    </row>
    <row r="180" spans="1:10" x14ac:dyDescent="0.2">
      <c r="A180" s="103"/>
      <c r="B180" s="51" t="str">
        <f>IFERROR(VLOOKUP(speciated_chemicals_1[[#This Row],[CAS '#]],species[],MATCH("Substance", species[#Headers], 0),FALSE),"No CAS Number Entered")</f>
        <v>No CAS Number Entered</v>
      </c>
      <c r="C180" s="102"/>
      <c r="D180" s="102" t="s">
        <v>12666</v>
      </c>
      <c r="E180" s="102" t="s">
        <v>12666</v>
      </c>
      <c r="F180" s="102" t="s">
        <v>12666</v>
      </c>
      <c r="G180" s="102" t="s">
        <v>12666</v>
      </c>
      <c r="H180" s="164"/>
      <c r="I180" s="51">
        <f>IF(speciated_chemicals_1[[#This Row],[Inert / Not a Contaminant?]]="Yes", 0, speciated_chemicals_1[[#This Row],[Weight Percent]]*(unique_components_1[[#Totals],[Controlled lb/hr]]+standard_components_1[[#Totals],[Controlled
lb/hr]]))</f>
        <v>0</v>
      </c>
      <c r="J180" s="51">
        <f>IF(speciated_chemicals_1[[#This Row],[Inert / Not a Contaminant?]]="Yes", 0, speciated_chemicals_1[[#This Row],[Weight Percent]]*(unique_components_1[[#Totals],[Controlled
tpy]]+standard_components_1[[#Totals],[Controlled
tpy]]))</f>
        <v>0</v>
      </c>
    </row>
    <row r="181" spans="1:10" ht="30" x14ac:dyDescent="0.2">
      <c r="A181" s="184" t="s">
        <v>12705</v>
      </c>
      <c r="B181" s="52"/>
      <c r="C181" s="53"/>
      <c r="D181" s="52"/>
      <c r="E181" s="52"/>
      <c r="F181" s="52"/>
      <c r="G181" s="52"/>
      <c r="H181" s="166">
        <f>SUBTOTAL(109,speciated_chemicals_1[Weight Percent])</f>
        <v>0</v>
      </c>
      <c r="I181" s="167">
        <f>SUBTOTAL(109,speciated_chemicals_1[lb/hr])</f>
        <v>0</v>
      </c>
      <c r="J181" s="167">
        <f>SUBTOTAL(109,speciated_chemicals_1[tpy])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MATCH(speciated_ghg_1[[#This Row],[CAS '#]], gwp_table[CAS No.], 0), MATCH("Name", gwp_table[#Headers], 0)),"No CAS Number Entered")</f>
        <v>No CAS Number Entered</v>
      </c>
      <c r="C185" s="79" t="str">
        <f>IFERROR(INDEX(gwp_table[], MATCH(speciated_ghg_1[[#This Row],[CAS '#]], gwp_table[CAS No.], 0), MATCH("Global warming potential", gwp_table[#Headers], 0)),"No CAS Number Entered")</f>
        <v>No CAS Number Entered</v>
      </c>
      <c r="D185" s="219"/>
      <c r="E185" s="79">
        <f>IFERROR(speciated_ghg_1[[#This Row],[Weight Percent]]*(unique_components_1[[#Totals],[Controlled
tpy]]+standard_components_1[[#Totals],[Controlled
tpy]]), "-")</f>
        <v>0</v>
      </c>
      <c r="F185" s="81" t="str">
        <f>IFERROR(speciated_ghg_1[[#This Row],[Mass Emissions (U.S. tons per year)]]*speciated_ghg_1[[#This Row],[Global Warming Potential (GWP)]], "-")</f>
        <v>-</v>
      </c>
      <c r="G185" s="30"/>
      <c r="H185" s="168"/>
      <c r="I185" s="168"/>
    </row>
    <row r="186" spans="1:10" x14ac:dyDescent="0.2">
      <c r="A186" s="210"/>
      <c r="B186" s="79" t="str">
        <f>IFERROR(INDEX(gwp_table[], MATCH(speciated_ghg_1[[#This Row],[CAS '#]], gwp_table[CAS No.], 0), MATCH("Name", gwp_table[#Headers], 0)),"No CAS Number Entered")</f>
        <v>No CAS Number Entered</v>
      </c>
      <c r="C186" s="79" t="str">
        <f>IFERROR(INDEX(gwp_table[], MATCH(speciated_ghg_1[[#This Row],[CAS '#]], gwp_table[CAS No.], 0), MATCH("Global warming potential", gwp_table[#Headers], 0)),"No CAS Number Entered")</f>
        <v>No CAS Number Entered</v>
      </c>
      <c r="D186" s="219"/>
      <c r="E186" s="79">
        <f>IFERROR(speciated_ghg_1[[#This Row],[Weight Percent]]*(unique_components_1[[#Totals],[Controlled
tpy]]+standard_components_1[[#Totals],[Controlled
tpy]]), "-")</f>
        <v>0</v>
      </c>
      <c r="F186" s="81" t="str">
        <f>IFERROR(speciated_ghg_1[[#This Row],[Mass Emissions (U.S. tons per year)]]*speciated_ghg_1[[#This Row],[Global Warming Potential (GWP)]], "-")</f>
        <v>-</v>
      </c>
      <c r="G186" s="30"/>
      <c r="H186" s="168"/>
      <c r="I186" s="168"/>
    </row>
    <row r="187" spans="1:10" x14ac:dyDescent="0.2">
      <c r="A187" s="210"/>
      <c r="B187" s="79" t="str">
        <f>IFERROR(INDEX(gwp_table[], MATCH(speciated_ghg_1[[#This Row],[CAS '#]], gwp_table[CAS No.], 0), MATCH("Name", gwp_table[#Headers], 0)),"No CAS Number Entered")</f>
        <v>No CAS Number Entered</v>
      </c>
      <c r="C187" s="79" t="str">
        <f>IFERROR(INDEX(gwp_table[], MATCH(speciated_ghg_1[[#This Row],[CAS '#]], gwp_table[CAS No.], 0), MATCH("Global warming potential", gwp_table[#Headers], 0)),"No CAS Number Entered")</f>
        <v>No CAS Number Entered</v>
      </c>
      <c r="D187" s="219"/>
      <c r="E187" s="79">
        <f>IFERROR(speciated_ghg_1[[#This Row],[Weight Percent]]*(unique_components_1[[#Totals],[Controlled
tpy]]+standard_components_1[[#Totals],[Controlled
tpy]]), "-")</f>
        <v>0</v>
      </c>
      <c r="F187" s="81" t="str">
        <f>IFERROR(speciated_ghg_1[[#This Row],[Mass Emissions (U.S. tons per year)]]*speciated_ghg_1[[#This Row],[Global Warming Potential (GWP)]], "-")</f>
        <v>-</v>
      </c>
      <c r="G187" s="30"/>
      <c r="H187" s="168"/>
      <c r="I187" s="168"/>
    </row>
    <row r="188" spans="1:10" x14ac:dyDescent="0.2">
      <c r="A188" s="210"/>
      <c r="B188" s="79" t="str">
        <f>IFERROR(INDEX(gwp_table[], MATCH(speciated_ghg_1[[#This Row],[CAS '#]], gwp_table[CAS No.], 0), MATCH("Name", gwp_table[#Headers], 0)),"No CAS Number Entered")</f>
        <v>No CAS Number Entered</v>
      </c>
      <c r="C188" s="79" t="str">
        <f>IFERROR(INDEX(gwp_table[], MATCH(speciated_ghg_1[[#This Row],[CAS '#]], gwp_table[CAS No.], 0), MATCH("Global warming potential", gwp_table[#Headers], 0)),"No CAS Number Entered")</f>
        <v>No CAS Number Entered</v>
      </c>
      <c r="D188" s="219"/>
      <c r="E188" s="79">
        <f>IFERROR(speciated_ghg_1[[#This Row],[Weight Percent]]*(unique_components_1[[#Totals],[Controlled
tpy]]+standard_components_1[[#Totals],[Controlled
tpy]]), "-")</f>
        <v>0</v>
      </c>
      <c r="F188" s="81" t="str">
        <f>IFERROR(speciated_ghg_1[[#This Row],[Mass Emissions (U.S. tons per year)]]*speciated_ghg_1[[#This Row],[Global Warming Potential (GWP)]], "-")</f>
        <v>-</v>
      </c>
      <c r="G188" s="30"/>
      <c r="H188" s="168"/>
      <c r="I188" s="168"/>
    </row>
    <row r="189" spans="1:10" x14ac:dyDescent="0.2">
      <c r="A189" s="210"/>
      <c r="B189" s="79" t="str">
        <f>IFERROR(INDEX(gwp_table[], MATCH(speciated_ghg_1[[#This Row],[CAS '#]], gwp_table[CAS No.], 0), MATCH("Name", gwp_table[#Headers], 0)),"No CAS Number Entered")</f>
        <v>No CAS Number Entered</v>
      </c>
      <c r="C189" s="79" t="str">
        <f>IFERROR(INDEX(gwp_table[], MATCH(speciated_ghg_1[[#This Row],[CAS '#]], gwp_table[CAS No.], 0), MATCH("Global warming potential", gwp_table[#Headers], 0)),"No CAS Number Entered")</f>
        <v>No CAS Number Entered</v>
      </c>
      <c r="D189" s="219"/>
      <c r="E189" s="79">
        <f>IFERROR(speciated_ghg_1[[#This Row],[Weight Percent]]*(unique_components_1[[#Totals],[Controlled
tpy]]+standard_components_1[[#Totals],[Controlled
tpy]]), "-")</f>
        <v>0</v>
      </c>
      <c r="F189" s="81" t="str">
        <f>IFERROR(speciated_ghg_1[[#This Row],[Mass Emissions (U.S. tons per year)]]*speciated_ghg_1[[#This Row],[Global Warming Potential (GWP)]], "-")</f>
        <v>-</v>
      </c>
      <c r="G189" s="30"/>
      <c r="H189" s="168"/>
      <c r="I189" s="168"/>
    </row>
    <row r="190" spans="1:10" x14ac:dyDescent="0.2">
      <c r="A190" s="210"/>
      <c r="B190" s="79" t="str">
        <f>IFERROR(INDEX(gwp_table[], MATCH(speciated_ghg_1[[#This Row],[CAS '#]], gwp_table[CAS No.], 0), MATCH("Name", gwp_table[#Headers], 0)),"No CAS Number Entered")</f>
        <v>No CAS Number Entered</v>
      </c>
      <c r="C190" s="79" t="str">
        <f>IFERROR(INDEX(gwp_table[], MATCH(speciated_ghg_1[[#This Row],[CAS '#]], gwp_table[CAS No.], 0), MATCH("Global warming potential", gwp_table[#Headers], 0)),"No CAS Number Entered")</f>
        <v>No CAS Number Entered</v>
      </c>
      <c r="D190" s="219"/>
      <c r="E190" s="79">
        <f>IFERROR(speciated_ghg_1[[#This Row],[Weight Percent]]*(unique_components_1[[#Totals],[Controlled
tpy]]+standard_components_1[[#Totals],[Controlled
tpy]]), "-")</f>
        <v>0</v>
      </c>
      <c r="F190" s="81" t="str">
        <f>IFERROR(speciated_ghg_1[[#This Row],[Mass Emissions (U.S. tons per year)]]*speciated_ghg_1[[#This Row],[Global Warming Potential (GWP)]], "-")</f>
        <v>-</v>
      </c>
      <c r="G190" s="30"/>
      <c r="H190" s="168"/>
      <c r="I190" s="168"/>
    </row>
    <row r="191" spans="1:10" x14ac:dyDescent="0.2">
      <c r="A191" s="210"/>
      <c r="B191" s="79" t="str">
        <f>IFERROR(INDEX(gwp_table[], MATCH(speciated_ghg_1[[#This Row],[CAS '#]], gwp_table[CAS No.], 0), MATCH("Name", gwp_table[#Headers], 0)),"No CAS Number Entered")</f>
        <v>No CAS Number Entered</v>
      </c>
      <c r="C191" s="79" t="str">
        <f>IFERROR(INDEX(gwp_table[], MATCH(speciated_ghg_1[[#This Row],[CAS '#]], gwp_table[CAS No.], 0), MATCH("Global warming potential", gwp_table[#Headers], 0)),"No CAS Number Entered")</f>
        <v>No CAS Number Entered</v>
      </c>
      <c r="D191" s="219"/>
      <c r="E191" s="79">
        <f>IFERROR(speciated_ghg_1[[#This Row],[Weight Percent]]*(unique_components_1[[#Totals],[Controlled
tpy]]+standard_components_1[[#Totals],[Controlled
tpy]]), "-")</f>
        <v>0</v>
      </c>
      <c r="F191" s="81" t="str">
        <f>IFERROR(speciated_ghg_1[[#This Row],[Mass Emissions (U.S. tons per year)]]*speciated_ghg_1[[#This Row],[Global Warming Potential (GWP)]], "-")</f>
        <v>-</v>
      </c>
      <c r="G191" s="17"/>
    </row>
    <row r="192" spans="1:10" ht="15" x14ac:dyDescent="0.25">
      <c r="A192" s="210"/>
      <c r="B192" s="79" t="str">
        <f>IFERROR(INDEX(gwp_table[], MATCH(speciated_ghg_1[[#This Row],[CAS '#]], gwp_table[CAS No.], 0), MATCH("Name", gwp_table[#Headers], 0)),"No CAS Number Entered")</f>
        <v>No CAS Number Entered</v>
      </c>
      <c r="C192" s="79" t="str">
        <f>IFERROR(INDEX(gwp_table[], MATCH(speciated_ghg_1[[#This Row],[CAS '#]], gwp_table[CAS No.], 0), MATCH("Global warming potential", gwp_table[#Headers], 0)),"No CAS Number Entered")</f>
        <v>No CAS Number Entered</v>
      </c>
      <c r="D192" s="219"/>
      <c r="E192" s="79">
        <f>IFERROR(speciated_ghg_1[[#This Row],[Weight Percent]]*(unique_components_1[[#Totals],[Controlled
tpy]]+standard_components_1[[#Totals],[Controlled
tpy]]), "-")</f>
        <v>0</v>
      </c>
      <c r="F192" s="81" t="str">
        <f>IFERROR(speciated_ghg_1[[#This Row],[Mass Emissions (U.S. tons per year)]]*speciated_ghg_1[[#This Row],[Global Warming Potential (GWP)]], "-")</f>
        <v>-</v>
      </c>
      <c r="G192" s="134"/>
      <c r="H192" s="169"/>
    </row>
    <row r="193" spans="1:9" ht="15" x14ac:dyDescent="0.25">
      <c r="A193" s="210"/>
      <c r="B193" s="79" t="str">
        <f>IFERROR(INDEX(gwp_table[], MATCH(speciated_ghg_1[[#This Row],[CAS '#]], gwp_table[CAS No.], 0), MATCH("Name", gwp_table[#Headers], 0)),"No CAS Number Entered")</f>
        <v>No CAS Number Entered</v>
      </c>
      <c r="C193" s="79" t="str">
        <f>IFERROR(INDEX(gwp_table[], MATCH(speciated_ghg_1[[#This Row],[CAS '#]], gwp_table[CAS No.], 0), MATCH("Global warming potential", gwp_table[#Headers], 0)),"No CAS Number Entered")</f>
        <v>No CAS Number Entered</v>
      </c>
      <c r="D193" s="219"/>
      <c r="E193" s="79">
        <f>IFERROR(speciated_ghg_1[[#This Row],[Weight Percent]]*(unique_components_1[[#Totals],[Controlled
tpy]]+standard_components_1[[#Totals],[Controlled
tpy]]), "-")</f>
        <v>0</v>
      </c>
      <c r="F193" s="81" t="str">
        <f>IFERROR(speciated_ghg_1[[#This Row],[Mass Emissions (U.S. tons per year)]]*speciated_ghg_1[[#This Row],[Global Warming Potential (GWP)]], "-")</f>
        <v>-</v>
      </c>
      <c r="G193" s="134"/>
      <c r="H193" s="169"/>
    </row>
    <row r="194" spans="1:9" ht="15" x14ac:dyDescent="0.25">
      <c r="A194" s="210"/>
      <c r="B194" s="79" t="str">
        <f>IFERROR(INDEX(gwp_table[], MATCH(speciated_ghg_1[[#This Row],[CAS '#]], gwp_table[CAS No.], 0), MATCH("Name", gwp_table[#Headers], 0)),"No CAS Number Entered")</f>
        <v>No CAS Number Entered</v>
      </c>
      <c r="C194" s="79" t="str">
        <f>IFERROR(INDEX(gwp_table[], MATCH(speciated_ghg_1[[#This Row],[CAS '#]], gwp_table[CAS No.], 0), MATCH("Global warming potential", gwp_table[#Headers], 0)),"No CAS Number Entered")</f>
        <v>No CAS Number Entered</v>
      </c>
      <c r="D194" s="219"/>
      <c r="E194" s="79">
        <f>IFERROR(speciated_ghg_1[[#This Row],[Weight Percent]]*(unique_components_1[[#Totals],[Controlled
tpy]]+standard_components_1[[#Totals],[Controlled
tpy]]), "-")</f>
        <v>0</v>
      </c>
      <c r="F194" s="81" t="str">
        <f>IFERROR(speciated_ghg_1[[#This Row],[Mass Emissions (U.S. tons per year)]]*speciated_ghg_1[[#This Row],[Global Warming Potential (GWP)]], "-")</f>
        <v>-</v>
      </c>
      <c r="G194" s="134"/>
      <c r="H194" s="169"/>
    </row>
    <row r="195" spans="1:9" x14ac:dyDescent="0.2">
      <c r="A195" s="210"/>
      <c r="B195" s="79" t="str">
        <f>IFERROR(INDEX(gwp_table[], MATCH(speciated_ghg_1[[#This Row],[CAS '#]], gwp_table[CAS No.], 0), MATCH("Name", gwp_table[#Headers], 0)),"No CAS Number Entered")</f>
        <v>No CAS Number Entered</v>
      </c>
      <c r="C195" s="79" t="str">
        <f>IFERROR(INDEX(gwp_table[], MATCH(speciated_ghg_1[[#This Row],[CAS '#]], gwp_table[CAS No.], 0), MATCH("Global warming potential", gwp_table[#Headers], 0)),"No CAS Number Entered")</f>
        <v>No CAS Number Entered</v>
      </c>
      <c r="D195" s="219"/>
      <c r="E195" s="79">
        <f>IFERROR(speciated_ghg_1[[#This Row],[Weight Percent]]*(unique_components_1[[#Totals],[Controlled
tpy]]+standard_components_1[[#Totals],[Controlled
tpy]]), "-")</f>
        <v>0</v>
      </c>
      <c r="F195" s="81" t="str">
        <f>IFERROR(speciated_ghg_1[[#This Row],[Mass Emissions (U.S. tons per year)]]*speciated_ghg_1[[#This Row],[Global Warming Potential (GWP)]], "-")</f>
        <v>-</v>
      </c>
      <c r="G195" s="69"/>
      <c r="H195" s="169"/>
    </row>
    <row r="196" spans="1:9" x14ac:dyDescent="0.2">
      <c r="A196" s="210"/>
      <c r="B196" s="79" t="str">
        <f>IFERROR(INDEX(gwp_table[], MATCH(speciated_ghg_1[[#This Row],[CAS '#]], gwp_table[CAS No.], 0), MATCH("Name", gwp_table[#Headers], 0)),"No CAS Number Entered")</f>
        <v>No CAS Number Entered</v>
      </c>
      <c r="C196" s="79" t="str">
        <f>IFERROR(INDEX(gwp_table[], MATCH(speciated_ghg_1[[#This Row],[CAS '#]], gwp_table[CAS No.], 0), MATCH("Global warming potential", gwp_table[#Headers], 0)),"No CAS Number Entered")</f>
        <v>No CAS Number Entered</v>
      </c>
      <c r="D196" s="219"/>
      <c r="E196" s="79">
        <f>IFERROR(speciated_ghg_1[[#This Row],[Weight Percent]]*(unique_components_1[[#Totals],[Controlled
tpy]]+standard_components_1[[#Totals],[Controlled
tpy]]), "-")</f>
        <v>0</v>
      </c>
      <c r="F196" s="81" t="str">
        <f>IFERROR(speciated_ghg_1[[#This Row],[Mass Emissions (U.S. tons per year)]]*speciated_ghg_1[[#This Row],[Global Warming Potential (GWP)]], "-")</f>
        <v>-</v>
      </c>
      <c r="G196" s="29"/>
      <c r="H196" s="169"/>
    </row>
    <row r="197" spans="1:9" x14ac:dyDescent="0.2">
      <c r="A197" s="210"/>
      <c r="B197" s="79" t="str">
        <f>IFERROR(INDEX(gwp_table[], MATCH(speciated_ghg_1[[#This Row],[CAS '#]], gwp_table[CAS No.], 0), MATCH("Name", gwp_table[#Headers], 0)),"No CAS Number Entered")</f>
        <v>No CAS Number Entered</v>
      </c>
      <c r="C197" s="79" t="str">
        <f>IFERROR(INDEX(gwp_table[], MATCH(speciated_ghg_1[[#This Row],[CAS '#]], gwp_table[CAS No.], 0), MATCH("Global warming potential", gwp_table[#Headers], 0)),"No CAS Number Entered")</f>
        <v>No CAS Number Entered</v>
      </c>
      <c r="D197" s="219"/>
      <c r="E197" s="79">
        <f>IFERROR(speciated_ghg_1[[#This Row],[Weight Percent]]*(unique_components_1[[#Totals],[Controlled
tpy]]+standard_components_1[[#Totals],[Controlled
tpy]]), "-")</f>
        <v>0</v>
      </c>
      <c r="F197" s="81" t="str">
        <f>IFERROR(speciated_ghg_1[[#This Row],[Mass Emissions (U.S. tons per year)]]*speciated_ghg_1[[#This Row],[Global Warming Potential (GWP)]], "-")</f>
        <v>-</v>
      </c>
      <c r="G197" s="29"/>
      <c r="H197" s="29"/>
      <c r="I197" s="169"/>
    </row>
    <row r="198" spans="1:9" x14ac:dyDescent="0.2">
      <c r="A198" s="210"/>
      <c r="B198" s="79" t="str">
        <f>IFERROR(INDEX(gwp_table[], MATCH(speciated_ghg_1[[#This Row],[CAS '#]], gwp_table[CAS No.], 0), MATCH("Name", gwp_table[#Headers], 0)),"No CAS Number Entered")</f>
        <v>No CAS Number Entered</v>
      </c>
      <c r="C198" s="79" t="str">
        <f>IFERROR(INDEX(gwp_table[], MATCH(speciated_ghg_1[[#This Row],[CAS '#]], gwp_table[CAS No.], 0), MATCH("Global warming potential", gwp_table[#Headers], 0)),"No CAS Number Entered")</f>
        <v>No CAS Number Entered</v>
      </c>
      <c r="D198" s="219"/>
      <c r="E198" s="79">
        <f>IFERROR(speciated_ghg_1[[#This Row],[Weight Percent]]*(unique_components_1[[#Totals],[Controlled
tpy]]+standard_components_1[[#Totals],[Controlled
tpy]]), "-")</f>
        <v>0</v>
      </c>
      <c r="F198" s="81" t="str">
        <f>IFERROR(speciated_ghg_1[[#This Row],[Mass Emissions (U.S. tons per year)]]*speciated_ghg_1[[#This Row],[Global Warming Potential (GWP)]], "-")</f>
        <v>-</v>
      </c>
      <c r="G198" s="29"/>
      <c r="H198" s="29"/>
      <c r="I198" s="169"/>
    </row>
    <row r="199" spans="1:9" x14ac:dyDescent="0.2">
      <c r="A199" s="210"/>
      <c r="B199" s="79" t="str">
        <f>IFERROR(INDEX(gwp_table[], MATCH(speciated_ghg_1[[#This Row],[CAS '#]], gwp_table[CAS No.], 0), MATCH("Name", gwp_table[#Headers], 0)),"No CAS Number Entered")</f>
        <v>No CAS Number Entered</v>
      </c>
      <c r="C199" s="79" t="str">
        <f>IFERROR(INDEX(gwp_table[], MATCH(speciated_ghg_1[[#This Row],[CAS '#]], gwp_table[CAS No.], 0), MATCH("Global warming potential", gwp_table[#Headers], 0)),"No CAS Number Entered")</f>
        <v>No CAS Number Entered</v>
      </c>
      <c r="D199" s="219"/>
      <c r="E199" s="79">
        <f>IFERROR(speciated_ghg_1[[#This Row],[Weight Percent]]*(unique_components_1[[#Totals],[Controlled
tpy]]+standard_components_1[[#Totals],[Controlled
tpy]]), "-")</f>
        <v>0</v>
      </c>
      <c r="F199" s="81" t="str">
        <f>IFERROR(speciated_ghg_1[[#This Row],[Mass Emissions (U.S. tons per year)]]*speciated_ghg_1[[#This Row],[Global Warming Potential (GWP)]], "-")</f>
        <v>-</v>
      </c>
      <c r="G199" s="29"/>
      <c r="H199" s="29"/>
      <c r="I199" s="169"/>
    </row>
    <row r="200" spans="1:9" x14ac:dyDescent="0.2">
      <c r="A200" s="210"/>
      <c r="B200" s="79" t="str">
        <f>IFERROR(INDEX(gwp_table[], MATCH(speciated_ghg_1[[#This Row],[CAS '#]], gwp_table[CAS No.], 0), MATCH("Name", gwp_table[#Headers], 0)),"No CAS Number Entered")</f>
        <v>No CAS Number Entered</v>
      </c>
      <c r="C200" s="79" t="str">
        <f>IFERROR(INDEX(gwp_table[], MATCH(speciated_ghg_1[[#This Row],[CAS '#]], gwp_table[CAS No.], 0), MATCH("Global warming potential", gwp_table[#Headers], 0)),"No CAS Number Entered")</f>
        <v>No CAS Number Entered</v>
      </c>
      <c r="D200" s="219"/>
      <c r="E200" s="79">
        <f>IFERROR(speciated_ghg_1[[#This Row],[Weight Percent]]*(unique_components_1[[#Totals],[Controlled
tpy]]+standard_components_1[[#Totals],[Controlled
tpy]]), "-")</f>
        <v>0</v>
      </c>
      <c r="F200" s="81" t="str">
        <f>IFERROR(speciated_ghg_1[[#This Row],[Mass Emissions (U.S. tons per year)]]*speciated_ghg_1[[#This Row],[Global Warming Potential (GWP)]], "-")</f>
        <v>-</v>
      </c>
      <c r="G200" s="29"/>
      <c r="H200" s="29"/>
      <c r="I200" s="169"/>
    </row>
    <row r="201" spans="1:9" x14ac:dyDescent="0.2">
      <c r="A201" s="210"/>
      <c r="B201" s="79" t="str">
        <f>IFERROR(INDEX(gwp_table[], MATCH(speciated_ghg_1[[#This Row],[CAS '#]], gwp_table[CAS No.], 0), MATCH("Name", gwp_table[#Headers], 0)),"No CAS Number Entered")</f>
        <v>No CAS Number Entered</v>
      </c>
      <c r="C201" s="79" t="str">
        <f>IFERROR(INDEX(gwp_table[], MATCH(speciated_ghg_1[[#This Row],[CAS '#]], gwp_table[CAS No.], 0), MATCH("Global warming potential", gwp_table[#Headers], 0)),"No CAS Number Entered")</f>
        <v>No CAS Number Entered</v>
      </c>
      <c r="D201" s="219"/>
      <c r="E201" s="79">
        <f>IFERROR(speciated_ghg_1[[#This Row],[Weight Percent]]*(unique_components_1[[#Totals],[Controlled
tpy]]+standard_components_1[[#Totals],[Controlled
tpy]]), "-")</f>
        <v>0</v>
      </c>
      <c r="F201" s="81" t="str">
        <f>IFERROR(speciated_ghg_1[[#This Row],[Mass Emissions (U.S. tons per year)]]*speciated_ghg_1[[#This Row],[Global Warming Potential (GWP)]], "-")</f>
        <v>-</v>
      </c>
      <c r="G201" s="169"/>
      <c r="H201" s="169"/>
      <c r="I201" s="169"/>
    </row>
    <row r="202" spans="1:9" x14ac:dyDescent="0.2">
      <c r="A202" s="210"/>
      <c r="B202" s="79" t="str">
        <f>IFERROR(INDEX(gwp_table[], MATCH(speciated_ghg_1[[#This Row],[CAS '#]], gwp_table[CAS No.], 0), MATCH("Name", gwp_table[#Headers], 0)),"No CAS Number Entered")</f>
        <v>No CAS Number Entered</v>
      </c>
      <c r="C202" s="79" t="str">
        <f>IFERROR(INDEX(gwp_table[], MATCH(speciated_ghg_1[[#This Row],[CAS '#]], gwp_table[CAS No.], 0), MATCH("Global warming potential", gwp_table[#Headers], 0)),"No CAS Number Entered")</f>
        <v>No CAS Number Entered</v>
      </c>
      <c r="D202" s="219"/>
      <c r="E202" s="79">
        <f>IFERROR(speciated_ghg_1[[#This Row],[Weight Percent]]*(unique_components_1[[#Totals],[Controlled
tpy]]+standard_components_1[[#Totals],[Controlled
tpy]]), "-")</f>
        <v>0</v>
      </c>
      <c r="F202" s="81" t="str">
        <f>IFERROR(speciated_ghg_1[[#This Row],[Mass Emissions (U.S. tons per year)]]*speciated_ghg_1[[#This Row],[Global Warming Potential (GWP)]], "-")</f>
        <v>-</v>
      </c>
      <c r="G202" s="169"/>
      <c r="H202" s="169"/>
      <c r="I202" s="169"/>
    </row>
    <row r="203" spans="1:9" x14ac:dyDescent="0.2">
      <c r="A203" s="210"/>
      <c r="B203" s="79" t="str">
        <f>IFERROR(INDEX(gwp_table[], MATCH(speciated_ghg_1[[#This Row],[CAS '#]], gwp_table[CAS No.], 0), MATCH("Name", gwp_table[#Headers], 0)),"No CAS Number Entered")</f>
        <v>No CAS Number Entered</v>
      </c>
      <c r="C203" s="79" t="str">
        <f>IFERROR(INDEX(gwp_table[], MATCH(speciated_ghg_1[[#This Row],[CAS '#]], gwp_table[CAS No.], 0), MATCH("Global warming potential", gwp_table[#Headers], 0)),"No CAS Number Entered")</f>
        <v>No CAS Number Entered</v>
      </c>
      <c r="D203" s="219"/>
      <c r="E203" s="79">
        <f>IFERROR(speciated_ghg_1[[#This Row],[Weight Percent]]*(unique_components_1[[#Totals],[Controlled
tpy]]+standard_components_1[[#Totals],[Controlled
tpy]]), "-")</f>
        <v>0</v>
      </c>
      <c r="F203" s="81" t="str">
        <f>IFERROR(speciated_ghg_1[[#This Row],[Mass Emissions (U.S. tons per year)]]*speciated_ghg_1[[#This Row],[Global Warming Potential (GWP)]], "-")</f>
        <v>-</v>
      </c>
      <c r="G203" s="169"/>
      <c r="H203" s="169"/>
      <c r="I203" s="169"/>
    </row>
    <row r="204" spans="1:9" ht="30" x14ac:dyDescent="0.25">
      <c r="A204" s="185" t="s">
        <v>13321</v>
      </c>
      <c r="B204" s="77"/>
      <c r="C204" s="77"/>
      <c r="D204" s="77"/>
      <c r="E204" s="80">
        <f>SUBTOTAL(109,speciated_ghg_1[Mass Emissions (U.S. tons per year)])</f>
        <v>0</v>
      </c>
      <c r="F204" s="82">
        <f>SUBTOTAL(109,speciated_ghg_1[CO2e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speciated_chemicals_1[[#Totals],[lb/hr]]</f>
        <v>0</v>
      </c>
      <c r="C207" s="134"/>
      <c r="D207" s="134"/>
      <c r="E207" s="134"/>
      <c r="F207" s="134"/>
      <c r="G207" s="169"/>
      <c r="H207" s="169"/>
    </row>
    <row r="208" spans="1:9" ht="29.25" x14ac:dyDescent="0.25">
      <c r="A208" s="174" t="s">
        <v>13320</v>
      </c>
      <c r="B208" s="175">
        <f>speciated_chemicals_1[[#Totals],[tpy]]</f>
        <v>0</v>
      </c>
      <c r="C208" s="134"/>
      <c r="D208" s="134"/>
      <c r="E208" s="134"/>
      <c r="F208" s="134"/>
      <c r="G208" s="169"/>
      <c r="H208" s="169"/>
    </row>
    <row r="209" spans="1:8" ht="15" x14ac:dyDescent="0.25">
      <c r="A209" s="126" t="s">
        <v>13277</v>
      </c>
      <c r="B209" s="128">
        <f>SUMIF(speciated_chemicals_1[VOC?],"Yes",speciated_chemicals_1[lb/hr])</f>
        <v>0</v>
      </c>
      <c r="C209" s="134"/>
      <c r="D209" s="29"/>
      <c r="E209" s="29"/>
      <c r="F209" s="29"/>
      <c r="G209" s="169"/>
      <c r="H209" s="169"/>
    </row>
    <row r="210" spans="1:8" ht="15" x14ac:dyDescent="0.25">
      <c r="A210" s="126" t="s">
        <v>12669</v>
      </c>
      <c r="B210" s="128">
        <f>SUMIF(speciated_chemicals_1[VOC?],"Yes",speciated_chemicals_1[tpy])</f>
        <v>0</v>
      </c>
      <c r="C210" s="134"/>
      <c r="D210" s="29"/>
      <c r="E210" s="29"/>
      <c r="F210" s="29"/>
      <c r="G210" s="169"/>
      <c r="H210" s="169"/>
    </row>
    <row r="211" spans="1:8" ht="15" x14ac:dyDescent="0.25">
      <c r="A211" s="126" t="s">
        <v>12775</v>
      </c>
      <c r="B211" s="128">
        <f>SUMIF(speciated_chemicals_1[Inorganic?],"Yes",speciated_chemicals_1[lb/hr])</f>
        <v>0</v>
      </c>
      <c r="C211" s="134"/>
      <c r="D211" s="29"/>
      <c r="E211" s="29"/>
      <c r="F211" s="29"/>
      <c r="G211" s="169"/>
      <c r="H211" s="169"/>
    </row>
    <row r="212" spans="1:8" ht="15" x14ac:dyDescent="0.25">
      <c r="A212" s="126" t="s">
        <v>12770</v>
      </c>
      <c r="B212" s="128">
        <f>SUMIF(speciated_chemicals_1[Inorganic?],"Yes",speciated_chemicals_1[tpy])</f>
        <v>0</v>
      </c>
      <c r="C212" s="134"/>
      <c r="D212" s="29"/>
      <c r="E212" s="29"/>
      <c r="F212" s="29"/>
      <c r="G212" s="169"/>
      <c r="H212" s="169"/>
    </row>
    <row r="213" spans="1:8" ht="15" x14ac:dyDescent="0.25">
      <c r="A213" s="126" t="s">
        <v>13276</v>
      </c>
      <c r="B213" s="128">
        <f>SUMIF(speciated_chemicals_1[VOC-Exempt Solvent?],"Yes",speciated_chemicals_1[lb/hr])</f>
        <v>0</v>
      </c>
      <c r="C213" s="134"/>
      <c r="D213" s="29"/>
      <c r="E213" s="29"/>
      <c r="F213" s="29"/>
      <c r="G213" s="169"/>
      <c r="H213" s="169"/>
    </row>
    <row r="214" spans="1:8" ht="15" x14ac:dyDescent="0.25">
      <c r="A214" s="126" t="s">
        <v>13278</v>
      </c>
      <c r="B214" s="128">
        <f>SUMIF(speciated_chemicals_1[VOC-Exempt Solvent?],"Yes",speciated_chemicals_1[tpy])</f>
        <v>0</v>
      </c>
      <c r="C214" s="134"/>
      <c r="D214" s="29"/>
      <c r="E214" s="29"/>
      <c r="F214" s="29"/>
      <c r="G214" s="169"/>
      <c r="H214" s="169"/>
    </row>
    <row r="215" spans="1:8" ht="15" x14ac:dyDescent="0.25">
      <c r="A215" s="127" t="s">
        <v>13280</v>
      </c>
      <c r="B215" s="176">
        <f>speciated_ghg_1[[#Totals],[Mass Emissions (U.S. tons per year)]]</f>
        <v>0</v>
      </c>
      <c r="C215" s="134"/>
      <c r="D215" s="29"/>
      <c r="E215" s="29"/>
      <c r="F215" s="29"/>
      <c r="G215" s="169"/>
      <c r="H215" s="169"/>
    </row>
    <row r="216" spans="1:8" ht="18.75" x14ac:dyDescent="0.35">
      <c r="A216" s="127" t="s">
        <v>13281</v>
      </c>
      <c r="B216" s="176">
        <f>speciated_ghg_1[[#Totals],[CO2e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bm3exVGmWKA69Wfi22/NRiQbmNpIxAJV1G2+5Dp2ciX0UaYLUuUY2uLgZqN480MyuuHfXRr9C1xwBTDFlhO4Q==" saltValue="zu3GOzAj6k43J0AecbcWEQ==" spinCount="100000" sheet="1" objects="1" scenarios="1" formatColumns="0" formatRows="0" autoFilter="0"/>
  <conditionalFormatting sqref="A21:H21">
    <cfRule type="expression" dxfId="2443" priority="5">
      <formula>$F$19="No"</formula>
    </cfRule>
  </conditionalFormatting>
  <conditionalFormatting sqref="A105:E106 F106:G126">
    <cfRule type="expression" dxfId="2442" priority="4">
      <formula>$E$104="no"</formula>
    </cfRule>
  </conditionalFormatting>
  <conditionalFormatting sqref="C131:C180">
    <cfRule type="expression" dxfId="2441" priority="3">
      <formula>NOT(B131="Other (Please specify):")</formula>
    </cfRule>
  </conditionalFormatting>
  <conditionalFormatting sqref="A107:E126">
    <cfRule type="expression" dxfId="2440" priority="2">
      <formula>$A$58="No"</formula>
    </cfRule>
  </conditionalFormatting>
  <conditionalFormatting sqref="A107:E126 A206:B214 A215:A216">
    <cfRule type="expression" dxfId="2439" priority="1">
      <formula>$B$11="I disagree"</formula>
    </cfRule>
  </conditionalFormatting>
  <dataValidations count="29">
    <dataValidation type="list" allowBlank="1" showInputMessage="1" showErrorMessage="1" sqref="B16" xr:uid="{508C791A-C7B2-48DC-9D34-1A41DBE7939D}">
      <formula1>instrument_ldar_list</formula1>
    </dataValidation>
    <dataValidation type="list" allowBlank="1" showInputMessage="1" showErrorMessage="1" sqref="B17" xr:uid="{9A53206E-0690-4A8A-BA7B-D32432F18953}">
      <formula1>connector_ldar_list</formula1>
    </dataValidation>
    <dataValidation type="list" allowBlank="1" showInputMessage="1" showErrorMessage="1" sqref="B18" xr:uid="{46DAA3D8-474C-4CF1-A9EE-649594916DE2}">
      <formula1>inspection_ldar_list</formula1>
    </dataValidation>
    <dataValidation type="decimal" operator="greaterThan" allowBlank="1" showInputMessage="1" showErrorMessage="1" prompt="Enter the weight percent of the substance" sqref="H131 D185:D203" xr:uid="{BDEE17A8-3332-4F81-B0F0-964097BDC10A}">
      <formula1>0</formula1>
    </dataValidation>
    <dataValidation type="decimal" allowBlank="1" showInputMessage="1" showErrorMessage="1" prompt="Enter the weight percent of the substance" sqref="H177" xr:uid="{FE933D75-3754-460C-BD90-FB763C9443D9}">
      <formula1>0</formula1>
      <formula2>1</formula2>
    </dataValidation>
    <dataValidation type="list" allowBlank="1" showInputMessage="1" showErrorMessage="1" prompt="Enter or select Chemical Abstracts Service number; select &quot;N/A&quot; if a CAS # is not applicable" sqref="A185:A203 A176" xr:uid="{7795CA94-7BFF-4FB9-B676-9BCC44D4C36A}">
      <formula1>gwp_table_cas</formula1>
    </dataValidation>
    <dataValidation type="list" allowBlank="1" showInputMessage="1" prompt="Please specify whether the substance is an VOC-exempt solvent." sqref="F131:F180" xr:uid="{8CBDB67E-8CED-4143-8B4E-D4060C199A67}">
      <formula1>"Yes,No"</formula1>
    </dataValidation>
    <dataValidation type="list" showInputMessage="1" prompt="Please specify whether the substance is an inorganic contaminant (e.g. ammonia or chlorine gas)" sqref="E131:E180" xr:uid="{65CAC352-F000-4E6D-8497-FEA0277D134B}">
      <formula1>"Yes,No"</formula1>
    </dataValidation>
    <dataValidation type="list" showInputMessage="1" prompt="Please specify whether the substance is a volatile organic compound (VOC); methane and ethane are not classifed as VOCs" sqref="D131" xr:uid="{8A8A86FE-CAC5-430B-AE49-A2E95DE6D639}">
      <formula1>"Yes,No"</formula1>
    </dataValidation>
    <dataValidation allowBlank="1" showInputMessage="1" showErrorMessage="1" prompt="Provide justification" sqref="B105" xr:uid="{6A084A28-E87F-42AF-BCAF-AA54D4B89F4B}"/>
    <dataValidation type="list" allowBlank="1" showInputMessage="1" showErrorMessage="1" prompt="Please select from the dropdown" sqref="B104" xr:uid="{8FC3DE21-F74D-4391-947A-449DA5CA0983}">
      <formula1>yes_no_list</formula1>
    </dataValidation>
    <dataValidation type="list" allowBlank="1" showInputMessage="1" prompt="Please specify if the substance is an inert substance or is not considered a contaminant (e.g. steam)" sqref="G131:G180" xr:uid="{1226283D-DD23-46F1-BDBD-1FB61AB295DF}">
      <formula1>"Yes,No"</formula1>
    </dataValidation>
    <dataValidation allowBlank="1" showInputMessage="1" showErrorMessage="1" prompt="Proposed emission factor" sqref="D107:D126" xr:uid="{F230C8E0-F86E-4BC6-9D2A-AA3A81E126DD}"/>
    <dataValidation type="list" allowBlank="1" showInputMessage="1" showErrorMessage="1" sqref="B20" xr:uid="{DAE0DF4E-9357-4BCA-9D9A-9A55C4ABA020}">
      <formula1>process_drains_effs</formula1>
    </dataValidation>
    <dataValidation type="list" allowBlank="1" showInputMessage="1" showErrorMessage="1" sqref="B19" xr:uid="{51AE0273-1F5E-4718-B6C4-9ACCE5E0BD60}">
      <formula1>yes_no_list</formula1>
    </dataValidation>
    <dataValidation type="list" allowBlank="1" showInputMessage="1" showErrorMessage="1" sqref="B13" xr:uid="{B7C06625-C4F2-4DB4-88CE-6B692A5D6045}">
      <formula1>industry_names</formula1>
    </dataValidation>
    <dataValidation allowBlank="1" showInputMessage="1" showErrorMessage="1" prompt="Name of unique component" sqref="A107:A126" xr:uid="{94F72BC6-5059-4C9E-8125-FC8006110FCC}"/>
    <dataValidation allowBlank="1" showInputMessage="1" showErrorMessage="1" prompt="Type of service (e.g. gas, vapor, or liquid)" sqref="B107:B126" xr:uid="{36DB229E-B8C0-402C-86F6-9437966A6A60}"/>
    <dataValidation allowBlank="1" showInputMessage="1" showErrorMessage="1" prompt="Count of unique component" sqref="C107:C126" xr:uid="{52D7A735-E512-42B4-944B-05DC0E2CC71B}"/>
    <dataValidation allowBlank="1" showInputMessage="1" showErrorMessage="1" prompt="Proposed control efficiency (0-1)" sqref="E107:E126" xr:uid="{8559C285-8853-4A44-AAEE-4FCFDB4BD037}"/>
    <dataValidation type="list" allowBlank="1" showInputMessage="1" prompt="Select other species from dropdown" sqref="C131:C180" xr:uid="{0016D6F7-C709-41D2-B2C8-5E97E008AAD2}">
      <formula1>NoCASList</formula1>
    </dataValidation>
    <dataValidation type="list" allowBlank="1" showInputMessage="1" showErrorMessage="1" prompt="Enter or select Chemical Abstracts Service number; select &quot;N/A&quot; if a CAS # is not applicable" sqref="A131:A175 A177:A180" xr:uid="{990F7D00-B589-4F4F-8414-5B7B159875F1}">
      <formula1>SpeciesList</formula1>
    </dataValidation>
    <dataValidation allowBlank="1" showInputMessage="1" showErrorMessage="1" prompt="Enter the weight percent of the substance" sqref="H178:H180 H132:H176" xr:uid="{F904536D-5F7D-4266-98EA-6805E9452AE8}"/>
    <dataValidation type="list" allowBlank="1" showInputMessage="1" prompt="Please specify whether the substance is a volatile organic compound (VOC); methane and ethane are not classifed as VOCs" sqref="D132:D180" xr:uid="{5037465F-9C69-406F-B988-A413890F2669}">
      <formula1>"Yes,No"</formula1>
    </dataValidation>
    <dataValidation type="list" allowBlank="1" showInputMessage="1" showErrorMessage="1" sqref="F16:F17" xr:uid="{B65196A2-7499-49A0-B5BC-06E920D17BE3}">
      <formula1>IF(#REF!="SOCMI Non-Leaker",ListNone,ListInstrument)</formula1>
    </dataValidation>
    <dataValidation type="list" allowBlank="1" showInputMessage="1" showErrorMessage="1" sqref="F18" xr:uid="{2B56AFF2-D661-4705-BF7E-8015275F4142}">
      <formula1>IF(#REF!="SOCMI Non-leaker",ListNone,ListInspection)</formula1>
    </dataValidation>
    <dataValidation type="list" allowBlank="1" showInputMessage="1" showErrorMessage="1" sqref="F19:H20" xr:uid="{80A3FB1A-6417-4C84-AF6B-ABBFFA1D1D29}">
      <formula1>"No,Yes - 75%,Yes - 95%"</formula1>
    </dataValidation>
    <dataValidation type="list" allowBlank="1" showInputMessage="1" showErrorMessage="1" sqref="E104:H104 B10" xr:uid="{2ED82E77-2B3A-4A12-A3E8-5AD8C2B30CE7}">
      <formula1>"Yes,No"</formula1>
    </dataValidation>
    <dataValidation allowBlank="1" showInputMessage="1" showErrorMessage="1" prompt="Enter the number of the components corresponding to the component type and service type shown in the previous two cells. For sampling connections, see note in Instructions." sqref="C25:C100" xr:uid="{3B6C444A-5B06-48FD-BA40-2909FF4F13BC}"/>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99D4-820F-4E11-BA53-8EEA6CA5950D}">
  <sheetPr codeName="Sheet3">
    <tabColor theme="4" tint="0.39997558519241921"/>
  </sheetPr>
  <dimension ref="A1:XFC92"/>
  <sheetViews>
    <sheetView zoomScaleNormal="100" workbookViewId="0"/>
  </sheetViews>
  <sheetFormatPr defaultColWidth="8.625" defaultRowHeight="14.25" x14ac:dyDescent="0.2"/>
  <cols>
    <col min="1" max="1" width="33.875" bestFit="1" customWidth="1"/>
    <col min="2" max="2" width="28.375" bestFit="1" customWidth="1"/>
    <col min="3" max="3" width="31.625" customWidth="1"/>
    <col min="4" max="4" width="27.25" customWidth="1"/>
    <col min="5" max="5" width="34.375" bestFit="1" customWidth="1"/>
    <col min="6" max="6" width="15.5" bestFit="1" customWidth="1"/>
    <col min="7" max="7" width="28.625" bestFit="1" customWidth="1"/>
    <col min="8" max="8" width="17.125" bestFit="1" customWidth="1"/>
    <col min="9" max="9" width="29.5" bestFit="1" customWidth="1"/>
    <col min="10" max="10" width="14" customWidth="1"/>
    <col min="11" max="11" width="22" bestFit="1" customWidth="1"/>
    <col min="12" max="12" width="17.5" bestFit="1" customWidth="1"/>
    <col min="13" max="16368" width="0" hidden="1" customWidth="1"/>
    <col min="16369" max="16369" width="3" hidden="1" customWidth="1"/>
    <col min="16370" max="16370" width="2.25" hidden="1" customWidth="1"/>
    <col min="16371" max="16371" width="1" hidden="1" customWidth="1"/>
    <col min="16372" max="16372" width="3.25" hidden="1" customWidth="1"/>
    <col min="16373" max="16373" width="3.75" hidden="1" customWidth="1"/>
    <col min="16374" max="16374" width="3.625" hidden="1" customWidth="1"/>
    <col min="16375" max="16375" width="3.125" hidden="1" customWidth="1"/>
    <col min="16376" max="16376" width="3.25" hidden="1" customWidth="1"/>
    <col min="16377" max="16377" width="3.125" hidden="1" customWidth="1"/>
    <col min="16378" max="16378" width="10.625" hidden="1" customWidth="1"/>
    <col min="16379" max="16379" width="0.5" hidden="1" customWidth="1"/>
    <col min="16380" max="16380" width="2" hidden="1" customWidth="1"/>
    <col min="16381" max="16381" width="3.375" hidden="1" customWidth="1"/>
    <col min="16382" max="16382" width="8.25" hidden="1" customWidth="1"/>
    <col min="16383" max="16383" width="5.125" hidden="1" customWidth="1"/>
    <col min="16384" max="16384" width="4.25" hidden="1" customWidth="1"/>
  </cols>
  <sheetData>
    <row r="1" spans="1:12 16378:16378" s="14" customFormat="1" ht="114" x14ac:dyDescent="0.2">
      <c r="A1" s="130" t="s">
        <v>13303</v>
      </c>
      <c r="B1" s="130" t="s">
        <v>13302</v>
      </c>
      <c r="XEX1" s="14" t="s">
        <v>13293</v>
      </c>
    </row>
    <row r="2" spans="1:12 16378:16378" s="14" customFormat="1" ht="42.75" x14ac:dyDescent="0.2">
      <c r="A2" s="130" t="s">
        <v>13284</v>
      </c>
    </row>
    <row r="3" spans="1:12 16378:16378" x14ac:dyDescent="0.2">
      <c r="A3" t="s">
        <v>12691</v>
      </c>
      <c r="B3" t="s">
        <v>13286</v>
      </c>
      <c r="C3" t="s">
        <v>13287</v>
      </c>
    </row>
    <row r="4" spans="1:12 16378:16378" x14ac:dyDescent="0.2">
      <c r="A4" s="14" t="s">
        <v>1</v>
      </c>
      <c r="B4" t="s">
        <v>12671</v>
      </c>
      <c r="C4" t="s">
        <v>12672</v>
      </c>
    </row>
    <row r="5" spans="1:12 16378:16378" x14ac:dyDescent="0.2">
      <c r="A5" t="s">
        <v>12692</v>
      </c>
      <c r="B5" s="14" t="s">
        <v>12671</v>
      </c>
      <c r="C5" s="14" t="s">
        <v>12672</v>
      </c>
    </row>
    <row r="6" spans="1:12 16378:16378" x14ac:dyDescent="0.2">
      <c r="A6" t="s">
        <v>12693</v>
      </c>
      <c r="B6" s="14" t="s">
        <v>12671</v>
      </c>
      <c r="C6" s="14" t="s">
        <v>12672</v>
      </c>
    </row>
    <row r="7" spans="1:12 16378:16378" x14ac:dyDescent="0.2">
      <c r="A7" t="s">
        <v>2</v>
      </c>
      <c r="B7" s="14" t="s">
        <v>12671</v>
      </c>
      <c r="C7" s="14" t="s">
        <v>12672</v>
      </c>
    </row>
    <row r="8" spans="1:12 16378:16378" x14ac:dyDescent="0.2">
      <c r="A8" s="14" t="s">
        <v>3</v>
      </c>
      <c r="B8" t="s">
        <v>12671</v>
      </c>
      <c r="C8" t="s">
        <v>12672</v>
      </c>
    </row>
    <row r="9" spans="1:12 16378:16378" x14ac:dyDescent="0.2">
      <c r="A9" s="14" t="s">
        <v>12697</v>
      </c>
      <c r="B9" t="s">
        <v>12700</v>
      </c>
      <c r="C9" t="s">
        <v>12701</v>
      </c>
    </row>
    <row r="10" spans="1:12 16378:16378" s="14" customFormat="1" x14ac:dyDescent="0.2">
      <c r="A10" s="14" t="s">
        <v>12688</v>
      </c>
      <c r="B10" t="s">
        <v>12673</v>
      </c>
      <c r="C10" t="s">
        <v>12674</v>
      </c>
    </row>
    <row r="11" spans="1:12 16378:16378" s="14" customFormat="1" x14ac:dyDescent="0.2">
      <c r="A11" s="14" t="s">
        <v>12685</v>
      </c>
      <c r="B11" s="14" t="s">
        <v>12698</v>
      </c>
      <c r="C11" s="14" t="s">
        <v>12699</v>
      </c>
    </row>
    <row r="12" spans="1:12 16378:16378" s="14" customFormat="1" x14ac:dyDescent="0.2">
      <c r="A12" s="14" t="s">
        <v>12686</v>
      </c>
      <c r="B12" s="14" t="s">
        <v>13292</v>
      </c>
      <c r="C12" s="14" t="s">
        <v>13294</v>
      </c>
    </row>
    <row r="13" spans="1:12 16378:16378" s="14" customFormat="1" x14ac:dyDescent="0.2">
      <c r="A13" s="14" t="s">
        <v>12687</v>
      </c>
      <c r="B13" s="14" t="s">
        <v>12698</v>
      </c>
      <c r="C13" s="14" t="s">
        <v>12699</v>
      </c>
    </row>
    <row r="15" spans="1:12 16378:16378" s="33" customFormat="1" ht="57" x14ac:dyDescent="0.2">
      <c r="A15" s="130" t="s">
        <v>13285</v>
      </c>
    </row>
    <row r="16" spans="1:12 16378:16378" x14ac:dyDescent="0.2">
      <c r="A16" s="61" t="s">
        <v>12671</v>
      </c>
      <c r="B16" s="61" t="s">
        <v>12672</v>
      </c>
      <c r="C16" s="61" t="s">
        <v>12673</v>
      </c>
      <c r="D16" s="61" t="s">
        <v>12674</v>
      </c>
      <c r="E16" s="61" t="s">
        <v>12698</v>
      </c>
      <c r="F16" s="61" t="s">
        <v>12699</v>
      </c>
      <c r="G16" s="61" t="s">
        <v>12700</v>
      </c>
      <c r="H16" s="61" t="s">
        <v>12701</v>
      </c>
      <c r="I16" s="61" t="s">
        <v>12702</v>
      </c>
      <c r="J16" s="61" t="s">
        <v>12703</v>
      </c>
      <c r="K16" s="61" t="s">
        <v>13292</v>
      </c>
      <c r="L16" s="61" t="s">
        <v>13294</v>
      </c>
    </row>
    <row r="17" spans="1:17" x14ac:dyDescent="0.2">
      <c r="A17" s="61" t="s">
        <v>4</v>
      </c>
      <c r="B17" s="3" t="s">
        <v>5</v>
      </c>
      <c r="C17" s="3" t="s">
        <v>4</v>
      </c>
      <c r="D17" s="3" t="s">
        <v>12675</v>
      </c>
      <c r="E17" s="61" t="s">
        <v>4</v>
      </c>
      <c r="F17" s="61" t="s">
        <v>5</v>
      </c>
      <c r="G17" s="63" t="s">
        <v>4</v>
      </c>
      <c r="H17" s="63" t="s">
        <v>5</v>
      </c>
      <c r="I17" s="61" t="s">
        <v>4</v>
      </c>
      <c r="J17" s="3" t="s">
        <v>5</v>
      </c>
      <c r="K17" s="61" t="s">
        <v>4</v>
      </c>
      <c r="L17" s="61" t="s">
        <v>5</v>
      </c>
    </row>
    <row r="18" spans="1:17" x14ac:dyDescent="0.2">
      <c r="A18" s="61" t="s">
        <v>4</v>
      </c>
      <c r="B18" s="3" t="s">
        <v>6</v>
      </c>
      <c r="C18" s="61" t="s">
        <v>12717</v>
      </c>
      <c r="D18" s="61" t="s">
        <v>12676</v>
      </c>
      <c r="E18" s="61" t="s">
        <v>4</v>
      </c>
      <c r="F18" s="61" t="s">
        <v>6</v>
      </c>
      <c r="G18" s="63" t="s">
        <v>4</v>
      </c>
      <c r="H18" s="63" t="s">
        <v>6</v>
      </c>
      <c r="I18" s="61" t="s">
        <v>4</v>
      </c>
      <c r="J18" s="3" t="s">
        <v>6</v>
      </c>
      <c r="K18" s="61" t="s">
        <v>4</v>
      </c>
      <c r="L18" s="61" t="s">
        <v>6</v>
      </c>
    </row>
    <row r="19" spans="1:17" x14ac:dyDescent="0.2">
      <c r="A19" s="61" t="s">
        <v>12717</v>
      </c>
      <c r="B19" s="61" t="s">
        <v>5</v>
      </c>
      <c r="C19" s="61" t="s">
        <v>12718</v>
      </c>
      <c r="D19" s="61" t="s">
        <v>12677</v>
      </c>
      <c r="E19" s="61" t="s">
        <v>12717</v>
      </c>
      <c r="F19" s="61" t="s">
        <v>5</v>
      </c>
      <c r="G19" s="61" t="s">
        <v>12717</v>
      </c>
      <c r="H19" s="61" t="s">
        <v>5</v>
      </c>
      <c r="I19" s="61" t="s">
        <v>12717</v>
      </c>
      <c r="J19" s="61" t="s">
        <v>5</v>
      </c>
      <c r="K19" s="61" t="s">
        <v>12717</v>
      </c>
      <c r="L19" s="61" t="s">
        <v>5</v>
      </c>
    </row>
    <row r="20" spans="1:17" x14ac:dyDescent="0.2">
      <c r="A20" s="61" t="s">
        <v>12717</v>
      </c>
      <c r="B20" s="61" t="s">
        <v>6</v>
      </c>
      <c r="C20" s="61" t="s">
        <v>4</v>
      </c>
      <c r="D20" s="61" t="s">
        <v>12678</v>
      </c>
      <c r="E20" s="61" t="s">
        <v>12717</v>
      </c>
      <c r="F20" s="61" t="s">
        <v>6</v>
      </c>
      <c r="G20" s="61" t="s">
        <v>12717</v>
      </c>
      <c r="H20" s="61" t="s">
        <v>6</v>
      </c>
      <c r="I20" s="61" t="s">
        <v>12717</v>
      </c>
      <c r="J20" s="61" t="s">
        <v>6</v>
      </c>
      <c r="K20" s="61" t="s">
        <v>12717</v>
      </c>
      <c r="L20" s="61" t="s">
        <v>6</v>
      </c>
    </row>
    <row r="21" spans="1:17" x14ac:dyDescent="0.2">
      <c r="A21" s="61" t="s">
        <v>12718</v>
      </c>
      <c r="B21" s="61" t="s">
        <v>5</v>
      </c>
      <c r="C21" s="61" t="s">
        <v>4</v>
      </c>
      <c r="D21" s="61" t="s">
        <v>12679</v>
      </c>
      <c r="E21" s="61" t="s">
        <v>12718</v>
      </c>
      <c r="F21" s="61" t="s">
        <v>5</v>
      </c>
      <c r="G21" s="61" t="s">
        <v>12718</v>
      </c>
      <c r="H21" s="61" t="s">
        <v>5</v>
      </c>
      <c r="I21" s="61" t="s">
        <v>12718</v>
      </c>
      <c r="J21" s="61" t="s">
        <v>5</v>
      </c>
      <c r="K21" s="61" t="s">
        <v>12718</v>
      </c>
      <c r="L21" s="61" t="s">
        <v>5</v>
      </c>
      <c r="Q21" s="14"/>
    </row>
    <row r="22" spans="1:17" x14ac:dyDescent="0.2">
      <c r="A22" s="61" t="s">
        <v>12718</v>
      </c>
      <c r="B22" s="61" t="s">
        <v>6</v>
      </c>
      <c r="C22" s="61" t="s">
        <v>12717</v>
      </c>
      <c r="D22" s="61" t="s">
        <v>12680</v>
      </c>
      <c r="E22" s="61" t="s">
        <v>12718</v>
      </c>
      <c r="F22" s="61" t="s">
        <v>5</v>
      </c>
      <c r="G22" s="61" t="s">
        <v>12718</v>
      </c>
      <c r="H22" s="61" t="s">
        <v>6</v>
      </c>
      <c r="I22" s="61" t="s">
        <v>12718</v>
      </c>
      <c r="J22" s="61" t="s">
        <v>6</v>
      </c>
      <c r="K22" s="61" t="s">
        <v>12718</v>
      </c>
      <c r="L22" s="61" t="s">
        <v>5</v>
      </c>
      <c r="Q22" s="14"/>
    </row>
    <row r="23" spans="1:17" x14ac:dyDescent="0.2">
      <c r="A23" s="61" t="s">
        <v>4</v>
      </c>
      <c r="B23" s="3" t="s">
        <v>7</v>
      </c>
      <c r="C23" s="61" t="s">
        <v>12718</v>
      </c>
      <c r="D23" s="61" t="s">
        <v>12680</v>
      </c>
      <c r="E23" s="61" t="s">
        <v>38</v>
      </c>
      <c r="F23" s="61" t="s">
        <v>12</v>
      </c>
      <c r="G23" s="63" t="s">
        <v>4</v>
      </c>
      <c r="H23" s="63" t="s">
        <v>7</v>
      </c>
      <c r="I23" s="61" t="s">
        <v>4</v>
      </c>
      <c r="J23" s="3" t="s">
        <v>7</v>
      </c>
      <c r="K23" s="61" t="s">
        <v>38</v>
      </c>
      <c r="L23" s="61" t="s">
        <v>12</v>
      </c>
      <c r="Q23" s="14"/>
    </row>
    <row r="24" spans="1:17" x14ac:dyDescent="0.2">
      <c r="A24" s="61" t="s">
        <v>4</v>
      </c>
      <c r="B24" s="3" t="s">
        <v>12483</v>
      </c>
      <c r="C24" s="61" t="s">
        <v>4</v>
      </c>
      <c r="D24" s="61" t="s">
        <v>12681</v>
      </c>
      <c r="E24" s="61" t="s">
        <v>8</v>
      </c>
      <c r="F24" s="61" t="s">
        <v>6</v>
      </c>
      <c r="G24" s="63" t="s">
        <v>4</v>
      </c>
      <c r="H24" s="63" t="s">
        <v>12483</v>
      </c>
      <c r="I24" s="61" t="s">
        <v>4</v>
      </c>
      <c r="J24" s="3" t="s">
        <v>12483</v>
      </c>
      <c r="K24" s="61" t="s">
        <v>8</v>
      </c>
      <c r="L24" s="61" t="s">
        <v>6</v>
      </c>
    </row>
    <row r="25" spans="1:17" x14ac:dyDescent="0.2">
      <c r="A25" s="61" t="s">
        <v>38</v>
      </c>
      <c r="B25" s="3" t="s">
        <v>12</v>
      </c>
      <c r="C25" s="61" t="s">
        <v>38</v>
      </c>
      <c r="D25" s="61" t="s">
        <v>12</v>
      </c>
      <c r="E25" s="92" t="s">
        <v>8</v>
      </c>
      <c r="F25" s="92" t="s">
        <v>7</v>
      </c>
      <c r="G25" s="63" t="s">
        <v>38</v>
      </c>
      <c r="H25" s="63" t="s">
        <v>12</v>
      </c>
      <c r="I25" s="61" t="s">
        <v>38</v>
      </c>
      <c r="J25" s="3" t="s">
        <v>12</v>
      </c>
      <c r="K25" s="92" t="s">
        <v>8</v>
      </c>
      <c r="L25" s="92" t="s">
        <v>7</v>
      </c>
    </row>
    <row r="26" spans="1:17" x14ac:dyDescent="0.2">
      <c r="A26" s="61" t="s">
        <v>8</v>
      </c>
      <c r="B26" s="3" t="s">
        <v>6</v>
      </c>
      <c r="C26" s="61" t="s">
        <v>8</v>
      </c>
      <c r="D26" s="61" t="s">
        <v>12675</v>
      </c>
      <c r="E26" s="92" t="s">
        <v>8</v>
      </c>
      <c r="F26" s="92" t="s">
        <v>12483</v>
      </c>
      <c r="G26" s="63" t="s">
        <v>8</v>
      </c>
      <c r="H26" s="63" t="s">
        <v>6</v>
      </c>
      <c r="I26" s="61" t="s">
        <v>8</v>
      </c>
      <c r="J26" s="3" t="s">
        <v>6</v>
      </c>
      <c r="K26" s="92" t="s">
        <v>8</v>
      </c>
      <c r="L26" s="92" t="s">
        <v>12483</v>
      </c>
    </row>
    <row r="27" spans="1:17" x14ac:dyDescent="0.2">
      <c r="A27" s="61" t="s">
        <v>8</v>
      </c>
      <c r="B27" s="3" t="s">
        <v>7</v>
      </c>
      <c r="C27" s="61" t="s">
        <v>8</v>
      </c>
      <c r="D27" s="61" t="s">
        <v>12682</v>
      </c>
      <c r="E27" s="92" t="s">
        <v>37</v>
      </c>
      <c r="F27" s="92" t="s">
        <v>12</v>
      </c>
      <c r="G27" s="63" t="s">
        <v>8</v>
      </c>
      <c r="H27" s="63" t="s">
        <v>7</v>
      </c>
      <c r="I27" s="61" t="s">
        <v>8</v>
      </c>
      <c r="J27" s="3" t="s">
        <v>7</v>
      </c>
      <c r="K27" s="92" t="s">
        <v>37</v>
      </c>
      <c r="L27" s="92" t="s">
        <v>12</v>
      </c>
    </row>
    <row r="28" spans="1:17" x14ac:dyDescent="0.2">
      <c r="A28" s="61" t="s">
        <v>8</v>
      </c>
      <c r="B28" s="3" t="s">
        <v>12483</v>
      </c>
      <c r="C28" s="61" t="s">
        <v>8</v>
      </c>
      <c r="D28" s="61" t="s">
        <v>12683</v>
      </c>
      <c r="E28" s="92" t="s">
        <v>14</v>
      </c>
      <c r="F28" s="92" t="s">
        <v>5</v>
      </c>
      <c r="G28" s="63" t="s">
        <v>8</v>
      </c>
      <c r="H28" s="63" t="s">
        <v>12483</v>
      </c>
      <c r="I28" s="61" t="s">
        <v>8</v>
      </c>
      <c r="J28" s="3" t="s">
        <v>12483</v>
      </c>
      <c r="K28" s="92" t="s">
        <v>14</v>
      </c>
      <c r="L28" s="92" t="s">
        <v>5</v>
      </c>
    </row>
    <row r="29" spans="1:17" x14ac:dyDescent="0.2">
      <c r="A29" s="61" t="s">
        <v>37</v>
      </c>
      <c r="B29" s="3" t="s">
        <v>12</v>
      </c>
      <c r="C29" s="61" t="s">
        <v>8</v>
      </c>
      <c r="D29" s="61" t="s">
        <v>12681</v>
      </c>
      <c r="E29" s="92" t="s">
        <v>14</v>
      </c>
      <c r="F29" s="92" t="s">
        <v>6</v>
      </c>
      <c r="G29" s="63" t="s">
        <v>37</v>
      </c>
      <c r="H29" s="63" t="s">
        <v>12</v>
      </c>
      <c r="I29" s="61" t="s">
        <v>37</v>
      </c>
      <c r="J29" s="3" t="s">
        <v>12</v>
      </c>
      <c r="K29" s="92" t="s">
        <v>14</v>
      </c>
      <c r="L29" s="92" t="s">
        <v>6</v>
      </c>
    </row>
    <row r="30" spans="1:17" x14ac:dyDescent="0.2">
      <c r="A30" s="61" t="s">
        <v>14</v>
      </c>
      <c r="B30" s="3" t="s">
        <v>5</v>
      </c>
      <c r="C30" s="61" t="s">
        <v>37</v>
      </c>
      <c r="D30" s="61" t="s">
        <v>12</v>
      </c>
      <c r="E30" s="61" t="s">
        <v>12715</v>
      </c>
      <c r="F30" s="92" t="s">
        <v>5</v>
      </c>
      <c r="G30" s="63" t="s">
        <v>14</v>
      </c>
      <c r="H30" s="63" t="s">
        <v>5</v>
      </c>
      <c r="I30" s="61" t="s">
        <v>14</v>
      </c>
      <c r="J30" s="3" t="s">
        <v>5</v>
      </c>
      <c r="K30" s="61" t="s">
        <v>12715</v>
      </c>
      <c r="L30" s="92" t="s">
        <v>5</v>
      </c>
    </row>
    <row r="31" spans="1:17" x14ac:dyDescent="0.2">
      <c r="A31" s="61" t="s">
        <v>14</v>
      </c>
      <c r="B31" s="3" t="s">
        <v>6</v>
      </c>
      <c r="C31" s="61" t="s">
        <v>12724</v>
      </c>
      <c r="D31" s="61" t="s">
        <v>12675</v>
      </c>
      <c r="E31" s="61" t="s">
        <v>12715</v>
      </c>
      <c r="F31" s="92" t="s">
        <v>6</v>
      </c>
      <c r="G31" s="63" t="s">
        <v>14</v>
      </c>
      <c r="H31" s="63" t="s">
        <v>6</v>
      </c>
      <c r="I31" s="61" t="s">
        <v>14</v>
      </c>
      <c r="J31" s="3" t="s">
        <v>6</v>
      </c>
      <c r="K31" s="61" t="s">
        <v>12715</v>
      </c>
      <c r="L31" s="92" t="s">
        <v>6</v>
      </c>
    </row>
    <row r="32" spans="1:17" x14ac:dyDescent="0.2">
      <c r="A32" s="61" t="s">
        <v>12715</v>
      </c>
      <c r="B32" s="61" t="s">
        <v>5</v>
      </c>
      <c r="C32" s="61" t="s">
        <v>12719</v>
      </c>
      <c r="D32" s="61" t="s">
        <v>12676</v>
      </c>
      <c r="E32" s="61" t="s">
        <v>12716</v>
      </c>
      <c r="F32" s="92" t="s">
        <v>5</v>
      </c>
      <c r="G32" s="61" t="s">
        <v>12715</v>
      </c>
      <c r="H32" s="61" t="s">
        <v>5</v>
      </c>
      <c r="I32" s="61" t="s">
        <v>12715</v>
      </c>
      <c r="J32" s="61" t="s">
        <v>5</v>
      </c>
      <c r="K32" s="61" t="s">
        <v>12716</v>
      </c>
      <c r="L32" s="92" t="s">
        <v>5</v>
      </c>
    </row>
    <row r="33" spans="1:12" x14ac:dyDescent="0.2">
      <c r="A33" s="61" t="s">
        <v>12715</v>
      </c>
      <c r="B33" s="61" t="s">
        <v>6</v>
      </c>
      <c r="C33" s="61" t="s">
        <v>12720</v>
      </c>
      <c r="D33" s="61" t="s">
        <v>12677</v>
      </c>
      <c r="E33" s="61" t="s">
        <v>12716</v>
      </c>
      <c r="F33" s="92" t="s">
        <v>6</v>
      </c>
      <c r="G33" s="61" t="s">
        <v>12715</v>
      </c>
      <c r="H33" s="61" t="s">
        <v>6</v>
      </c>
      <c r="I33" s="61" t="s">
        <v>12715</v>
      </c>
      <c r="J33" s="61" t="s">
        <v>6</v>
      </c>
      <c r="K33" s="61" t="s">
        <v>12716</v>
      </c>
      <c r="L33" s="92" t="s">
        <v>6</v>
      </c>
    </row>
    <row r="34" spans="1:12" x14ac:dyDescent="0.2">
      <c r="A34" s="61" t="s">
        <v>12716</v>
      </c>
      <c r="B34" s="61" t="s">
        <v>5</v>
      </c>
      <c r="C34" s="61" t="s">
        <v>12724</v>
      </c>
      <c r="D34" s="61" t="s">
        <v>12682</v>
      </c>
      <c r="E34" s="92" t="s">
        <v>14</v>
      </c>
      <c r="F34" s="92" t="s">
        <v>7</v>
      </c>
      <c r="G34" s="61" t="s">
        <v>12716</v>
      </c>
      <c r="H34" s="61" t="s">
        <v>5</v>
      </c>
      <c r="I34" s="61" t="s">
        <v>12716</v>
      </c>
      <c r="J34" s="61" t="s">
        <v>5</v>
      </c>
      <c r="K34" s="92" t="s">
        <v>14</v>
      </c>
      <c r="L34" s="92" t="s">
        <v>7</v>
      </c>
    </row>
    <row r="35" spans="1:12" x14ac:dyDescent="0.2">
      <c r="A35" s="61" t="s">
        <v>12716</v>
      </c>
      <c r="B35" s="61" t="s">
        <v>6</v>
      </c>
      <c r="C35" s="61" t="s">
        <v>12724</v>
      </c>
      <c r="D35" s="61" t="s">
        <v>12683</v>
      </c>
      <c r="E35" s="92" t="s">
        <v>14</v>
      </c>
      <c r="F35" s="92" t="s">
        <v>12483</v>
      </c>
      <c r="G35" s="61" t="s">
        <v>12716</v>
      </c>
      <c r="H35" s="61" t="s">
        <v>6</v>
      </c>
      <c r="I35" s="61" t="s">
        <v>12716</v>
      </c>
      <c r="J35" s="61" t="s">
        <v>6</v>
      </c>
      <c r="K35" s="92" t="s">
        <v>14</v>
      </c>
      <c r="L35" s="92" t="s">
        <v>12483</v>
      </c>
    </row>
    <row r="36" spans="1:12" x14ac:dyDescent="0.2">
      <c r="A36" s="61" t="s">
        <v>14</v>
      </c>
      <c r="B36" s="3" t="s">
        <v>7</v>
      </c>
      <c r="C36" s="61" t="s">
        <v>12719</v>
      </c>
      <c r="D36" s="61" t="s">
        <v>12680</v>
      </c>
      <c r="E36" s="92" t="s">
        <v>41</v>
      </c>
      <c r="F36" s="92" t="s">
        <v>12</v>
      </c>
      <c r="G36" s="63" t="s">
        <v>14</v>
      </c>
      <c r="H36" s="63" t="s">
        <v>7</v>
      </c>
      <c r="I36" s="61" t="s">
        <v>14</v>
      </c>
      <c r="J36" s="3" t="s">
        <v>7</v>
      </c>
      <c r="K36" s="92" t="s">
        <v>41</v>
      </c>
      <c r="L36" s="92" t="s">
        <v>12</v>
      </c>
    </row>
    <row r="37" spans="1:12" x14ac:dyDescent="0.2">
      <c r="A37" s="61" t="s">
        <v>14</v>
      </c>
      <c r="B37" s="3" t="s">
        <v>12483</v>
      </c>
      <c r="C37" s="61" t="s">
        <v>12720</v>
      </c>
      <c r="D37" s="61" t="s">
        <v>12680</v>
      </c>
      <c r="E37" s="92" t="s">
        <v>9</v>
      </c>
      <c r="F37" s="92" t="s">
        <v>5</v>
      </c>
      <c r="G37" s="63" t="s">
        <v>14</v>
      </c>
      <c r="H37" s="63" t="s">
        <v>12483</v>
      </c>
      <c r="I37" s="61" t="s">
        <v>14</v>
      </c>
      <c r="J37" s="3" t="s">
        <v>12483</v>
      </c>
      <c r="K37" s="92" t="s">
        <v>10</v>
      </c>
      <c r="L37" s="92" t="s">
        <v>5</v>
      </c>
    </row>
    <row r="38" spans="1:12" x14ac:dyDescent="0.2">
      <c r="A38" s="61" t="s">
        <v>41</v>
      </c>
      <c r="B38" s="3" t="s">
        <v>12</v>
      </c>
      <c r="C38" s="61" t="s">
        <v>12724</v>
      </c>
      <c r="D38" s="61" t="s">
        <v>12681</v>
      </c>
      <c r="E38" s="92" t="s">
        <v>40</v>
      </c>
      <c r="F38" s="92" t="s">
        <v>12</v>
      </c>
      <c r="G38" s="63" t="s">
        <v>41</v>
      </c>
      <c r="H38" s="63" t="s">
        <v>12</v>
      </c>
      <c r="I38" s="61" t="s">
        <v>41</v>
      </c>
      <c r="J38" s="3" t="s">
        <v>12</v>
      </c>
      <c r="K38" s="92" t="s">
        <v>10</v>
      </c>
      <c r="L38" s="92" t="s">
        <v>12704</v>
      </c>
    </row>
    <row r="39" spans="1:12" x14ac:dyDescent="0.2">
      <c r="A39" s="61" t="s">
        <v>9</v>
      </c>
      <c r="B39" s="63" t="s">
        <v>5</v>
      </c>
      <c r="C39" s="3" t="s">
        <v>12684</v>
      </c>
      <c r="D39" s="3" t="s">
        <v>12</v>
      </c>
      <c r="E39" s="92" t="s">
        <v>10</v>
      </c>
      <c r="F39" s="92" t="s">
        <v>5</v>
      </c>
      <c r="G39" s="93" t="s">
        <v>12729</v>
      </c>
      <c r="H39" s="93" t="s">
        <v>5</v>
      </c>
      <c r="I39" s="61" t="s">
        <v>9</v>
      </c>
      <c r="J39" s="63" t="s">
        <v>5</v>
      </c>
      <c r="K39" s="92" t="s">
        <v>36</v>
      </c>
      <c r="L39" s="92" t="s">
        <v>12</v>
      </c>
    </row>
    <row r="40" spans="1:12" x14ac:dyDescent="0.2">
      <c r="A40" s="61" t="s">
        <v>40</v>
      </c>
      <c r="B40" s="3" t="s">
        <v>12</v>
      </c>
      <c r="C40" s="3" t="s">
        <v>9</v>
      </c>
      <c r="D40" s="3" t="s">
        <v>12675</v>
      </c>
      <c r="E40" s="92" t="s">
        <v>10</v>
      </c>
      <c r="F40" s="92" t="s">
        <v>12704</v>
      </c>
      <c r="G40" s="93" t="s">
        <v>12729</v>
      </c>
      <c r="H40" s="93" t="s">
        <v>6</v>
      </c>
      <c r="I40" s="61" t="s">
        <v>40</v>
      </c>
      <c r="J40" s="3" t="s">
        <v>12</v>
      </c>
      <c r="K40" s="92" t="s">
        <v>11</v>
      </c>
      <c r="L40" s="92" t="s">
        <v>12</v>
      </c>
    </row>
    <row r="41" spans="1:12" x14ac:dyDescent="0.2">
      <c r="A41" s="61" t="s">
        <v>10</v>
      </c>
      <c r="B41" s="3" t="s">
        <v>5</v>
      </c>
      <c r="C41" s="3" t="s">
        <v>9</v>
      </c>
      <c r="D41" s="3" t="s">
        <v>12682</v>
      </c>
      <c r="E41" s="92" t="s">
        <v>36</v>
      </c>
      <c r="F41" s="92" t="s">
        <v>12</v>
      </c>
      <c r="G41" s="93" t="s">
        <v>12729</v>
      </c>
      <c r="H41" s="93" t="s">
        <v>7</v>
      </c>
      <c r="I41" s="61" t="s">
        <v>10</v>
      </c>
      <c r="J41" s="3" t="s">
        <v>5</v>
      </c>
      <c r="K41" s="92" t="s">
        <v>39</v>
      </c>
      <c r="L41" s="92" t="s">
        <v>12</v>
      </c>
    </row>
    <row r="42" spans="1:12" x14ac:dyDescent="0.2">
      <c r="A42" s="92" t="s">
        <v>10</v>
      </c>
      <c r="B42" s="92" t="s">
        <v>12704</v>
      </c>
      <c r="C42" s="3" t="s">
        <v>9</v>
      </c>
      <c r="D42" s="3" t="s">
        <v>12683</v>
      </c>
      <c r="E42" s="92" t="s">
        <v>11</v>
      </c>
      <c r="F42" s="92" t="s">
        <v>12</v>
      </c>
      <c r="G42" s="93" t="s">
        <v>12729</v>
      </c>
      <c r="H42" s="93" t="s">
        <v>12483</v>
      </c>
      <c r="I42" s="92" t="s">
        <v>10</v>
      </c>
      <c r="J42" s="92" t="s">
        <v>12704</v>
      </c>
      <c r="K42" s="129"/>
      <c r="L42" s="129"/>
    </row>
    <row r="43" spans="1:12" x14ac:dyDescent="0.2">
      <c r="A43" s="92" t="s">
        <v>36</v>
      </c>
      <c r="B43" s="92" t="s">
        <v>12</v>
      </c>
      <c r="C43" s="3" t="s">
        <v>9</v>
      </c>
      <c r="D43" s="3" t="s">
        <v>12681</v>
      </c>
      <c r="E43" s="92" t="s">
        <v>39</v>
      </c>
      <c r="F43" s="92" t="s">
        <v>12</v>
      </c>
      <c r="G43" s="92" t="s">
        <v>12664</v>
      </c>
      <c r="H43" s="92" t="s">
        <v>12664</v>
      </c>
      <c r="I43" s="92" t="s">
        <v>36</v>
      </c>
      <c r="J43" s="92" t="s">
        <v>12</v>
      </c>
      <c r="K43" s="129"/>
      <c r="L43" s="129"/>
    </row>
    <row r="44" spans="1:12" x14ac:dyDescent="0.2">
      <c r="A44" s="92" t="s">
        <v>11</v>
      </c>
      <c r="B44" s="92" t="s">
        <v>12</v>
      </c>
      <c r="C44" s="3" t="s">
        <v>40</v>
      </c>
      <c r="D44" s="3" t="s">
        <v>12</v>
      </c>
      <c r="E44" s="92" t="s">
        <v>12713</v>
      </c>
      <c r="F44" s="92" t="s">
        <v>12</v>
      </c>
      <c r="G44" s="92" t="s">
        <v>12664</v>
      </c>
      <c r="H44" s="92" t="s">
        <v>12664</v>
      </c>
      <c r="I44" s="92" t="s">
        <v>11</v>
      </c>
      <c r="J44" s="92" t="s">
        <v>12</v>
      </c>
      <c r="K44" s="92"/>
      <c r="L44" s="92"/>
    </row>
    <row r="45" spans="1:12" x14ac:dyDescent="0.2">
      <c r="A45" s="92" t="s">
        <v>39</v>
      </c>
      <c r="B45" s="92" t="s">
        <v>12</v>
      </c>
      <c r="C45" s="3" t="s">
        <v>10</v>
      </c>
      <c r="D45" s="3" t="s">
        <v>12675</v>
      </c>
      <c r="E45" s="92" t="s">
        <v>12714</v>
      </c>
      <c r="F45" s="92" t="s">
        <v>12</v>
      </c>
      <c r="G45" s="92" t="s">
        <v>12664</v>
      </c>
      <c r="H45" s="92" t="s">
        <v>12664</v>
      </c>
      <c r="I45" s="92" t="s">
        <v>39</v>
      </c>
      <c r="J45" s="92" t="s">
        <v>12</v>
      </c>
      <c r="K45" s="92"/>
      <c r="L45" s="92"/>
    </row>
    <row r="46" spans="1:12" x14ac:dyDescent="0.2">
      <c r="A46" s="92" t="s">
        <v>12713</v>
      </c>
      <c r="B46" s="92" t="s">
        <v>12</v>
      </c>
      <c r="C46" s="3" t="s">
        <v>10</v>
      </c>
      <c r="D46" s="3" t="s">
        <v>12682</v>
      </c>
      <c r="E46" s="92" t="s">
        <v>12664</v>
      </c>
      <c r="F46" s="92" t="s">
        <v>12664</v>
      </c>
      <c r="G46" s="92" t="s">
        <v>12664</v>
      </c>
      <c r="H46" s="92" t="s">
        <v>12664</v>
      </c>
      <c r="I46" s="92" t="s">
        <v>12713</v>
      </c>
      <c r="J46" s="92" t="s">
        <v>12</v>
      </c>
      <c r="K46" s="92"/>
      <c r="L46" s="92"/>
    </row>
    <row r="47" spans="1:12" x14ac:dyDescent="0.2">
      <c r="A47" s="92" t="s">
        <v>12714</v>
      </c>
      <c r="B47" s="92" t="s">
        <v>12</v>
      </c>
      <c r="C47" s="3" t="s">
        <v>10</v>
      </c>
      <c r="D47" s="3" t="s">
        <v>12683</v>
      </c>
      <c r="E47" s="92" t="s">
        <v>12664</v>
      </c>
      <c r="F47" s="92" t="s">
        <v>12664</v>
      </c>
      <c r="G47" s="92" t="s">
        <v>12664</v>
      </c>
      <c r="H47" s="92" t="s">
        <v>12664</v>
      </c>
      <c r="I47" s="92" t="s">
        <v>12714</v>
      </c>
      <c r="J47" s="92" t="s">
        <v>12</v>
      </c>
      <c r="K47" s="92"/>
      <c r="L47" s="92"/>
    </row>
    <row r="48" spans="1:12" x14ac:dyDescent="0.2">
      <c r="A48" s="92" t="s">
        <v>12725</v>
      </c>
      <c r="B48" s="92" t="s">
        <v>12</v>
      </c>
      <c r="C48" s="3" t="s">
        <v>10</v>
      </c>
      <c r="D48" s="3" t="s">
        <v>12681</v>
      </c>
      <c r="E48" s="92" t="s">
        <v>12664</v>
      </c>
      <c r="F48" s="92" t="s">
        <v>12664</v>
      </c>
      <c r="G48" s="92" t="s">
        <v>12664</v>
      </c>
      <c r="H48" s="92" t="s">
        <v>12664</v>
      </c>
      <c r="I48" s="92" t="s">
        <v>12725</v>
      </c>
      <c r="J48" s="92" t="s">
        <v>12</v>
      </c>
      <c r="K48" s="92"/>
      <c r="L48" s="92"/>
    </row>
    <row r="49" spans="1:12" x14ac:dyDescent="0.2">
      <c r="A49" s="92" t="s">
        <v>13</v>
      </c>
      <c r="B49" s="92" t="s">
        <v>12</v>
      </c>
      <c r="C49" s="3" t="s">
        <v>36</v>
      </c>
      <c r="D49" s="3" t="s">
        <v>12</v>
      </c>
      <c r="E49" s="92" t="s">
        <v>12664</v>
      </c>
      <c r="F49" s="92" t="s">
        <v>12664</v>
      </c>
      <c r="G49" s="92" t="s">
        <v>12664</v>
      </c>
      <c r="H49" s="92" t="s">
        <v>12664</v>
      </c>
      <c r="I49" s="92" t="s">
        <v>13</v>
      </c>
      <c r="J49" s="92" t="s">
        <v>12</v>
      </c>
      <c r="K49" s="92"/>
      <c r="L49" s="92"/>
    </row>
    <row r="50" spans="1:12" x14ac:dyDescent="0.2">
      <c r="A50" s="92" t="s">
        <v>12664</v>
      </c>
      <c r="B50" s="92" t="s">
        <v>12664</v>
      </c>
      <c r="C50" s="3" t="s">
        <v>11</v>
      </c>
      <c r="D50" s="3" t="s">
        <v>12675</v>
      </c>
      <c r="E50" s="92" t="s">
        <v>12664</v>
      </c>
      <c r="F50" s="92" t="s">
        <v>12664</v>
      </c>
      <c r="G50" s="92" t="s">
        <v>12664</v>
      </c>
      <c r="H50" s="92" t="s">
        <v>12664</v>
      </c>
      <c r="I50" s="92"/>
      <c r="J50" s="92"/>
      <c r="K50" s="92"/>
      <c r="L50" s="92"/>
    </row>
    <row r="51" spans="1:12" x14ac:dyDescent="0.2">
      <c r="A51" s="92" t="s">
        <v>12664</v>
      </c>
      <c r="B51" s="92" t="s">
        <v>12664</v>
      </c>
      <c r="C51" s="3" t="s">
        <v>11</v>
      </c>
      <c r="D51" s="3" t="s">
        <v>12682</v>
      </c>
      <c r="E51" s="92" t="s">
        <v>12664</v>
      </c>
      <c r="F51" s="92" t="s">
        <v>12664</v>
      </c>
      <c r="G51" s="92" t="s">
        <v>12664</v>
      </c>
      <c r="H51" s="92" t="s">
        <v>12664</v>
      </c>
      <c r="I51" s="92"/>
      <c r="J51" s="92"/>
      <c r="K51" s="92"/>
      <c r="L51" s="92"/>
    </row>
    <row r="52" spans="1:12" x14ac:dyDescent="0.2">
      <c r="A52" s="92" t="s">
        <v>12664</v>
      </c>
      <c r="B52" s="92" t="s">
        <v>12664</v>
      </c>
      <c r="C52" s="3" t="s">
        <v>11</v>
      </c>
      <c r="D52" s="3" t="s">
        <v>12683</v>
      </c>
      <c r="E52" s="92" t="s">
        <v>12664</v>
      </c>
      <c r="F52" s="92" t="s">
        <v>12664</v>
      </c>
      <c r="G52" s="92" t="s">
        <v>12664</v>
      </c>
      <c r="H52" s="92" t="s">
        <v>12664</v>
      </c>
      <c r="I52" s="92"/>
      <c r="J52" s="92"/>
      <c r="K52" s="92"/>
      <c r="L52" s="92"/>
    </row>
    <row r="53" spans="1:12" x14ac:dyDescent="0.2">
      <c r="A53" s="92" t="s">
        <v>12664</v>
      </c>
      <c r="B53" s="92" t="s">
        <v>12664</v>
      </c>
      <c r="C53" s="3" t="s">
        <v>11</v>
      </c>
      <c r="D53" s="3" t="s">
        <v>12681</v>
      </c>
      <c r="E53" s="92" t="s">
        <v>12664</v>
      </c>
      <c r="F53" s="92" t="s">
        <v>12664</v>
      </c>
      <c r="G53" s="92" t="s">
        <v>12664</v>
      </c>
      <c r="H53" s="92" t="s">
        <v>12664</v>
      </c>
      <c r="I53" s="92"/>
      <c r="J53" s="92"/>
      <c r="K53" s="92"/>
      <c r="L53" s="92"/>
    </row>
    <row r="54" spans="1:12" x14ac:dyDescent="0.2">
      <c r="A54" s="92" t="s">
        <v>12664</v>
      </c>
      <c r="B54" s="92" t="s">
        <v>12664</v>
      </c>
      <c r="C54" s="3" t="s">
        <v>39</v>
      </c>
      <c r="D54" s="3" t="s">
        <v>12</v>
      </c>
      <c r="E54" s="92" t="s">
        <v>12664</v>
      </c>
      <c r="F54" s="92" t="s">
        <v>12664</v>
      </c>
      <c r="G54" s="92" t="s">
        <v>12664</v>
      </c>
      <c r="H54" s="92" t="s">
        <v>12664</v>
      </c>
      <c r="I54" s="92"/>
      <c r="J54" s="92"/>
      <c r="K54" s="92"/>
      <c r="L54" s="92"/>
    </row>
    <row r="55" spans="1:12" x14ac:dyDescent="0.2">
      <c r="A55" s="92" t="s">
        <v>12664</v>
      </c>
      <c r="B55" s="92" t="s">
        <v>12664</v>
      </c>
      <c r="C55" s="92" t="s">
        <v>12713</v>
      </c>
      <c r="D55" s="62" t="s">
        <v>12675</v>
      </c>
      <c r="E55" s="92" t="s">
        <v>12664</v>
      </c>
      <c r="F55" s="92" t="s">
        <v>12664</v>
      </c>
      <c r="G55" s="92" t="s">
        <v>12664</v>
      </c>
      <c r="H55" s="92" t="s">
        <v>12664</v>
      </c>
      <c r="I55" s="92"/>
      <c r="J55" s="92"/>
      <c r="K55" s="92"/>
      <c r="L55" s="92"/>
    </row>
    <row r="56" spans="1:12" x14ac:dyDescent="0.2">
      <c r="A56" s="92" t="s">
        <v>12664</v>
      </c>
      <c r="B56" s="92" t="s">
        <v>12664</v>
      </c>
      <c r="C56" s="92" t="s">
        <v>12713</v>
      </c>
      <c r="D56" s="62" t="s">
        <v>12682</v>
      </c>
      <c r="E56" s="92" t="s">
        <v>12664</v>
      </c>
      <c r="F56" s="92" t="s">
        <v>12664</v>
      </c>
      <c r="G56" s="92" t="s">
        <v>12664</v>
      </c>
      <c r="H56" s="92" t="s">
        <v>12664</v>
      </c>
      <c r="I56" s="92"/>
      <c r="J56" s="92"/>
      <c r="K56" s="92"/>
      <c r="L56" s="92"/>
    </row>
    <row r="57" spans="1:12" x14ac:dyDescent="0.2">
      <c r="A57" s="92" t="s">
        <v>12664</v>
      </c>
      <c r="B57" s="92" t="s">
        <v>12664</v>
      </c>
      <c r="C57" s="92" t="s">
        <v>12713</v>
      </c>
      <c r="D57" s="62" t="s">
        <v>12683</v>
      </c>
      <c r="E57" s="92" t="s">
        <v>12664</v>
      </c>
      <c r="F57" s="92" t="s">
        <v>12664</v>
      </c>
      <c r="G57" s="92" t="s">
        <v>12664</v>
      </c>
      <c r="H57" s="92" t="s">
        <v>12664</v>
      </c>
      <c r="I57" s="92"/>
      <c r="J57" s="92"/>
      <c r="K57" s="92"/>
      <c r="L57" s="92"/>
    </row>
    <row r="58" spans="1:12" x14ac:dyDescent="0.2">
      <c r="A58" s="92" t="s">
        <v>12664</v>
      </c>
      <c r="B58" s="92" t="s">
        <v>12664</v>
      </c>
      <c r="C58" s="92" t="s">
        <v>12713</v>
      </c>
      <c r="D58" s="62" t="s">
        <v>12681</v>
      </c>
      <c r="E58" s="92" t="s">
        <v>12664</v>
      </c>
      <c r="F58" s="92" t="s">
        <v>12664</v>
      </c>
      <c r="G58" s="92" t="s">
        <v>12664</v>
      </c>
      <c r="H58" s="92" t="s">
        <v>12664</v>
      </c>
      <c r="I58" s="92"/>
      <c r="J58" s="92"/>
      <c r="K58" s="92"/>
      <c r="L58" s="92"/>
    </row>
    <row r="59" spans="1:12" x14ac:dyDescent="0.2">
      <c r="A59" s="92" t="s">
        <v>12664</v>
      </c>
      <c r="B59" s="92" t="s">
        <v>12664</v>
      </c>
      <c r="C59" s="62" t="s">
        <v>12714</v>
      </c>
      <c r="D59" s="62" t="s">
        <v>12675</v>
      </c>
      <c r="E59" s="92" t="s">
        <v>12664</v>
      </c>
      <c r="F59" s="92" t="s">
        <v>12664</v>
      </c>
      <c r="G59" s="92" t="s">
        <v>12664</v>
      </c>
      <c r="H59" s="92" t="s">
        <v>12664</v>
      </c>
      <c r="I59" s="92"/>
      <c r="J59" s="92"/>
      <c r="K59" s="92"/>
      <c r="L59" s="92"/>
    </row>
    <row r="60" spans="1:12" x14ac:dyDescent="0.2">
      <c r="A60" s="92" t="s">
        <v>12664</v>
      </c>
      <c r="B60" s="92" t="s">
        <v>12664</v>
      </c>
      <c r="C60" s="62" t="s">
        <v>12714</v>
      </c>
      <c r="D60" s="62" t="s">
        <v>12682</v>
      </c>
      <c r="E60" s="92" t="s">
        <v>12664</v>
      </c>
      <c r="F60" s="92" t="s">
        <v>12664</v>
      </c>
      <c r="G60" s="92" t="s">
        <v>12664</v>
      </c>
      <c r="H60" s="92" t="s">
        <v>12664</v>
      </c>
      <c r="I60" s="92"/>
      <c r="J60" s="92"/>
      <c r="K60" s="92"/>
      <c r="L60" s="92"/>
    </row>
    <row r="61" spans="1:12" x14ac:dyDescent="0.2">
      <c r="A61" s="92" t="s">
        <v>12664</v>
      </c>
      <c r="B61" s="92" t="s">
        <v>12664</v>
      </c>
      <c r="C61" s="62" t="s">
        <v>12714</v>
      </c>
      <c r="D61" s="62" t="s">
        <v>12683</v>
      </c>
      <c r="E61" s="92" t="s">
        <v>12664</v>
      </c>
      <c r="F61" s="92" t="s">
        <v>12664</v>
      </c>
      <c r="G61" s="92" t="s">
        <v>12664</v>
      </c>
      <c r="H61" s="92" t="s">
        <v>12664</v>
      </c>
      <c r="I61" s="92"/>
      <c r="J61" s="92"/>
      <c r="K61" s="92"/>
      <c r="L61" s="92"/>
    </row>
    <row r="62" spans="1:12" x14ac:dyDescent="0.2">
      <c r="A62" s="92" t="s">
        <v>12664</v>
      </c>
      <c r="B62" s="92" t="s">
        <v>12664</v>
      </c>
      <c r="C62" s="62" t="s">
        <v>12714</v>
      </c>
      <c r="D62" s="62" t="s">
        <v>12681</v>
      </c>
      <c r="E62" s="92" t="s">
        <v>12664</v>
      </c>
      <c r="F62" s="92" t="s">
        <v>12664</v>
      </c>
      <c r="G62" s="92" t="s">
        <v>12664</v>
      </c>
      <c r="H62" s="92" t="s">
        <v>12664</v>
      </c>
      <c r="I62" s="92"/>
      <c r="J62" s="92"/>
      <c r="K62" s="92"/>
      <c r="L62" s="92"/>
    </row>
    <row r="63" spans="1:12" x14ac:dyDescent="0.2">
      <c r="A63" s="92" t="s">
        <v>12664</v>
      </c>
      <c r="B63" s="92" t="s">
        <v>12664</v>
      </c>
      <c r="C63" s="62" t="s">
        <v>12723</v>
      </c>
      <c r="D63" s="62" t="s">
        <v>12675</v>
      </c>
      <c r="E63" s="92" t="s">
        <v>12664</v>
      </c>
      <c r="F63" s="92" t="s">
        <v>12664</v>
      </c>
      <c r="G63" s="92" t="s">
        <v>12664</v>
      </c>
      <c r="H63" s="92" t="s">
        <v>12664</v>
      </c>
      <c r="I63" s="92"/>
      <c r="J63" s="92"/>
      <c r="K63" s="92"/>
      <c r="L63" s="92"/>
    </row>
    <row r="64" spans="1:12" x14ac:dyDescent="0.2">
      <c r="A64" s="92" t="s">
        <v>12664</v>
      </c>
      <c r="B64" s="92" t="s">
        <v>12664</v>
      </c>
      <c r="C64" s="62" t="s">
        <v>12721</v>
      </c>
      <c r="D64" s="62" t="s">
        <v>12676</v>
      </c>
      <c r="E64" s="92" t="s">
        <v>12664</v>
      </c>
      <c r="F64" s="92" t="s">
        <v>12664</v>
      </c>
      <c r="G64" s="92" t="s">
        <v>12664</v>
      </c>
      <c r="H64" s="92" t="s">
        <v>12664</v>
      </c>
      <c r="I64" s="92"/>
      <c r="J64" s="92"/>
      <c r="K64" s="92"/>
      <c r="L64" s="92"/>
    </row>
    <row r="65" spans="1:12" x14ac:dyDescent="0.2">
      <c r="A65" s="92" t="s">
        <v>12664</v>
      </c>
      <c r="B65" s="92" t="s">
        <v>12664</v>
      </c>
      <c r="C65" s="62" t="s">
        <v>12722</v>
      </c>
      <c r="D65" s="62" t="s">
        <v>12677</v>
      </c>
      <c r="E65" s="92" t="s">
        <v>12664</v>
      </c>
      <c r="F65" s="92" t="s">
        <v>12664</v>
      </c>
      <c r="G65" s="92" t="s">
        <v>12664</v>
      </c>
      <c r="H65" s="92" t="s">
        <v>12664</v>
      </c>
      <c r="I65" s="92"/>
      <c r="J65" s="92"/>
      <c r="K65" s="92"/>
      <c r="L65" s="92"/>
    </row>
    <row r="66" spans="1:12" x14ac:dyDescent="0.2">
      <c r="A66" s="92" t="s">
        <v>12664</v>
      </c>
      <c r="B66" s="92" t="s">
        <v>12664</v>
      </c>
      <c r="C66" s="62" t="s">
        <v>12723</v>
      </c>
      <c r="D66" s="62" t="s">
        <v>12682</v>
      </c>
      <c r="E66" s="92" t="s">
        <v>12664</v>
      </c>
      <c r="F66" s="92" t="s">
        <v>12664</v>
      </c>
      <c r="G66" s="92" t="s">
        <v>12664</v>
      </c>
      <c r="H66" s="92" t="s">
        <v>12664</v>
      </c>
      <c r="I66" s="92"/>
      <c r="J66" s="92"/>
      <c r="K66" s="92"/>
      <c r="L66" s="92"/>
    </row>
    <row r="67" spans="1:12" x14ac:dyDescent="0.2">
      <c r="A67" s="92" t="s">
        <v>12664</v>
      </c>
      <c r="B67" s="92" t="s">
        <v>12664</v>
      </c>
      <c r="C67" s="62" t="s">
        <v>12723</v>
      </c>
      <c r="D67" s="62" t="s">
        <v>12683</v>
      </c>
      <c r="E67" s="92" t="s">
        <v>12664</v>
      </c>
      <c r="F67" s="92" t="s">
        <v>12664</v>
      </c>
      <c r="G67" s="92" t="s">
        <v>12664</v>
      </c>
      <c r="H67" s="92" t="s">
        <v>12664</v>
      </c>
      <c r="I67" s="92"/>
      <c r="J67" s="92"/>
      <c r="K67" s="92"/>
      <c r="L67" s="92"/>
    </row>
    <row r="68" spans="1:12" x14ac:dyDescent="0.2">
      <c r="A68" s="92" t="s">
        <v>12664</v>
      </c>
      <c r="B68" s="92" t="s">
        <v>12664</v>
      </c>
      <c r="C68" s="62" t="s">
        <v>12721</v>
      </c>
      <c r="D68" s="62" t="s">
        <v>12680</v>
      </c>
      <c r="E68" s="92" t="s">
        <v>12664</v>
      </c>
      <c r="F68" s="92" t="s">
        <v>12664</v>
      </c>
      <c r="G68" s="92" t="s">
        <v>12664</v>
      </c>
      <c r="H68" s="92" t="s">
        <v>12664</v>
      </c>
      <c r="I68" s="92"/>
      <c r="J68" s="92"/>
      <c r="K68" s="92"/>
      <c r="L68" s="92"/>
    </row>
    <row r="69" spans="1:12" x14ac:dyDescent="0.2">
      <c r="A69" s="92" t="s">
        <v>12664</v>
      </c>
      <c r="B69" s="92" t="s">
        <v>12664</v>
      </c>
      <c r="C69" s="62" t="s">
        <v>12722</v>
      </c>
      <c r="D69" s="62" t="s">
        <v>12680</v>
      </c>
      <c r="E69" s="92" t="s">
        <v>12664</v>
      </c>
      <c r="F69" s="92" t="s">
        <v>12664</v>
      </c>
      <c r="G69" s="92" t="s">
        <v>12664</v>
      </c>
      <c r="H69" s="92" t="s">
        <v>12664</v>
      </c>
      <c r="I69" s="92"/>
      <c r="J69" s="92"/>
      <c r="K69" s="92"/>
      <c r="L69" s="92"/>
    </row>
    <row r="70" spans="1:12" x14ac:dyDescent="0.2">
      <c r="A70" s="92" t="s">
        <v>12664</v>
      </c>
      <c r="B70" s="92" t="s">
        <v>12664</v>
      </c>
      <c r="C70" s="62" t="s">
        <v>12723</v>
      </c>
      <c r="D70" s="62" t="s">
        <v>12681</v>
      </c>
      <c r="E70" s="92" t="s">
        <v>12664</v>
      </c>
      <c r="F70" s="92" t="s">
        <v>12664</v>
      </c>
      <c r="G70" s="92" t="s">
        <v>12664</v>
      </c>
      <c r="H70" s="92" t="s">
        <v>12664</v>
      </c>
      <c r="I70" s="92"/>
      <c r="J70" s="92"/>
      <c r="K70" s="92"/>
      <c r="L70" s="92"/>
    </row>
    <row r="71" spans="1:12" x14ac:dyDescent="0.2">
      <c r="A71" s="92" t="s">
        <v>12664</v>
      </c>
      <c r="B71" s="92" t="s">
        <v>12664</v>
      </c>
      <c r="C71" s="62" t="s">
        <v>12728</v>
      </c>
      <c r="D71" s="62" t="s">
        <v>12675</v>
      </c>
      <c r="E71" s="92" t="s">
        <v>12664</v>
      </c>
      <c r="F71" s="92" t="s">
        <v>12664</v>
      </c>
      <c r="G71" s="92" t="s">
        <v>12664</v>
      </c>
      <c r="H71" s="92" t="s">
        <v>12664</v>
      </c>
      <c r="I71" s="92"/>
      <c r="J71" s="92"/>
      <c r="K71" s="92"/>
      <c r="L71" s="92"/>
    </row>
    <row r="72" spans="1:12" x14ac:dyDescent="0.2">
      <c r="A72" s="92" t="s">
        <v>12664</v>
      </c>
      <c r="B72" s="92" t="s">
        <v>12664</v>
      </c>
      <c r="C72" s="62" t="s">
        <v>12728</v>
      </c>
      <c r="D72" s="62" t="s">
        <v>12682</v>
      </c>
      <c r="E72" s="92" t="s">
        <v>12664</v>
      </c>
      <c r="F72" s="92" t="s">
        <v>12664</v>
      </c>
      <c r="G72" s="92" t="s">
        <v>12664</v>
      </c>
      <c r="H72" s="92" t="s">
        <v>12664</v>
      </c>
      <c r="I72" s="92"/>
      <c r="J72" s="92"/>
      <c r="K72" s="92"/>
      <c r="L72" s="92"/>
    </row>
    <row r="73" spans="1:12" x14ac:dyDescent="0.2">
      <c r="A73" s="92" t="s">
        <v>12664</v>
      </c>
      <c r="B73" s="92" t="s">
        <v>12664</v>
      </c>
      <c r="C73" s="94" t="s">
        <v>12728</v>
      </c>
      <c r="D73" s="3" t="s">
        <v>12683</v>
      </c>
      <c r="E73" s="92" t="s">
        <v>12664</v>
      </c>
      <c r="F73" s="92" t="s">
        <v>12664</v>
      </c>
      <c r="G73" s="92" t="s">
        <v>12664</v>
      </c>
      <c r="H73" s="92" t="s">
        <v>12664</v>
      </c>
      <c r="I73" s="92"/>
      <c r="J73" s="92"/>
      <c r="K73" s="92"/>
      <c r="L73" s="92"/>
    </row>
    <row r="74" spans="1:12" x14ac:dyDescent="0.2">
      <c r="A74" s="92" t="s">
        <v>12664</v>
      </c>
      <c r="B74" s="92" t="s">
        <v>12664</v>
      </c>
      <c r="C74" s="94" t="s">
        <v>12728</v>
      </c>
      <c r="D74" s="3" t="s">
        <v>12681</v>
      </c>
      <c r="E74" s="92" t="s">
        <v>12664</v>
      </c>
      <c r="F74" s="92" t="s">
        <v>12664</v>
      </c>
      <c r="G74" s="92" t="s">
        <v>12664</v>
      </c>
      <c r="H74" s="92" t="s">
        <v>12664</v>
      </c>
      <c r="I74" s="92"/>
      <c r="J74" s="92"/>
      <c r="K74" s="92"/>
      <c r="L74" s="92"/>
    </row>
    <row r="75" spans="1:12" x14ac:dyDescent="0.2">
      <c r="A75" s="92" t="s">
        <v>12664</v>
      </c>
      <c r="B75" s="92" t="s">
        <v>12664</v>
      </c>
      <c r="C75" s="94" t="s">
        <v>12725</v>
      </c>
      <c r="D75" s="3" t="s">
        <v>12675</v>
      </c>
      <c r="E75" s="92" t="s">
        <v>12664</v>
      </c>
      <c r="F75" s="92" t="s">
        <v>12664</v>
      </c>
      <c r="G75" s="92" t="s">
        <v>12664</v>
      </c>
      <c r="H75" s="92" t="s">
        <v>12664</v>
      </c>
      <c r="I75" s="92"/>
      <c r="J75" s="92"/>
      <c r="K75" s="92"/>
      <c r="L75" s="92"/>
    </row>
    <row r="76" spans="1:12" x14ac:dyDescent="0.2">
      <c r="A76" s="92" t="s">
        <v>12664</v>
      </c>
      <c r="B76" s="92" t="s">
        <v>12664</v>
      </c>
      <c r="C76" s="94" t="s">
        <v>12725</v>
      </c>
      <c r="D76" s="3" t="s">
        <v>12682</v>
      </c>
      <c r="E76" s="92" t="s">
        <v>12664</v>
      </c>
      <c r="F76" s="92" t="s">
        <v>12664</v>
      </c>
      <c r="G76" s="92" t="s">
        <v>12664</v>
      </c>
      <c r="H76" s="92" t="s">
        <v>12664</v>
      </c>
      <c r="I76" s="92"/>
      <c r="J76" s="92"/>
      <c r="K76" s="92"/>
      <c r="L76" s="92"/>
    </row>
    <row r="77" spans="1:12" x14ac:dyDescent="0.2">
      <c r="A77" s="92" t="s">
        <v>12664</v>
      </c>
      <c r="B77" s="92" t="s">
        <v>12664</v>
      </c>
      <c r="C77" s="94" t="s">
        <v>12725</v>
      </c>
      <c r="D77" s="3" t="s">
        <v>12683</v>
      </c>
      <c r="E77" s="92" t="s">
        <v>12664</v>
      </c>
      <c r="F77" s="92" t="s">
        <v>12664</v>
      </c>
      <c r="G77" s="92" t="s">
        <v>12664</v>
      </c>
      <c r="H77" s="92" t="s">
        <v>12664</v>
      </c>
      <c r="I77" s="92"/>
      <c r="J77" s="92"/>
      <c r="K77" s="92"/>
      <c r="L77" s="92"/>
    </row>
    <row r="78" spans="1:12" x14ac:dyDescent="0.2">
      <c r="A78" s="92" t="s">
        <v>12664</v>
      </c>
      <c r="B78" s="92" t="s">
        <v>12664</v>
      </c>
      <c r="C78" s="94" t="s">
        <v>12725</v>
      </c>
      <c r="D78" s="3" t="s">
        <v>12681</v>
      </c>
      <c r="E78" s="92" t="s">
        <v>12664</v>
      </c>
      <c r="F78" s="92" t="s">
        <v>12664</v>
      </c>
      <c r="G78" s="92" t="s">
        <v>12664</v>
      </c>
      <c r="H78" s="92" t="s">
        <v>12664</v>
      </c>
      <c r="I78" s="92"/>
      <c r="J78" s="92"/>
      <c r="K78" s="92"/>
      <c r="L78" s="92"/>
    </row>
    <row r="79" spans="1:12" x14ac:dyDescent="0.2">
      <c r="A79" s="92"/>
      <c r="B79" s="92"/>
      <c r="C79" s="92"/>
      <c r="D79" s="92"/>
      <c r="E79" s="92"/>
      <c r="F79" s="92"/>
      <c r="G79" s="92"/>
      <c r="H79" s="92"/>
      <c r="I79" s="92"/>
      <c r="J79" s="92"/>
    </row>
    <row r="80" spans="1:12" x14ac:dyDescent="0.2">
      <c r="A80" s="92"/>
      <c r="B80" s="92"/>
      <c r="C80" s="92"/>
      <c r="D80" s="92"/>
      <c r="E80" s="92"/>
      <c r="F80" s="92"/>
      <c r="G80" s="92"/>
      <c r="H80" s="92"/>
      <c r="I80" s="92"/>
      <c r="J80" s="92"/>
    </row>
    <row r="81" spans="1:10" x14ac:dyDescent="0.2">
      <c r="A81" s="92"/>
      <c r="B81" s="92"/>
      <c r="C81" s="92"/>
      <c r="D81" s="92"/>
      <c r="E81" s="92"/>
      <c r="F81" s="92"/>
      <c r="G81" s="92"/>
      <c r="H81" s="92"/>
      <c r="I81" s="92"/>
      <c r="J81" s="92"/>
    </row>
    <row r="82" spans="1:10" x14ac:dyDescent="0.2">
      <c r="A82" s="92"/>
      <c r="B82" s="92"/>
      <c r="C82" s="92"/>
      <c r="D82" s="92"/>
      <c r="E82" s="92"/>
      <c r="F82" s="92"/>
      <c r="G82" s="92"/>
      <c r="H82" s="92"/>
      <c r="I82" s="92"/>
      <c r="J82" s="92"/>
    </row>
    <row r="83" spans="1:10" x14ac:dyDescent="0.2">
      <c r="A83" s="92"/>
      <c r="B83" s="92"/>
      <c r="C83" s="92"/>
      <c r="D83" s="92"/>
      <c r="E83" s="92"/>
      <c r="F83" s="92"/>
      <c r="G83" s="92"/>
      <c r="H83" s="92"/>
      <c r="I83" s="92"/>
      <c r="J83" s="92"/>
    </row>
    <row r="84" spans="1:10" x14ac:dyDescent="0.2">
      <c r="A84" s="92"/>
      <c r="B84" s="92"/>
      <c r="C84" s="92"/>
      <c r="D84" s="92"/>
      <c r="E84" s="92"/>
      <c r="F84" s="92"/>
      <c r="G84" s="92"/>
      <c r="H84" s="92"/>
      <c r="I84" s="92"/>
      <c r="J84" s="92"/>
    </row>
    <row r="85" spans="1:10" x14ac:dyDescent="0.2">
      <c r="A85" s="92"/>
      <c r="B85" s="92"/>
      <c r="C85" s="92"/>
      <c r="D85" s="92"/>
      <c r="E85" s="92"/>
      <c r="F85" s="92"/>
      <c r="G85" s="92"/>
      <c r="H85" s="92"/>
      <c r="I85" s="92"/>
      <c r="J85" s="92"/>
    </row>
    <row r="86" spans="1:10" x14ac:dyDescent="0.2">
      <c r="A86" s="92"/>
      <c r="B86" s="92"/>
      <c r="C86" s="92"/>
      <c r="D86" s="92"/>
      <c r="E86" s="92"/>
      <c r="F86" s="92"/>
      <c r="G86" s="92"/>
      <c r="H86" s="92"/>
      <c r="I86" s="92"/>
      <c r="J86" s="92"/>
    </row>
    <row r="87" spans="1:10" x14ac:dyDescent="0.2">
      <c r="A87" s="92"/>
      <c r="B87" s="92"/>
      <c r="C87" s="92"/>
      <c r="D87" s="92"/>
      <c r="E87" s="92"/>
      <c r="F87" s="92"/>
      <c r="G87" s="92"/>
      <c r="H87" s="92"/>
      <c r="I87" s="92"/>
      <c r="J87" s="92"/>
    </row>
    <row r="88" spans="1:10" x14ac:dyDescent="0.2">
      <c r="A88" s="92"/>
      <c r="B88" s="92"/>
      <c r="C88" s="92"/>
      <c r="D88" s="92"/>
      <c r="E88" s="92"/>
      <c r="F88" s="92"/>
      <c r="G88" s="92"/>
      <c r="H88" s="92"/>
      <c r="I88" s="92"/>
      <c r="J88" s="92"/>
    </row>
    <row r="89" spans="1:10" x14ac:dyDescent="0.2">
      <c r="A89" s="92"/>
      <c r="B89" s="92"/>
      <c r="C89" s="92"/>
      <c r="D89" s="92"/>
      <c r="E89" s="92"/>
      <c r="F89" s="92"/>
      <c r="G89" s="92"/>
      <c r="H89" s="92"/>
      <c r="I89" s="92"/>
      <c r="J89" s="92"/>
    </row>
    <row r="90" spans="1:10" x14ac:dyDescent="0.2">
      <c r="A90" s="92"/>
      <c r="B90" s="92"/>
      <c r="C90" s="92"/>
      <c r="D90" s="92"/>
      <c r="E90" s="92"/>
      <c r="F90" s="92"/>
      <c r="G90" s="92"/>
      <c r="H90" s="92"/>
      <c r="I90" s="92"/>
      <c r="J90" s="92"/>
    </row>
    <row r="91" spans="1:10" x14ac:dyDescent="0.2">
      <c r="A91" s="92"/>
      <c r="B91" s="92"/>
      <c r="C91" s="92"/>
      <c r="D91" s="92"/>
      <c r="E91" s="92"/>
      <c r="F91" s="92"/>
      <c r="G91" s="92"/>
      <c r="H91" s="92"/>
      <c r="I91" s="92"/>
      <c r="J91" s="92"/>
    </row>
    <row r="92" spans="1:10" x14ac:dyDescent="0.2">
      <c r="A92" s="92"/>
      <c r="B92" s="92"/>
      <c r="C92" s="92"/>
      <c r="D92" s="92"/>
      <c r="E92" s="92"/>
      <c r="F92" s="92"/>
      <c r="G92" s="92"/>
      <c r="H92" s="92"/>
      <c r="I92" s="92"/>
      <c r="J92" s="92"/>
    </row>
  </sheetData>
  <sheetProtection algorithmName="SHA-512" hashValue="VmbZMTAaY1BUubdplKtc9hkdfWFtvt1zOMSzOSWcHH56WQnIPAzwIZzg5JvfDm+ENl5o4Iw80MV1V+D3JRMQOA==" saltValue="MWmMwOPufwEfbgLHXxsV0A==" spinCount="100000" sheet="1" objects="1" scenarios="1" formatColumns="0" formatRows="0" autoFilter="0"/>
  <phoneticPr fontId="17" type="noConversion"/>
  <conditionalFormatting sqref="A55:B78">
    <cfRule type="expression" dxfId="75" priority="20">
      <formula>#REF!="I disagree"</formula>
    </cfRule>
  </conditionalFormatting>
  <conditionalFormatting sqref="C17:D54 D55:D58 E41:F45 I50:J92 E17:F18 E34:F39 F30:F33 E23:F29 F19:F22 C59:D78 G36:H92 H32:H35 G23:H31 H19:H22 K50:L78 K44:L45 K39:L41 K34:L37">
    <cfRule type="expression" dxfId="74" priority="17">
      <formula>$J$15="I disagree"</formula>
    </cfRule>
  </conditionalFormatting>
  <conditionalFormatting sqref="C55:C58 K46:L48">
    <cfRule type="expression" dxfId="73" priority="15">
      <formula>#REF!="I disagree"</formula>
    </cfRule>
  </conditionalFormatting>
  <conditionalFormatting sqref="A17:B41 A43:B48">
    <cfRule type="expression" dxfId="72" priority="12">
      <formula>#REF!="I disagree"</formula>
    </cfRule>
  </conditionalFormatting>
  <conditionalFormatting sqref="G17:H18">
    <cfRule type="expression" dxfId="71" priority="11">
      <formula>$J$15="I disagree"</formula>
    </cfRule>
  </conditionalFormatting>
  <conditionalFormatting sqref="I17:J18 I43:J48 I36:J41 J32:J35 I23:J31 J19:J22">
    <cfRule type="expression" dxfId="70" priority="10">
      <formula>#REF!="I disagree"</formula>
    </cfRule>
  </conditionalFormatting>
  <conditionalFormatting sqref="E30:E33">
    <cfRule type="expression" dxfId="69" priority="9">
      <formula>#REF!="I disagree"</formula>
    </cfRule>
  </conditionalFormatting>
  <conditionalFormatting sqref="G32:G35">
    <cfRule type="expression" dxfId="68" priority="8">
      <formula>#REF!="I disagree"</formula>
    </cfRule>
  </conditionalFormatting>
  <conditionalFormatting sqref="I32:I35">
    <cfRule type="expression" dxfId="67" priority="7">
      <formula>#REF!="I disagree"</formula>
    </cfRule>
  </conditionalFormatting>
  <conditionalFormatting sqref="E19:E22">
    <cfRule type="expression" dxfId="66" priority="6">
      <formula>#REF!="I disagree"</formula>
    </cfRule>
  </conditionalFormatting>
  <conditionalFormatting sqref="G19:G22">
    <cfRule type="expression" dxfId="65" priority="5">
      <formula>#REF!="I disagree"</formula>
    </cfRule>
  </conditionalFormatting>
  <conditionalFormatting sqref="I19:I22">
    <cfRule type="expression" dxfId="64" priority="4">
      <formula>#REF!="I disagree"</formula>
    </cfRule>
  </conditionalFormatting>
  <conditionalFormatting sqref="K17:L18 L30:L33 K23:L29 L19:L22">
    <cfRule type="expression" dxfId="63" priority="3">
      <formula>$J$15="I disagree"</formula>
    </cfRule>
  </conditionalFormatting>
  <conditionalFormatting sqref="K30:K33">
    <cfRule type="expression" dxfId="62" priority="2">
      <formula>#REF!="I disagree"</formula>
    </cfRule>
  </conditionalFormatting>
  <conditionalFormatting sqref="K19:K22">
    <cfRule type="expression" dxfId="61" priority="1">
      <formula>#REF!="I disagree"</formula>
    </cfRule>
  </conditionalFormatting>
  <pageMargins left="0.7" right="0.7" top="0.75" bottom="0.75" header="0.3" footer="0.3"/>
  <pageSetup orientation="portrait" r:id="rId1"/>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6B238-6398-423F-9CEF-E3AB488EFD68}">
  <sheetPr codeName="Sheet4">
    <tabColor theme="4" tint="0.39997558519241921"/>
  </sheetPr>
  <dimension ref="A1:K166"/>
  <sheetViews>
    <sheetView zoomScaleNormal="100" workbookViewId="0"/>
  </sheetViews>
  <sheetFormatPr defaultColWidth="0" defaultRowHeight="14.25" zeroHeight="1" x14ac:dyDescent="0.2"/>
  <cols>
    <col min="1" max="1" width="34.375" bestFit="1" customWidth="1"/>
    <col min="2" max="2" width="28.375" bestFit="1" customWidth="1"/>
    <col min="3" max="3" width="23.875" bestFit="1" customWidth="1"/>
    <col min="4" max="4" width="21.625" bestFit="1" customWidth="1"/>
    <col min="5" max="5" width="10.25" customWidth="1"/>
    <col min="6" max="6" width="37.625" customWidth="1"/>
    <col min="7" max="7" width="22.125" customWidth="1"/>
    <col min="8" max="8" width="17.625" customWidth="1"/>
    <col min="9" max="9" width="17.75" customWidth="1"/>
    <col min="10" max="10" width="32.625" customWidth="1"/>
    <col min="11" max="11" width="9" customWidth="1"/>
    <col min="12" max="26" width="9" hidden="1" customWidth="1"/>
    <col min="27" max="16384" width="9" hidden="1"/>
  </cols>
  <sheetData>
    <row r="1" spans="1:10" ht="28.5" x14ac:dyDescent="0.2">
      <c r="A1" t="s">
        <v>12706</v>
      </c>
      <c r="B1" s="33" t="s">
        <v>13304</v>
      </c>
      <c r="C1" t="s">
        <v>13283</v>
      </c>
    </row>
    <row r="2" spans="1:10" x14ac:dyDescent="0.2">
      <c r="A2" s="97" t="s">
        <v>1</v>
      </c>
      <c r="B2" s="97" t="s">
        <v>12692</v>
      </c>
      <c r="C2" s="97" t="s">
        <v>12693</v>
      </c>
      <c r="D2" s="97" t="s">
        <v>2</v>
      </c>
      <c r="E2" s="97" t="s">
        <v>3</v>
      </c>
      <c r="F2" s="94" t="s">
        <v>12697</v>
      </c>
      <c r="G2" s="59" t="s">
        <v>12685</v>
      </c>
      <c r="H2" s="59" t="s">
        <v>12686</v>
      </c>
      <c r="I2" s="59" t="s">
        <v>12687</v>
      </c>
      <c r="J2" s="94" t="s">
        <v>12688</v>
      </c>
    </row>
    <row r="3" spans="1:10" x14ac:dyDescent="0.2">
      <c r="A3" s="61" t="s">
        <v>15</v>
      </c>
      <c r="B3" s="95" t="s">
        <v>15</v>
      </c>
      <c r="C3" s="95" t="s">
        <v>15</v>
      </c>
      <c r="D3" s="96" t="s">
        <v>15</v>
      </c>
      <c r="E3" s="95" t="s">
        <v>15</v>
      </c>
      <c r="F3" s="95" t="s">
        <v>15</v>
      </c>
      <c r="G3" s="95" t="s">
        <v>15</v>
      </c>
      <c r="H3" s="95" t="s">
        <v>15</v>
      </c>
      <c r="I3" s="95" t="s">
        <v>15</v>
      </c>
      <c r="J3" s="95" t="s">
        <v>15</v>
      </c>
    </row>
    <row r="4" spans="1:10" x14ac:dyDescent="0.2">
      <c r="A4" s="93" t="s">
        <v>16</v>
      </c>
      <c r="B4" s="93" t="s">
        <v>16</v>
      </c>
      <c r="C4" s="93" t="s">
        <v>16</v>
      </c>
      <c r="D4" s="96" t="str">
        <f>""</f>
        <v/>
      </c>
      <c r="E4" s="93" t="s">
        <v>16</v>
      </c>
      <c r="F4" s="95" t="str">
        <f>""</f>
        <v/>
      </c>
      <c r="G4" s="95"/>
      <c r="H4" s="95"/>
      <c r="I4" s="95"/>
      <c r="J4" s="93" t="s">
        <v>16</v>
      </c>
    </row>
    <row r="5" spans="1:10" x14ac:dyDescent="0.2">
      <c r="A5" s="93" t="s">
        <v>17</v>
      </c>
      <c r="B5" s="93" t="s">
        <v>17</v>
      </c>
      <c r="C5" s="93" t="s">
        <v>17</v>
      </c>
      <c r="D5" s="96" t="str">
        <f>""</f>
        <v/>
      </c>
      <c r="E5" s="93" t="s">
        <v>17</v>
      </c>
      <c r="F5" s="95" t="str">
        <f>""</f>
        <v/>
      </c>
      <c r="G5" s="95"/>
      <c r="H5" s="95"/>
      <c r="I5" s="95"/>
      <c r="J5" s="93" t="s">
        <v>17</v>
      </c>
    </row>
    <row r="6" spans="1:10" x14ac:dyDescent="0.2">
      <c r="A6" s="93" t="s">
        <v>18</v>
      </c>
      <c r="B6" s="93" t="s">
        <v>18</v>
      </c>
      <c r="C6" s="93" t="s">
        <v>18</v>
      </c>
      <c r="D6" s="96" t="str">
        <f>""</f>
        <v/>
      </c>
      <c r="E6" s="93" t="s">
        <v>18</v>
      </c>
      <c r="F6" s="95" t="str">
        <f>""</f>
        <v/>
      </c>
      <c r="G6" s="95"/>
      <c r="H6" s="95"/>
      <c r="I6" s="95"/>
      <c r="J6" s="93" t="s">
        <v>18</v>
      </c>
    </row>
    <row r="7" spans="1:10" x14ac:dyDescent="0.2">
      <c r="A7" s="93" t="s">
        <v>19</v>
      </c>
      <c r="B7" s="93" t="s">
        <v>19</v>
      </c>
      <c r="C7" s="93" t="s">
        <v>19</v>
      </c>
      <c r="D7" s="96" t="str">
        <f>""</f>
        <v/>
      </c>
      <c r="E7" s="93" t="s">
        <v>19</v>
      </c>
      <c r="F7" s="95" t="str">
        <f>""</f>
        <v/>
      </c>
      <c r="G7" s="95"/>
      <c r="H7" s="95"/>
      <c r="I7" s="95"/>
      <c r="J7" s="93" t="s">
        <v>19</v>
      </c>
    </row>
    <row r="8" spans="1:10" x14ac:dyDescent="0.2">
      <c r="A8" s="93" t="s">
        <v>20</v>
      </c>
      <c r="B8" s="93" t="s">
        <v>20</v>
      </c>
      <c r="C8" s="93" t="s">
        <v>20</v>
      </c>
      <c r="D8" s="96" t="str">
        <f>""</f>
        <v/>
      </c>
      <c r="E8" s="93" t="s">
        <v>20</v>
      </c>
      <c r="F8" s="95" t="str">
        <f>""</f>
        <v/>
      </c>
      <c r="G8" s="95"/>
      <c r="H8" s="95"/>
      <c r="I8" s="95"/>
      <c r="J8" s="93" t="s">
        <v>20</v>
      </c>
    </row>
    <row r="9" spans="1:10" s="14" customFormat="1" ht="28.5" x14ac:dyDescent="0.2">
      <c r="A9" s="111"/>
      <c r="B9" s="179" t="s">
        <v>13305</v>
      </c>
      <c r="C9" s="111"/>
      <c r="D9" s="180"/>
      <c r="E9" s="111"/>
      <c r="F9" s="70"/>
      <c r="G9" s="70"/>
      <c r="H9" s="70"/>
      <c r="I9" s="70"/>
      <c r="J9" s="111"/>
    </row>
    <row r="10" spans="1:10" s="14" customFormat="1" x14ac:dyDescent="0.2">
      <c r="A10" s="98" t="s">
        <v>1</v>
      </c>
      <c r="B10" s="97" t="s">
        <v>12692</v>
      </c>
      <c r="C10" s="97" t="s">
        <v>12693</v>
      </c>
      <c r="D10" s="99" t="s">
        <v>2</v>
      </c>
      <c r="E10" s="97" t="s">
        <v>3</v>
      </c>
      <c r="F10" s="59" t="s">
        <v>12697</v>
      </c>
      <c r="G10" s="59" t="s">
        <v>12685</v>
      </c>
      <c r="H10" s="59" t="s">
        <v>12686</v>
      </c>
      <c r="I10" s="59" t="s">
        <v>12687</v>
      </c>
      <c r="J10" s="59" t="s">
        <v>12688</v>
      </c>
    </row>
    <row r="11" spans="1:10" x14ac:dyDescent="0.2">
      <c r="A11" s="14" t="s">
        <v>15</v>
      </c>
      <c r="B11" s="95" t="s">
        <v>15</v>
      </c>
      <c r="C11" s="95" t="s">
        <v>15</v>
      </c>
      <c r="D11" s="96" t="s">
        <v>15</v>
      </c>
      <c r="E11" s="95" t="s">
        <v>15</v>
      </c>
      <c r="F11" s="95" t="s">
        <v>15</v>
      </c>
      <c r="G11" s="95" t="s">
        <v>15</v>
      </c>
      <c r="H11" s="95" t="s">
        <v>15</v>
      </c>
      <c r="I11" s="95" t="s">
        <v>15</v>
      </c>
      <c r="J11" s="95" t="s">
        <v>15</v>
      </c>
    </row>
    <row r="12" spans="1:10" x14ac:dyDescent="0.2">
      <c r="A12" s="18" t="s">
        <v>21</v>
      </c>
      <c r="B12" s="93" t="s">
        <v>21</v>
      </c>
      <c r="C12" s="93" t="s">
        <v>21</v>
      </c>
      <c r="D12" s="96" t="str">
        <f>""</f>
        <v/>
      </c>
      <c r="E12" s="93" t="s">
        <v>21</v>
      </c>
      <c r="F12" s="95" t="str">
        <f>""</f>
        <v/>
      </c>
      <c r="G12" s="95" t="str">
        <f>""</f>
        <v/>
      </c>
      <c r="H12" s="95" t="str">
        <f>""</f>
        <v/>
      </c>
      <c r="I12" s="95" t="str">
        <f>""</f>
        <v/>
      </c>
      <c r="J12" s="93" t="s">
        <v>21</v>
      </c>
    </row>
    <row r="13" spans="1:10" x14ac:dyDescent="0.2">
      <c r="A13" s="18" t="s">
        <v>24</v>
      </c>
      <c r="B13" s="93" t="s">
        <v>24</v>
      </c>
      <c r="C13" s="93" t="s">
        <v>24</v>
      </c>
      <c r="D13" s="96" t="str">
        <f>""</f>
        <v/>
      </c>
      <c r="E13" s="93" t="s">
        <v>24</v>
      </c>
      <c r="F13" s="95" t="str">
        <f>""</f>
        <v/>
      </c>
      <c r="G13" s="95" t="str">
        <f>""</f>
        <v/>
      </c>
      <c r="H13" s="95" t="str">
        <f>""</f>
        <v/>
      </c>
      <c r="I13" s="95" t="str">
        <f>""</f>
        <v/>
      </c>
      <c r="J13" s="93" t="s">
        <v>24</v>
      </c>
    </row>
    <row r="14" spans="1:10" ht="28.5" x14ac:dyDescent="0.2">
      <c r="B14" s="169" t="s">
        <v>13306</v>
      </c>
      <c r="C14" s="70"/>
      <c r="D14" s="180"/>
      <c r="E14" s="70"/>
      <c r="F14" s="70"/>
      <c r="G14" s="70"/>
      <c r="H14" s="70"/>
      <c r="I14" s="70"/>
      <c r="J14" s="70"/>
    </row>
    <row r="15" spans="1:10" x14ac:dyDescent="0.2">
      <c r="A15" s="87" t="s">
        <v>1</v>
      </c>
      <c r="B15" s="58" t="s">
        <v>12692</v>
      </c>
      <c r="C15" s="58" t="s">
        <v>12693</v>
      </c>
      <c r="D15" s="89" t="s">
        <v>2</v>
      </c>
      <c r="E15" s="58" t="s">
        <v>3</v>
      </c>
      <c r="F15" s="13" t="s">
        <v>12697</v>
      </c>
      <c r="G15" s="59" t="s">
        <v>12685</v>
      </c>
      <c r="H15" s="59" t="s">
        <v>12686</v>
      </c>
      <c r="I15" s="59" t="s">
        <v>12687</v>
      </c>
      <c r="J15" s="13" t="s">
        <v>12688</v>
      </c>
    </row>
    <row r="16" spans="1:10" x14ac:dyDescent="0.2">
      <c r="A16" s="182" t="s">
        <v>15</v>
      </c>
      <c r="B16" s="183" t="s">
        <v>15</v>
      </c>
      <c r="C16" s="60" t="s">
        <v>15</v>
      </c>
      <c r="D16" s="90" t="s">
        <v>15</v>
      </c>
      <c r="E16" s="183" t="s">
        <v>15</v>
      </c>
      <c r="F16" s="85" t="s">
        <v>15</v>
      </c>
      <c r="G16" s="70" t="s">
        <v>15</v>
      </c>
      <c r="H16" s="86" t="s">
        <v>15</v>
      </c>
      <c r="I16" s="86" t="s">
        <v>15</v>
      </c>
      <c r="J16" s="60" t="s">
        <v>15</v>
      </c>
    </row>
    <row r="17" spans="1:10" x14ac:dyDescent="0.2">
      <c r="A17" s="88" t="s">
        <v>23</v>
      </c>
      <c r="B17" s="60" t="s">
        <v>23</v>
      </c>
      <c r="C17" s="60" t="s">
        <v>23</v>
      </c>
      <c r="D17" s="71" t="str">
        <f>""</f>
        <v/>
      </c>
      <c r="E17" s="60" t="s">
        <v>23</v>
      </c>
      <c r="F17" s="95" t="str">
        <f>""</f>
        <v/>
      </c>
      <c r="G17" s="70" t="s">
        <v>22</v>
      </c>
      <c r="H17" s="95" t="str">
        <f>""</f>
        <v/>
      </c>
      <c r="I17" s="95" t="str">
        <f>""</f>
        <v/>
      </c>
      <c r="J17" s="60" t="s">
        <v>23</v>
      </c>
    </row>
    <row r="18" spans="1:10" x14ac:dyDescent="0.2">
      <c r="A18" s="88" t="s">
        <v>22</v>
      </c>
      <c r="B18" s="60" t="s">
        <v>22</v>
      </c>
      <c r="C18" s="60" t="s">
        <v>22</v>
      </c>
      <c r="D18" s="95" t="str">
        <f>""</f>
        <v/>
      </c>
      <c r="E18" s="60" t="s">
        <v>22</v>
      </c>
      <c r="F18" s="95" t="str">
        <f>""</f>
        <v/>
      </c>
      <c r="G18" s="70" t="s">
        <v>23</v>
      </c>
      <c r="H18" s="95" t="str">
        <f>""</f>
        <v/>
      </c>
      <c r="I18" s="95" t="str">
        <f>""</f>
        <v/>
      </c>
      <c r="J18" s="60" t="s">
        <v>22</v>
      </c>
    </row>
    <row r="19" spans="1:10" hidden="1" x14ac:dyDescent="0.2">
      <c r="D19" s="14"/>
    </row>
    <row r="25" spans="1:10" hidden="1" x14ac:dyDescent="0.2">
      <c r="F25" s="14"/>
    </row>
    <row r="26" spans="1:10" hidden="1" x14ac:dyDescent="0.2">
      <c r="F26" s="14"/>
    </row>
    <row r="31" spans="1:10" hidden="1" x14ac:dyDescent="0.2">
      <c r="F31" s="14"/>
    </row>
    <row r="32" spans="1:10" hidden="1" x14ac:dyDescent="0.2">
      <c r="A32" s="61"/>
      <c r="B32" s="61"/>
      <c r="C32" s="61"/>
      <c r="D32" s="61"/>
      <c r="E32" s="61"/>
      <c r="F32" s="61"/>
    </row>
    <row r="33" spans="1:6" hidden="1" x14ac:dyDescent="0.2">
      <c r="A33" s="61"/>
      <c r="B33" s="61"/>
      <c r="C33" s="63"/>
      <c r="D33" s="3"/>
      <c r="E33" s="61"/>
      <c r="F33" s="61"/>
    </row>
    <row r="34" spans="1:6" hidden="1" x14ac:dyDescent="0.2">
      <c r="A34" s="61"/>
      <c r="B34" s="61"/>
      <c r="C34" s="63"/>
      <c r="D34" s="61"/>
      <c r="E34" s="61"/>
      <c r="F34" s="61"/>
    </row>
    <row r="35" spans="1:6" hidden="1" x14ac:dyDescent="0.2">
      <c r="A35" s="61"/>
      <c r="B35" s="61"/>
      <c r="C35" s="63"/>
      <c r="D35" s="61"/>
      <c r="E35" s="61"/>
      <c r="F35" s="61"/>
    </row>
    <row r="36" spans="1:6" hidden="1" x14ac:dyDescent="0.2">
      <c r="A36" s="61"/>
      <c r="B36" s="61"/>
      <c r="C36" s="63"/>
      <c r="D36" s="61"/>
      <c r="E36" s="61"/>
      <c r="F36" s="61"/>
    </row>
    <row r="37" spans="1:6" hidden="1" x14ac:dyDescent="0.2">
      <c r="A37" s="61"/>
      <c r="B37" s="61"/>
      <c r="C37" s="63"/>
      <c r="D37" s="61"/>
      <c r="E37" s="61"/>
      <c r="F37" s="61"/>
    </row>
    <row r="38" spans="1:6" hidden="1" x14ac:dyDescent="0.2">
      <c r="A38" s="61"/>
      <c r="B38" s="61"/>
      <c r="C38" s="63"/>
      <c r="D38" s="61"/>
      <c r="E38" s="61"/>
      <c r="F38" s="61"/>
    </row>
    <row r="39" spans="1:6" hidden="1" x14ac:dyDescent="0.2">
      <c r="A39" s="61"/>
      <c r="B39" s="61"/>
      <c r="C39" s="63"/>
      <c r="D39" s="61"/>
      <c r="E39" s="61"/>
      <c r="F39" s="61"/>
    </row>
    <row r="40" spans="1:6" hidden="1" x14ac:dyDescent="0.2">
      <c r="A40" s="61"/>
      <c r="B40" s="61"/>
      <c r="C40" s="63"/>
      <c r="D40" s="61"/>
      <c r="E40" s="61"/>
      <c r="F40" s="61"/>
    </row>
    <row r="41" spans="1:6" hidden="1" x14ac:dyDescent="0.2">
      <c r="A41" s="61"/>
      <c r="B41" s="61"/>
      <c r="C41" s="63"/>
      <c r="D41" s="61"/>
      <c r="E41" s="61"/>
      <c r="F41" s="61"/>
    </row>
    <row r="42" spans="1:6" hidden="1" x14ac:dyDescent="0.2">
      <c r="A42" s="61"/>
      <c r="B42" s="61"/>
      <c r="C42" s="63"/>
      <c r="D42" s="61"/>
      <c r="E42" s="61"/>
      <c r="F42" s="61"/>
    </row>
    <row r="43" spans="1:6" hidden="1" x14ac:dyDescent="0.2">
      <c r="A43" s="61"/>
      <c r="B43" s="61"/>
      <c r="C43" s="63"/>
      <c r="D43" s="61"/>
      <c r="E43" s="61"/>
      <c r="F43" s="61"/>
    </row>
    <row r="44" spans="1:6" hidden="1" x14ac:dyDescent="0.2">
      <c r="A44" s="61"/>
      <c r="B44" s="61"/>
      <c r="C44" s="63"/>
      <c r="D44" s="61"/>
      <c r="E44" s="61"/>
      <c r="F44" s="61"/>
    </row>
    <row r="45" spans="1:6" hidden="1" x14ac:dyDescent="0.2">
      <c r="A45" s="61"/>
      <c r="B45" s="61"/>
      <c r="C45" s="63"/>
      <c r="D45" s="61"/>
      <c r="E45" s="61"/>
      <c r="F45" s="61"/>
    </row>
    <row r="46" spans="1:6" hidden="1" x14ac:dyDescent="0.2">
      <c r="A46" s="61"/>
      <c r="B46" s="61"/>
      <c r="C46" s="63"/>
      <c r="D46" s="61"/>
      <c r="E46" s="61"/>
      <c r="F46" s="61"/>
    </row>
    <row r="47" spans="1:6" hidden="1" x14ac:dyDescent="0.2">
      <c r="A47" s="61"/>
      <c r="B47" s="61"/>
      <c r="C47" s="63"/>
      <c r="D47" s="61"/>
      <c r="E47" s="61"/>
      <c r="F47" s="61"/>
    </row>
    <row r="48" spans="1:6" hidden="1" x14ac:dyDescent="0.2">
      <c r="A48" s="61"/>
      <c r="B48" s="61"/>
      <c r="C48" s="63"/>
      <c r="D48" s="61"/>
      <c r="E48" s="61"/>
      <c r="F48" s="61"/>
    </row>
    <row r="49" spans="1:6" hidden="1" x14ac:dyDescent="0.2">
      <c r="A49" s="61"/>
      <c r="B49" s="61"/>
      <c r="C49" s="63"/>
      <c r="D49" s="61"/>
      <c r="E49" s="61"/>
      <c r="F49" s="61"/>
    </row>
    <row r="50" spans="1:6" hidden="1" x14ac:dyDescent="0.2">
      <c r="A50" s="61"/>
      <c r="B50" s="61"/>
      <c r="C50" s="63"/>
      <c r="D50" s="61"/>
      <c r="E50" s="61"/>
      <c r="F50" s="61"/>
    </row>
    <row r="51" spans="1:6" hidden="1" x14ac:dyDescent="0.2">
      <c r="A51" s="61"/>
      <c r="B51" s="61"/>
      <c r="C51" s="63"/>
      <c r="D51" s="61"/>
      <c r="E51" s="61"/>
      <c r="F51" s="61"/>
    </row>
    <row r="52" spans="1:6" hidden="1" x14ac:dyDescent="0.2">
      <c r="A52" s="61"/>
      <c r="B52" s="61"/>
      <c r="C52" s="63"/>
      <c r="D52" s="61"/>
      <c r="E52" s="61"/>
      <c r="F52" s="61"/>
    </row>
    <row r="53" spans="1:6" hidden="1" x14ac:dyDescent="0.2">
      <c r="A53" s="61"/>
      <c r="B53" s="61"/>
      <c r="C53" s="63"/>
      <c r="D53" s="61"/>
      <c r="E53" s="61"/>
      <c r="F53" s="61"/>
    </row>
    <row r="54" spans="1:6" hidden="1" x14ac:dyDescent="0.2">
      <c r="A54" s="61"/>
      <c r="B54" s="61"/>
      <c r="C54" s="63"/>
      <c r="D54" s="61"/>
      <c r="E54" s="61"/>
      <c r="F54" s="61"/>
    </row>
    <row r="55" spans="1:6" hidden="1" x14ac:dyDescent="0.2">
      <c r="A55" s="61"/>
      <c r="B55" s="61"/>
      <c r="C55" s="63"/>
      <c r="D55" s="3"/>
      <c r="E55" s="61"/>
      <c r="F55" s="61"/>
    </row>
    <row r="56" spans="1:6" hidden="1" x14ac:dyDescent="0.2">
      <c r="A56" s="61"/>
      <c r="B56" s="61"/>
      <c r="C56" s="63"/>
      <c r="D56" s="3"/>
      <c r="E56" s="61"/>
      <c r="F56" s="61"/>
    </row>
    <row r="57" spans="1:6" hidden="1" x14ac:dyDescent="0.2">
      <c r="A57" s="61"/>
      <c r="B57" s="61"/>
      <c r="C57" s="63"/>
      <c r="D57" s="3"/>
      <c r="E57" s="61"/>
      <c r="F57" s="61"/>
    </row>
    <row r="58" spans="1:6" hidden="1" x14ac:dyDescent="0.2">
      <c r="A58" s="61"/>
      <c r="B58" s="61"/>
      <c r="C58" s="63"/>
      <c r="D58" s="3"/>
      <c r="E58" s="61"/>
      <c r="F58" s="61"/>
    </row>
    <row r="59" spans="1:6" hidden="1" x14ac:dyDescent="0.2">
      <c r="A59" s="61"/>
      <c r="B59" s="61"/>
      <c r="C59" s="63"/>
      <c r="D59" s="3"/>
      <c r="E59" s="61"/>
      <c r="F59" s="61"/>
    </row>
    <row r="60" spans="1:6" hidden="1" x14ac:dyDescent="0.2">
      <c r="A60" s="61"/>
      <c r="B60" s="61"/>
      <c r="C60" s="63"/>
      <c r="D60" s="3"/>
      <c r="E60" s="61"/>
      <c r="F60" s="61"/>
    </row>
    <row r="61" spans="1:6" hidden="1" x14ac:dyDescent="0.2">
      <c r="A61" s="61"/>
      <c r="B61" s="61"/>
      <c r="C61" s="63"/>
      <c r="D61" s="3"/>
      <c r="E61" s="61"/>
      <c r="F61" s="61"/>
    </row>
    <row r="62" spans="1:6" hidden="1" x14ac:dyDescent="0.2">
      <c r="A62" s="61"/>
      <c r="B62" s="61"/>
      <c r="C62" s="63"/>
      <c r="D62" s="3"/>
      <c r="E62" s="61"/>
      <c r="F62" s="61"/>
    </row>
    <row r="63" spans="1:6" hidden="1" x14ac:dyDescent="0.2">
      <c r="A63" s="61"/>
      <c r="B63" s="61"/>
      <c r="C63" s="63"/>
      <c r="D63" s="3"/>
      <c r="E63" s="61"/>
      <c r="F63" s="61"/>
    </row>
    <row r="64" spans="1:6" hidden="1" x14ac:dyDescent="0.2">
      <c r="A64" s="61"/>
      <c r="B64" s="61"/>
      <c r="C64" s="63"/>
      <c r="D64" s="3"/>
      <c r="E64" s="61"/>
      <c r="F64" s="61"/>
    </row>
    <row r="65" spans="1:6" hidden="1" x14ac:dyDescent="0.2">
      <c r="A65" s="61"/>
      <c r="B65" s="61"/>
      <c r="C65" s="63"/>
      <c r="D65" s="3"/>
      <c r="E65" s="61"/>
      <c r="F65" s="61"/>
    </row>
    <row r="66" spans="1:6" hidden="1" x14ac:dyDescent="0.2">
      <c r="A66" s="61"/>
      <c r="B66" s="61"/>
      <c r="C66" s="63"/>
      <c r="D66" s="3"/>
      <c r="E66" s="61"/>
      <c r="F66" s="61"/>
    </row>
    <row r="67" spans="1:6" hidden="1" x14ac:dyDescent="0.2">
      <c r="A67" s="61"/>
      <c r="B67" s="61"/>
      <c r="C67" s="63"/>
      <c r="D67" s="3"/>
      <c r="E67" s="61"/>
      <c r="F67" s="61"/>
    </row>
    <row r="68" spans="1:6" hidden="1" x14ac:dyDescent="0.2">
      <c r="A68" s="61"/>
      <c r="B68" s="61"/>
      <c r="C68" s="63"/>
      <c r="D68" s="3"/>
      <c r="E68" s="61"/>
      <c r="F68" s="61"/>
    </row>
    <row r="69" spans="1:6" hidden="1" x14ac:dyDescent="0.2">
      <c r="A69" s="61"/>
      <c r="B69" s="61"/>
      <c r="C69" s="63"/>
      <c r="D69" s="3"/>
      <c r="E69" s="61"/>
      <c r="F69" s="61"/>
    </row>
    <row r="70" spans="1:6" hidden="1" x14ac:dyDescent="0.2">
      <c r="A70" s="61"/>
      <c r="B70" s="61"/>
      <c r="C70" s="63"/>
      <c r="D70" s="3"/>
      <c r="E70" s="61"/>
      <c r="F70" s="61"/>
    </row>
    <row r="71" spans="1:6" hidden="1" x14ac:dyDescent="0.2">
      <c r="A71" s="61"/>
      <c r="B71" s="61"/>
      <c r="C71" s="63"/>
      <c r="D71" s="62"/>
      <c r="E71" s="61"/>
      <c r="F71" s="61"/>
    </row>
    <row r="72" spans="1:6" hidden="1" x14ac:dyDescent="0.2">
      <c r="A72" s="61"/>
      <c r="B72" s="61"/>
      <c r="C72" s="63"/>
      <c r="D72" s="62"/>
      <c r="E72" s="61"/>
      <c r="F72" s="61"/>
    </row>
    <row r="73" spans="1:6" hidden="1" x14ac:dyDescent="0.2">
      <c r="A73" s="61"/>
      <c r="B73" s="61"/>
      <c r="C73" s="63"/>
      <c r="D73" s="62"/>
      <c r="E73" s="61"/>
      <c r="F73" s="61"/>
    </row>
    <row r="74" spans="1:6" hidden="1" x14ac:dyDescent="0.2">
      <c r="A74" s="61"/>
      <c r="B74" s="61"/>
      <c r="C74" s="63"/>
      <c r="D74" s="62"/>
      <c r="E74" s="61"/>
      <c r="F74" s="61"/>
    </row>
    <row r="75" spans="1:6" hidden="1" x14ac:dyDescent="0.2">
      <c r="A75" s="61"/>
      <c r="B75" s="61"/>
      <c r="C75" s="63"/>
      <c r="D75" s="62"/>
      <c r="E75" s="61"/>
      <c r="F75" s="61"/>
    </row>
    <row r="76" spans="1:6" hidden="1" x14ac:dyDescent="0.2">
      <c r="A76" s="61"/>
      <c r="B76" s="61"/>
      <c r="C76" s="63"/>
      <c r="D76" s="62"/>
      <c r="E76" s="61"/>
      <c r="F76" s="61"/>
    </row>
    <row r="77" spans="1:6" hidden="1" x14ac:dyDescent="0.2">
      <c r="A77" s="61"/>
      <c r="B77" s="61"/>
      <c r="C77" s="63"/>
      <c r="D77" s="62"/>
      <c r="E77" s="61"/>
      <c r="F77" s="61"/>
    </row>
    <row r="78" spans="1:6" hidden="1" x14ac:dyDescent="0.2">
      <c r="A78" s="61"/>
      <c r="B78" s="61"/>
      <c r="C78" s="63"/>
      <c r="D78" s="62"/>
      <c r="E78" s="61"/>
      <c r="F78" s="61"/>
    </row>
    <row r="79" spans="1:6" hidden="1" x14ac:dyDescent="0.2">
      <c r="A79" s="61"/>
      <c r="B79" s="61"/>
      <c r="C79" s="63"/>
      <c r="D79" s="62"/>
      <c r="E79" s="61"/>
      <c r="F79" s="61"/>
    </row>
    <row r="80" spans="1:6" hidden="1" x14ac:dyDescent="0.2">
      <c r="A80" s="61"/>
      <c r="B80" s="61"/>
      <c r="C80" s="63"/>
      <c r="D80" s="62"/>
      <c r="E80" s="61"/>
      <c r="F80" s="61"/>
    </row>
    <row r="81" spans="1:6" hidden="1" x14ac:dyDescent="0.2">
      <c r="A81" s="61"/>
      <c r="B81" s="61"/>
      <c r="C81" s="63"/>
      <c r="D81" s="62"/>
      <c r="E81" s="61"/>
      <c r="F81" s="61"/>
    </row>
    <row r="82" spans="1:6" hidden="1" x14ac:dyDescent="0.2">
      <c r="A82" s="61"/>
      <c r="B82" s="61"/>
      <c r="C82" s="63"/>
      <c r="D82" s="62"/>
      <c r="E82" s="61"/>
      <c r="F82" s="61"/>
    </row>
    <row r="83" spans="1:6" hidden="1" x14ac:dyDescent="0.2">
      <c r="A83" s="61"/>
      <c r="B83" s="61"/>
      <c r="C83" s="63"/>
      <c r="D83" s="62"/>
      <c r="E83" s="61"/>
      <c r="F83" s="61"/>
    </row>
    <row r="84" spans="1:6" hidden="1" x14ac:dyDescent="0.2">
      <c r="A84" s="61"/>
      <c r="B84" s="61"/>
      <c r="C84" s="63"/>
      <c r="D84" s="62"/>
      <c r="E84" s="61"/>
      <c r="F84" s="61"/>
    </row>
    <row r="85" spans="1:6" hidden="1" x14ac:dyDescent="0.2">
      <c r="A85" s="61"/>
      <c r="B85" s="61"/>
      <c r="C85" s="63"/>
      <c r="D85" s="62"/>
      <c r="E85" s="61"/>
      <c r="F85" s="61"/>
    </row>
    <row r="86" spans="1:6" hidden="1" x14ac:dyDescent="0.2">
      <c r="A86" s="61"/>
      <c r="B86" s="61"/>
      <c r="C86" s="63"/>
      <c r="D86" s="62"/>
      <c r="E86" s="61"/>
      <c r="F86" s="61"/>
    </row>
    <row r="87" spans="1:6" hidden="1" x14ac:dyDescent="0.2">
      <c r="A87" s="61"/>
      <c r="B87" s="61"/>
      <c r="C87" s="63"/>
      <c r="D87" s="62"/>
      <c r="E87" s="61"/>
      <c r="F87" s="61"/>
    </row>
    <row r="88" spans="1:6" hidden="1" x14ac:dyDescent="0.2">
      <c r="A88" s="61"/>
      <c r="B88" s="61"/>
      <c r="C88" s="63"/>
      <c r="D88" s="62"/>
      <c r="E88" s="61"/>
      <c r="F88" s="61"/>
    </row>
    <row r="89" spans="1:6" hidden="1" x14ac:dyDescent="0.2">
      <c r="A89" s="61"/>
      <c r="B89" s="61"/>
      <c r="C89" s="63"/>
      <c r="D89" s="3"/>
      <c r="E89" s="61"/>
      <c r="F89" s="61"/>
    </row>
    <row r="90" spans="1:6" hidden="1" x14ac:dyDescent="0.2">
      <c r="A90" s="61"/>
      <c r="B90" s="61"/>
      <c r="C90" s="63"/>
      <c r="D90" s="3"/>
      <c r="E90" s="61"/>
      <c r="F90" s="61"/>
    </row>
    <row r="91" spans="1:6" hidden="1" x14ac:dyDescent="0.2">
      <c r="A91" s="61"/>
      <c r="B91" s="61"/>
      <c r="C91" s="63"/>
      <c r="D91" s="3"/>
      <c r="E91" s="61"/>
      <c r="F91" s="61"/>
    </row>
    <row r="92" spans="1:6" hidden="1" x14ac:dyDescent="0.2">
      <c r="A92" s="61"/>
      <c r="B92" s="61"/>
      <c r="C92" s="63"/>
      <c r="D92" s="3"/>
      <c r="E92" s="61"/>
      <c r="F92" s="61"/>
    </row>
    <row r="93" spans="1:6" hidden="1" x14ac:dyDescent="0.2">
      <c r="A93" s="61"/>
      <c r="B93" s="61"/>
      <c r="C93" s="63"/>
      <c r="D93" s="3"/>
      <c r="E93" s="61"/>
      <c r="F93" s="61"/>
    </row>
    <row r="94" spans="1:6" hidden="1" x14ac:dyDescent="0.2">
      <c r="A94" s="61"/>
      <c r="B94" s="61"/>
      <c r="C94" s="63"/>
      <c r="D94" s="3"/>
      <c r="E94" s="61"/>
      <c r="F94" s="61"/>
    </row>
    <row r="95" spans="1:6" hidden="1" x14ac:dyDescent="0.2">
      <c r="A95" s="61"/>
      <c r="B95" s="61"/>
      <c r="C95" s="61"/>
      <c r="D95" s="61"/>
      <c r="E95" s="61"/>
      <c r="F95" s="61"/>
    </row>
    <row r="96" spans="1:6" hidden="1" x14ac:dyDescent="0.2">
      <c r="A96" s="61"/>
      <c r="B96" s="61"/>
      <c r="C96" s="61"/>
      <c r="D96" s="61"/>
      <c r="E96" s="61"/>
      <c r="F96" s="61"/>
    </row>
    <row r="97" spans="1:6" hidden="1" x14ac:dyDescent="0.2">
      <c r="A97" s="61"/>
      <c r="B97" s="61"/>
      <c r="C97" s="61"/>
      <c r="D97" s="61"/>
      <c r="E97" s="61"/>
      <c r="F97" s="61"/>
    </row>
    <row r="98" spans="1:6" hidden="1" x14ac:dyDescent="0.2">
      <c r="A98" s="61"/>
      <c r="B98" s="61"/>
      <c r="C98" s="61"/>
      <c r="D98" s="61"/>
      <c r="E98" s="61"/>
      <c r="F98" s="61"/>
    </row>
    <row r="99" spans="1:6" hidden="1" x14ac:dyDescent="0.2">
      <c r="A99" s="61"/>
      <c r="B99" s="61"/>
      <c r="C99" s="61"/>
      <c r="D99" s="61"/>
      <c r="E99" s="61"/>
      <c r="F99" s="61"/>
    </row>
    <row r="100" spans="1:6" hidden="1" x14ac:dyDescent="0.2">
      <c r="A100" s="61"/>
      <c r="B100" s="61"/>
      <c r="C100" s="61"/>
      <c r="D100" s="61"/>
      <c r="E100" s="61"/>
      <c r="F100" s="61"/>
    </row>
    <row r="101" spans="1:6" hidden="1" x14ac:dyDescent="0.2">
      <c r="A101" s="61"/>
      <c r="B101" s="61"/>
      <c r="C101" s="61"/>
      <c r="D101" s="61"/>
      <c r="E101" s="61"/>
      <c r="F101" s="61"/>
    </row>
    <row r="102" spans="1:6" hidden="1" x14ac:dyDescent="0.2">
      <c r="A102" s="61"/>
      <c r="B102" s="61"/>
      <c r="C102" s="61"/>
      <c r="D102" s="61"/>
      <c r="E102" s="61"/>
      <c r="F102" s="61"/>
    </row>
    <row r="103" spans="1:6" hidden="1" x14ac:dyDescent="0.2">
      <c r="A103" s="61"/>
      <c r="B103" s="61"/>
      <c r="C103" s="61"/>
      <c r="D103" s="61"/>
      <c r="E103" s="61"/>
      <c r="F103" s="61"/>
    </row>
    <row r="104" spans="1:6" hidden="1" x14ac:dyDescent="0.2">
      <c r="A104" s="61"/>
      <c r="B104" s="61"/>
      <c r="C104" s="61"/>
      <c r="D104" s="61"/>
      <c r="E104" s="61"/>
      <c r="F104" s="61"/>
    </row>
    <row r="105" spans="1:6" hidden="1" x14ac:dyDescent="0.2">
      <c r="A105" s="61"/>
      <c r="B105" s="61"/>
      <c r="C105" s="61"/>
      <c r="D105" s="61"/>
      <c r="E105" s="61"/>
      <c r="F105" s="61"/>
    </row>
    <row r="106" spans="1:6" hidden="1" x14ac:dyDescent="0.2">
      <c r="A106" s="61"/>
      <c r="B106" s="61"/>
      <c r="C106" s="61"/>
      <c r="D106" s="61"/>
      <c r="E106" s="61"/>
      <c r="F106" s="61"/>
    </row>
    <row r="107" spans="1:6" hidden="1" x14ac:dyDescent="0.2">
      <c r="A107" s="61"/>
      <c r="B107" s="61"/>
      <c r="C107" s="61"/>
      <c r="D107" s="61"/>
      <c r="E107" s="61"/>
      <c r="F107" s="61"/>
    </row>
    <row r="108" spans="1:6" hidden="1" x14ac:dyDescent="0.2">
      <c r="A108" s="61"/>
      <c r="B108" s="61"/>
      <c r="C108" s="61"/>
      <c r="D108" s="61"/>
      <c r="E108" s="61"/>
      <c r="F108" s="61"/>
    </row>
    <row r="109" spans="1:6" hidden="1" x14ac:dyDescent="0.2">
      <c r="A109" s="61"/>
      <c r="B109" s="61"/>
      <c r="C109" s="61"/>
      <c r="D109" s="61"/>
      <c r="E109" s="61"/>
      <c r="F109" s="61"/>
    </row>
    <row r="110" spans="1:6" hidden="1" x14ac:dyDescent="0.2">
      <c r="A110" s="61"/>
      <c r="B110" s="61"/>
      <c r="C110" s="61"/>
      <c r="D110" s="61"/>
      <c r="E110" s="61"/>
      <c r="F110" s="61"/>
    </row>
    <row r="111" spans="1:6" hidden="1" x14ac:dyDescent="0.2">
      <c r="A111" s="61"/>
      <c r="B111" s="61"/>
      <c r="C111" s="61"/>
      <c r="D111" s="61"/>
      <c r="E111" s="61"/>
      <c r="F111" s="61"/>
    </row>
    <row r="112" spans="1:6" hidden="1" x14ac:dyDescent="0.2">
      <c r="A112" s="61"/>
      <c r="B112" s="61"/>
      <c r="C112" s="61"/>
      <c r="D112" s="61"/>
      <c r="E112" s="61"/>
      <c r="F112" s="61"/>
    </row>
    <row r="113" spans="1:6" hidden="1" x14ac:dyDescent="0.2">
      <c r="A113" s="61"/>
      <c r="B113" s="61"/>
      <c r="C113" s="61"/>
      <c r="D113" s="61"/>
      <c r="E113" s="61"/>
      <c r="F113" s="61"/>
    </row>
    <row r="114" spans="1:6" hidden="1" x14ac:dyDescent="0.2">
      <c r="A114" s="61"/>
      <c r="B114" s="61"/>
      <c r="C114" s="61"/>
      <c r="D114" s="61"/>
      <c r="E114" s="61"/>
      <c r="F114" s="61"/>
    </row>
    <row r="115" spans="1:6" hidden="1" x14ac:dyDescent="0.2">
      <c r="A115" s="61"/>
      <c r="B115" s="61"/>
      <c r="C115" s="61"/>
      <c r="D115" s="61"/>
      <c r="E115" s="61"/>
      <c r="F115" s="61"/>
    </row>
    <row r="116" spans="1:6" hidden="1" x14ac:dyDescent="0.2">
      <c r="A116" s="61"/>
      <c r="B116" s="61"/>
      <c r="C116" s="61"/>
      <c r="D116" s="61"/>
      <c r="E116" s="61"/>
      <c r="F116" s="61"/>
    </row>
    <row r="117" spans="1:6" hidden="1" x14ac:dyDescent="0.2">
      <c r="A117" s="61"/>
      <c r="B117" s="61"/>
      <c r="C117" s="61"/>
      <c r="D117" s="61"/>
      <c r="E117" s="61"/>
      <c r="F117" s="61"/>
    </row>
    <row r="118" spans="1:6" hidden="1" x14ac:dyDescent="0.2">
      <c r="A118" s="61"/>
      <c r="B118" s="61"/>
      <c r="C118" s="61"/>
      <c r="D118" s="61"/>
      <c r="E118" s="61"/>
      <c r="F118" s="61"/>
    </row>
    <row r="119" spans="1:6" hidden="1" x14ac:dyDescent="0.2">
      <c r="A119" s="61"/>
      <c r="B119" s="61"/>
      <c r="C119" s="61"/>
      <c r="D119" s="61"/>
      <c r="E119" s="61"/>
      <c r="F119" s="61"/>
    </row>
    <row r="120" spans="1:6" hidden="1" x14ac:dyDescent="0.2">
      <c r="A120" s="61"/>
      <c r="B120" s="61"/>
      <c r="C120" s="61"/>
      <c r="D120" s="61"/>
      <c r="E120" s="61"/>
      <c r="F120" s="61"/>
    </row>
    <row r="121" spans="1:6" hidden="1" x14ac:dyDescent="0.2">
      <c r="A121" s="61"/>
      <c r="B121" s="61"/>
      <c r="C121" s="61"/>
      <c r="D121" s="61"/>
      <c r="E121" s="61"/>
      <c r="F121" s="61"/>
    </row>
    <row r="122" spans="1:6" hidden="1" x14ac:dyDescent="0.2">
      <c r="A122" s="61"/>
      <c r="B122" s="61"/>
      <c r="C122" s="61"/>
      <c r="D122" s="61"/>
      <c r="E122" s="61"/>
      <c r="F122" s="61"/>
    </row>
    <row r="123" spans="1:6" hidden="1" x14ac:dyDescent="0.2">
      <c r="A123" s="61"/>
      <c r="B123" s="61"/>
      <c r="C123" s="61"/>
      <c r="D123" s="61"/>
      <c r="E123" s="61"/>
      <c r="F123" s="61"/>
    </row>
    <row r="124" spans="1:6" hidden="1" x14ac:dyDescent="0.2">
      <c r="A124" s="61"/>
      <c r="B124" s="61"/>
      <c r="C124" s="61"/>
      <c r="D124" s="61"/>
      <c r="E124" s="61"/>
      <c r="F124" s="61"/>
    </row>
    <row r="125" spans="1:6" hidden="1" x14ac:dyDescent="0.2">
      <c r="A125" s="61"/>
      <c r="B125" s="61"/>
      <c r="C125" s="61"/>
      <c r="D125" s="61"/>
      <c r="E125" s="61"/>
      <c r="F125" s="61"/>
    </row>
    <row r="126" spans="1:6" hidden="1" x14ac:dyDescent="0.2">
      <c r="A126" s="61"/>
      <c r="B126" s="61"/>
      <c r="C126" s="61"/>
      <c r="D126" s="61"/>
      <c r="E126" s="61"/>
      <c r="F126" s="61"/>
    </row>
    <row r="127" spans="1:6" hidden="1" x14ac:dyDescent="0.2">
      <c r="A127" s="61"/>
      <c r="B127" s="61"/>
      <c r="C127" s="61"/>
      <c r="D127" s="61"/>
      <c r="E127" s="61"/>
      <c r="F127" s="61"/>
    </row>
    <row r="128" spans="1:6" hidden="1" x14ac:dyDescent="0.2">
      <c r="A128" s="61"/>
      <c r="B128" s="61"/>
      <c r="C128" s="61"/>
      <c r="D128" s="61"/>
      <c r="E128" s="61"/>
      <c r="F128" s="61"/>
    </row>
    <row r="129" spans="1:6" hidden="1" x14ac:dyDescent="0.2">
      <c r="A129" s="61"/>
      <c r="B129" s="61"/>
      <c r="C129" s="61"/>
      <c r="D129" s="61"/>
      <c r="E129" s="61"/>
      <c r="F129" s="61"/>
    </row>
    <row r="130" spans="1:6" hidden="1" x14ac:dyDescent="0.2">
      <c r="A130" s="61"/>
      <c r="B130" s="61"/>
      <c r="C130" s="61"/>
      <c r="D130" s="61"/>
      <c r="E130" s="61"/>
      <c r="F130" s="61"/>
    </row>
    <row r="131" spans="1:6" hidden="1" x14ac:dyDescent="0.2">
      <c r="A131" s="61"/>
      <c r="B131" s="61"/>
      <c r="C131" s="61"/>
      <c r="D131" s="61"/>
      <c r="E131" s="61"/>
      <c r="F131" s="61"/>
    </row>
    <row r="132" spans="1:6" hidden="1" x14ac:dyDescent="0.2">
      <c r="A132" s="61"/>
      <c r="B132" s="61"/>
      <c r="C132" s="61"/>
      <c r="D132" s="61"/>
      <c r="E132" s="61"/>
      <c r="F132" s="61"/>
    </row>
    <row r="133" spans="1:6" hidden="1" x14ac:dyDescent="0.2">
      <c r="A133" s="61"/>
      <c r="B133" s="61"/>
      <c r="C133" s="61"/>
      <c r="D133" s="61"/>
      <c r="E133" s="61"/>
      <c r="F133" s="61"/>
    </row>
    <row r="134" spans="1:6" hidden="1" x14ac:dyDescent="0.2">
      <c r="A134" s="61"/>
      <c r="B134" s="61"/>
      <c r="C134" s="61"/>
      <c r="D134" s="61"/>
      <c r="E134" s="61"/>
      <c r="F134" s="61"/>
    </row>
    <row r="135" spans="1:6" hidden="1" x14ac:dyDescent="0.2">
      <c r="A135" s="61"/>
      <c r="B135" s="61"/>
      <c r="C135" s="61"/>
      <c r="D135" s="61"/>
      <c r="E135" s="61"/>
      <c r="F135" s="61"/>
    </row>
    <row r="136" spans="1:6" hidden="1" x14ac:dyDescent="0.2">
      <c r="A136" s="61"/>
      <c r="B136" s="61"/>
      <c r="C136" s="61"/>
      <c r="D136" s="61"/>
      <c r="E136" s="61"/>
      <c r="F136" s="61"/>
    </row>
    <row r="137" spans="1:6" hidden="1" x14ac:dyDescent="0.2">
      <c r="A137" s="61"/>
      <c r="B137" s="61"/>
      <c r="C137" s="61"/>
      <c r="D137" s="61"/>
      <c r="E137" s="61"/>
      <c r="F137" s="61"/>
    </row>
    <row r="138" spans="1:6" hidden="1" x14ac:dyDescent="0.2">
      <c r="A138" s="61"/>
      <c r="B138" s="61"/>
      <c r="C138" s="61"/>
      <c r="D138" s="61"/>
      <c r="E138" s="61"/>
      <c r="F138" s="61"/>
    </row>
    <row r="139" spans="1:6" hidden="1" x14ac:dyDescent="0.2">
      <c r="A139" s="61"/>
      <c r="B139" s="61"/>
      <c r="C139" s="61"/>
      <c r="D139" s="61"/>
      <c r="E139" s="61"/>
      <c r="F139" s="61"/>
    </row>
    <row r="140" spans="1:6" hidden="1" x14ac:dyDescent="0.2">
      <c r="A140" s="61"/>
      <c r="B140" s="61"/>
      <c r="C140" s="61"/>
      <c r="D140" s="61"/>
      <c r="E140" s="61"/>
      <c r="F140" s="61"/>
    </row>
    <row r="141" spans="1:6" hidden="1" x14ac:dyDescent="0.2">
      <c r="A141" s="61"/>
      <c r="B141" s="61"/>
      <c r="C141" s="61"/>
      <c r="D141" s="61"/>
      <c r="E141" s="61"/>
      <c r="F141" s="61"/>
    </row>
    <row r="142" spans="1:6" hidden="1" x14ac:dyDescent="0.2">
      <c r="A142" s="61"/>
      <c r="B142" s="61"/>
      <c r="C142" s="61"/>
      <c r="D142" s="61"/>
      <c r="E142" s="61"/>
      <c r="F142" s="61"/>
    </row>
    <row r="143" spans="1:6" hidden="1" x14ac:dyDescent="0.2">
      <c r="A143" s="61"/>
      <c r="B143" s="61"/>
      <c r="C143" s="61"/>
      <c r="D143" s="61"/>
      <c r="E143" s="61"/>
      <c r="F143" s="61"/>
    </row>
    <row r="144" spans="1:6" hidden="1" x14ac:dyDescent="0.2">
      <c r="A144" s="61"/>
      <c r="B144" s="61"/>
      <c r="C144" s="61"/>
      <c r="D144" s="61"/>
      <c r="E144" s="61"/>
      <c r="F144" s="61"/>
    </row>
    <row r="145" spans="1:6" hidden="1" x14ac:dyDescent="0.2">
      <c r="A145" s="61"/>
      <c r="B145" s="61"/>
      <c r="C145" s="61"/>
      <c r="D145" s="61"/>
      <c r="E145" s="61"/>
      <c r="F145" s="61"/>
    </row>
    <row r="146" spans="1:6" hidden="1" x14ac:dyDescent="0.2">
      <c r="A146" s="61"/>
      <c r="B146" s="61"/>
      <c r="C146" s="61"/>
      <c r="D146" s="61"/>
      <c r="E146" s="61"/>
      <c r="F146" s="61"/>
    </row>
    <row r="147" spans="1:6" hidden="1" x14ac:dyDescent="0.2">
      <c r="A147" s="61"/>
      <c r="B147" s="61"/>
      <c r="C147" s="61"/>
      <c r="D147" s="61"/>
      <c r="E147" s="61"/>
      <c r="F147" s="61"/>
    </row>
    <row r="148" spans="1:6" hidden="1" x14ac:dyDescent="0.2">
      <c r="A148" s="61"/>
      <c r="B148" s="61"/>
      <c r="C148" s="61"/>
      <c r="D148" s="61"/>
      <c r="E148" s="61"/>
      <c r="F148" s="61"/>
    </row>
    <row r="149" spans="1:6" hidden="1" x14ac:dyDescent="0.2">
      <c r="A149" s="61"/>
      <c r="B149" s="61"/>
      <c r="C149" s="61"/>
      <c r="D149" s="61"/>
      <c r="E149" s="61"/>
      <c r="F149" s="61"/>
    </row>
    <row r="150" spans="1:6" hidden="1" x14ac:dyDescent="0.2">
      <c r="A150" s="61"/>
      <c r="B150" s="61"/>
      <c r="C150" s="61"/>
      <c r="D150" s="61"/>
      <c r="E150" s="61"/>
      <c r="F150" s="61"/>
    </row>
    <row r="151" spans="1:6" hidden="1" x14ac:dyDescent="0.2">
      <c r="A151" s="61"/>
      <c r="B151" s="61"/>
      <c r="C151" s="61"/>
      <c r="D151" s="61"/>
      <c r="E151" s="61"/>
      <c r="F151" s="61"/>
    </row>
    <row r="152" spans="1:6" hidden="1" x14ac:dyDescent="0.2">
      <c r="A152" s="61"/>
      <c r="B152" s="61"/>
      <c r="C152" s="61"/>
      <c r="D152" s="61"/>
      <c r="E152" s="61"/>
      <c r="F152" s="61"/>
    </row>
    <row r="153" spans="1:6" hidden="1" x14ac:dyDescent="0.2">
      <c r="A153" s="61"/>
      <c r="B153" s="61"/>
      <c r="C153" s="61"/>
      <c r="D153" s="61"/>
      <c r="E153" s="61"/>
      <c r="F153" s="61"/>
    </row>
    <row r="154" spans="1:6" hidden="1" x14ac:dyDescent="0.2">
      <c r="A154" s="61"/>
      <c r="B154" s="61"/>
      <c r="C154" s="61"/>
      <c r="D154" s="61"/>
      <c r="E154" s="61"/>
      <c r="F154" s="61"/>
    </row>
    <row r="155" spans="1:6" hidden="1" x14ac:dyDescent="0.2">
      <c r="A155" s="61"/>
      <c r="B155" s="61"/>
      <c r="C155" s="61"/>
      <c r="D155" s="61"/>
      <c r="E155" s="61"/>
      <c r="F155" s="61"/>
    </row>
    <row r="156" spans="1:6" hidden="1" x14ac:dyDescent="0.2">
      <c r="A156" s="61"/>
      <c r="B156" s="61"/>
      <c r="C156" s="61"/>
      <c r="D156" s="61"/>
      <c r="E156" s="61"/>
      <c r="F156" s="61"/>
    </row>
    <row r="157" spans="1:6" hidden="1" x14ac:dyDescent="0.2">
      <c r="A157" s="61"/>
      <c r="B157" s="61"/>
      <c r="C157" s="61"/>
      <c r="D157" s="61"/>
      <c r="E157" s="61"/>
      <c r="F157" s="61"/>
    </row>
    <row r="158" spans="1:6" hidden="1" x14ac:dyDescent="0.2">
      <c r="A158" s="61"/>
      <c r="B158" s="61"/>
      <c r="C158" s="61"/>
      <c r="D158" s="61"/>
      <c r="E158" s="61"/>
      <c r="F158" s="61"/>
    </row>
    <row r="159" spans="1:6" hidden="1" x14ac:dyDescent="0.2">
      <c r="A159" s="61"/>
      <c r="B159" s="61"/>
      <c r="C159" s="61"/>
      <c r="D159" s="61"/>
      <c r="E159" s="61"/>
      <c r="F159" s="61"/>
    </row>
    <row r="160" spans="1:6" hidden="1" x14ac:dyDescent="0.2">
      <c r="A160" s="61"/>
      <c r="B160" s="61"/>
      <c r="C160" s="61"/>
      <c r="D160" s="61"/>
      <c r="E160" s="61"/>
      <c r="F160" s="61"/>
    </row>
    <row r="161" spans="1:6" hidden="1" x14ac:dyDescent="0.2">
      <c r="A161" s="61"/>
      <c r="B161" s="61"/>
      <c r="C161" s="61"/>
      <c r="D161" s="61"/>
      <c r="E161" s="61"/>
      <c r="F161" s="61"/>
    </row>
    <row r="162" spans="1:6" hidden="1" x14ac:dyDescent="0.2">
      <c r="A162" s="61"/>
      <c r="B162" s="61"/>
      <c r="C162" s="61"/>
      <c r="D162" s="61"/>
      <c r="E162" s="61"/>
      <c r="F162" s="61"/>
    </row>
    <row r="163" spans="1:6" hidden="1" x14ac:dyDescent="0.2">
      <c r="A163" s="61"/>
      <c r="B163" s="61"/>
      <c r="C163" s="61"/>
      <c r="D163" s="61"/>
      <c r="E163" s="61"/>
      <c r="F163" s="61"/>
    </row>
    <row r="164" spans="1:6" hidden="1" x14ac:dyDescent="0.2">
      <c r="A164" s="61"/>
      <c r="B164" s="61"/>
      <c r="C164" s="61"/>
      <c r="D164" s="61"/>
      <c r="E164" s="61"/>
      <c r="F164" s="61"/>
    </row>
    <row r="165" spans="1:6" hidden="1" x14ac:dyDescent="0.2">
      <c r="A165" s="61"/>
      <c r="B165" s="61"/>
      <c r="C165" s="61"/>
      <c r="D165" s="61"/>
      <c r="E165" s="61"/>
      <c r="F165" s="61"/>
    </row>
    <row r="166" spans="1:6" hidden="1" x14ac:dyDescent="0.2">
      <c r="A166" s="61"/>
      <c r="B166" s="61"/>
      <c r="C166" s="61"/>
      <c r="D166" s="61"/>
      <c r="E166" s="61"/>
      <c r="F166" s="61"/>
    </row>
  </sheetData>
  <sheetProtection algorithmName="SHA-512" hashValue="A+NSYOq4bSJpOtA8G4Kokioy8gqc+GR792NRjFy6lULIdeyoIbWEq320KW+EbbiWmCJI3uvXJB1mwM8vN5X4qw==" saltValue="bPVjmEWP8dkyh4fJI0JHTg==" spinCount="100000" sheet="1" objects="1" scenarios="1" formatColumns="0" formatRows="0" autoFilter="0"/>
  <conditionalFormatting sqref="D33:D94">
    <cfRule type="expression" dxfId="47" priority="1">
      <formula>#REF!="I disagree"</formula>
    </cfRule>
  </conditionalFormatting>
  <pageMargins left="0.7" right="0.7" top="0.75" bottom="0.75" header="0.3" footer="0.3"/>
  <pageSetup orientation="portrait" r:id="rId1"/>
  <tableParts count="3">
    <tablePart r:id="rId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FA9D-8F9C-40A3-B89B-1F74880ACAFF}">
  <sheetPr codeName="Sheet35">
    <tabColor theme="4" tint="0.39997558519241921"/>
  </sheetPr>
  <dimension ref="A1:Z25"/>
  <sheetViews>
    <sheetView zoomScaleNormal="100" workbookViewId="0"/>
  </sheetViews>
  <sheetFormatPr defaultColWidth="0" defaultRowHeight="14.25" zeroHeight="1" x14ac:dyDescent="0.2"/>
  <cols>
    <col min="1" max="1" width="50.125" style="33" customWidth="1"/>
    <col min="2" max="2" width="35.875" style="33" customWidth="1"/>
    <col min="3" max="3" width="24.625" style="33" customWidth="1"/>
    <col min="4" max="4" width="20.125" style="33" customWidth="1"/>
    <col min="5" max="26" width="9" style="33" customWidth="1"/>
    <col min="27" max="16384" width="9" style="33" hidden="1"/>
  </cols>
  <sheetData>
    <row r="1" spans="1:4" ht="28.5" x14ac:dyDescent="0.2">
      <c r="A1" s="33" t="s">
        <v>13255</v>
      </c>
    </row>
    <row r="2" spans="1:4" x14ac:dyDescent="0.2"/>
    <row r="3" spans="1:4" ht="28.5" x14ac:dyDescent="0.2">
      <c r="A3" s="33" t="s">
        <v>13256</v>
      </c>
      <c r="B3" s="33" t="s">
        <v>13257</v>
      </c>
      <c r="C3" s="33" t="s">
        <v>13258</v>
      </c>
      <c r="D3" s="33" t="s">
        <v>13307</v>
      </c>
    </row>
    <row r="4" spans="1:4" x14ac:dyDescent="0.2">
      <c r="A4" s="33" t="s">
        <v>13259</v>
      </c>
      <c r="B4" s="33" t="s">
        <v>13260</v>
      </c>
      <c r="C4" s="33">
        <v>2000</v>
      </c>
      <c r="D4" s="33" t="s">
        <v>13267</v>
      </c>
    </row>
    <row r="5" spans="1:4" x14ac:dyDescent="0.2">
      <c r="A5" s="33" t="s">
        <v>13262</v>
      </c>
      <c r="B5" s="33" t="s">
        <v>13261</v>
      </c>
      <c r="C5" s="33">
        <v>8760</v>
      </c>
      <c r="D5" s="33" t="s">
        <v>13263</v>
      </c>
    </row>
    <row r="6" spans="1:4" x14ac:dyDescent="0.2">
      <c r="A6" s="33" t="s">
        <v>13264</v>
      </c>
      <c r="B6" s="33" t="s">
        <v>13259</v>
      </c>
      <c r="C6" s="33">
        <v>1.1023099999999999</v>
      </c>
      <c r="D6" s="33" t="s">
        <v>13265</v>
      </c>
    </row>
    <row r="7" spans="1:4" x14ac:dyDescent="0.2">
      <c r="A7" s="33" t="s">
        <v>13259</v>
      </c>
      <c r="B7" s="33" t="s">
        <v>13264</v>
      </c>
      <c r="C7" s="33">
        <v>0.90717999999999999</v>
      </c>
      <c r="D7" s="33" t="s">
        <v>13266</v>
      </c>
    </row>
    <row r="8" spans="1:4" x14ac:dyDescent="0.2"/>
    <row r="9" spans="1:4" x14ac:dyDescent="0.2">
      <c r="A9" s="33" t="s">
        <v>13269</v>
      </c>
      <c r="B9" s="33" t="s">
        <v>13270</v>
      </c>
      <c r="C9" s="33" t="s">
        <v>13308</v>
      </c>
    </row>
    <row r="10" spans="1:4" ht="28.5" x14ac:dyDescent="0.2">
      <c r="A10" s="33" t="s">
        <v>13268</v>
      </c>
      <c r="B10" s="181">
        <v>0.75</v>
      </c>
      <c r="C10" s="33" t="s">
        <v>13310</v>
      </c>
    </row>
    <row r="11" spans="1:4" x14ac:dyDescent="0.2">
      <c r="A11" s="33" t="s">
        <v>12666</v>
      </c>
      <c r="B11" s="181">
        <v>0.95</v>
      </c>
    </row>
    <row r="12" spans="1:4" x14ac:dyDescent="0.2"/>
    <row r="13" spans="1:4" x14ac:dyDescent="0.2">
      <c r="A13" s="33" t="s">
        <v>13309</v>
      </c>
      <c r="B13" s="33" t="s">
        <v>13269</v>
      </c>
      <c r="C13" s="33" t="s">
        <v>13270</v>
      </c>
    </row>
    <row r="14" spans="1:4" x14ac:dyDescent="0.2">
      <c r="A14" s="181"/>
      <c r="B14" s="33" t="s">
        <v>13268</v>
      </c>
      <c r="C14" s="181">
        <v>0.75</v>
      </c>
      <c r="D14" s="33" t="s">
        <v>13308</v>
      </c>
    </row>
    <row r="15" spans="1:4" ht="28.5" x14ac:dyDescent="0.2">
      <c r="A15" s="181"/>
      <c r="B15" s="33" t="s">
        <v>12666</v>
      </c>
      <c r="C15" s="181">
        <v>0.95</v>
      </c>
      <c r="D15" s="33" t="s">
        <v>13310</v>
      </c>
    </row>
    <row r="16" spans="1:4" x14ac:dyDescent="0.2"/>
    <row r="17" x14ac:dyDescent="0.2"/>
    <row r="18" x14ac:dyDescent="0.2"/>
    <row r="19" x14ac:dyDescent="0.2"/>
    <row r="20" x14ac:dyDescent="0.2"/>
    <row r="21" x14ac:dyDescent="0.2"/>
    <row r="22" x14ac:dyDescent="0.2"/>
    <row r="23" x14ac:dyDescent="0.2"/>
    <row r="24" x14ac:dyDescent="0.2"/>
    <row r="25" x14ac:dyDescent="0.2"/>
  </sheetData>
  <sheetProtection algorithmName="SHA-512" hashValue="PW22M/7byiIOqlRgglcjz/TqJ0rLZXDBAjJ00NeHFI7Z+5eUqsNr7g8OXXUOxGWdI4bFFw6YfN1HksZoGj9imw==" saltValue="x7/cBAgO28RgE+daK6WDKQ==" spinCount="100000" sheet="1" objects="1" scenarios="1" formatColumns="0" formatRows="0" autoFilter="0"/>
  <pageMargins left="0.7" right="0.7" top="0.75" bottom="0.75" header="0.3" footer="0.3"/>
  <tableParts count="2">
    <tablePart r:id="rId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CB7D-CD44-40DC-968A-FA7EE8E12DD7}">
  <sheetPr codeName="Sheet34">
    <tabColor theme="4" tint="0.39997558519241921"/>
  </sheetPr>
  <dimension ref="A1:D184"/>
  <sheetViews>
    <sheetView zoomScaleNormal="100" workbookViewId="0"/>
  </sheetViews>
  <sheetFormatPr defaultRowHeight="14.25" x14ac:dyDescent="0.2"/>
  <cols>
    <col min="1" max="4" width="75.5" bestFit="1" customWidth="1"/>
  </cols>
  <sheetData>
    <row r="1" spans="1:4" s="14" customFormat="1" x14ac:dyDescent="0.2">
      <c r="A1" s="14" t="s">
        <v>13251</v>
      </c>
    </row>
    <row r="2" spans="1:4" s="14" customFormat="1" x14ac:dyDescent="0.2">
      <c r="A2" s="14" t="s">
        <v>13254</v>
      </c>
    </row>
    <row r="3" spans="1:4" x14ac:dyDescent="0.2">
      <c r="A3" t="s">
        <v>12780</v>
      </c>
      <c r="B3" t="s">
        <v>12781</v>
      </c>
      <c r="C3" t="s">
        <v>12782</v>
      </c>
      <c r="D3" t="s">
        <v>13253</v>
      </c>
    </row>
    <row r="4" spans="1:4" x14ac:dyDescent="0.2">
      <c r="A4" s="71" t="s">
        <v>12783</v>
      </c>
      <c r="B4" s="71" t="s">
        <v>12784</v>
      </c>
      <c r="C4" s="71" t="s">
        <v>12785</v>
      </c>
      <c r="D4" s="71">
        <v>1</v>
      </c>
    </row>
    <row r="5" spans="1:4" x14ac:dyDescent="0.2">
      <c r="A5" s="71" t="s">
        <v>12786</v>
      </c>
      <c r="B5" s="71" t="s">
        <v>12787</v>
      </c>
      <c r="C5" s="71" t="s">
        <v>12788</v>
      </c>
      <c r="D5" s="71">
        <v>25</v>
      </c>
    </row>
    <row r="6" spans="1:4" x14ac:dyDescent="0.2">
      <c r="A6" s="71" t="s">
        <v>12789</v>
      </c>
      <c r="B6" s="71" t="s">
        <v>9228</v>
      </c>
      <c r="C6" s="71" t="s">
        <v>12790</v>
      </c>
      <c r="D6" s="71">
        <v>298</v>
      </c>
    </row>
    <row r="7" spans="1:4" x14ac:dyDescent="0.2">
      <c r="A7" s="71" t="s">
        <v>12791</v>
      </c>
      <c r="B7" s="71" t="s">
        <v>11392</v>
      </c>
      <c r="C7" s="71" t="s">
        <v>12792</v>
      </c>
      <c r="D7" s="78">
        <v>22800</v>
      </c>
    </row>
    <row r="8" spans="1:4" x14ac:dyDescent="0.2">
      <c r="A8" s="71" t="s">
        <v>12793</v>
      </c>
      <c r="B8" s="71" t="s">
        <v>12794</v>
      </c>
      <c r="C8" s="71" t="s">
        <v>12795</v>
      </c>
      <c r="D8" s="78">
        <v>17700</v>
      </c>
    </row>
    <row r="9" spans="1:4" x14ac:dyDescent="0.2">
      <c r="A9" s="71" t="s">
        <v>12796</v>
      </c>
      <c r="B9" s="71" t="s">
        <v>9216</v>
      </c>
      <c r="C9" s="71" t="s">
        <v>12797</v>
      </c>
      <c r="D9" s="78">
        <v>17200</v>
      </c>
    </row>
    <row r="10" spans="1:4" x14ac:dyDescent="0.2">
      <c r="A10" s="71" t="s">
        <v>12798</v>
      </c>
      <c r="B10" s="71" t="s">
        <v>4946</v>
      </c>
      <c r="C10" s="71" t="s">
        <v>12799</v>
      </c>
      <c r="D10" s="78">
        <v>7390</v>
      </c>
    </row>
    <row r="11" spans="1:4" x14ac:dyDescent="0.2">
      <c r="A11" s="71" t="s">
        <v>12800</v>
      </c>
      <c r="B11" s="71" t="s">
        <v>7450</v>
      </c>
      <c r="C11" s="71" t="s">
        <v>12801</v>
      </c>
      <c r="D11" s="78">
        <v>12200</v>
      </c>
    </row>
    <row r="12" spans="1:4" x14ac:dyDescent="0.2">
      <c r="A12" s="71" t="s">
        <v>12802</v>
      </c>
      <c r="B12" s="71" t="s">
        <v>9423</v>
      </c>
      <c r="C12" s="71" t="s">
        <v>12803</v>
      </c>
      <c r="D12" s="78">
        <v>8830</v>
      </c>
    </row>
    <row r="13" spans="1:4" x14ac:dyDescent="0.2">
      <c r="A13" s="71" t="s">
        <v>12804</v>
      </c>
      <c r="B13" s="71" t="s">
        <v>12805</v>
      </c>
      <c r="C13" s="71" t="s">
        <v>12806</v>
      </c>
      <c r="D13" s="78">
        <v>17340</v>
      </c>
    </row>
    <row r="14" spans="1:4" x14ac:dyDescent="0.2">
      <c r="A14" s="71" t="s">
        <v>12807</v>
      </c>
      <c r="B14" s="71" t="s">
        <v>5617</v>
      </c>
      <c r="C14" s="71" t="s">
        <v>12808</v>
      </c>
      <c r="D14" s="78">
        <v>8860</v>
      </c>
    </row>
    <row r="15" spans="1:4" x14ac:dyDescent="0.2">
      <c r="A15" s="71" t="s">
        <v>12809</v>
      </c>
      <c r="B15" s="71" t="s">
        <v>9421</v>
      </c>
      <c r="C15" s="71" t="s">
        <v>12810</v>
      </c>
      <c r="D15" s="78">
        <v>10300</v>
      </c>
    </row>
    <row r="16" spans="1:4" x14ac:dyDescent="0.2">
      <c r="A16" s="71" t="s">
        <v>12811</v>
      </c>
      <c r="B16" s="71" t="s">
        <v>12812</v>
      </c>
      <c r="C16" s="71" t="s">
        <v>12813</v>
      </c>
      <c r="D16" s="78">
        <v>9160</v>
      </c>
    </row>
    <row r="17" spans="1:4" x14ac:dyDescent="0.2">
      <c r="A17" s="71" t="s">
        <v>12814</v>
      </c>
      <c r="B17" s="71" t="s">
        <v>11635</v>
      </c>
      <c r="C17" s="71" t="s">
        <v>12815</v>
      </c>
      <c r="D17" s="78">
        <v>9300</v>
      </c>
    </row>
    <row r="18" spans="1:4" x14ac:dyDescent="0.2">
      <c r="A18" s="71" t="s">
        <v>12816</v>
      </c>
      <c r="B18" s="71" t="s">
        <v>12817</v>
      </c>
      <c r="C18" s="71" t="s">
        <v>12818</v>
      </c>
      <c r="D18" s="78">
        <v>7820</v>
      </c>
    </row>
    <row r="19" spans="1:4" x14ac:dyDescent="0.2">
      <c r="A19" s="71" t="s">
        <v>12819</v>
      </c>
      <c r="B19" s="71" t="s">
        <v>12820</v>
      </c>
      <c r="C19" s="71" t="s">
        <v>12821</v>
      </c>
      <c r="D19" s="78">
        <v>7620</v>
      </c>
    </row>
    <row r="20" spans="1:4" x14ac:dyDescent="0.2">
      <c r="A20" s="71" t="s">
        <v>12822</v>
      </c>
      <c r="B20" s="71" t="s">
        <v>12823</v>
      </c>
      <c r="C20" s="71" t="s">
        <v>12824</v>
      </c>
      <c r="D20" s="78">
        <v>7500</v>
      </c>
    </row>
    <row r="21" spans="1:4" x14ac:dyDescent="0.2">
      <c r="A21" s="71" t="s">
        <v>12825</v>
      </c>
      <c r="B21" s="71" t="s">
        <v>12825</v>
      </c>
      <c r="C21" s="71" t="s">
        <v>12826</v>
      </c>
      <c r="D21" s="78">
        <v>10300</v>
      </c>
    </row>
    <row r="22" spans="1:4" x14ac:dyDescent="0.2">
      <c r="A22" s="71" t="s">
        <v>12827</v>
      </c>
      <c r="B22" s="71" t="s">
        <v>12828</v>
      </c>
      <c r="C22" s="71" t="s">
        <v>12829</v>
      </c>
      <c r="D22" s="78">
        <v>7236</v>
      </c>
    </row>
    <row r="23" spans="1:4" x14ac:dyDescent="0.2">
      <c r="A23" s="71" t="s">
        <v>12830</v>
      </c>
      <c r="B23" s="71" t="s">
        <v>12831</v>
      </c>
      <c r="C23" s="71" t="s">
        <v>12832</v>
      </c>
      <c r="D23" s="78">
        <v>6288</v>
      </c>
    </row>
    <row r="24" spans="1:4" x14ac:dyDescent="0.2">
      <c r="A24" s="71" t="s">
        <v>12833</v>
      </c>
      <c r="B24" s="71" t="s">
        <v>12062</v>
      </c>
      <c r="C24" s="71" t="s">
        <v>12834</v>
      </c>
      <c r="D24" s="78">
        <v>14800</v>
      </c>
    </row>
    <row r="25" spans="1:4" x14ac:dyDescent="0.2">
      <c r="A25" s="71" t="s">
        <v>12835</v>
      </c>
      <c r="B25" s="71" t="s">
        <v>5980</v>
      </c>
      <c r="C25" s="71" t="s">
        <v>12836</v>
      </c>
      <c r="D25" s="71">
        <v>675</v>
      </c>
    </row>
    <row r="26" spans="1:4" x14ac:dyDescent="0.2">
      <c r="A26" s="71" t="s">
        <v>12837</v>
      </c>
      <c r="B26" s="71" t="s">
        <v>278</v>
      </c>
      <c r="C26" s="71" t="s">
        <v>12838</v>
      </c>
      <c r="D26" s="78">
        <v>3500</v>
      </c>
    </row>
    <row r="27" spans="1:4" x14ac:dyDescent="0.2">
      <c r="A27" s="71" t="s">
        <v>12839</v>
      </c>
      <c r="B27" s="71" t="s">
        <v>12840</v>
      </c>
      <c r="C27" s="71" t="s">
        <v>12841</v>
      </c>
      <c r="D27" s="78">
        <v>1100</v>
      </c>
    </row>
    <row r="28" spans="1:4" x14ac:dyDescent="0.2">
      <c r="A28" s="71" t="s">
        <v>12842</v>
      </c>
      <c r="B28" s="71" t="s">
        <v>292</v>
      </c>
      <c r="C28" s="71" t="s">
        <v>12843</v>
      </c>
      <c r="D28" s="78">
        <v>1430</v>
      </c>
    </row>
    <row r="29" spans="1:4" x14ac:dyDescent="0.2">
      <c r="A29" s="71" t="s">
        <v>12844</v>
      </c>
      <c r="B29" s="71" t="s">
        <v>12845</v>
      </c>
      <c r="C29" s="71" t="s">
        <v>12846</v>
      </c>
      <c r="D29" s="71">
        <v>2640</v>
      </c>
    </row>
    <row r="30" spans="1:4" x14ac:dyDescent="0.2">
      <c r="A30" s="71" t="s">
        <v>12847</v>
      </c>
      <c r="B30" s="71" t="s">
        <v>282</v>
      </c>
      <c r="C30" s="71" t="s">
        <v>12848</v>
      </c>
      <c r="D30" s="78">
        <v>3220</v>
      </c>
    </row>
    <row r="31" spans="1:4" x14ac:dyDescent="0.2">
      <c r="A31" s="71" t="s">
        <v>12849</v>
      </c>
      <c r="B31" s="71" t="s">
        <v>12850</v>
      </c>
      <c r="C31" s="71" t="s">
        <v>12851</v>
      </c>
      <c r="D31" s="78">
        <v>1340</v>
      </c>
    </row>
    <row r="32" spans="1:4" x14ac:dyDescent="0.2">
      <c r="A32" s="71" t="s">
        <v>12852</v>
      </c>
      <c r="B32" s="71" t="s">
        <v>12853</v>
      </c>
      <c r="C32" s="71" t="s">
        <v>12854</v>
      </c>
      <c r="D32" s="78">
        <v>1370</v>
      </c>
    </row>
    <row r="33" spans="1:4" x14ac:dyDescent="0.2">
      <c r="A33" s="71" t="s">
        <v>12855</v>
      </c>
      <c r="B33" s="71" t="s">
        <v>294</v>
      </c>
      <c r="C33" s="71" t="s">
        <v>12856</v>
      </c>
      <c r="D33" s="78">
        <v>9810</v>
      </c>
    </row>
    <row r="34" spans="1:4" x14ac:dyDescent="0.2">
      <c r="A34" s="71" t="s">
        <v>12857</v>
      </c>
      <c r="B34" s="71" t="s">
        <v>12858</v>
      </c>
      <c r="C34" s="71" t="s">
        <v>12859</v>
      </c>
      <c r="D34" s="71">
        <v>2360</v>
      </c>
    </row>
    <row r="35" spans="1:4" x14ac:dyDescent="0.2">
      <c r="A35" s="71" t="s">
        <v>12860</v>
      </c>
      <c r="B35" s="71" t="s">
        <v>284</v>
      </c>
      <c r="C35" s="71" t="s">
        <v>12861</v>
      </c>
      <c r="D35" s="78">
        <v>1640</v>
      </c>
    </row>
    <row r="36" spans="1:4" x14ac:dyDescent="0.2">
      <c r="A36" s="71" t="s">
        <v>12862</v>
      </c>
      <c r="B36" s="71" t="s">
        <v>7180</v>
      </c>
      <c r="C36" s="71" t="s">
        <v>12863</v>
      </c>
      <c r="D36" s="71">
        <v>92</v>
      </c>
    </row>
    <row r="37" spans="1:4" x14ac:dyDescent="0.2">
      <c r="A37" s="71" t="s">
        <v>12864</v>
      </c>
      <c r="B37" s="71" t="s">
        <v>12865</v>
      </c>
      <c r="C37" s="71" t="s">
        <v>12866</v>
      </c>
      <c r="D37" s="71">
        <v>353</v>
      </c>
    </row>
    <row r="38" spans="1:4" x14ac:dyDescent="0.2">
      <c r="A38" s="71" t="s">
        <v>12867</v>
      </c>
      <c r="B38" s="71" t="s">
        <v>318</v>
      </c>
      <c r="C38" s="71" t="s">
        <v>12866</v>
      </c>
      <c r="D38" s="78">
        <v>4470</v>
      </c>
    </row>
    <row r="39" spans="1:4" x14ac:dyDescent="0.2">
      <c r="A39" s="71" t="s">
        <v>12868</v>
      </c>
      <c r="B39" s="71" t="s">
        <v>12869</v>
      </c>
      <c r="C39" s="71" t="s">
        <v>12870</v>
      </c>
      <c r="D39" s="71">
        <v>53</v>
      </c>
    </row>
    <row r="40" spans="1:4" x14ac:dyDescent="0.2">
      <c r="A40" s="71" t="s">
        <v>12871</v>
      </c>
      <c r="B40" s="71" t="s">
        <v>402</v>
      </c>
      <c r="C40" s="71" t="s">
        <v>12872</v>
      </c>
      <c r="D40" s="71">
        <v>124</v>
      </c>
    </row>
    <row r="41" spans="1:4" x14ac:dyDescent="0.2">
      <c r="A41" s="71" t="s">
        <v>12873</v>
      </c>
      <c r="B41" s="71" t="s">
        <v>7178</v>
      </c>
      <c r="C41" s="71" t="s">
        <v>12874</v>
      </c>
      <c r="D41" s="71">
        <v>12</v>
      </c>
    </row>
    <row r="42" spans="1:4" x14ac:dyDescent="0.2">
      <c r="A42" s="71" t="s">
        <v>12875</v>
      </c>
      <c r="B42" s="71" t="s">
        <v>12876</v>
      </c>
      <c r="C42" s="71" t="s">
        <v>12877</v>
      </c>
      <c r="D42" s="71">
        <v>693</v>
      </c>
    </row>
    <row r="43" spans="1:4" x14ac:dyDescent="0.2">
      <c r="A43" s="71" t="s">
        <v>12878</v>
      </c>
      <c r="B43" s="71" t="s">
        <v>280</v>
      </c>
      <c r="C43" s="71" t="s">
        <v>12879</v>
      </c>
      <c r="D43" s="71">
        <v>4620</v>
      </c>
    </row>
    <row r="44" spans="1:4" x14ac:dyDescent="0.2">
      <c r="A44" s="71" t="s">
        <v>12880</v>
      </c>
      <c r="B44" s="71" t="s">
        <v>12881</v>
      </c>
      <c r="C44" s="71" t="s">
        <v>12882</v>
      </c>
      <c r="D44" s="71">
        <v>235</v>
      </c>
    </row>
    <row r="45" spans="1:4" x14ac:dyDescent="0.2">
      <c r="A45" s="71" t="s">
        <v>12883</v>
      </c>
      <c r="B45" s="71" t="s">
        <v>12884</v>
      </c>
      <c r="C45" s="71" t="s">
        <v>12885</v>
      </c>
      <c r="D45" s="71">
        <v>290</v>
      </c>
    </row>
    <row r="46" spans="1:4" x14ac:dyDescent="0.2">
      <c r="A46" s="71" t="s">
        <v>12886</v>
      </c>
      <c r="B46" s="71" t="s">
        <v>298</v>
      </c>
      <c r="C46" s="71" t="s">
        <v>12887</v>
      </c>
      <c r="D46" s="78">
        <v>1030</v>
      </c>
    </row>
    <row r="47" spans="1:4" x14ac:dyDescent="0.2">
      <c r="A47" s="71" t="s">
        <v>12888</v>
      </c>
      <c r="B47" s="71" t="s">
        <v>12889</v>
      </c>
      <c r="C47" s="71" t="s">
        <v>12890</v>
      </c>
      <c r="D47" s="71">
        <v>76</v>
      </c>
    </row>
    <row r="48" spans="1:4" x14ac:dyDescent="0.2">
      <c r="A48" s="71" t="s">
        <v>12891</v>
      </c>
      <c r="B48" s="71" t="s">
        <v>12892</v>
      </c>
      <c r="C48" s="71" t="s">
        <v>12893</v>
      </c>
      <c r="D48" s="71">
        <v>144</v>
      </c>
    </row>
    <row r="49" spans="1:4" x14ac:dyDescent="0.2">
      <c r="A49" s="71" t="s">
        <v>12894</v>
      </c>
      <c r="B49" s="71" t="s">
        <v>296</v>
      </c>
      <c r="C49" s="71" t="s">
        <v>12895</v>
      </c>
      <c r="D49" s="71">
        <v>794</v>
      </c>
    </row>
    <row r="50" spans="1:4" x14ac:dyDescent="0.2">
      <c r="A50" s="71" t="s">
        <v>12896</v>
      </c>
      <c r="B50" s="71" t="s">
        <v>12897</v>
      </c>
      <c r="C50" s="71" t="s">
        <v>12898</v>
      </c>
      <c r="D50" s="78">
        <v>14900</v>
      </c>
    </row>
    <row r="51" spans="1:4" x14ac:dyDescent="0.2">
      <c r="A51" s="71" t="s">
        <v>12899</v>
      </c>
      <c r="B51" s="71" t="s">
        <v>12900</v>
      </c>
      <c r="C51" s="71" t="s">
        <v>12901</v>
      </c>
      <c r="D51" s="78">
        <v>1540</v>
      </c>
    </row>
    <row r="52" spans="1:4" x14ac:dyDescent="0.2">
      <c r="A52" s="71" t="s">
        <v>12902</v>
      </c>
      <c r="B52" s="71" t="s">
        <v>12903</v>
      </c>
      <c r="C52" s="71" t="s">
        <v>12904</v>
      </c>
      <c r="D52" s="71">
        <v>919</v>
      </c>
    </row>
    <row r="53" spans="1:4" x14ac:dyDescent="0.2">
      <c r="A53" s="71" t="s">
        <v>12905</v>
      </c>
      <c r="B53" s="71" t="s">
        <v>12906</v>
      </c>
      <c r="C53" s="71" t="s">
        <v>12907</v>
      </c>
      <c r="D53" s="78">
        <v>4550</v>
      </c>
    </row>
    <row r="54" spans="1:4" x14ac:dyDescent="0.2">
      <c r="A54" s="71" t="s">
        <v>12908</v>
      </c>
      <c r="B54" s="71" t="s">
        <v>12909</v>
      </c>
      <c r="C54" s="71" t="s">
        <v>12910</v>
      </c>
      <c r="D54" s="78">
        <v>6490</v>
      </c>
    </row>
    <row r="55" spans="1:4" x14ac:dyDescent="0.2">
      <c r="A55" s="71" t="s">
        <v>12911</v>
      </c>
      <c r="B55" s="71" t="s">
        <v>12912</v>
      </c>
      <c r="C55" s="71" t="s">
        <v>12913</v>
      </c>
      <c r="D55" s="78">
        <v>6320</v>
      </c>
    </row>
    <row r="56" spans="1:4" x14ac:dyDescent="0.2">
      <c r="A56" s="71" t="s">
        <v>12914</v>
      </c>
      <c r="B56" s="71" t="s">
        <v>12915</v>
      </c>
      <c r="C56" s="71" t="s">
        <v>12916</v>
      </c>
      <c r="D56" s="78">
        <v>4240</v>
      </c>
    </row>
    <row r="57" spans="1:4" x14ac:dyDescent="0.2">
      <c r="A57" s="71" t="s">
        <v>12917</v>
      </c>
      <c r="B57" s="71" t="s">
        <v>12918</v>
      </c>
      <c r="C57" s="71" t="s">
        <v>12919</v>
      </c>
      <c r="D57" s="78">
        <v>2800</v>
      </c>
    </row>
    <row r="58" spans="1:4" x14ac:dyDescent="0.2">
      <c r="A58" s="71" t="s">
        <v>12920</v>
      </c>
      <c r="B58" s="71" t="s">
        <v>12921</v>
      </c>
      <c r="C58" s="71" t="s">
        <v>12922</v>
      </c>
      <c r="D58" s="71">
        <v>989</v>
      </c>
    </row>
    <row r="59" spans="1:4" x14ac:dyDescent="0.2">
      <c r="A59" s="71" t="s">
        <v>12923</v>
      </c>
      <c r="B59" s="71" t="s">
        <v>12924</v>
      </c>
      <c r="C59" s="71" t="s">
        <v>12925</v>
      </c>
      <c r="D59" s="71">
        <v>487</v>
      </c>
    </row>
    <row r="60" spans="1:4" x14ac:dyDescent="0.2">
      <c r="A60" s="71" t="s">
        <v>12926</v>
      </c>
      <c r="B60" s="71" t="s">
        <v>12927</v>
      </c>
      <c r="C60" s="71" t="s">
        <v>12928</v>
      </c>
      <c r="D60" s="71">
        <v>552</v>
      </c>
    </row>
    <row r="61" spans="1:4" x14ac:dyDescent="0.2">
      <c r="A61" s="71" t="s">
        <v>12929</v>
      </c>
      <c r="B61" s="71" t="s">
        <v>12930</v>
      </c>
      <c r="C61" s="71" t="s">
        <v>12931</v>
      </c>
      <c r="D61" s="71">
        <v>380</v>
      </c>
    </row>
    <row r="62" spans="1:4" x14ac:dyDescent="0.2">
      <c r="A62" s="71" t="s">
        <v>12932</v>
      </c>
      <c r="B62" s="71" t="s">
        <v>12933</v>
      </c>
      <c r="C62" s="71" t="s">
        <v>12934</v>
      </c>
      <c r="D62" s="78">
        <v>1500</v>
      </c>
    </row>
    <row r="63" spans="1:4" x14ac:dyDescent="0.2">
      <c r="A63" s="71" t="s">
        <v>12935</v>
      </c>
      <c r="B63" s="71" t="s">
        <v>12936</v>
      </c>
      <c r="C63" s="71" t="s">
        <v>12937</v>
      </c>
      <c r="D63" s="78">
        <v>1870</v>
      </c>
    </row>
    <row r="64" spans="1:4" x14ac:dyDescent="0.2">
      <c r="A64" s="71" t="s">
        <v>12938</v>
      </c>
      <c r="B64" s="71" t="s">
        <v>6503</v>
      </c>
      <c r="C64" s="71" t="s">
        <v>12939</v>
      </c>
      <c r="D64" s="71">
        <v>583</v>
      </c>
    </row>
    <row r="65" spans="1:4" x14ac:dyDescent="0.2">
      <c r="A65" s="71" t="s">
        <v>12940</v>
      </c>
      <c r="B65" s="71" t="s">
        <v>7867</v>
      </c>
      <c r="C65" s="71" t="s">
        <v>12941</v>
      </c>
      <c r="D65" s="71">
        <v>350</v>
      </c>
    </row>
    <row r="66" spans="1:4" x14ac:dyDescent="0.2">
      <c r="A66" s="71" t="s">
        <v>12942</v>
      </c>
      <c r="B66" s="71" t="s">
        <v>12943</v>
      </c>
      <c r="C66" s="71" t="s">
        <v>12944</v>
      </c>
      <c r="D66" s="78">
        <v>3825</v>
      </c>
    </row>
    <row r="67" spans="1:4" x14ac:dyDescent="0.2">
      <c r="A67" s="71" t="s">
        <v>12945</v>
      </c>
      <c r="B67" s="71" t="s">
        <v>12946</v>
      </c>
      <c r="C67" s="71" t="s">
        <v>12947</v>
      </c>
      <c r="D67" s="78">
        <v>3670</v>
      </c>
    </row>
    <row r="68" spans="1:4" x14ac:dyDescent="0.2">
      <c r="A68" s="71" t="s">
        <v>12948</v>
      </c>
      <c r="B68" s="71" t="s">
        <v>12949</v>
      </c>
      <c r="C68" s="71" t="s">
        <v>12950</v>
      </c>
      <c r="D68" s="78">
        <v>5300</v>
      </c>
    </row>
    <row r="69" spans="1:4" x14ac:dyDescent="0.2">
      <c r="A69" s="71" t="s">
        <v>12951</v>
      </c>
      <c r="B69" s="71" t="s">
        <v>12952</v>
      </c>
      <c r="C69" s="71" t="s">
        <v>12953</v>
      </c>
      <c r="D69" s="78">
        <v>3890</v>
      </c>
    </row>
    <row r="70" spans="1:4" x14ac:dyDescent="0.2">
      <c r="A70" s="71" t="s">
        <v>12954</v>
      </c>
      <c r="B70" s="71" t="s">
        <v>12955</v>
      </c>
      <c r="C70" s="71" t="s">
        <v>12956</v>
      </c>
      <c r="D70" s="78">
        <v>7330</v>
      </c>
    </row>
    <row r="71" spans="1:4" x14ac:dyDescent="0.2">
      <c r="A71" s="71" t="s">
        <v>12957</v>
      </c>
      <c r="B71" s="71" t="s">
        <v>12958</v>
      </c>
      <c r="C71" s="71" t="s">
        <v>12959</v>
      </c>
      <c r="D71" s="78">
        <v>3630</v>
      </c>
    </row>
    <row r="72" spans="1:4" x14ac:dyDescent="0.2">
      <c r="A72" s="71" t="s">
        <v>12960</v>
      </c>
      <c r="B72" s="71" t="s">
        <v>12961</v>
      </c>
      <c r="C72" s="71" t="s">
        <v>12962</v>
      </c>
      <c r="D72" s="78">
        <v>1240</v>
      </c>
    </row>
    <row r="73" spans="1:4" x14ac:dyDescent="0.2">
      <c r="A73" s="71" t="s">
        <v>12963</v>
      </c>
      <c r="B73" s="71" t="s">
        <v>12964</v>
      </c>
      <c r="C73" s="71" t="s">
        <v>12965</v>
      </c>
      <c r="D73" s="71">
        <v>751</v>
      </c>
    </row>
    <row r="74" spans="1:4" x14ac:dyDescent="0.2">
      <c r="A74" s="71" t="s">
        <v>12966</v>
      </c>
      <c r="B74" s="71" t="s">
        <v>12967</v>
      </c>
      <c r="C74" s="71" t="s">
        <v>12968</v>
      </c>
      <c r="D74" s="71">
        <v>756</v>
      </c>
    </row>
    <row r="75" spans="1:4" x14ac:dyDescent="0.2">
      <c r="A75" s="71" t="s">
        <v>12969</v>
      </c>
      <c r="B75" s="71" t="s">
        <v>12970</v>
      </c>
      <c r="C75" s="71" t="s">
        <v>12971</v>
      </c>
      <c r="D75" s="71">
        <v>708</v>
      </c>
    </row>
    <row r="76" spans="1:4" x14ac:dyDescent="0.2">
      <c r="A76" s="71" t="s">
        <v>12972</v>
      </c>
      <c r="B76" s="71" t="s">
        <v>12973</v>
      </c>
      <c r="C76" s="71" t="s">
        <v>12974</v>
      </c>
      <c r="D76" s="71">
        <v>286</v>
      </c>
    </row>
    <row r="77" spans="1:4" x14ac:dyDescent="0.2">
      <c r="A77" s="71" t="s">
        <v>12975</v>
      </c>
      <c r="B77" s="71" t="s">
        <v>12976</v>
      </c>
      <c r="C77" s="71" t="s">
        <v>12977</v>
      </c>
      <c r="D77" s="71">
        <v>659</v>
      </c>
    </row>
    <row r="78" spans="1:4" x14ac:dyDescent="0.2">
      <c r="A78" s="71" t="s">
        <v>12978</v>
      </c>
      <c r="B78" s="71" t="s">
        <v>12979</v>
      </c>
      <c r="C78" s="71" t="s">
        <v>12980</v>
      </c>
      <c r="D78" s="71">
        <v>359</v>
      </c>
    </row>
    <row r="79" spans="1:4" x14ac:dyDescent="0.2">
      <c r="A79" s="71" t="s">
        <v>12981</v>
      </c>
      <c r="B79" s="71" t="s">
        <v>12982</v>
      </c>
      <c r="C79" s="71" t="s">
        <v>12983</v>
      </c>
      <c r="D79" s="71">
        <v>11</v>
      </c>
    </row>
    <row r="80" spans="1:4" x14ac:dyDescent="0.2">
      <c r="A80" s="71" t="s">
        <v>12984</v>
      </c>
      <c r="B80" s="71" t="s">
        <v>12985</v>
      </c>
      <c r="C80" s="71" t="s">
        <v>12986</v>
      </c>
      <c r="D80" s="71">
        <v>29</v>
      </c>
    </row>
    <row r="81" spans="1:4" x14ac:dyDescent="0.2">
      <c r="A81" s="71" t="s">
        <v>12987</v>
      </c>
      <c r="B81" s="71" t="s">
        <v>12988</v>
      </c>
      <c r="C81" s="71" t="s">
        <v>12989</v>
      </c>
      <c r="D81" s="71">
        <v>575</v>
      </c>
    </row>
    <row r="82" spans="1:4" x14ac:dyDescent="0.2">
      <c r="A82" s="71" t="s">
        <v>12990</v>
      </c>
      <c r="B82" s="71" t="s">
        <v>12991</v>
      </c>
      <c r="C82" s="71" t="s">
        <v>12992</v>
      </c>
      <c r="D82" s="71">
        <v>374</v>
      </c>
    </row>
    <row r="83" spans="1:4" x14ac:dyDescent="0.2">
      <c r="A83" s="71" t="s">
        <v>12993</v>
      </c>
      <c r="B83" s="71" t="s">
        <v>12994</v>
      </c>
      <c r="C83" s="71" t="s">
        <v>12995</v>
      </c>
      <c r="D83" s="71">
        <v>343</v>
      </c>
    </row>
    <row r="84" spans="1:4" x14ac:dyDescent="0.2">
      <c r="A84" s="71" t="s">
        <v>12996</v>
      </c>
      <c r="B84" s="71" t="s">
        <v>12997</v>
      </c>
      <c r="C84" s="71" t="s">
        <v>12998</v>
      </c>
      <c r="D84" s="71">
        <v>216</v>
      </c>
    </row>
    <row r="85" spans="1:4" x14ac:dyDescent="0.2">
      <c r="A85" s="71" t="s">
        <v>12999</v>
      </c>
      <c r="B85" s="71" t="s">
        <v>13000</v>
      </c>
      <c r="C85" s="71" t="s">
        <v>13001</v>
      </c>
      <c r="D85" s="71">
        <v>580</v>
      </c>
    </row>
    <row r="86" spans="1:4" x14ac:dyDescent="0.2">
      <c r="A86" s="71" t="s">
        <v>13002</v>
      </c>
      <c r="B86" s="71" t="s">
        <v>13003</v>
      </c>
      <c r="C86" s="71" t="s">
        <v>13004</v>
      </c>
      <c r="D86" s="71">
        <v>101</v>
      </c>
    </row>
    <row r="87" spans="1:4" x14ac:dyDescent="0.2">
      <c r="A87" s="71" t="s">
        <v>13005</v>
      </c>
      <c r="B87" s="71" t="s">
        <v>13006</v>
      </c>
      <c r="C87" s="71" t="s">
        <v>13007</v>
      </c>
      <c r="D87" s="71">
        <v>17</v>
      </c>
    </row>
    <row r="88" spans="1:4" x14ac:dyDescent="0.2">
      <c r="A88" s="71" t="s">
        <v>13008</v>
      </c>
      <c r="B88" s="71" t="s">
        <v>13009</v>
      </c>
      <c r="C88" s="71" t="s">
        <v>13010</v>
      </c>
      <c r="D88" s="71">
        <v>27</v>
      </c>
    </row>
    <row r="89" spans="1:4" x14ac:dyDescent="0.2">
      <c r="A89" s="71" t="s">
        <v>13011</v>
      </c>
      <c r="B89" s="71" t="s">
        <v>13012</v>
      </c>
      <c r="C89" s="71" t="s">
        <v>13013</v>
      </c>
      <c r="D89" s="71">
        <v>110</v>
      </c>
    </row>
    <row r="90" spans="1:4" x14ac:dyDescent="0.2">
      <c r="A90" s="71" t="s">
        <v>13014</v>
      </c>
      <c r="B90" s="71" t="s">
        <v>13015</v>
      </c>
      <c r="C90" s="71" t="s">
        <v>13016</v>
      </c>
      <c r="D90" s="71">
        <v>265</v>
      </c>
    </row>
    <row r="91" spans="1:4" x14ac:dyDescent="0.2">
      <c r="A91" s="71" t="s">
        <v>13017</v>
      </c>
      <c r="B91" s="71" t="s">
        <v>13018</v>
      </c>
      <c r="C91" s="71" t="s">
        <v>13019</v>
      </c>
      <c r="D91" s="71">
        <v>502</v>
      </c>
    </row>
    <row r="92" spans="1:4" x14ac:dyDescent="0.2">
      <c r="A92" s="71" t="s">
        <v>13020</v>
      </c>
      <c r="B92" s="71" t="s">
        <v>13021</v>
      </c>
      <c r="C92" s="71" t="s">
        <v>13022</v>
      </c>
      <c r="D92" s="71">
        <v>58</v>
      </c>
    </row>
    <row r="93" spans="1:4" x14ac:dyDescent="0.2">
      <c r="A93" s="71" t="s">
        <v>13023</v>
      </c>
      <c r="B93" s="71" t="s">
        <v>13024</v>
      </c>
      <c r="C93" s="71" t="s">
        <v>13025</v>
      </c>
      <c r="D93" s="71">
        <v>11</v>
      </c>
    </row>
    <row r="94" spans="1:4" x14ac:dyDescent="0.2">
      <c r="A94" s="71" t="s">
        <v>13026</v>
      </c>
      <c r="B94" s="71" t="s">
        <v>13027</v>
      </c>
      <c r="C94" s="71" t="s">
        <v>13028</v>
      </c>
      <c r="D94" s="71">
        <v>557</v>
      </c>
    </row>
    <row r="95" spans="1:4" x14ac:dyDescent="0.2">
      <c r="A95" s="71" t="s">
        <v>13029</v>
      </c>
      <c r="B95" s="71" t="s">
        <v>8480</v>
      </c>
      <c r="C95" s="71" t="s">
        <v>13030</v>
      </c>
      <c r="D95" s="71">
        <v>297</v>
      </c>
    </row>
    <row r="96" spans="1:4" x14ac:dyDescent="0.2">
      <c r="A96" s="71" t="s">
        <v>13031</v>
      </c>
      <c r="B96" s="71" t="s">
        <v>6654</v>
      </c>
      <c r="C96" s="71" t="s">
        <v>13032</v>
      </c>
      <c r="D96" s="71">
        <v>59</v>
      </c>
    </row>
    <row r="97" spans="1:4" x14ac:dyDescent="0.2">
      <c r="A97" s="71" t="s">
        <v>13033</v>
      </c>
      <c r="B97" s="71" t="s">
        <v>13034</v>
      </c>
      <c r="C97" s="71" t="s">
        <v>13035</v>
      </c>
      <c r="D97" s="71">
        <v>222</v>
      </c>
    </row>
    <row r="98" spans="1:4" x14ac:dyDescent="0.2">
      <c r="A98" s="71" t="s">
        <v>13036</v>
      </c>
      <c r="B98" s="71" t="s">
        <v>13037</v>
      </c>
      <c r="C98" s="71" t="s">
        <v>13038</v>
      </c>
      <c r="D98" s="71">
        <v>236</v>
      </c>
    </row>
    <row r="99" spans="1:4" x14ac:dyDescent="0.2">
      <c r="A99" s="71" t="s">
        <v>13039</v>
      </c>
      <c r="B99" s="71" t="s">
        <v>13040</v>
      </c>
      <c r="C99" s="71" t="s">
        <v>13041</v>
      </c>
      <c r="D99" s="71">
        <v>221</v>
      </c>
    </row>
    <row r="100" spans="1:4" x14ac:dyDescent="0.2">
      <c r="A100" s="71" t="s">
        <v>13042</v>
      </c>
      <c r="B100" s="71" t="s">
        <v>13043</v>
      </c>
      <c r="C100" s="71" t="s">
        <v>13044</v>
      </c>
      <c r="D100" s="71">
        <v>144</v>
      </c>
    </row>
    <row r="101" spans="1:4" x14ac:dyDescent="0.2">
      <c r="A101" s="71" t="s">
        <v>13045</v>
      </c>
      <c r="B101" s="71" t="s">
        <v>13046</v>
      </c>
      <c r="C101" s="71" t="s">
        <v>13047</v>
      </c>
      <c r="D101" s="71">
        <v>122</v>
      </c>
    </row>
    <row r="102" spans="1:4" x14ac:dyDescent="0.2">
      <c r="A102" s="71" t="s">
        <v>13048</v>
      </c>
      <c r="B102" s="71" t="s">
        <v>13049</v>
      </c>
      <c r="C102" s="71" t="s">
        <v>13050</v>
      </c>
      <c r="D102" s="71">
        <v>61</v>
      </c>
    </row>
    <row r="103" spans="1:4" x14ac:dyDescent="0.2">
      <c r="A103" s="71" t="s">
        <v>13051</v>
      </c>
      <c r="B103" s="71" t="s">
        <v>13052</v>
      </c>
      <c r="C103" s="71" t="s">
        <v>13053</v>
      </c>
      <c r="D103" s="71">
        <v>56</v>
      </c>
    </row>
    <row r="104" spans="1:4" x14ac:dyDescent="0.2">
      <c r="A104" s="71" t="s">
        <v>13054</v>
      </c>
      <c r="B104" s="71" t="s">
        <v>13055</v>
      </c>
      <c r="C104" s="71" t="s">
        <v>13056</v>
      </c>
      <c r="D104" s="71">
        <v>23</v>
      </c>
    </row>
    <row r="105" spans="1:4" x14ac:dyDescent="0.2">
      <c r="A105" s="71" t="s">
        <v>13057</v>
      </c>
      <c r="B105" s="71" t="s">
        <v>13058</v>
      </c>
      <c r="C105" s="71" t="s">
        <v>13059</v>
      </c>
      <c r="D105" s="71">
        <v>13</v>
      </c>
    </row>
    <row r="106" spans="1:4" x14ac:dyDescent="0.2">
      <c r="A106" s="71" t="s">
        <v>13060</v>
      </c>
      <c r="B106" s="71" t="s">
        <v>13061</v>
      </c>
      <c r="C106" s="71" t="s">
        <v>13062</v>
      </c>
      <c r="D106" s="71">
        <v>0.5</v>
      </c>
    </row>
    <row r="107" spans="1:4" x14ac:dyDescent="0.2">
      <c r="A107" s="71" t="s">
        <v>13063</v>
      </c>
      <c r="B107" s="71" t="s">
        <v>13064</v>
      </c>
      <c r="C107" s="71" t="s">
        <v>13065</v>
      </c>
      <c r="D107" s="71">
        <v>871</v>
      </c>
    </row>
    <row r="108" spans="1:4" x14ac:dyDescent="0.2">
      <c r="A108" s="71" t="s">
        <v>13066</v>
      </c>
      <c r="B108" s="71" t="s">
        <v>13067</v>
      </c>
      <c r="C108" s="71" t="s">
        <v>13068</v>
      </c>
      <c r="D108" s="71">
        <v>617</v>
      </c>
    </row>
    <row r="109" spans="1:4" x14ac:dyDescent="0.2">
      <c r="A109" s="71" t="s">
        <v>13069</v>
      </c>
      <c r="B109" s="71" t="s">
        <v>13070</v>
      </c>
      <c r="C109" s="71" t="s">
        <v>13071</v>
      </c>
      <c r="D109" s="71">
        <v>130</v>
      </c>
    </row>
    <row r="110" spans="1:4" x14ac:dyDescent="0.2">
      <c r="A110" s="71" t="s">
        <v>13072</v>
      </c>
      <c r="B110" s="71" t="s">
        <v>13073</v>
      </c>
      <c r="C110" s="71" t="s">
        <v>13074</v>
      </c>
      <c r="D110" s="71">
        <v>588</v>
      </c>
    </row>
    <row r="111" spans="1:4" x14ac:dyDescent="0.2">
      <c r="A111" s="71" t="s">
        <v>13075</v>
      </c>
      <c r="B111" s="71" t="s">
        <v>13076</v>
      </c>
      <c r="C111" s="71" t="s">
        <v>13077</v>
      </c>
      <c r="D111" s="71">
        <v>580</v>
      </c>
    </row>
    <row r="112" spans="1:4" x14ac:dyDescent="0.2">
      <c r="A112" s="71" t="s">
        <v>13078</v>
      </c>
      <c r="B112" s="71" t="s">
        <v>13079</v>
      </c>
      <c r="C112" s="71" t="s">
        <v>13080</v>
      </c>
      <c r="D112" s="71">
        <v>470</v>
      </c>
    </row>
    <row r="113" spans="1:4" x14ac:dyDescent="0.2">
      <c r="A113" s="71" t="s">
        <v>13081</v>
      </c>
      <c r="B113" s="71" t="s">
        <v>13082</v>
      </c>
      <c r="C113" s="71" t="s">
        <v>13083</v>
      </c>
      <c r="D113" s="71">
        <v>392</v>
      </c>
    </row>
    <row r="114" spans="1:4" x14ac:dyDescent="0.2">
      <c r="A114" s="71" t="s">
        <v>13084</v>
      </c>
      <c r="B114" s="71" t="s">
        <v>13085</v>
      </c>
      <c r="C114" s="71" t="s">
        <v>13086</v>
      </c>
      <c r="D114" s="71">
        <v>376</v>
      </c>
    </row>
    <row r="115" spans="1:4" x14ac:dyDescent="0.2">
      <c r="A115" s="71" t="s">
        <v>13087</v>
      </c>
      <c r="B115" s="71" t="s">
        <v>13088</v>
      </c>
      <c r="C115" s="71" t="s">
        <v>13089</v>
      </c>
      <c r="D115" s="71">
        <v>333</v>
      </c>
    </row>
    <row r="116" spans="1:4" x14ac:dyDescent="0.2">
      <c r="A116" s="71" t="s">
        <v>13090</v>
      </c>
      <c r="B116" s="71" t="s">
        <v>13091</v>
      </c>
      <c r="C116" s="71" t="s">
        <v>13092</v>
      </c>
      <c r="D116" s="71">
        <v>33</v>
      </c>
    </row>
    <row r="117" spans="1:4" x14ac:dyDescent="0.2">
      <c r="A117" s="71" t="s">
        <v>13093</v>
      </c>
      <c r="B117" s="71" t="s">
        <v>13094</v>
      </c>
      <c r="C117" s="71" t="s">
        <v>13095</v>
      </c>
      <c r="D117" s="71">
        <v>17</v>
      </c>
    </row>
    <row r="118" spans="1:4" x14ac:dyDescent="0.2">
      <c r="A118" s="71" t="s">
        <v>13096</v>
      </c>
      <c r="B118" s="71" t="s">
        <v>13097</v>
      </c>
      <c r="C118" s="71" t="s">
        <v>13098</v>
      </c>
      <c r="D118" s="71">
        <v>52</v>
      </c>
    </row>
    <row r="119" spans="1:4" x14ac:dyDescent="0.2">
      <c r="A119" s="71" t="s">
        <v>13099</v>
      </c>
      <c r="B119" s="71" t="s">
        <v>13100</v>
      </c>
      <c r="C119" s="71" t="s">
        <v>13101</v>
      </c>
      <c r="D119" s="71">
        <v>31</v>
      </c>
    </row>
    <row r="120" spans="1:4" x14ac:dyDescent="0.2">
      <c r="A120" s="71" t="s">
        <v>13102</v>
      </c>
      <c r="B120" s="71" t="s">
        <v>13103</v>
      </c>
      <c r="C120" s="71" t="s">
        <v>13104</v>
      </c>
      <c r="D120" s="71">
        <v>27</v>
      </c>
    </row>
    <row r="121" spans="1:4" x14ac:dyDescent="0.2">
      <c r="A121" s="71" t="s">
        <v>13105</v>
      </c>
      <c r="B121" s="71" t="s">
        <v>13106</v>
      </c>
      <c r="C121" s="71" t="s">
        <v>13107</v>
      </c>
      <c r="D121" s="71">
        <v>7</v>
      </c>
    </row>
    <row r="122" spans="1:4" x14ac:dyDescent="0.2">
      <c r="A122" s="71" t="s">
        <v>13108</v>
      </c>
      <c r="B122" s="71" t="s">
        <v>13109</v>
      </c>
      <c r="C122" s="71" t="s">
        <v>13110</v>
      </c>
      <c r="D122" s="71">
        <v>3</v>
      </c>
    </row>
    <row r="123" spans="1:4" x14ac:dyDescent="0.2">
      <c r="A123" s="71" t="s">
        <v>13111</v>
      </c>
      <c r="B123" s="71" t="s">
        <v>13112</v>
      </c>
      <c r="C123" s="71" t="s">
        <v>13113</v>
      </c>
      <c r="D123" s="71">
        <v>2.1</v>
      </c>
    </row>
    <row r="124" spans="1:4" x14ac:dyDescent="0.2">
      <c r="A124" s="71" t="s">
        <v>13114</v>
      </c>
      <c r="B124" s="71" t="s">
        <v>13115</v>
      </c>
      <c r="C124" s="71" t="s">
        <v>13116</v>
      </c>
      <c r="D124" s="71">
        <v>2</v>
      </c>
    </row>
    <row r="125" spans="1:4" x14ac:dyDescent="0.2">
      <c r="A125" s="71" t="s">
        <v>13117</v>
      </c>
      <c r="B125" s="71" t="s">
        <v>13118</v>
      </c>
      <c r="C125" s="71" t="s">
        <v>13119</v>
      </c>
      <c r="D125" s="71">
        <v>1.8</v>
      </c>
    </row>
    <row r="126" spans="1:4" x14ac:dyDescent="0.2">
      <c r="A126" s="71" t="s">
        <v>13120</v>
      </c>
      <c r="B126" s="71" t="s">
        <v>13121</v>
      </c>
      <c r="C126" s="71" t="s">
        <v>13122</v>
      </c>
      <c r="D126" s="71">
        <v>1.6</v>
      </c>
    </row>
    <row r="127" spans="1:4" x14ac:dyDescent="0.2">
      <c r="A127" s="71" t="s">
        <v>13123</v>
      </c>
      <c r="B127" s="71" t="s">
        <v>13124</v>
      </c>
      <c r="C127" s="71" t="s">
        <v>13125</v>
      </c>
      <c r="D127" s="71">
        <v>1.3</v>
      </c>
    </row>
    <row r="128" spans="1:4" x14ac:dyDescent="0.2">
      <c r="A128" s="71" t="s">
        <v>13126</v>
      </c>
      <c r="B128" s="71" t="s">
        <v>13127</v>
      </c>
      <c r="C128" s="71" t="s">
        <v>13128</v>
      </c>
      <c r="D128" s="71">
        <v>95</v>
      </c>
    </row>
    <row r="129" spans="1:4" x14ac:dyDescent="0.2">
      <c r="A129" s="71" t="s">
        <v>13129</v>
      </c>
      <c r="B129" s="71" t="s">
        <v>13130</v>
      </c>
      <c r="C129" s="71" t="s">
        <v>13131</v>
      </c>
      <c r="D129" s="71">
        <v>27</v>
      </c>
    </row>
    <row r="130" spans="1:4" x14ac:dyDescent="0.2">
      <c r="A130" s="71" t="s">
        <v>13132</v>
      </c>
      <c r="B130" s="71" t="s">
        <v>7454</v>
      </c>
      <c r="C130" s="71" t="s">
        <v>13133</v>
      </c>
      <c r="D130" s="71">
        <v>195</v>
      </c>
    </row>
    <row r="131" spans="1:4" x14ac:dyDescent="0.2">
      <c r="A131" s="71" t="s">
        <v>13134</v>
      </c>
      <c r="B131" s="71" t="s">
        <v>13134</v>
      </c>
      <c r="C131" s="71" t="s">
        <v>13135</v>
      </c>
      <c r="D131" s="71">
        <v>73</v>
      </c>
    </row>
    <row r="132" spans="1:4" x14ac:dyDescent="0.2">
      <c r="A132" s="71" t="s">
        <v>13136</v>
      </c>
      <c r="B132" s="71" t="s">
        <v>13137</v>
      </c>
      <c r="C132" s="71" t="s">
        <v>13138</v>
      </c>
      <c r="D132" s="71">
        <v>42</v>
      </c>
    </row>
    <row r="133" spans="1:4" x14ac:dyDescent="0.2">
      <c r="A133" s="71" t="s">
        <v>13139</v>
      </c>
      <c r="B133" s="71" t="s">
        <v>13140</v>
      </c>
      <c r="C133" s="71" t="s">
        <v>13141</v>
      </c>
      <c r="D133" s="71">
        <v>25</v>
      </c>
    </row>
    <row r="134" spans="1:4" x14ac:dyDescent="0.2">
      <c r="A134" s="71" t="s">
        <v>13142</v>
      </c>
      <c r="B134" s="71" t="s">
        <v>12060</v>
      </c>
      <c r="C134" s="71" t="s">
        <v>13143</v>
      </c>
      <c r="D134" s="71">
        <v>20</v>
      </c>
    </row>
    <row r="135" spans="1:4" x14ac:dyDescent="0.2">
      <c r="A135" s="71" t="s">
        <v>13144</v>
      </c>
      <c r="B135" s="71" t="s">
        <v>13145</v>
      </c>
      <c r="C135" s="71" t="s">
        <v>13146</v>
      </c>
      <c r="D135" s="71">
        <v>17</v>
      </c>
    </row>
    <row r="136" spans="1:4" x14ac:dyDescent="0.2">
      <c r="A136" s="71" t="s">
        <v>13147</v>
      </c>
      <c r="B136" s="71" t="s">
        <v>13148</v>
      </c>
      <c r="C136" s="71" t="s">
        <v>13149</v>
      </c>
      <c r="D136" s="71">
        <v>13</v>
      </c>
    </row>
    <row r="137" spans="1:4" x14ac:dyDescent="0.2">
      <c r="A137" s="71" t="s">
        <v>13150</v>
      </c>
      <c r="B137" s="71" t="s">
        <v>13151</v>
      </c>
      <c r="C137" s="71" t="s">
        <v>13152</v>
      </c>
      <c r="D137" s="71">
        <v>3</v>
      </c>
    </row>
    <row r="138" spans="1:4" x14ac:dyDescent="0.2">
      <c r="A138" s="71" t="s">
        <v>13153</v>
      </c>
      <c r="B138" s="71" t="s">
        <v>13154</v>
      </c>
      <c r="C138" s="71" t="s">
        <v>13155</v>
      </c>
      <c r="D138" s="71">
        <v>1.1000000000000001</v>
      </c>
    </row>
    <row r="139" spans="1:4" x14ac:dyDescent="0.2">
      <c r="A139" s="71" t="s">
        <v>13156</v>
      </c>
      <c r="B139" s="71" t="s">
        <v>13157</v>
      </c>
      <c r="C139" s="71" t="s">
        <v>13158</v>
      </c>
      <c r="D139" s="71">
        <v>0.05</v>
      </c>
    </row>
    <row r="140" spans="1:4" x14ac:dyDescent="0.2">
      <c r="A140" s="71" t="s">
        <v>13159</v>
      </c>
      <c r="B140" s="71" t="s">
        <v>11675</v>
      </c>
      <c r="C140" s="71" t="s">
        <v>13160</v>
      </c>
      <c r="D140" s="71">
        <v>4.0000000000000001E-3</v>
      </c>
    </row>
    <row r="141" spans="1:4" x14ac:dyDescent="0.2">
      <c r="A141" s="71" t="s">
        <v>13161</v>
      </c>
      <c r="B141" s="71" t="s">
        <v>7456</v>
      </c>
      <c r="C141" s="71" t="s">
        <v>13162</v>
      </c>
      <c r="D141" s="71">
        <v>0.05</v>
      </c>
    </row>
    <row r="142" spans="1:4" x14ac:dyDescent="0.2">
      <c r="A142" s="71" t="s">
        <v>13163</v>
      </c>
      <c r="B142" s="71" t="s">
        <v>435</v>
      </c>
      <c r="C142" s="71" t="s">
        <v>13164</v>
      </c>
      <c r="D142" s="71">
        <v>1.97</v>
      </c>
    </row>
    <row r="143" spans="1:4" x14ac:dyDescent="0.2">
      <c r="A143" s="71" t="s">
        <v>13165</v>
      </c>
      <c r="B143" s="71" t="s">
        <v>13166</v>
      </c>
      <c r="C143" s="71" t="s">
        <v>13167</v>
      </c>
      <c r="D143" s="71">
        <v>1.82</v>
      </c>
    </row>
    <row r="144" spans="1:4" x14ac:dyDescent="0.2">
      <c r="A144" s="71" t="s">
        <v>13168</v>
      </c>
      <c r="B144" s="71" t="s">
        <v>13169</v>
      </c>
      <c r="C144" s="71" t="s">
        <v>13170</v>
      </c>
      <c r="D144" s="71">
        <v>0.1</v>
      </c>
    </row>
    <row r="145" spans="1:4" x14ac:dyDescent="0.2">
      <c r="A145" s="71" t="s">
        <v>13171</v>
      </c>
      <c r="B145" s="71" t="s">
        <v>7442</v>
      </c>
      <c r="C145" s="71" t="s">
        <v>13172</v>
      </c>
      <c r="D145" s="71">
        <v>3.0000000000000001E-3</v>
      </c>
    </row>
    <row r="146" spans="1:4" x14ac:dyDescent="0.2">
      <c r="A146" s="71" t="s">
        <v>13173</v>
      </c>
      <c r="B146" s="71" t="s">
        <v>12335</v>
      </c>
      <c r="C146" s="71" t="s">
        <v>13174</v>
      </c>
      <c r="D146" s="71">
        <v>0.04</v>
      </c>
    </row>
    <row r="147" spans="1:4" x14ac:dyDescent="0.2">
      <c r="A147" s="71" t="s">
        <v>13175</v>
      </c>
      <c r="B147" s="71" t="s">
        <v>13176</v>
      </c>
      <c r="C147" s="71" t="s">
        <v>13177</v>
      </c>
      <c r="D147" s="71">
        <v>0.02</v>
      </c>
    </row>
    <row r="148" spans="1:4" x14ac:dyDescent="0.2">
      <c r="A148" s="71" t="s">
        <v>13178</v>
      </c>
      <c r="B148" s="71" t="s">
        <v>13179</v>
      </c>
      <c r="C148" s="71" t="s">
        <v>13180</v>
      </c>
      <c r="D148" s="71">
        <v>0.06</v>
      </c>
    </row>
    <row r="149" spans="1:4" x14ac:dyDescent="0.2">
      <c r="A149" s="71" t="s">
        <v>13181</v>
      </c>
      <c r="B149" s="71" t="s">
        <v>13182</v>
      </c>
      <c r="C149" s="71" t="s">
        <v>13183</v>
      </c>
      <c r="D149" s="71">
        <v>0.22</v>
      </c>
    </row>
    <row r="150" spans="1:4" x14ac:dyDescent="0.2">
      <c r="A150" s="71" t="s">
        <v>13184</v>
      </c>
      <c r="B150" s="71" t="s">
        <v>11873</v>
      </c>
      <c r="C150" s="71" t="s">
        <v>13185</v>
      </c>
      <c r="D150" s="71">
        <v>1.34</v>
      </c>
    </row>
    <row r="151" spans="1:4" x14ac:dyDescent="0.2">
      <c r="A151" s="71" t="s">
        <v>13186</v>
      </c>
      <c r="B151" s="71" t="s">
        <v>1518</v>
      </c>
      <c r="C151" s="71" t="s">
        <v>13187</v>
      </c>
      <c r="D151" s="71">
        <v>0.31</v>
      </c>
    </row>
    <row r="152" spans="1:4" x14ac:dyDescent="0.2">
      <c r="A152" s="71" t="s">
        <v>13188</v>
      </c>
      <c r="B152" s="71" t="s">
        <v>11864</v>
      </c>
      <c r="C152" s="71" t="s">
        <v>13189</v>
      </c>
      <c r="D152" s="71">
        <v>0.97</v>
      </c>
    </row>
    <row r="153" spans="1:4" x14ac:dyDescent="0.2">
      <c r="A153" s="71" t="s">
        <v>13190</v>
      </c>
      <c r="B153" s="71" t="s">
        <v>13191</v>
      </c>
      <c r="C153" s="71" t="s">
        <v>13192</v>
      </c>
      <c r="D153" s="71">
        <v>0.28999999999999998</v>
      </c>
    </row>
    <row r="154" spans="1:4" x14ac:dyDescent="0.2">
      <c r="A154" s="71" t="s">
        <v>13193</v>
      </c>
      <c r="B154" s="71" t="s">
        <v>2512</v>
      </c>
      <c r="C154" s="71" t="s">
        <v>13194</v>
      </c>
      <c r="D154" s="71">
        <v>0.12</v>
      </c>
    </row>
    <row r="155" spans="1:4" x14ac:dyDescent="0.2">
      <c r="A155" s="71" t="s">
        <v>13195</v>
      </c>
      <c r="B155" s="71" t="s">
        <v>13196</v>
      </c>
      <c r="C155" s="71" t="s">
        <v>13197</v>
      </c>
      <c r="D155" s="71">
        <v>1.58</v>
      </c>
    </row>
    <row r="156" spans="1:4" x14ac:dyDescent="0.2">
      <c r="A156" s="71" t="s">
        <v>13198</v>
      </c>
      <c r="B156" s="71" t="s">
        <v>13199</v>
      </c>
      <c r="C156" s="71" t="s">
        <v>13200</v>
      </c>
      <c r="D156" s="71">
        <v>0.09</v>
      </c>
    </row>
    <row r="157" spans="1:4" x14ac:dyDescent="0.2">
      <c r="A157" s="71" t="s">
        <v>13201</v>
      </c>
      <c r="B157" s="71" t="s">
        <v>9760</v>
      </c>
      <c r="C157" s="71" t="s">
        <v>13202</v>
      </c>
      <c r="D157" s="71">
        <v>0.16</v>
      </c>
    </row>
    <row r="158" spans="1:4" x14ac:dyDescent="0.2">
      <c r="A158" s="71" t="s">
        <v>13203</v>
      </c>
      <c r="B158" s="71" t="s">
        <v>13204</v>
      </c>
      <c r="C158" s="71" t="s">
        <v>13205</v>
      </c>
      <c r="D158" s="71">
        <v>0.11</v>
      </c>
    </row>
    <row r="159" spans="1:4" x14ac:dyDescent="0.2">
      <c r="A159" s="71" t="s">
        <v>13206</v>
      </c>
      <c r="B159" s="71" t="s">
        <v>13207</v>
      </c>
      <c r="C159" s="71" t="s">
        <v>13208</v>
      </c>
      <c r="D159" s="71">
        <v>0.09</v>
      </c>
    </row>
    <row r="160" spans="1:4" x14ac:dyDescent="0.2">
      <c r="A160" s="71" t="s">
        <v>13209</v>
      </c>
      <c r="B160" s="71" t="s">
        <v>13210</v>
      </c>
      <c r="C160" s="71" t="s">
        <v>13211</v>
      </c>
      <c r="D160" s="71">
        <v>0.17</v>
      </c>
    </row>
    <row r="161" spans="1:4" x14ac:dyDescent="0.2">
      <c r="A161" s="71" t="s">
        <v>13212</v>
      </c>
      <c r="B161" s="71" t="s">
        <v>7199</v>
      </c>
      <c r="C161" s="71" t="s">
        <v>13213</v>
      </c>
      <c r="D161" s="71">
        <v>0.05</v>
      </c>
    </row>
    <row r="162" spans="1:4" x14ac:dyDescent="0.2">
      <c r="A162" s="71" t="s">
        <v>13214</v>
      </c>
      <c r="B162" s="71" t="s">
        <v>13215</v>
      </c>
      <c r="C162" s="71" t="s">
        <v>13216</v>
      </c>
      <c r="D162" s="71">
        <v>0.01</v>
      </c>
    </row>
    <row r="163" spans="1:4" x14ac:dyDescent="0.2">
      <c r="A163" s="71" t="s">
        <v>13217</v>
      </c>
      <c r="B163" s="71" t="s">
        <v>13218</v>
      </c>
      <c r="C163" s="71" t="s">
        <v>13219</v>
      </c>
      <c r="D163" s="71">
        <v>0.1</v>
      </c>
    </row>
    <row r="164" spans="1:4" x14ac:dyDescent="0.2">
      <c r="A164" s="71" t="s">
        <v>13220</v>
      </c>
      <c r="B164" s="71" t="s">
        <v>13221</v>
      </c>
      <c r="C164" s="71" t="s">
        <v>13222</v>
      </c>
      <c r="D164" s="71">
        <v>0.43</v>
      </c>
    </row>
    <row r="165" spans="1:4" x14ac:dyDescent="0.2">
      <c r="A165" s="71" t="s">
        <v>13223</v>
      </c>
      <c r="B165" s="71" t="s">
        <v>13224</v>
      </c>
      <c r="C165" s="71" t="s">
        <v>13225</v>
      </c>
      <c r="D165" s="71">
        <v>0.35</v>
      </c>
    </row>
    <row r="166" spans="1:4" x14ac:dyDescent="0.2">
      <c r="A166" s="71" t="s">
        <v>13226</v>
      </c>
      <c r="B166" s="71" t="s">
        <v>13227</v>
      </c>
      <c r="C166" s="71" t="s">
        <v>13228</v>
      </c>
      <c r="D166" s="71">
        <v>0.33</v>
      </c>
    </row>
    <row r="167" spans="1:4" x14ac:dyDescent="0.2">
      <c r="A167" s="71" t="s">
        <v>13229</v>
      </c>
      <c r="B167" s="71" t="s">
        <v>13230</v>
      </c>
      <c r="C167" s="71" t="s">
        <v>13231</v>
      </c>
      <c r="D167" s="71">
        <v>0.19</v>
      </c>
    </row>
    <row r="168" spans="1:4" x14ac:dyDescent="0.2">
      <c r="A168" s="71" t="s">
        <v>13232</v>
      </c>
      <c r="B168" s="71" t="s">
        <v>13233</v>
      </c>
      <c r="C168" s="71" t="s">
        <v>13234</v>
      </c>
      <c r="D168" s="71">
        <v>0.4</v>
      </c>
    </row>
    <row r="169" spans="1:4" x14ac:dyDescent="0.2">
      <c r="A169" s="71" t="s">
        <v>13235</v>
      </c>
      <c r="B169" s="71" t="s">
        <v>5978</v>
      </c>
      <c r="C169" s="71" t="s">
        <v>13236</v>
      </c>
      <c r="D169" s="71">
        <v>231</v>
      </c>
    </row>
    <row r="170" spans="1:4" x14ac:dyDescent="0.2">
      <c r="A170" s="71" t="s">
        <v>13237</v>
      </c>
      <c r="B170" s="71" t="s">
        <v>7375</v>
      </c>
      <c r="C170" s="71" t="s">
        <v>13238</v>
      </c>
      <c r="D170" s="71">
        <v>41</v>
      </c>
    </row>
    <row r="172" spans="1:4" x14ac:dyDescent="0.2">
      <c r="A172" t="s">
        <v>13252</v>
      </c>
      <c r="B172" t="s">
        <v>13253</v>
      </c>
    </row>
    <row r="173" spans="1:4" x14ac:dyDescent="0.2">
      <c r="A173" s="71" t="s">
        <v>13239</v>
      </c>
      <c r="B173" s="78">
        <v>10000</v>
      </c>
    </row>
    <row r="174" spans="1:4" x14ac:dyDescent="0.2">
      <c r="A174" s="71" t="s">
        <v>13240</v>
      </c>
      <c r="B174" s="78">
        <v>3700</v>
      </c>
    </row>
    <row r="175" spans="1:4" x14ac:dyDescent="0.2">
      <c r="A175" s="71" t="s">
        <v>13241</v>
      </c>
      <c r="B175" s="71">
        <v>930</v>
      </c>
    </row>
    <row r="176" spans="1:4" x14ac:dyDescent="0.2">
      <c r="A176" s="71" t="s">
        <v>13242</v>
      </c>
      <c r="B176" s="78">
        <v>5700</v>
      </c>
    </row>
    <row r="177" spans="1:2" x14ac:dyDescent="0.2">
      <c r="A177" s="71" t="s">
        <v>13243</v>
      </c>
      <c r="B177" s="78">
        <v>2600</v>
      </c>
    </row>
    <row r="178" spans="1:2" x14ac:dyDescent="0.2">
      <c r="A178" s="71" t="s">
        <v>13244</v>
      </c>
      <c r="B178" s="71">
        <v>270</v>
      </c>
    </row>
    <row r="179" spans="1:2" x14ac:dyDescent="0.2">
      <c r="A179" s="71" t="s">
        <v>13245</v>
      </c>
      <c r="B179" s="71">
        <v>350</v>
      </c>
    </row>
    <row r="180" spans="1:2" x14ac:dyDescent="0.2">
      <c r="A180" s="71" t="s">
        <v>13246</v>
      </c>
      <c r="B180" s="71">
        <v>30</v>
      </c>
    </row>
    <row r="181" spans="1:2" x14ac:dyDescent="0.2">
      <c r="A181" s="71" t="s">
        <v>13247</v>
      </c>
      <c r="B181" s="71">
        <v>1</v>
      </c>
    </row>
    <row r="182" spans="1:2" x14ac:dyDescent="0.2">
      <c r="A182" s="71" t="s">
        <v>13248</v>
      </c>
      <c r="B182" s="71">
        <v>1</v>
      </c>
    </row>
    <row r="183" spans="1:2" x14ac:dyDescent="0.2">
      <c r="A183" s="71" t="s">
        <v>13249</v>
      </c>
      <c r="B183" s="71">
        <v>1</v>
      </c>
    </row>
    <row r="184" spans="1:2" x14ac:dyDescent="0.2">
      <c r="A184" s="71" t="s">
        <v>13250</v>
      </c>
      <c r="B184" s="78">
        <v>2000</v>
      </c>
    </row>
  </sheetData>
  <sheetProtection algorithmName="SHA-512" hashValue="hfYrUAFMIs7NvuY3Cx+EnGXVlAV56/42Fff+V4aQMmDA9XwUleGfiZyz6Yh5IUgY+UMhjvhb5GuAkp9C6I/2vQ==" saltValue="LrDk/AnxAOOfuU63GN8f6A==" spinCount="100000" sheet="1" objects="1" scenarios="1" formatColumns="0" formatRows="0" autoFilter="0"/>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A8055-15D6-424D-BA90-F35D83B1A738}">
  <sheetPr codeName="Sheet5">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INDEX((standard_components_13[[#This Row],[Component]]=factor_eff_table[Component])*(standard_components_13[[#This Row],[Service]]=factor_eff_table[Service]), 0, 1), 0)),
 "-")</f>
        <v>-</v>
      </c>
      <c r="E25" s="145" t="str" cm="1">
        <f t="array" ref="E2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25" s="145" t="str" cm="1">
        <f t="array" ref="F2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25" s="145" t="str" cm="1">
        <f t="array" ref="G2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2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2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INDEX((standard_components_13[[#This Row],[Component]]=factor_eff_table[Component])*(standard_components_13[[#This Row],[Service]]=factor_eff_table[Service]), 0, 1), 0)),
 "-")</f>
        <v>-</v>
      </c>
      <c r="E26" s="145" t="str" cm="1">
        <f t="array" ref="E2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26" s="145" t="str" cm="1">
        <f t="array" ref="F2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26" s="145" t="str" cm="1">
        <f t="array" ref="G2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2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2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INDEX((standard_components_13[[#This Row],[Component]]=factor_eff_table[Component])*(standard_components_13[[#This Row],[Service]]=factor_eff_table[Service]), 0, 1), 0)),
 "-")</f>
        <v>-</v>
      </c>
      <c r="E27" s="145" t="str" cm="1">
        <f t="array" ref="E2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27" s="145" t="str" cm="1">
        <f t="array" ref="F2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27" s="145" t="str" cm="1">
        <f t="array" ref="G2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2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2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INDEX((standard_components_13[[#This Row],[Component]]=factor_eff_table[Component])*(standard_components_13[[#This Row],[Service]]=factor_eff_table[Service]), 0, 1), 0)),
 "-")</f>
        <v>-</v>
      </c>
      <c r="E28" s="145" t="str" cm="1">
        <f t="array" ref="E2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28" s="145" t="str" cm="1">
        <f t="array" ref="F2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28" s="145" t="str" cm="1">
        <f t="array" ref="G2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2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2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INDEX((standard_components_13[[#This Row],[Component]]=factor_eff_table[Component])*(standard_components_13[[#This Row],[Service]]=factor_eff_table[Service]), 0, 1), 0)),
 "-")</f>
        <v>-</v>
      </c>
      <c r="E29" s="145" t="str" cm="1">
        <f t="array" ref="E2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29" s="145" t="str" cm="1">
        <f t="array" ref="F2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29" s="145" t="str" cm="1">
        <f t="array" ref="G2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2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2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INDEX((standard_components_13[[#This Row],[Component]]=factor_eff_table[Component])*(standard_components_13[[#This Row],[Service]]=factor_eff_table[Service]), 0, 1), 0)),
 "-")</f>
        <v>-</v>
      </c>
      <c r="E30" s="145" t="str" cm="1">
        <f t="array" ref="E3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0" s="145" t="str" cm="1">
        <f t="array" ref="F3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0" s="145" t="str" cm="1">
        <f t="array" ref="G3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INDEX((standard_components_13[[#This Row],[Component]]=factor_eff_table[Component])*(standard_components_13[[#This Row],[Service]]=factor_eff_table[Service]), 0, 1), 0)),
 "-")</f>
        <v>-</v>
      </c>
      <c r="E31" s="145" t="str" cm="1">
        <f t="array" ref="E3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1" s="145" t="str" cm="1">
        <f t="array" ref="F3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1" s="145" t="str" cm="1">
        <f t="array" ref="G3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INDEX((standard_components_13[[#This Row],[Component]]=factor_eff_table[Component])*(standard_components_13[[#This Row],[Service]]=factor_eff_table[Service]), 0, 1), 0)),
 "-")</f>
        <v>-</v>
      </c>
      <c r="E32" s="145" t="str" cm="1">
        <f t="array" ref="E3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2" s="145" t="str" cm="1">
        <f t="array" ref="F3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2" s="145" t="str" cm="1">
        <f t="array" ref="G3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INDEX((standard_components_13[[#This Row],[Component]]=factor_eff_table[Component])*(standard_components_13[[#This Row],[Service]]=factor_eff_table[Service]), 0, 1), 0)),
 "-")</f>
        <v>-</v>
      </c>
      <c r="E33" s="145" t="str" cm="1">
        <f t="array" ref="E3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3" s="145" t="str" cm="1">
        <f t="array" ref="F3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3" s="145" t="str" cm="1">
        <f t="array" ref="G3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INDEX((standard_components_13[[#This Row],[Component]]=factor_eff_table[Component])*(standard_components_13[[#This Row],[Service]]=factor_eff_table[Service]), 0, 1), 0)),
 "-")</f>
        <v>-</v>
      </c>
      <c r="E34" s="145" t="str" cm="1">
        <f t="array" ref="E3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4" s="145" t="str" cm="1">
        <f t="array" ref="F3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4" s="145" t="str" cm="1">
        <f t="array" ref="G3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INDEX((standard_components_13[[#This Row],[Component]]=factor_eff_table[Component])*(standard_components_13[[#This Row],[Service]]=factor_eff_table[Service]), 0, 1), 0)),
 "-")</f>
        <v>-</v>
      </c>
      <c r="E35" s="145" t="str" cm="1">
        <f t="array" ref="E3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5" s="145" t="str" cm="1">
        <f t="array" ref="F3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5" s="145" t="str" cm="1">
        <f t="array" ref="G3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INDEX((standard_components_13[[#This Row],[Component]]=factor_eff_table[Component])*(standard_components_13[[#This Row],[Service]]=factor_eff_table[Service]), 0, 1), 0)),
 "-")</f>
        <v>-</v>
      </c>
      <c r="E36" s="145" t="str" cm="1">
        <f t="array" ref="E3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6" s="145" t="str" cm="1">
        <f t="array" ref="F3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6" s="145" t="str" cm="1">
        <f t="array" ref="G3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INDEX((standard_components_13[[#This Row],[Component]]=factor_eff_table[Component])*(standard_components_13[[#This Row],[Service]]=factor_eff_table[Service]), 0, 1), 0)),
 "-")</f>
        <v>-</v>
      </c>
      <c r="E37" s="145" t="str" cm="1">
        <f t="array" ref="E3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7" s="145" t="str" cm="1">
        <f t="array" ref="F3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7" s="145" t="str" cm="1">
        <f t="array" ref="G3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INDEX((standard_components_13[[#This Row],[Component]]=factor_eff_table[Component])*(standard_components_13[[#This Row],[Service]]=factor_eff_table[Service]), 0, 1), 0)),
 "-")</f>
        <v>-</v>
      </c>
      <c r="E38" s="145" t="str" cm="1">
        <f t="array" ref="E3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8" s="145" t="str" cm="1">
        <f t="array" ref="F3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8" s="145" t="str" cm="1">
        <f t="array" ref="G3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INDEX((standard_components_13[[#This Row],[Component]]=factor_eff_table[Component])*(standard_components_13[[#This Row],[Service]]=factor_eff_table[Service]), 0, 1), 0)),
 "-")</f>
        <v>-</v>
      </c>
      <c r="E39" s="145" t="str" cm="1">
        <f t="array" ref="E3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39" s="145" t="str" cm="1">
        <f t="array" ref="F3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39" s="145" t="str" cm="1">
        <f t="array" ref="G3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3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3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INDEX((standard_components_13[[#This Row],[Component]]=factor_eff_table[Component])*(standard_components_13[[#This Row],[Service]]=factor_eff_table[Service]), 0, 1), 0)),
 "-")</f>
        <v>-</v>
      </c>
      <c r="E40" s="145" t="str" cm="1">
        <f t="array" ref="E4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0" s="145" t="str" cm="1">
        <f t="array" ref="F4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0" s="145" t="str" cm="1">
        <f t="array" ref="G4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INDEX((standard_components_13[[#This Row],[Component]]=factor_eff_table[Component])*(standard_components_13[[#This Row],[Service]]=factor_eff_table[Service]), 0, 1), 0)),
 "-")</f>
        <v>-</v>
      </c>
      <c r="E41" s="145" t="str" cm="1">
        <f t="array" ref="E4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1" s="145" t="str" cm="1">
        <f t="array" ref="F4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1" s="145" t="str" cm="1">
        <f t="array" ref="G4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INDEX((standard_components_13[[#This Row],[Component]]=factor_eff_table[Component])*(standard_components_13[[#This Row],[Service]]=factor_eff_table[Service]), 0, 1), 0)),
 "-")</f>
        <v>-</v>
      </c>
      <c r="E42" s="145" t="str" cm="1">
        <f t="array" ref="E4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2" s="145" t="str" cm="1">
        <f t="array" ref="F4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2" s="145" t="str" cm="1">
        <f t="array" ref="G4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INDEX((standard_components_13[[#This Row],[Component]]=factor_eff_table[Component])*(standard_components_13[[#This Row],[Service]]=factor_eff_table[Service]), 0, 1), 0)),
 "-")</f>
        <v>-</v>
      </c>
      <c r="E43" s="145" t="str" cm="1">
        <f t="array" ref="E4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3" s="145" t="str" cm="1">
        <f t="array" ref="F4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3" s="145" t="str" cm="1">
        <f t="array" ref="G4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INDEX((standard_components_13[[#This Row],[Component]]=factor_eff_table[Component])*(standard_components_13[[#This Row],[Service]]=factor_eff_table[Service]), 0, 1), 0)),
 "-")</f>
        <v>-</v>
      </c>
      <c r="E44" s="145" t="str" cm="1">
        <f t="array" ref="E4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4" s="145" t="str" cm="1">
        <f t="array" ref="F4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4" s="145" t="str" cm="1">
        <f t="array" ref="G4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INDEX((standard_components_13[[#This Row],[Component]]=factor_eff_table[Component])*(standard_components_13[[#This Row],[Service]]=factor_eff_table[Service]), 0, 1), 0)),
 "-")</f>
        <v>-</v>
      </c>
      <c r="E45" s="145" t="str" cm="1">
        <f t="array" ref="E4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5" s="145" t="str" cm="1">
        <f t="array" ref="F4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5" s="145" t="str" cm="1">
        <f t="array" ref="G4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INDEX((standard_components_13[[#This Row],[Component]]=factor_eff_table[Component])*(standard_components_13[[#This Row],[Service]]=factor_eff_table[Service]), 0, 1), 0)),
 "-")</f>
        <v>-</v>
      </c>
      <c r="E46" s="145" t="str" cm="1">
        <f t="array" ref="E4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6" s="145" t="str" cm="1">
        <f t="array" ref="F4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6" s="145" t="str" cm="1">
        <f t="array" ref="G4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INDEX((standard_components_13[[#This Row],[Component]]=factor_eff_table[Component])*(standard_components_13[[#This Row],[Service]]=factor_eff_table[Service]), 0, 1), 0)),
 "-")</f>
        <v>-</v>
      </c>
      <c r="E47" s="145" t="str" cm="1">
        <f t="array" ref="E4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7" s="145" t="str" cm="1">
        <f t="array" ref="F4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7" s="145" t="str" cm="1">
        <f t="array" ref="G4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INDEX((standard_components_13[[#This Row],[Component]]=factor_eff_table[Component])*(standard_components_13[[#This Row],[Service]]=factor_eff_table[Service]), 0, 1), 0)),
 "-")</f>
        <v>-</v>
      </c>
      <c r="E48" s="145" t="str" cm="1">
        <f t="array" ref="E4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8" s="145" t="str" cm="1">
        <f t="array" ref="F4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8" s="145" t="str" cm="1">
        <f t="array" ref="G4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INDEX((standard_components_13[[#This Row],[Component]]=factor_eff_table[Component])*(standard_components_13[[#This Row],[Service]]=factor_eff_table[Service]), 0, 1), 0)),
 "-")</f>
        <v>-</v>
      </c>
      <c r="E49" s="145" t="str" cm="1">
        <f t="array" ref="E4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49" s="145" t="str" cm="1">
        <f t="array" ref="F4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49" s="145" t="str" cm="1">
        <f t="array" ref="G4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4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4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INDEX((standard_components_13[[#This Row],[Component]]=factor_eff_table[Component])*(standard_components_13[[#This Row],[Service]]=factor_eff_table[Service]), 0, 1), 0)),
 "-")</f>
        <v>-</v>
      </c>
      <c r="E50" s="145" t="str" cm="1">
        <f t="array" ref="E5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0" s="145" t="str" cm="1">
        <f t="array" ref="F5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0" s="145" t="str" cm="1">
        <f t="array" ref="G5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INDEX((standard_components_13[[#This Row],[Component]]=factor_eff_table[Component])*(standard_components_13[[#This Row],[Service]]=factor_eff_table[Service]), 0, 1), 0)),
 "-")</f>
        <v>-</v>
      </c>
      <c r="E51" s="145" t="str" cm="1">
        <f t="array" ref="E5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1" s="145" t="str" cm="1">
        <f t="array" ref="F5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1" s="145" t="str" cm="1">
        <f t="array" ref="G5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INDEX((standard_components_13[[#This Row],[Component]]=factor_eff_table[Component])*(standard_components_13[[#This Row],[Service]]=factor_eff_table[Service]), 0, 1), 0)),
 "-")</f>
        <v>-</v>
      </c>
      <c r="E52" s="145" t="str" cm="1">
        <f t="array" ref="E5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2" s="145" t="str" cm="1">
        <f t="array" ref="F5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2" s="145" t="str" cm="1">
        <f t="array" ref="G5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INDEX((standard_components_13[[#This Row],[Component]]=factor_eff_table[Component])*(standard_components_13[[#This Row],[Service]]=factor_eff_table[Service]), 0, 1), 0)),
 "-")</f>
        <v>-</v>
      </c>
      <c r="E53" s="145" t="str" cm="1">
        <f t="array" ref="E5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3" s="145" t="str" cm="1">
        <f t="array" ref="F5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3" s="145" t="str" cm="1">
        <f t="array" ref="G5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INDEX((standard_components_13[[#This Row],[Component]]=factor_eff_table[Component])*(standard_components_13[[#This Row],[Service]]=factor_eff_table[Service]), 0, 1), 0)),
 "-")</f>
        <v>-</v>
      </c>
      <c r="E54" s="145" t="str" cm="1">
        <f t="array" ref="E5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4" s="145" t="str" cm="1">
        <f t="array" ref="F5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4" s="145" t="str" cm="1">
        <f t="array" ref="G5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INDEX((standard_components_13[[#This Row],[Component]]=factor_eff_table[Component])*(standard_components_13[[#This Row],[Service]]=factor_eff_table[Service]), 0, 1), 0)),
 "-")</f>
        <v>-</v>
      </c>
      <c r="E55" s="145" t="str" cm="1">
        <f t="array" ref="E5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5" s="145" t="str" cm="1">
        <f t="array" ref="F5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5" s="145" t="str" cm="1">
        <f t="array" ref="G5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INDEX((standard_components_13[[#This Row],[Component]]=factor_eff_table[Component])*(standard_components_13[[#This Row],[Service]]=factor_eff_table[Service]), 0, 1), 0)),
 "-")</f>
        <v>-</v>
      </c>
      <c r="E56" s="145" t="str" cm="1">
        <f t="array" ref="E5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6" s="145" t="str" cm="1">
        <f t="array" ref="F5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6" s="145" t="str" cm="1">
        <f t="array" ref="G5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INDEX((standard_components_13[[#This Row],[Component]]=factor_eff_table[Component])*(standard_components_13[[#This Row],[Service]]=factor_eff_table[Service]), 0, 1), 0)),
 "-")</f>
        <v>-</v>
      </c>
      <c r="E57" s="145" t="str" cm="1">
        <f t="array" ref="E5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7" s="145" t="str" cm="1">
        <f t="array" ref="F5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7" s="145" t="str" cm="1">
        <f t="array" ref="G5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INDEX((standard_components_13[[#This Row],[Component]]=factor_eff_table[Component])*(standard_components_13[[#This Row],[Service]]=factor_eff_table[Service]), 0, 1), 0)),
 "-")</f>
        <v>-</v>
      </c>
      <c r="E58" s="145" t="str" cm="1">
        <f t="array" ref="E5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8" s="145" t="str" cm="1">
        <f t="array" ref="F5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8" s="145" t="str" cm="1">
        <f t="array" ref="G5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INDEX((standard_components_13[[#This Row],[Component]]=factor_eff_table[Component])*(standard_components_13[[#This Row],[Service]]=factor_eff_table[Service]), 0, 1), 0)),
 "-")</f>
        <v>-</v>
      </c>
      <c r="E59" s="145" t="str" cm="1">
        <f t="array" ref="E5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59" s="145" t="str" cm="1">
        <f t="array" ref="F5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59" s="145" t="str" cm="1">
        <f t="array" ref="G5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5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5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INDEX((standard_components_13[[#This Row],[Component]]=factor_eff_table[Component])*(standard_components_13[[#This Row],[Service]]=factor_eff_table[Service]), 0, 1), 0)),
 "-")</f>
        <v>-</v>
      </c>
      <c r="E60" s="145" t="str" cm="1">
        <f t="array" ref="E6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0" s="145" t="str" cm="1">
        <f t="array" ref="F6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0" s="145" t="str" cm="1">
        <f t="array" ref="G6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INDEX((standard_components_13[[#This Row],[Component]]=factor_eff_table[Component])*(standard_components_13[[#This Row],[Service]]=factor_eff_table[Service]), 0, 1), 0)),
 "-")</f>
        <v>-</v>
      </c>
      <c r="E61" s="145" t="str" cm="1">
        <f t="array" ref="E6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1" s="145" t="str" cm="1">
        <f t="array" ref="F6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1" s="145" t="str" cm="1">
        <f t="array" ref="G6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INDEX((standard_components_13[[#This Row],[Component]]=factor_eff_table[Component])*(standard_components_13[[#This Row],[Service]]=factor_eff_table[Service]), 0, 1), 0)),
 "-")</f>
        <v>-</v>
      </c>
      <c r="E62" s="145" t="str" cm="1">
        <f t="array" ref="E6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2" s="145" t="str" cm="1">
        <f t="array" ref="F6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2" s="145" t="str" cm="1">
        <f t="array" ref="G6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INDEX((standard_components_13[[#This Row],[Component]]=factor_eff_table[Component])*(standard_components_13[[#This Row],[Service]]=factor_eff_table[Service]), 0, 1), 0)),
 "-")</f>
        <v>-</v>
      </c>
      <c r="E63" s="145" t="str" cm="1">
        <f t="array" ref="E6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3" s="145" t="str" cm="1">
        <f t="array" ref="F6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3" s="145" t="str" cm="1">
        <f t="array" ref="G6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INDEX((standard_components_13[[#This Row],[Component]]=factor_eff_table[Component])*(standard_components_13[[#This Row],[Service]]=factor_eff_table[Service]), 0, 1), 0)),
 "-")</f>
        <v>-</v>
      </c>
      <c r="E64" s="145" t="str" cm="1">
        <f t="array" ref="E6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4" s="145" t="str" cm="1">
        <f t="array" ref="F6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4" s="145" t="str" cm="1">
        <f t="array" ref="G6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INDEX((standard_components_13[[#This Row],[Component]]=factor_eff_table[Component])*(standard_components_13[[#This Row],[Service]]=factor_eff_table[Service]), 0, 1), 0)),
 "-")</f>
        <v>-</v>
      </c>
      <c r="E65" s="145" t="str" cm="1">
        <f t="array" ref="E6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5" s="145" t="str" cm="1">
        <f t="array" ref="F6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5" s="145" t="str" cm="1">
        <f t="array" ref="G6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INDEX((standard_components_13[[#This Row],[Component]]=factor_eff_table[Component])*(standard_components_13[[#This Row],[Service]]=factor_eff_table[Service]), 0, 1), 0)),
 "-")</f>
        <v>-</v>
      </c>
      <c r="E66" s="145" t="str" cm="1">
        <f t="array" ref="E6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6" s="145" t="str" cm="1">
        <f t="array" ref="F6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6" s="145" t="str" cm="1">
        <f t="array" ref="G6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INDEX((standard_components_13[[#This Row],[Component]]=factor_eff_table[Component])*(standard_components_13[[#This Row],[Service]]=factor_eff_table[Service]), 0, 1), 0)),
 "-")</f>
        <v>-</v>
      </c>
      <c r="E67" s="145" t="str" cm="1">
        <f t="array" ref="E6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7" s="145" t="str" cm="1">
        <f t="array" ref="F6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7" s="145" t="str" cm="1">
        <f t="array" ref="G6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INDEX((standard_components_13[[#This Row],[Component]]=factor_eff_table[Component])*(standard_components_13[[#This Row],[Service]]=factor_eff_table[Service]), 0, 1), 0)),
 "-")</f>
        <v>-</v>
      </c>
      <c r="E68" s="145" t="str" cm="1">
        <f t="array" ref="E6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8" s="145" t="str" cm="1">
        <f t="array" ref="F6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8" s="145" t="str" cm="1">
        <f t="array" ref="G6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INDEX((standard_components_13[[#This Row],[Component]]=factor_eff_table[Component])*(standard_components_13[[#This Row],[Service]]=factor_eff_table[Service]), 0, 1), 0)),
 "-")</f>
        <v>-</v>
      </c>
      <c r="E69" s="145" t="str" cm="1">
        <f t="array" ref="E6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69" s="145" t="str" cm="1">
        <f t="array" ref="F6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69" s="145" t="str" cm="1">
        <f t="array" ref="G6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6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6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INDEX((standard_components_13[[#This Row],[Component]]=factor_eff_table[Component])*(standard_components_13[[#This Row],[Service]]=factor_eff_table[Service]), 0, 1), 0)),
 "-")</f>
        <v>-</v>
      </c>
      <c r="E70" s="145" t="str" cm="1">
        <f t="array" ref="E7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0" s="145" t="str" cm="1">
        <f t="array" ref="F7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0" s="145" t="str" cm="1">
        <f t="array" ref="G7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INDEX((standard_components_13[[#This Row],[Component]]=factor_eff_table[Component])*(standard_components_13[[#This Row],[Service]]=factor_eff_table[Service]), 0, 1), 0)),
 "-")</f>
        <v>-</v>
      </c>
      <c r="E71" s="145" t="str" cm="1">
        <f t="array" ref="E7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1" s="145" t="str" cm="1">
        <f t="array" ref="F7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1" s="145" t="str" cm="1">
        <f t="array" ref="G7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INDEX((standard_components_13[[#This Row],[Component]]=factor_eff_table[Component])*(standard_components_13[[#This Row],[Service]]=factor_eff_table[Service]), 0, 1), 0)),
 "-")</f>
        <v>-</v>
      </c>
      <c r="E72" s="145" t="str" cm="1">
        <f t="array" ref="E7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2" s="145" t="str" cm="1">
        <f t="array" ref="F7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2" s="145" t="str" cm="1">
        <f t="array" ref="G7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INDEX((standard_components_13[[#This Row],[Component]]=factor_eff_table[Component])*(standard_components_13[[#This Row],[Service]]=factor_eff_table[Service]), 0, 1), 0)),
 "-")</f>
        <v>-</v>
      </c>
      <c r="E73" s="145" t="str" cm="1">
        <f t="array" ref="E7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3" s="145" t="str" cm="1">
        <f t="array" ref="F7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3" s="145" t="str" cm="1">
        <f t="array" ref="G7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INDEX((standard_components_13[[#This Row],[Component]]=factor_eff_table[Component])*(standard_components_13[[#This Row],[Service]]=factor_eff_table[Service]), 0, 1), 0)),
 "-")</f>
        <v>-</v>
      </c>
      <c r="E74" s="145" t="str" cm="1">
        <f t="array" ref="E7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4" s="145" t="str" cm="1">
        <f t="array" ref="F7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4" s="145" t="str" cm="1">
        <f t="array" ref="G7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INDEX((standard_components_13[[#This Row],[Component]]=factor_eff_table[Component])*(standard_components_13[[#This Row],[Service]]=factor_eff_table[Service]), 0, 1), 0)),
 "-")</f>
        <v>-</v>
      </c>
      <c r="E75" s="145" t="str" cm="1">
        <f t="array" ref="E7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5" s="145" t="str" cm="1">
        <f t="array" ref="F7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5" s="145" t="str" cm="1">
        <f t="array" ref="G7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INDEX((standard_components_13[[#This Row],[Component]]=factor_eff_table[Component])*(standard_components_13[[#This Row],[Service]]=factor_eff_table[Service]), 0, 1), 0)),
 "-")</f>
        <v>-</v>
      </c>
      <c r="E76" s="145" t="str" cm="1">
        <f t="array" ref="E7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6" s="145" t="str" cm="1">
        <f t="array" ref="F7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6" s="145" t="str" cm="1">
        <f t="array" ref="G7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INDEX((standard_components_13[[#This Row],[Component]]=factor_eff_table[Component])*(standard_components_13[[#This Row],[Service]]=factor_eff_table[Service]), 0, 1), 0)),
 "-")</f>
        <v>-</v>
      </c>
      <c r="E77" s="145" t="str" cm="1">
        <f t="array" ref="E7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7" s="145" t="str" cm="1">
        <f t="array" ref="F7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7" s="145" t="str" cm="1">
        <f t="array" ref="G7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INDEX((standard_components_13[[#This Row],[Component]]=factor_eff_table[Component])*(standard_components_13[[#This Row],[Service]]=factor_eff_table[Service]), 0, 1), 0)),
 "-")</f>
        <v>-</v>
      </c>
      <c r="E78" s="145" t="str" cm="1">
        <f t="array" ref="E7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8" s="145" t="str" cm="1">
        <f t="array" ref="F7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8" s="145" t="str" cm="1">
        <f t="array" ref="G7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INDEX((standard_components_13[[#This Row],[Component]]=factor_eff_table[Component])*(standard_components_13[[#This Row],[Service]]=factor_eff_table[Service]), 0, 1), 0)),
 "-")</f>
        <v>-</v>
      </c>
      <c r="E79" s="145" t="str" cm="1">
        <f t="array" ref="E7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79" s="145" t="str" cm="1">
        <f t="array" ref="F7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79" s="145" t="str" cm="1">
        <f t="array" ref="G7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7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7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INDEX((standard_components_13[[#This Row],[Component]]=factor_eff_table[Component])*(standard_components_13[[#This Row],[Service]]=factor_eff_table[Service]), 0, 1), 0)),
 "-")</f>
        <v>-</v>
      </c>
      <c r="E80" s="145" t="str" cm="1">
        <f t="array" ref="E8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0" s="145" t="str" cm="1">
        <f t="array" ref="F8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0" s="145" t="str" cm="1">
        <f t="array" ref="G8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INDEX((standard_components_13[[#This Row],[Component]]=factor_eff_table[Component])*(standard_components_13[[#This Row],[Service]]=factor_eff_table[Service]), 0, 1), 0)),
 "-")</f>
        <v>-</v>
      </c>
      <c r="E81" s="145" t="str" cm="1">
        <f t="array" ref="E8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1" s="145" t="str" cm="1">
        <f t="array" ref="F8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1" s="145" t="str" cm="1">
        <f t="array" ref="G8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INDEX((standard_components_13[[#This Row],[Component]]=factor_eff_table[Component])*(standard_components_13[[#This Row],[Service]]=factor_eff_table[Service]), 0, 1), 0)),
 "-")</f>
        <v>-</v>
      </c>
      <c r="E82" s="145" t="str" cm="1">
        <f t="array" ref="E8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2" s="145" t="str" cm="1">
        <f t="array" ref="F8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2" s="145" t="str" cm="1">
        <f t="array" ref="G8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INDEX((standard_components_13[[#This Row],[Component]]=factor_eff_table[Component])*(standard_components_13[[#This Row],[Service]]=factor_eff_table[Service]), 0, 1), 0)),
 "-")</f>
        <v>-</v>
      </c>
      <c r="E83" s="145" t="str" cm="1">
        <f t="array" ref="E8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3" s="145" t="str" cm="1">
        <f t="array" ref="F8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3" s="145" t="str" cm="1">
        <f t="array" ref="G8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INDEX((standard_components_13[[#This Row],[Component]]=factor_eff_table[Component])*(standard_components_13[[#This Row],[Service]]=factor_eff_table[Service]), 0, 1), 0)),
 "-")</f>
        <v>-</v>
      </c>
      <c r="E84" s="145" t="str" cm="1">
        <f t="array" ref="E8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4" s="145" t="str" cm="1">
        <f t="array" ref="F8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4" s="145" t="str" cm="1">
        <f t="array" ref="G8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INDEX((standard_components_13[[#This Row],[Component]]=factor_eff_table[Component])*(standard_components_13[[#This Row],[Service]]=factor_eff_table[Service]), 0, 1), 0)),
 "-")</f>
        <v>-</v>
      </c>
      <c r="E85" s="145" t="str" cm="1">
        <f t="array" ref="E8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5" s="145" t="str" cm="1">
        <f t="array" ref="F8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5" s="145" t="str" cm="1">
        <f t="array" ref="G8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INDEX((standard_components_13[[#This Row],[Component]]=factor_eff_table[Component])*(standard_components_13[[#This Row],[Service]]=factor_eff_table[Service]), 0, 1), 0)),
 "-")</f>
        <v>-</v>
      </c>
      <c r="E86" s="145" t="str" cm="1">
        <f t="array" ref="E8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6" s="145" t="str" cm="1">
        <f t="array" ref="F8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6" s="145" t="str" cm="1">
        <f t="array" ref="G8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INDEX((standard_components_13[[#This Row],[Component]]=factor_eff_table[Component])*(standard_components_13[[#This Row],[Service]]=factor_eff_table[Service]), 0, 1), 0)),
 "-")</f>
        <v>-</v>
      </c>
      <c r="E87" s="145" t="str" cm="1">
        <f t="array" ref="E8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7" s="145" t="str" cm="1">
        <f t="array" ref="F8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7" s="145" t="str" cm="1">
        <f t="array" ref="G8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INDEX((standard_components_13[[#This Row],[Component]]=factor_eff_table[Component])*(standard_components_13[[#This Row],[Service]]=factor_eff_table[Service]), 0, 1), 0)),
 "-")</f>
        <v>-</v>
      </c>
      <c r="E88" s="145" t="str" cm="1">
        <f t="array" ref="E8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8" s="145" t="str" cm="1">
        <f t="array" ref="F8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8" s="145" t="str" cm="1">
        <f t="array" ref="G8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INDEX((standard_components_13[[#This Row],[Component]]=factor_eff_table[Component])*(standard_components_13[[#This Row],[Service]]=factor_eff_table[Service]), 0, 1), 0)),
 "-")</f>
        <v>-</v>
      </c>
      <c r="E89" s="145" t="str" cm="1">
        <f t="array" ref="E8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89" s="145" t="str" cm="1">
        <f t="array" ref="F8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89" s="145" t="str" cm="1">
        <f t="array" ref="G8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8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8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INDEX((standard_components_13[[#This Row],[Component]]=factor_eff_table[Component])*(standard_components_13[[#This Row],[Service]]=factor_eff_table[Service]), 0, 1), 0)),
 "-")</f>
        <v>-</v>
      </c>
      <c r="E90" s="145" t="str" cm="1">
        <f t="array" ref="E9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0" s="145" t="str" cm="1">
        <f t="array" ref="F9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0" s="145" t="str" cm="1">
        <f t="array" ref="G9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INDEX((standard_components_13[[#This Row],[Component]]=factor_eff_table[Component])*(standard_components_13[[#This Row],[Service]]=factor_eff_table[Service]), 0, 1), 0)),
 "-")</f>
        <v>-</v>
      </c>
      <c r="E91" s="145" t="str" cm="1">
        <f t="array" ref="E91">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1" s="145" t="str" cm="1">
        <f t="array" ref="F91">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1" s="145" t="str" cm="1">
        <f t="array" ref="G91">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1"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1"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INDEX((standard_components_13[[#This Row],[Component]]=factor_eff_table[Component])*(standard_components_13[[#This Row],[Service]]=factor_eff_table[Service]), 0, 1), 0)),
 "-")</f>
        <v>-</v>
      </c>
      <c r="E92" s="145" t="str" cm="1">
        <f t="array" ref="E92">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2" s="145" t="str" cm="1">
        <f t="array" ref="F92">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2" s="145" t="str" cm="1">
        <f t="array" ref="G92">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2"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2"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INDEX((standard_components_13[[#This Row],[Component]]=factor_eff_table[Component])*(standard_components_13[[#This Row],[Service]]=factor_eff_table[Service]), 0, 1), 0)),
 "-")</f>
        <v>-</v>
      </c>
      <c r="E93" s="145" t="str" cm="1">
        <f t="array" ref="E93">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3" s="145" t="str" cm="1">
        <f t="array" ref="F93">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3" s="145" t="str" cm="1">
        <f t="array" ref="G93">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3"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3"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INDEX((standard_components_13[[#This Row],[Component]]=factor_eff_table[Component])*(standard_components_13[[#This Row],[Service]]=factor_eff_table[Service]), 0, 1), 0)),
 "-")</f>
        <v>-</v>
      </c>
      <c r="E94" s="145" t="str" cm="1">
        <f t="array" ref="E94">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4" s="145" t="str" cm="1">
        <f t="array" ref="F94">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4" s="145" t="str" cm="1">
        <f t="array" ref="G94">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4"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4"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INDEX((standard_components_13[[#This Row],[Component]]=factor_eff_table[Component])*(standard_components_13[[#This Row],[Service]]=factor_eff_table[Service]), 0, 1), 0)),
 "-")</f>
        <v>-</v>
      </c>
      <c r="E95" s="145" t="str" cm="1">
        <f t="array" ref="E95">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5" s="145" t="str" cm="1">
        <f t="array" ref="F95">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5" s="145" t="str" cm="1">
        <f t="array" ref="G95">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5"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5"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INDEX((standard_components_13[[#This Row],[Component]]=factor_eff_table[Component])*(standard_components_13[[#This Row],[Service]]=factor_eff_table[Service]), 0, 1), 0)),
 "-")</f>
        <v>-</v>
      </c>
      <c r="E96" s="145" t="str" cm="1">
        <f t="array" ref="E96">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6" s="145" t="str" cm="1">
        <f t="array" ref="F96">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6" s="145" t="str" cm="1">
        <f t="array" ref="G96">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6"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6"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INDEX((standard_components_13[[#This Row],[Component]]=factor_eff_table[Component])*(standard_components_13[[#This Row],[Service]]=factor_eff_table[Service]), 0, 1), 0)),
 "-")</f>
        <v>-</v>
      </c>
      <c r="E97" s="145" t="str" cm="1">
        <f t="array" ref="E97">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7" s="145" t="str" cm="1">
        <f t="array" ref="F97">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7" s="145" t="str" cm="1">
        <f t="array" ref="G97">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7"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7"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INDEX((standard_components_13[[#This Row],[Component]]=factor_eff_table[Component])*(standard_components_13[[#This Row],[Service]]=factor_eff_table[Service]), 0, 1), 0)),
 "-")</f>
        <v>-</v>
      </c>
      <c r="E98" s="145" t="str" cm="1">
        <f t="array" ref="E98">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8" s="145" t="str" cm="1">
        <f t="array" ref="F98">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8" s="145" t="str" cm="1">
        <f t="array" ref="G98">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8"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8"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INDEX((standard_components_13[[#This Row],[Component]]=factor_eff_table[Component])*(standard_components_13[[#This Row],[Service]]=factor_eff_table[Service]), 0, 1), 0)),
 "-")</f>
        <v>-</v>
      </c>
      <c r="E99" s="145" t="str" cm="1">
        <f t="array" ref="E99">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99" s="145" t="str" cm="1">
        <f t="array" ref="F99">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99" s="145" t="str" cm="1">
        <f t="array" ref="G99">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99"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99"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INDEX((standard_components_13[[#This Row],[Component]]=factor_eff_table[Component])*(standard_components_13[[#This Row],[Service]]=factor_eff_table[Service]), 0, 1), 0)),
 "-")</f>
        <v>-</v>
      </c>
      <c r="E100" s="145" t="str" cm="1">
        <f t="array" ref="E100">IF(AND(process_drain_bool="Yes",LEFT(standard_components_13[[#This Row],[Component]], LEN("Process drains"))="Process Drains", ISBLANK(instrument_ldar)=FALSE), process_drain_eff,
IFERROR(
INDEX(
INDEX(factor_eff_table[], , MATCH(instrument_ldar, factor_eff_table[#Headers], 0)),
MATCH(1, INDEX((standard_components_13[[#This Row],[Component]]=factor_eff_table[Component])*(standard_components_13[[#This Row],[Service]]=factor_eff_table[Service]), 0, 1), 0)),
 "-"))</f>
        <v>-</v>
      </c>
      <c r="F100" s="145" t="str" cm="1">
        <f t="array" ref="F100">IF(AND(process_drain_bool="Yes",LEFT(standard_components_13[[#This Row],[Component]], LEN("Process drains"))="Process Drains", ISBLANK(connector_ldar)=FALSE), process_drain_eff,
IFERROR(
INDEX(
INDEX(factor_eff_table[], , MATCH(connector_ldar, factor_eff_table[#Headers], 0)),
MATCH(1, INDEX((standard_components_13[[#This Row],[Component]]=factor_eff_table[Component])*(standard_components_13[[#This Row],[Service]]=factor_eff_table[Service]), 0, 1), 0)),
 "-"))</f>
        <v>-</v>
      </c>
      <c r="G100" s="145" t="str" cm="1">
        <f t="array" ref="G100">IF(AND(process_drain_bool="Yes",LEFT(standard_components_13[[#This Row],[Component]], LEN("Process Drains"))="Process Drains", ISBLANK(inspection_ldar)=FALSE), process_drain_eff,
IFERROR(
INDEX(
INDEX(factor_eff_table[], , MATCH(inspection_ldar, factor_eff_table[#Headers], 0)),
MATCH(1, INDEX((standard_components_13[[#This Row],[Component]]=factor_eff_table[Component])*(standard_components_13[[#This Row],[Service]]=factor_eff_table[Service]), 0, 1), 0)),
 "-"))</f>
        <v>-</v>
      </c>
      <c r="H100" s="146" t="str">
        <f>IF(standard_components_13[[#This Row],[Component]]="Sampling Connections (annual) [2]", "N/A",
 IF(standard_components_13[[#This Row],[Component]]="Sampling Connections (hourly) [1]", standard_components_13[[#This Row],[Count]]*standard_components_13[[#This Row],[Industry Emission Factor]],
IFERROR(standard_components_13[[#This Row],[Count]]*standard_components_13[[#This Row],[Industry Emission Factor]]*MIN(1-standard_components_13[[#This Row],[Instrument Monitoring LDAR Control Efficiency]], 1-standard_components_13[[#This Row],[Physical Inspection LDAR Control Efficiency]], 1-standard_components_13[[#This Row],[Connector Monitoring LDAR Control Efficiency]]), "-")))</f>
        <v>-</v>
      </c>
      <c r="I100" s="146" t="str">
        <f>IF(standard_components_13[[#This Row],[Component]]="Sampling Connections (hourly) [1]", "N/A",
 IF(standard_components_13[[#This Row],[Component]]="Sampling Connections (annual) [2]", standard_components_13[[#This Row],[Count]]*standard_components_13[[#This Row],[Industry Emission Factor]]/stons_to_lbs,
 IFERROR(years_to_hrs/stons_to_lbs*standard_components_13[[#This Row],[Controlled
lb/hr]], "-")))</f>
        <v>-</v>
      </c>
    </row>
    <row r="101" spans="1:9" ht="15" x14ac:dyDescent="0.25">
      <c r="A101" s="147" t="s">
        <v>12776</v>
      </c>
      <c r="B101" s="148"/>
      <c r="C101" s="149">
        <f>SUBTOTAL(109,standard_components_13[Count])</f>
        <v>0</v>
      </c>
      <c r="D101" s="150"/>
      <c r="E101" s="150"/>
      <c r="F101" s="150"/>
      <c r="G101" s="150"/>
      <c r="H101" s="151">
        <f>SUBTOTAL(109,standard_components_13[Controlled
lb/hr])</f>
        <v>0</v>
      </c>
      <c r="I101" s="151">
        <f>SUBTOTAL(109,standard_components_13[Controlled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unique_components_16[[#This Row],[Count]]*unique_components_16[[#This Row],[Proposed Emission Factor]]*(1-unique_components_16[[#This Row],[Proposed Control Efficiency]])</f>
        <v>0</v>
      </c>
      <c r="G107" s="155">
        <f>IFERROR(unique_components_16[[#This Row],[Controlled lb/hr]]*4.38,"")</f>
        <v>0</v>
      </c>
    </row>
    <row r="108" spans="1:9" x14ac:dyDescent="0.2">
      <c r="A108" s="103"/>
      <c r="B108" s="104"/>
      <c r="C108" s="153"/>
      <c r="D108" s="154"/>
      <c r="E108" s="154"/>
      <c r="F108" s="146">
        <f>unique_components_16[[#This Row],[Count]]*unique_components_16[[#This Row],[Proposed Emission Factor]]*(1-unique_components_16[[#This Row],[Proposed Control Efficiency]])</f>
        <v>0</v>
      </c>
      <c r="G108" s="155">
        <f>IFERROR(unique_components_16[[#This Row],[Controlled lb/hr]]*4.38,"")</f>
        <v>0</v>
      </c>
    </row>
    <row r="109" spans="1:9" x14ac:dyDescent="0.2">
      <c r="A109" s="103"/>
      <c r="B109" s="104"/>
      <c r="C109" s="153"/>
      <c r="D109" s="154"/>
      <c r="E109" s="154"/>
      <c r="F109" s="146">
        <f>unique_components_16[[#This Row],[Count]]*unique_components_16[[#This Row],[Proposed Emission Factor]]*(1-unique_components_16[[#This Row],[Proposed Control Efficiency]])</f>
        <v>0</v>
      </c>
      <c r="G109" s="155">
        <f>IFERROR(unique_components_16[[#This Row],[Controlled lb/hr]]*4.38,"")</f>
        <v>0</v>
      </c>
    </row>
    <row r="110" spans="1:9" x14ac:dyDescent="0.2">
      <c r="A110" s="103"/>
      <c r="B110" s="104"/>
      <c r="C110" s="153"/>
      <c r="D110" s="154"/>
      <c r="E110" s="154"/>
      <c r="F110" s="146">
        <f>unique_components_16[[#This Row],[Count]]*unique_components_16[[#This Row],[Proposed Emission Factor]]*(1-unique_components_16[[#This Row],[Proposed Control Efficiency]])</f>
        <v>0</v>
      </c>
      <c r="G110" s="155">
        <f>IFERROR(unique_components_16[[#This Row],[Controlled lb/hr]]*4.38,"")</f>
        <v>0</v>
      </c>
    </row>
    <row r="111" spans="1:9" x14ac:dyDescent="0.2">
      <c r="A111" s="103"/>
      <c r="B111" s="104"/>
      <c r="C111" s="153"/>
      <c r="D111" s="154"/>
      <c r="E111" s="154"/>
      <c r="F111" s="146">
        <f>unique_components_16[[#This Row],[Count]]*unique_components_16[[#This Row],[Proposed Emission Factor]]*(1-unique_components_16[[#This Row],[Proposed Control Efficiency]])</f>
        <v>0</v>
      </c>
      <c r="G111" s="155">
        <f>IFERROR(unique_components_16[[#This Row],[Controlled lb/hr]]*4.38,"")</f>
        <v>0</v>
      </c>
    </row>
    <row r="112" spans="1:9" x14ac:dyDescent="0.2">
      <c r="A112" s="103"/>
      <c r="B112" s="104"/>
      <c r="C112" s="153"/>
      <c r="D112" s="154"/>
      <c r="E112" s="154"/>
      <c r="F112" s="146">
        <f>unique_components_16[[#This Row],[Count]]*unique_components_16[[#This Row],[Proposed Emission Factor]]*(1-unique_components_16[[#This Row],[Proposed Control Efficiency]])</f>
        <v>0</v>
      </c>
      <c r="G112" s="155">
        <f>IFERROR(unique_components_16[[#This Row],[Controlled lb/hr]]*4.38,"")</f>
        <v>0</v>
      </c>
    </row>
    <row r="113" spans="1:8" x14ac:dyDescent="0.2">
      <c r="A113" s="103"/>
      <c r="B113" s="104"/>
      <c r="C113" s="153"/>
      <c r="D113" s="154"/>
      <c r="E113" s="154"/>
      <c r="F113" s="146">
        <f>unique_components_16[[#This Row],[Count]]*unique_components_16[[#This Row],[Proposed Emission Factor]]*(1-unique_components_16[[#This Row],[Proposed Control Efficiency]])</f>
        <v>0</v>
      </c>
      <c r="G113" s="155">
        <f>IFERROR(unique_components_16[[#This Row],[Controlled lb/hr]]*4.38,"")</f>
        <v>0</v>
      </c>
    </row>
    <row r="114" spans="1:8" x14ac:dyDescent="0.2">
      <c r="A114" s="103"/>
      <c r="B114" s="104"/>
      <c r="C114" s="153"/>
      <c r="D114" s="154"/>
      <c r="E114" s="154"/>
      <c r="F114" s="146">
        <f>unique_components_16[[#This Row],[Count]]*unique_components_16[[#This Row],[Proposed Emission Factor]]*(1-unique_components_16[[#This Row],[Proposed Control Efficiency]])</f>
        <v>0</v>
      </c>
      <c r="G114" s="155">
        <f>IFERROR(unique_components_16[[#This Row],[Controlled lb/hr]]*4.38,"")</f>
        <v>0</v>
      </c>
    </row>
    <row r="115" spans="1:8" x14ac:dyDescent="0.2">
      <c r="A115" s="103"/>
      <c r="B115" s="104"/>
      <c r="C115" s="153"/>
      <c r="D115" s="154"/>
      <c r="E115" s="154"/>
      <c r="F115" s="146">
        <f>unique_components_16[[#This Row],[Count]]*unique_components_16[[#This Row],[Proposed Emission Factor]]*(1-unique_components_16[[#This Row],[Proposed Control Efficiency]])</f>
        <v>0</v>
      </c>
      <c r="G115" s="155">
        <f>IFERROR(unique_components_16[[#This Row],[Controlled lb/hr]]*4.38,"")</f>
        <v>0</v>
      </c>
    </row>
    <row r="116" spans="1:8" x14ac:dyDescent="0.2">
      <c r="A116" s="103"/>
      <c r="B116" s="104"/>
      <c r="C116" s="153"/>
      <c r="D116" s="154"/>
      <c r="E116" s="154"/>
      <c r="F116" s="146">
        <f>unique_components_16[[#This Row],[Count]]*unique_components_16[[#This Row],[Proposed Emission Factor]]*(1-unique_components_16[[#This Row],[Proposed Control Efficiency]])</f>
        <v>0</v>
      </c>
      <c r="G116" s="155">
        <f>IFERROR(unique_components_16[[#This Row],[Controlled lb/hr]]*4.38,"")</f>
        <v>0</v>
      </c>
    </row>
    <row r="117" spans="1:8" x14ac:dyDescent="0.2">
      <c r="A117" s="103"/>
      <c r="B117" s="104"/>
      <c r="C117" s="153"/>
      <c r="D117" s="154"/>
      <c r="E117" s="154"/>
      <c r="F117" s="146">
        <f>unique_components_16[[#This Row],[Count]]*unique_components_16[[#This Row],[Proposed Emission Factor]]*(1-unique_components_16[[#This Row],[Proposed Control Efficiency]])</f>
        <v>0</v>
      </c>
      <c r="G117" s="155">
        <f>IFERROR(unique_components_16[[#This Row],[Controlled lb/hr]]*4.38,"")</f>
        <v>0</v>
      </c>
    </row>
    <row r="118" spans="1:8" x14ac:dyDescent="0.2">
      <c r="A118" s="103"/>
      <c r="B118" s="104"/>
      <c r="C118" s="153"/>
      <c r="D118" s="154"/>
      <c r="E118" s="154"/>
      <c r="F118" s="146">
        <f>unique_components_16[[#This Row],[Count]]*unique_components_16[[#This Row],[Proposed Emission Factor]]*(1-unique_components_16[[#This Row],[Proposed Control Efficiency]])</f>
        <v>0</v>
      </c>
      <c r="G118" s="155">
        <f>IFERROR(unique_components_16[[#This Row],[Controlled lb/hr]]*4.38,"")</f>
        <v>0</v>
      </c>
    </row>
    <row r="119" spans="1:8" x14ac:dyDescent="0.2">
      <c r="A119" s="103"/>
      <c r="B119" s="104"/>
      <c r="C119" s="153"/>
      <c r="D119" s="154"/>
      <c r="E119" s="154"/>
      <c r="F119" s="146">
        <f>unique_components_16[[#This Row],[Count]]*unique_components_16[[#This Row],[Proposed Emission Factor]]*(1-unique_components_16[[#This Row],[Proposed Control Efficiency]])</f>
        <v>0</v>
      </c>
      <c r="G119" s="155">
        <f>IFERROR(unique_components_16[[#This Row],[Controlled lb/hr]]*4.38,"")</f>
        <v>0</v>
      </c>
    </row>
    <row r="120" spans="1:8" x14ac:dyDescent="0.2">
      <c r="A120" s="103"/>
      <c r="B120" s="104"/>
      <c r="C120" s="153"/>
      <c r="D120" s="154"/>
      <c r="E120" s="154"/>
      <c r="F120" s="146">
        <f>unique_components_16[[#This Row],[Count]]*unique_components_16[[#This Row],[Proposed Emission Factor]]*(1-unique_components_16[[#This Row],[Proposed Control Efficiency]])</f>
        <v>0</v>
      </c>
      <c r="G120" s="155">
        <f>IFERROR(unique_components_16[[#This Row],[Controlled lb/hr]]*4.38,"")</f>
        <v>0</v>
      </c>
    </row>
    <row r="121" spans="1:8" x14ac:dyDescent="0.2">
      <c r="A121" s="103"/>
      <c r="B121" s="104"/>
      <c r="C121" s="153"/>
      <c r="D121" s="154"/>
      <c r="E121" s="154"/>
      <c r="F121" s="146">
        <f>unique_components_16[[#This Row],[Count]]*unique_components_16[[#This Row],[Proposed Emission Factor]]*(1-unique_components_16[[#This Row],[Proposed Control Efficiency]])</f>
        <v>0</v>
      </c>
      <c r="G121" s="155">
        <f>IFERROR(unique_components_16[[#This Row],[Controlled lb/hr]]*4.38,"")</f>
        <v>0</v>
      </c>
    </row>
    <row r="122" spans="1:8" x14ac:dyDescent="0.2">
      <c r="A122" s="103"/>
      <c r="B122" s="104"/>
      <c r="C122" s="153"/>
      <c r="D122" s="154"/>
      <c r="E122" s="154"/>
      <c r="F122" s="146">
        <f>unique_components_16[[#This Row],[Count]]*unique_components_16[[#This Row],[Proposed Emission Factor]]*(1-unique_components_16[[#This Row],[Proposed Control Efficiency]])</f>
        <v>0</v>
      </c>
      <c r="G122" s="155">
        <f>IFERROR(unique_components_16[[#This Row],[Controlled lb/hr]]*4.38,"")</f>
        <v>0</v>
      </c>
    </row>
    <row r="123" spans="1:8" x14ac:dyDescent="0.2">
      <c r="A123" s="103"/>
      <c r="B123" s="104"/>
      <c r="C123" s="153"/>
      <c r="D123" s="154"/>
      <c r="E123" s="154"/>
      <c r="F123" s="146">
        <f>unique_components_16[[#This Row],[Count]]*unique_components_16[[#This Row],[Proposed Emission Factor]]*(1-unique_components_16[[#This Row],[Proposed Control Efficiency]])</f>
        <v>0</v>
      </c>
      <c r="G123" s="155">
        <f>IFERROR(unique_components_16[[#This Row],[Controlled lb/hr]]*4.38,"")</f>
        <v>0</v>
      </c>
    </row>
    <row r="124" spans="1:8" x14ac:dyDescent="0.2">
      <c r="A124" s="103"/>
      <c r="B124" s="104"/>
      <c r="C124" s="153"/>
      <c r="D124" s="154"/>
      <c r="E124" s="154"/>
      <c r="F124" s="146">
        <f>unique_components_16[[#This Row],[Count]]*unique_components_16[[#This Row],[Proposed Emission Factor]]*(1-unique_components_16[[#This Row],[Proposed Control Efficiency]])</f>
        <v>0</v>
      </c>
      <c r="G124" s="155">
        <f>IFERROR(unique_components_16[[#This Row],[Controlled lb/hr]]*4.38,"")</f>
        <v>0</v>
      </c>
    </row>
    <row r="125" spans="1:8" x14ac:dyDescent="0.2">
      <c r="A125" s="103"/>
      <c r="B125" s="104"/>
      <c r="C125" s="153"/>
      <c r="D125" s="154"/>
      <c r="E125" s="154"/>
      <c r="F125" s="146">
        <f>unique_components_16[[#This Row],[Count]]*unique_components_16[[#This Row],[Proposed Emission Factor]]*(1-unique_components_16[[#This Row],[Proposed Control Efficiency]])</f>
        <v>0</v>
      </c>
      <c r="G125" s="155">
        <f>IFERROR(unique_components_16[[#This Row],[Controlled lb/hr]]*4.38,"")</f>
        <v>0</v>
      </c>
    </row>
    <row r="126" spans="1:8" x14ac:dyDescent="0.2">
      <c r="A126" s="105"/>
      <c r="B126" s="106"/>
      <c r="C126" s="156"/>
      <c r="D126" s="154"/>
      <c r="E126" s="157"/>
      <c r="F126" s="158">
        <f>unique_components_16[[#This Row],[Count]]*unique_components_16[[#This Row],[Proposed Emission Factor]]*(1-unique_components_16[[#This Row],[Proposed Control Efficiency]])</f>
        <v>0</v>
      </c>
      <c r="G126" s="159">
        <f>IFERROR(unique_components_16[[#This Row],[Controlled lb/hr]]*4.38,"")</f>
        <v>0</v>
      </c>
    </row>
    <row r="127" spans="1:8" ht="30" x14ac:dyDescent="0.2">
      <c r="A127" s="57" t="s">
        <v>13297</v>
      </c>
      <c r="B127" s="54"/>
      <c r="C127" s="160">
        <f>SUBTOTAL(109,unique_components_16[Count])</f>
        <v>0</v>
      </c>
      <c r="D127" s="161"/>
      <c r="E127" s="161"/>
      <c r="F127" s="162">
        <f>SUBTOTAL(109,unique_components_16[Controlled lb/hr])</f>
        <v>0</v>
      </c>
      <c r="G127" s="162">
        <f>SUBTOTAL(109,unique_components_16[Controlled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IFERROR(VLOOKUP(speciated_chemicals_18[[#This Row],[CAS '#]],species[],MATCH("Substance", species[#Headers], 0),FALSE),"No CAS Number Entered")</f>
        <v>No CAS Number Entered</v>
      </c>
      <c r="C131" s="102"/>
      <c r="D131" s="102" t="s">
        <v>12666</v>
      </c>
      <c r="E131" s="102" t="s">
        <v>12666</v>
      </c>
      <c r="F131" s="102" t="s">
        <v>12666</v>
      </c>
      <c r="G131" s="102" t="s">
        <v>12666</v>
      </c>
      <c r="H131" s="164"/>
      <c r="I131" s="51">
        <f>IF(speciated_chemicals_18[[#This Row],[Inert / Not a Contaminant?]]="Yes", 0, speciated_chemicals_18[[#This Row],[Weight Percent]]*(unique_components_16[[#Totals],[Controlled lb/hr]]+standard_components_13[[#Totals],[Controlled
lb/hr]]))</f>
        <v>0</v>
      </c>
      <c r="J131" s="51">
        <f>IF(speciated_chemicals_18[[#This Row],[Inert / Not a Contaminant?]]="Yes", 0, speciated_chemicals_18[[#This Row],[Weight Percent]]*(unique_components_16[[#Totals],[Controlled
tpy]]+standard_components_13[[#Totals],[Controlled
tpy]]))</f>
        <v>0</v>
      </c>
    </row>
    <row r="132" spans="1:10" x14ac:dyDescent="0.2">
      <c r="A132" s="103"/>
      <c r="B132" s="51" t="str">
        <f>IFERROR(VLOOKUP(speciated_chemicals_18[[#This Row],[CAS '#]],species[],MATCH("Substance", species[#Headers], 0),FALSE),"No CAS Number Entered")</f>
        <v>No CAS Number Entered</v>
      </c>
      <c r="C132" s="102"/>
      <c r="D132" s="102" t="s">
        <v>12666</v>
      </c>
      <c r="E132" s="102" t="s">
        <v>12666</v>
      </c>
      <c r="F132" s="102" t="s">
        <v>12666</v>
      </c>
      <c r="G132" s="102" t="s">
        <v>12666</v>
      </c>
      <c r="H132" s="164"/>
      <c r="I132" s="51">
        <f>IF(speciated_chemicals_18[[#This Row],[Inert / Not a Contaminant?]]="Yes", 0, speciated_chemicals_18[[#This Row],[Weight Percent]]*(unique_components_16[[#Totals],[Controlled lb/hr]]+standard_components_13[[#Totals],[Controlled
lb/hr]]))</f>
        <v>0</v>
      </c>
      <c r="J132" s="51">
        <f>IF(speciated_chemicals_18[[#This Row],[Inert / Not a Contaminant?]]="Yes", 0, speciated_chemicals_18[[#This Row],[Weight Percent]]*(unique_components_16[[#Totals],[Controlled
tpy]]+standard_components_13[[#Totals],[Controlled
tpy]]))</f>
        <v>0</v>
      </c>
    </row>
    <row r="133" spans="1:10" x14ac:dyDescent="0.2">
      <c r="A133" s="103"/>
      <c r="B133" s="51" t="str">
        <f>IFERROR(VLOOKUP(speciated_chemicals_18[[#This Row],[CAS '#]],species[],MATCH("Substance", species[#Headers], 0),FALSE),"No CAS Number Entered")</f>
        <v>No CAS Number Entered</v>
      </c>
      <c r="C133" s="102"/>
      <c r="D133" s="102" t="s">
        <v>12666</v>
      </c>
      <c r="E133" s="102" t="s">
        <v>12666</v>
      </c>
      <c r="F133" s="102" t="s">
        <v>12666</v>
      </c>
      <c r="G133" s="102" t="s">
        <v>12666</v>
      </c>
      <c r="H133" s="164"/>
      <c r="I133" s="51">
        <f>IF(speciated_chemicals_18[[#This Row],[Inert / Not a Contaminant?]]="Yes", 0, speciated_chemicals_18[[#This Row],[Weight Percent]]*(unique_components_16[[#Totals],[Controlled lb/hr]]+standard_components_13[[#Totals],[Controlled
lb/hr]]))</f>
        <v>0</v>
      </c>
      <c r="J133" s="51">
        <f>IF(speciated_chemicals_18[[#This Row],[Inert / Not a Contaminant?]]="Yes", 0, speciated_chemicals_18[[#This Row],[Weight Percent]]*(unique_components_16[[#Totals],[Controlled
tpy]]+standard_components_13[[#Totals],[Controlled
tpy]]))</f>
        <v>0</v>
      </c>
    </row>
    <row r="134" spans="1:10" x14ac:dyDescent="0.2">
      <c r="A134" s="103"/>
      <c r="B134" s="51" t="str">
        <f>IFERROR(VLOOKUP(speciated_chemicals_18[[#This Row],[CAS '#]],species[],MATCH("Substance", species[#Headers], 0),FALSE),"No CAS Number Entered")</f>
        <v>No CAS Number Entered</v>
      </c>
      <c r="C134" s="102"/>
      <c r="D134" s="102" t="s">
        <v>12666</v>
      </c>
      <c r="E134" s="102" t="s">
        <v>12666</v>
      </c>
      <c r="F134" s="102" t="s">
        <v>12666</v>
      </c>
      <c r="G134" s="102" t="s">
        <v>12666</v>
      </c>
      <c r="H134" s="164"/>
      <c r="I134" s="51">
        <f>IF(speciated_chemicals_18[[#This Row],[Inert / Not a Contaminant?]]="Yes", 0, speciated_chemicals_18[[#This Row],[Weight Percent]]*(unique_components_16[[#Totals],[Controlled lb/hr]]+standard_components_13[[#Totals],[Controlled
lb/hr]]))</f>
        <v>0</v>
      </c>
      <c r="J134" s="51">
        <f>IF(speciated_chemicals_18[[#This Row],[Inert / Not a Contaminant?]]="Yes", 0, speciated_chemicals_18[[#This Row],[Weight Percent]]*(unique_components_16[[#Totals],[Controlled
tpy]]+standard_components_13[[#Totals],[Controlled
tpy]]))</f>
        <v>0</v>
      </c>
    </row>
    <row r="135" spans="1:10" x14ac:dyDescent="0.2">
      <c r="A135" s="103"/>
      <c r="B135" s="51" t="str">
        <f>IFERROR(VLOOKUP(speciated_chemicals_18[[#This Row],[CAS '#]],species[],MATCH("Substance", species[#Headers], 0),FALSE),"No CAS Number Entered")</f>
        <v>No CAS Number Entered</v>
      </c>
      <c r="C135" s="102"/>
      <c r="D135" s="102" t="s">
        <v>12666</v>
      </c>
      <c r="E135" s="102" t="s">
        <v>12666</v>
      </c>
      <c r="F135" s="102" t="s">
        <v>12666</v>
      </c>
      <c r="G135" s="102" t="s">
        <v>12666</v>
      </c>
      <c r="H135" s="164"/>
      <c r="I135" s="51">
        <f>IF(speciated_chemicals_18[[#This Row],[Inert / Not a Contaminant?]]="Yes", 0, speciated_chemicals_18[[#This Row],[Weight Percent]]*(unique_components_16[[#Totals],[Controlled lb/hr]]+standard_components_13[[#Totals],[Controlled
lb/hr]]))</f>
        <v>0</v>
      </c>
      <c r="J135" s="51">
        <f>IF(speciated_chemicals_18[[#This Row],[Inert / Not a Contaminant?]]="Yes", 0, speciated_chemicals_18[[#This Row],[Weight Percent]]*(unique_components_16[[#Totals],[Controlled
tpy]]+standard_components_13[[#Totals],[Controlled
tpy]]))</f>
        <v>0</v>
      </c>
    </row>
    <row r="136" spans="1:10" x14ac:dyDescent="0.2">
      <c r="A136" s="103"/>
      <c r="B136" s="51" t="str">
        <f>IFERROR(VLOOKUP(speciated_chemicals_18[[#This Row],[CAS '#]],species[],MATCH("Substance", species[#Headers], 0),FALSE),"No CAS Number Entered")</f>
        <v>No CAS Number Entered</v>
      </c>
      <c r="C136" s="102"/>
      <c r="D136" s="102" t="s">
        <v>12666</v>
      </c>
      <c r="E136" s="102" t="s">
        <v>12666</v>
      </c>
      <c r="F136" s="102" t="s">
        <v>12666</v>
      </c>
      <c r="G136" s="102" t="s">
        <v>12666</v>
      </c>
      <c r="H136" s="164"/>
      <c r="I136" s="51">
        <f>IF(speciated_chemicals_18[[#This Row],[Inert / Not a Contaminant?]]="Yes", 0, speciated_chemicals_18[[#This Row],[Weight Percent]]*(unique_components_16[[#Totals],[Controlled lb/hr]]+standard_components_13[[#Totals],[Controlled
lb/hr]]))</f>
        <v>0</v>
      </c>
      <c r="J136" s="51">
        <f>IF(speciated_chemicals_18[[#This Row],[Inert / Not a Contaminant?]]="Yes", 0, speciated_chemicals_18[[#This Row],[Weight Percent]]*(unique_components_16[[#Totals],[Controlled
tpy]]+standard_components_13[[#Totals],[Controlled
tpy]]))</f>
        <v>0</v>
      </c>
    </row>
    <row r="137" spans="1:10" x14ac:dyDescent="0.2">
      <c r="A137" s="103"/>
      <c r="B137" s="51" t="str">
        <f>IFERROR(VLOOKUP(speciated_chemicals_18[[#This Row],[CAS '#]],species[],MATCH("Substance", species[#Headers], 0),FALSE),"No CAS Number Entered")</f>
        <v>No CAS Number Entered</v>
      </c>
      <c r="C137" s="102"/>
      <c r="D137" s="102" t="s">
        <v>12666</v>
      </c>
      <c r="E137" s="102" t="s">
        <v>12666</v>
      </c>
      <c r="F137" s="102" t="s">
        <v>12666</v>
      </c>
      <c r="G137" s="102" t="s">
        <v>12666</v>
      </c>
      <c r="H137" s="164"/>
      <c r="I137" s="51">
        <f>IF(speciated_chemicals_18[[#This Row],[Inert / Not a Contaminant?]]="Yes", 0, speciated_chemicals_18[[#This Row],[Weight Percent]]*(unique_components_16[[#Totals],[Controlled lb/hr]]+standard_components_13[[#Totals],[Controlled
lb/hr]]))</f>
        <v>0</v>
      </c>
      <c r="J137" s="51">
        <f>IF(speciated_chemicals_18[[#This Row],[Inert / Not a Contaminant?]]="Yes", 0, speciated_chemicals_18[[#This Row],[Weight Percent]]*(unique_components_16[[#Totals],[Controlled
tpy]]+standard_components_13[[#Totals],[Controlled
tpy]]))</f>
        <v>0</v>
      </c>
    </row>
    <row r="138" spans="1:10" x14ac:dyDescent="0.2">
      <c r="A138" s="103"/>
      <c r="B138" s="51" t="str">
        <f>IFERROR(VLOOKUP(speciated_chemicals_18[[#This Row],[CAS '#]],species[],MATCH("Substance", species[#Headers], 0),FALSE),"No CAS Number Entered")</f>
        <v>No CAS Number Entered</v>
      </c>
      <c r="C138" s="102"/>
      <c r="D138" s="102" t="s">
        <v>12666</v>
      </c>
      <c r="E138" s="102" t="s">
        <v>12666</v>
      </c>
      <c r="F138" s="102" t="s">
        <v>12666</v>
      </c>
      <c r="G138" s="102" t="s">
        <v>12666</v>
      </c>
      <c r="H138" s="164"/>
      <c r="I138" s="51">
        <f>IF(speciated_chemicals_18[[#This Row],[Inert / Not a Contaminant?]]="Yes", 0, speciated_chemicals_18[[#This Row],[Weight Percent]]*(unique_components_16[[#Totals],[Controlled lb/hr]]+standard_components_13[[#Totals],[Controlled
lb/hr]]))</f>
        <v>0</v>
      </c>
      <c r="J138" s="51">
        <f>IF(speciated_chemicals_18[[#This Row],[Inert / Not a Contaminant?]]="Yes", 0, speciated_chemicals_18[[#This Row],[Weight Percent]]*(unique_components_16[[#Totals],[Controlled
tpy]]+standard_components_13[[#Totals],[Controlled
tpy]]))</f>
        <v>0</v>
      </c>
    </row>
    <row r="139" spans="1:10" x14ac:dyDescent="0.2">
      <c r="A139" s="103"/>
      <c r="B139" s="51" t="str">
        <f>IFERROR(VLOOKUP(speciated_chemicals_18[[#This Row],[CAS '#]],species[],MATCH("Substance", species[#Headers], 0),FALSE),"No CAS Number Entered")</f>
        <v>No CAS Number Entered</v>
      </c>
      <c r="C139" s="102"/>
      <c r="D139" s="102" t="s">
        <v>12666</v>
      </c>
      <c r="E139" s="102" t="s">
        <v>12666</v>
      </c>
      <c r="F139" s="102" t="s">
        <v>12666</v>
      </c>
      <c r="G139" s="102" t="s">
        <v>12666</v>
      </c>
      <c r="H139" s="164"/>
      <c r="I139" s="51">
        <f>IF(speciated_chemicals_18[[#This Row],[Inert / Not a Contaminant?]]="Yes", 0, speciated_chemicals_18[[#This Row],[Weight Percent]]*(unique_components_16[[#Totals],[Controlled lb/hr]]+standard_components_13[[#Totals],[Controlled
lb/hr]]))</f>
        <v>0</v>
      </c>
      <c r="J139" s="51">
        <f>IF(speciated_chemicals_18[[#This Row],[Inert / Not a Contaminant?]]="Yes", 0, speciated_chemicals_18[[#This Row],[Weight Percent]]*(unique_components_16[[#Totals],[Controlled
tpy]]+standard_components_13[[#Totals],[Controlled
tpy]]))</f>
        <v>0</v>
      </c>
    </row>
    <row r="140" spans="1:10" x14ac:dyDescent="0.2">
      <c r="A140" s="103"/>
      <c r="B140" s="51" t="str">
        <f>IFERROR(VLOOKUP(speciated_chemicals_18[[#This Row],[CAS '#]],species[],MATCH("Substance", species[#Headers], 0),FALSE),"No CAS Number Entered")</f>
        <v>No CAS Number Entered</v>
      </c>
      <c r="C140" s="102"/>
      <c r="D140" s="102" t="s">
        <v>12666</v>
      </c>
      <c r="E140" s="102" t="s">
        <v>12666</v>
      </c>
      <c r="F140" s="102" t="s">
        <v>12666</v>
      </c>
      <c r="G140" s="102" t="s">
        <v>12666</v>
      </c>
      <c r="H140" s="164"/>
      <c r="I140" s="51">
        <f>IF(speciated_chemicals_18[[#This Row],[Inert / Not a Contaminant?]]="Yes", 0, speciated_chemicals_18[[#This Row],[Weight Percent]]*(unique_components_16[[#Totals],[Controlled lb/hr]]+standard_components_13[[#Totals],[Controlled
lb/hr]]))</f>
        <v>0</v>
      </c>
      <c r="J140" s="51">
        <f>IF(speciated_chemicals_18[[#This Row],[Inert / Not a Contaminant?]]="Yes", 0, speciated_chemicals_18[[#This Row],[Weight Percent]]*(unique_components_16[[#Totals],[Controlled
tpy]]+standard_components_13[[#Totals],[Controlled
tpy]]))</f>
        <v>0</v>
      </c>
    </row>
    <row r="141" spans="1:10" x14ac:dyDescent="0.2">
      <c r="A141" s="103"/>
      <c r="B141" s="51" t="str">
        <f>IFERROR(VLOOKUP(speciated_chemicals_18[[#This Row],[CAS '#]],species[],MATCH("Substance", species[#Headers], 0),FALSE),"No CAS Number Entered")</f>
        <v>No CAS Number Entered</v>
      </c>
      <c r="C141" s="102"/>
      <c r="D141" s="102" t="s">
        <v>12666</v>
      </c>
      <c r="E141" s="102" t="s">
        <v>12666</v>
      </c>
      <c r="F141" s="102" t="s">
        <v>12666</v>
      </c>
      <c r="G141" s="102" t="s">
        <v>12666</v>
      </c>
      <c r="H141" s="164"/>
      <c r="I141" s="51">
        <f>IF(speciated_chemicals_18[[#This Row],[Inert / Not a Contaminant?]]="Yes", 0, speciated_chemicals_18[[#This Row],[Weight Percent]]*(unique_components_16[[#Totals],[Controlled lb/hr]]+standard_components_13[[#Totals],[Controlled
lb/hr]]))</f>
        <v>0</v>
      </c>
      <c r="J141" s="51">
        <f>IF(speciated_chemicals_18[[#This Row],[Inert / Not a Contaminant?]]="Yes", 0, speciated_chemicals_18[[#This Row],[Weight Percent]]*(unique_components_16[[#Totals],[Controlled
tpy]]+standard_components_13[[#Totals],[Controlled
tpy]]))</f>
        <v>0</v>
      </c>
    </row>
    <row r="142" spans="1:10" x14ac:dyDescent="0.2">
      <c r="A142" s="103"/>
      <c r="B142" s="51" t="str">
        <f>IFERROR(VLOOKUP(speciated_chemicals_18[[#This Row],[CAS '#]],species[],MATCH("Substance", species[#Headers], 0),FALSE),"No CAS Number Entered")</f>
        <v>No CAS Number Entered</v>
      </c>
      <c r="C142" s="102"/>
      <c r="D142" s="102" t="s">
        <v>12666</v>
      </c>
      <c r="E142" s="102" t="s">
        <v>12666</v>
      </c>
      <c r="F142" s="102" t="s">
        <v>12666</v>
      </c>
      <c r="G142" s="102" t="s">
        <v>12666</v>
      </c>
      <c r="H142" s="164"/>
      <c r="I142" s="51">
        <f>IF(speciated_chemicals_18[[#This Row],[Inert / Not a Contaminant?]]="Yes", 0, speciated_chemicals_18[[#This Row],[Weight Percent]]*(unique_components_16[[#Totals],[Controlled lb/hr]]+standard_components_13[[#Totals],[Controlled
lb/hr]]))</f>
        <v>0</v>
      </c>
      <c r="J142" s="51">
        <f>IF(speciated_chemicals_18[[#This Row],[Inert / Not a Contaminant?]]="Yes", 0, speciated_chemicals_18[[#This Row],[Weight Percent]]*(unique_components_16[[#Totals],[Controlled
tpy]]+standard_components_13[[#Totals],[Controlled
tpy]]))</f>
        <v>0</v>
      </c>
    </row>
    <row r="143" spans="1:10" x14ac:dyDescent="0.2">
      <c r="A143" s="103"/>
      <c r="B143" s="51" t="str">
        <f>IFERROR(VLOOKUP(speciated_chemicals_18[[#This Row],[CAS '#]],species[],MATCH("Substance", species[#Headers], 0),FALSE),"No CAS Number Entered")</f>
        <v>No CAS Number Entered</v>
      </c>
      <c r="C143" s="102"/>
      <c r="D143" s="102" t="s">
        <v>12666</v>
      </c>
      <c r="E143" s="102" t="s">
        <v>12666</v>
      </c>
      <c r="F143" s="102" t="s">
        <v>12666</v>
      </c>
      <c r="G143" s="102" t="s">
        <v>12666</v>
      </c>
      <c r="H143" s="164"/>
      <c r="I143" s="51">
        <f>IF(speciated_chemicals_18[[#This Row],[Inert / Not a Contaminant?]]="Yes", 0, speciated_chemicals_18[[#This Row],[Weight Percent]]*(unique_components_16[[#Totals],[Controlled lb/hr]]+standard_components_13[[#Totals],[Controlled
lb/hr]]))</f>
        <v>0</v>
      </c>
      <c r="J143" s="51">
        <f>IF(speciated_chemicals_18[[#This Row],[Inert / Not a Contaminant?]]="Yes", 0, speciated_chemicals_18[[#This Row],[Weight Percent]]*(unique_components_16[[#Totals],[Controlled
tpy]]+standard_components_13[[#Totals],[Controlled
tpy]]))</f>
        <v>0</v>
      </c>
    </row>
    <row r="144" spans="1:10" x14ac:dyDescent="0.2">
      <c r="A144" s="103"/>
      <c r="B144" s="51" t="str">
        <f>IFERROR(VLOOKUP(speciated_chemicals_18[[#This Row],[CAS '#]],species[],MATCH("Substance", species[#Headers], 0),FALSE),"No CAS Number Entered")</f>
        <v>No CAS Number Entered</v>
      </c>
      <c r="C144" s="102"/>
      <c r="D144" s="102" t="s">
        <v>12666</v>
      </c>
      <c r="E144" s="102" t="s">
        <v>12666</v>
      </c>
      <c r="F144" s="102" t="s">
        <v>12666</v>
      </c>
      <c r="G144" s="102" t="s">
        <v>12666</v>
      </c>
      <c r="H144" s="164"/>
      <c r="I144" s="51">
        <f>IF(speciated_chemicals_18[[#This Row],[Inert / Not a Contaminant?]]="Yes", 0, speciated_chemicals_18[[#This Row],[Weight Percent]]*(unique_components_16[[#Totals],[Controlled lb/hr]]+standard_components_13[[#Totals],[Controlled
lb/hr]]))</f>
        <v>0</v>
      </c>
      <c r="J144" s="51">
        <f>IF(speciated_chemicals_18[[#This Row],[Inert / Not a Contaminant?]]="Yes", 0, speciated_chemicals_18[[#This Row],[Weight Percent]]*(unique_components_16[[#Totals],[Controlled
tpy]]+standard_components_13[[#Totals],[Controlled
tpy]]))</f>
        <v>0</v>
      </c>
    </row>
    <row r="145" spans="1:10" x14ac:dyDescent="0.2">
      <c r="A145" s="103"/>
      <c r="B145" s="51" t="str">
        <f>IFERROR(VLOOKUP(speciated_chemicals_18[[#This Row],[CAS '#]],species[],MATCH("Substance", species[#Headers], 0),FALSE),"No CAS Number Entered")</f>
        <v>No CAS Number Entered</v>
      </c>
      <c r="C145" s="102"/>
      <c r="D145" s="102" t="s">
        <v>12666</v>
      </c>
      <c r="E145" s="102" t="s">
        <v>12666</v>
      </c>
      <c r="F145" s="102" t="s">
        <v>12666</v>
      </c>
      <c r="G145" s="102" t="s">
        <v>12666</v>
      </c>
      <c r="H145" s="164"/>
      <c r="I145" s="51">
        <f>IF(speciated_chemicals_18[[#This Row],[Inert / Not a Contaminant?]]="Yes", 0, speciated_chemicals_18[[#This Row],[Weight Percent]]*(unique_components_16[[#Totals],[Controlled lb/hr]]+standard_components_13[[#Totals],[Controlled
lb/hr]]))</f>
        <v>0</v>
      </c>
      <c r="J145" s="51">
        <f>IF(speciated_chemicals_18[[#This Row],[Inert / Not a Contaminant?]]="Yes", 0, speciated_chemicals_18[[#This Row],[Weight Percent]]*(unique_components_16[[#Totals],[Controlled
tpy]]+standard_components_13[[#Totals],[Controlled
tpy]]))</f>
        <v>0</v>
      </c>
    </row>
    <row r="146" spans="1:10" x14ac:dyDescent="0.2">
      <c r="A146" s="103"/>
      <c r="B146" s="51" t="str">
        <f>IFERROR(VLOOKUP(speciated_chemicals_18[[#This Row],[CAS '#]],species[],MATCH("Substance", species[#Headers], 0),FALSE),"No CAS Number Entered")</f>
        <v>No CAS Number Entered</v>
      </c>
      <c r="C146" s="102"/>
      <c r="D146" s="102" t="s">
        <v>12666</v>
      </c>
      <c r="E146" s="102" t="s">
        <v>12666</v>
      </c>
      <c r="F146" s="102" t="s">
        <v>12666</v>
      </c>
      <c r="G146" s="102" t="s">
        <v>12666</v>
      </c>
      <c r="H146" s="164"/>
      <c r="I146" s="51">
        <f>IF(speciated_chemicals_18[[#This Row],[Inert / Not a Contaminant?]]="Yes", 0, speciated_chemicals_18[[#This Row],[Weight Percent]]*(unique_components_16[[#Totals],[Controlled lb/hr]]+standard_components_13[[#Totals],[Controlled
lb/hr]]))</f>
        <v>0</v>
      </c>
      <c r="J146" s="51">
        <f>IF(speciated_chemicals_18[[#This Row],[Inert / Not a Contaminant?]]="Yes", 0, speciated_chemicals_18[[#This Row],[Weight Percent]]*(unique_components_16[[#Totals],[Controlled
tpy]]+standard_components_13[[#Totals],[Controlled
tpy]]))</f>
        <v>0</v>
      </c>
    </row>
    <row r="147" spans="1:10" x14ac:dyDescent="0.2">
      <c r="A147" s="103"/>
      <c r="B147" s="51" t="str">
        <f>IFERROR(VLOOKUP(speciated_chemicals_18[[#This Row],[CAS '#]],species[],MATCH("Substance", species[#Headers], 0),FALSE),"No CAS Number Entered")</f>
        <v>No CAS Number Entered</v>
      </c>
      <c r="C147" s="102"/>
      <c r="D147" s="102" t="s">
        <v>12666</v>
      </c>
      <c r="E147" s="102" t="s">
        <v>12666</v>
      </c>
      <c r="F147" s="102" t="s">
        <v>12666</v>
      </c>
      <c r="G147" s="102" t="s">
        <v>12666</v>
      </c>
      <c r="H147" s="164"/>
      <c r="I147" s="51">
        <f>IF(speciated_chemicals_18[[#This Row],[Inert / Not a Contaminant?]]="Yes", 0, speciated_chemicals_18[[#This Row],[Weight Percent]]*(unique_components_16[[#Totals],[Controlled lb/hr]]+standard_components_13[[#Totals],[Controlled
lb/hr]]))</f>
        <v>0</v>
      </c>
      <c r="J147" s="51">
        <f>IF(speciated_chemicals_18[[#This Row],[Inert / Not a Contaminant?]]="Yes", 0, speciated_chemicals_18[[#This Row],[Weight Percent]]*(unique_components_16[[#Totals],[Controlled
tpy]]+standard_components_13[[#Totals],[Controlled
tpy]]))</f>
        <v>0</v>
      </c>
    </row>
    <row r="148" spans="1:10" x14ac:dyDescent="0.2">
      <c r="A148" s="103"/>
      <c r="B148" s="51" t="str">
        <f>IFERROR(VLOOKUP(speciated_chemicals_18[[#This Row],[CAS '#]],species[],MATCH("Substance", species[#Headers], 0),FALSE),"No CAS Number Entered")</f>
        <v>No CAS Number Entered</v>
      </c>
      <c r="C148" s="102"/>
      <c r="D148" s="102" t="s">
        <v>12666</v>
      </c>
      <c r="E148" s="102" t="s">
        <v>12666</v>
      </c>
      <c r="F148" s="102" t="s">
        <v>12666</v>
      </c>
      <c r="G148" s="102" t="s">
        <v>12666</v>
      </c>
      <c r="H148" s="164"/>
      <c r="I148" s="51">
        <f>IF(speciated_chemicals_18[[#This Row],[Inert / Not a Contaminant?]]="Yes", 0, speciated_chemicals_18[[#This Row],[Weight Percent]]*(unique_components_16[[#Totals],[Controlled lb/hr]]+standard_components_13[[#Totals],[Controlled
lb/hr]]))</f>
        <v>0</v>
      </c>
      <c r="J148" s="51">
        <f>IF(speciated_chemicals_18[[#This Row],[Inert / Not a Contaminant?]]="Yes", 0, speciated_chemicals_18[[#This Row],[Weight Percent]]*(unique_components_16[[#Totals],[Controlled
tpy]]+standard_components_13[[#Totals],[Controlled
tpy]]))</f>
        <v>0</v>
      </c>
    </row>
    <row r="149" spans="1:10" x14ac:dyDescent="0.2">
      <c r="A149" s="103"/>
      <c r="B149" s="51" t="str">
        <f>IFERROR(VLOOKUP(speciated_chemicals_18[[#This Row],[CAS '#]],species[],MATCH("Substance", species[#Headers], 0),FALSE),"No CAS Number Entered")</f>
        <v>No CAS Number Entered</v>
      </c>
      <c r="C149" s="102"/>
      <c r="D149" s="102" t="s">
        <v>12666</v>
      </c>
      <c r="E149" s="102" t="s">
        <v>12666</v>
      </c>
      <c r="F149" s="102" t="s">
        <v>12666</v>
      </c>
      <c r="G149" s="102" t="s">
        <v>12666</v>
      </c>
      <c r="H149" s="164"/>
      <c r="I149" s="51">
        <f>IF(speciated_chemicals_18[[#This Row],[Inert / Not a Contaminant?]]="Yes", 0, speciated_chemicals_18[[#This Row],[Weight Percent]]*(unique_components_16[[#Totals],[Controlled lb/hr]]+standard_components_13[[#Totals],[Controlled
lb/hr]]))</f>
        <v>0</v>
      </c>
      <c r="J149" s="51">
        <f>IF(speciated_chemicals_18[[#This Row],[Inert / Not a Contaminant?]]="Yes", 0, speciated_chemicals_18[[#This Row],[Weight Percent]]*(unique_components_16[[#Totals],[Controlled
tpy]]+standard_components_13[[#Totals],[Controlled
tpy]]))</f>
        <v>0</v>
      </c>
    </row>
    <row r="150" spans="1:10" x14ac:dyDescent="0.2">
      <c r="A150" s="103"/>
      <c r="B150" s="51" t="str">
        <f>IFERROR(VLOOKUP(speciated_chemicals_18[[#This Row],[CAS '#]],species[],MATCH("Substance", species[#Headers], 0),FALSE),"No CAS Number Entered")</f>
        <v>No CAS Number Entered</v>
      </c>
      <c r="C150" s="102"/>
      <c r="D150" s="102" t="s">
        <v>12666</v>
      </c>
      <c r="E150" s="102" t="s">
        <v>12666</v>
      </c>
      <c r="F150" s="102" t="s">
        <v>12666</v>
      </c>
      <c r="G150" s="102" t="s">
        <v>12666</v>
      </c>
      <c r="H150" s="164"/>
      <c r="I150" s="51">
        <f>IF(speciated_chemicals_18[[#This Row],[Inert / Not a Contaminant?]]="Yes", 0, speciated_chemicals_18[[#This Row],[Weight Percent]]*(unique_components_16[[#Totals],[Controlled lb/hr]]+standard_components_13[[#Totals],[Controlled
lb/hr]]))</f>
        <v>0</v>
      </c>
      <c r="J150" s="51">
        <f>IF(speciated_chemicals_18[[#This Row],[Inert / Not a Contaminant?]]="Yes", 0, speciated_chemicals_18[[#This Row],[Weight Percent]]*(unique_components_16[[#Totals],[Controlled
tpy]]+standard_components_13[[#Totals],[Controlled
tpy]]))</f>
        <v>0</v>
      </c>
    </row>
    <row r="151" spans="1:10" x14ac:dyDescent="0.2">
      <c r="A151" s="103"/>
      <c r="B151" s="51" t="str">
        <f>IFERROR(VLOOKUP(speciated_chemicals_18[[#This Row],[CAS '#]],species[],MATCH("Substance", species[#Headers], 0),FALSE),"No CAS Number Entered")</f>
        <v>No CAS Number Entered</v>
      </c>
      <c r="C151" s="102"/>
      <c r="D151" s="102" t="s">
        <v>12666</v>
      </c>
      <c r="E151" s="102" t="s">
        <v>12666</v>
      </c>
      <c r="F151" s="102" t="s">
        <v>12666</v>
      </c>
      <c r="G151" s="102" t="s">
        <v>12666</v>
      </c>
      <c r="H151" s="164"/>
      <c r="I151" s="51">
        <f>IF(speciated_chemicals_18[[#This Row],[Inert / Not a Contaminant?]]="Yes", 0, speciated_chemicals_18[[#This Row],[Weight Percent]]*(unique_components_16[[#Totals],[Controlled lb/hr]]+standard_components_13[[#Totals],[Controlled
lb/hr]]))</f>
        <v>0</v>
      </c>
      <c r="J151" s="51">
        <f>IF(speciated_chemicals_18[[#This Row],[Inert / Not a Contaminant?]]="Yes", 0, speciated_chemicals_18[[#This Row],[Weight Percent]]*(unique_components_16[[#Totals],[Controlled
tpy]]+standard_components_13[[#Totals],[Controlled
tpy]]))</f>
        <v>0</v>
      </c>
    </row>
    <row r="152" spans="1:10" x14ac:dyDescent="0.2">
      <c r="A152" s="103"/>
      <c r="B152" s="51" t="str">
        <f>IFERROR(VLOOKUP(speciated_chemicals_18[[#This Row],[CAS '#]],species[],MATCH("Substance", species[#Headers], 0),FALSE),"No CAS Number Entered")</f>
        <v>No CAS Number Entered</v>
      </c>
      <c r="C152" s="102"/>
      <c r="D152" s="102" t="s">
        <v>12666</v>
      </c>
      <c r="E152" s="102" t="s">
        <v>12666</v>
      </c>
      <c r="F152" s="102" t="s">
        <v>12666</v>
      </c>
      <c r="G152" s="102" t="s">
        <v>12666</v>
      </c>
      <c r="H152" s="164"/>
      <c r="I152" s="51">
        <f>IF(speciated_chemicals_18[[#This Row],[Inert / Not a Contaminant?]]="Yes", 0, speciated_chemicals_18[[#This Row],[Weight Percent]]*(unique_components_16[[#Totals],[Controlled lb/hr]]+standard_components_13[[#Totals],[Controlled
lb/hr]]))</f>
        <v>0</v>
      </c>
      <c r="J152" s="51">
        <f>IF(speciated_chemicals_18[[#This Row],[Inert / Not a Contaminant?]]="Yes", 0, speciated_chemicals_18[[#This Row],[Weight Percent]]*(unique_components_16[[#Totals],[Controlled
tpy]]+standard_components_13[[#Totals],[Controlled
tpy]]))</f>
        <v>0</v>
      </c>
    </row>
    <row r="153" spans="1:10" x14ac:dyDescent="0.2">
      <c r="A153" s="103"/>
      <c r="B153" s="51" t="str">
        <f>IFERROR(VLOOKUP(speciated_chemicals_18[[#This Row],[CAS '#]],species[],MATCH("Substance", species[#Headers], 0),FALSE),"No CAS Number Entered")</f>
        <v>No CAS Number Entered</v>
      </c>
      <c r="C153" s="102"/>
      <c r="D153" s="102" t="s">
        <v>12666</v>
      </c>
      <c r="E153" s="102" t="s">
        <v>12666</v>
      </c>
      <c r="F153" s="102" t="s">
        <v>12666</v>
      </c>
      <c r="G153" s="102" t="s">
        <v>12666</v>
      </c>
      <c r="H153" s="164"/>
      <c r="I153" s="51">
        <f>IF(speciated_chemicals_18[[#This Row],[Inert / Not a Contaminant?]]="Yes", 0, speciated_chemicals_18[[#This Row],[Weight Percent]]*(unique_components_16[[#Totals],[Controlled lb/hr]]+standard_components_13[[#Totals],[Controlled
lb/hr]]))</f>
        <v>0</v>
      </c>
      <c r="J153" s="51">
        <f>IF(speciated_chemicals_18[[#This Row],[Inert / Not a Contaminant?]]="Yes", 0, speciated_chemicals_18[[#This Row],[Weight Percent]]*(unique_components_16[[#Totals],[Controlled
tpy]]+standard_components_13[[#Totals],[Controlled
tpy]]))</f>
        <v>0</v>
      </c>
    </row>
    <row r="154" spans="1:10" x14ac:dyDescent="0.2">
      <c r="A154" s="103"/>
      <c r="B154" s="51" t="str">
        <f>IFERROR(VLOOKUP(speciated_chemicals_18[[#This Row],[CAS '#]],species[],MATCH("Substance", species[#Headers], 0),FALSE),"No CAS Number Entered")</f>
        <v>No CAS Number Entered</v>
      </c>
      <c r="C154" s="102"/>
      <c r="D154" s="102" t="s">
        <v>12666</v>
      </c>
      <c r="E154" s="102" t="s">
        <v>12666</v>
      </c>
      <c r="F154" s="102" t="s">
        <v>12666</v>
      </c>
      <c r="G154" s="102" t="s">
        <v>12666</v>
      </c>
      <c r="H154" s="164"/>
      <c r="I154" s="51">
        <f>IF(speciated_chemicals_18[[#This Row],[Inert / Not a Contaminant?]]="Yes", 0, speciated_chemicals_18[[#This Row],[Weight Percent]]*(unique_components_16[[#Totals],[Controlled lb/hr]]+standard_components_13[[#Totals],[Controlled
lb/hr]]))</f>
        <v>0</v>
      </c>
      <c r="J154" s="51">
        <f>IF(speciated_chemicals_18[[#This Row],[Inert / Not a Contaminant?]]="Yes", 0, speciated_chemicals_18[[#This Row],[Weight Percent]]*(unique_components_16[[#Totals],[Controlled
tpy]]+standard_components_13[[#Totals],[Controlled
tpy]]))</f>
        <v>0</v>
      </c>
    </row>
    <row r="155" spans="1:10" x14ac:dyDescent="0.2">
      <c r="A155" s="103"/>
      <c r="B155" s="51" t="str">
        <f>IFERROR(VLOOKUP(speciated_chemicals_18[[#This Row],[CAS '#]],species[],MATCH("Substance", species[#Headers], 0),FALSE),"No CAS Number Entered")</f>
        <v>No CAS Number Entered</v>
      </c>
      <c r="C155" s="102"/>
      <c r="D155" s="102" t="s">
        <v>12666</v>
      </c>
      <c r="E155" s="102" t="s">
        <v>12666</v>
      </c>
      <c r="F155" s="102" t="s">
        <v>12666</v>
      </c>
      <c r="G155" s="102" t="s">
        <v>12666</v>
      </c>
      <c r="H155" s="164"/>
      <c r="I155" s="51">
        <f>IF(speciated_chemicals_18[[#This Row],[Inert / Not a Contaminant?]]="Yes", 0, speciated_chemicals_18[[#This Row],[Weight Percent]]*(unique_components_16[[#Totals],[Controlled lb/hr]]+standard_components_13[[#Totals],[Controlled
lb/hr]]))</f>
        <v>0</v>
      </c>
      <c r="J155" s="51">
        <f>IF(speciated_chemicals_18[[#This Row],[Inert / Not a Contaminant?]]="Yes", 0, speciated_chemicals_18[[#This Row],[Weight Percent]]*(unique_components_16[[#Totals],[Controlled
tpy]]+standard_components_13[[#Totals],[Controlled
tpy]]))</f>
        <v>0</v>
      </c>
    </row>
    <row r="156" spans="1:10" x14ac:dyDescent="0.2">
      <c r="A156" s="103"/>
      <c r="B156" s="51" t="str">
        <f>IFERROR(VLOOKUP(speciated_chemicals_18[[#This Row],[CAS '#]],species[],MATCH("Substance", species[#Headers], 0),FALSE),"No CAS Number Entered")</f>
        <v>No CAS Number Entered</v>
      </c>
      <c r="C156" s="102"/>
      <c r="D156" s="102" t="s">
        <v>12666</v>
      </c>
      <c r="E156" s="102" t="s">
        <v>12666</v>
      </c>
      <c r="F156" s="102" t="s">
        <v>12666</v>
      </c>
      <c r="G156" s="102" t="s">
        <v>12666</v>
      </c>
      <c r="H156" s="164"/>
      <c r="I156" s="51">
        <f>IF(speciated_chemicals_18[[#This Row],[Inert / Not a Contaminant?]]="Yes", 0, speciated_chemicals_18[[#This Row],[Weight Percent]]*(unique_components_16[[#Totals],[Controlled lb/hr]]+standard_components_13[[#Totals],[Controlled
lb/hr]]))</f>
        <v>0</v>
      </c>
      <c r="J156" s="51">
        <f>IF(speciated_chemicals_18[[#This Row],[Inert / Not a Contaminant?]]="Yes", 0, speciated_chemicals_18[[#This Row],[Weight Percent]]*(unique_components_16[[#Totals],[Controlled
tpy]]+standard_components_13[[#Totals],[Controlled
tpy]]))</f>
        <v>0</v>
      </c>
    </row>
    <row r="157" spans="1:10" x14ac:dyDescent="0.2">
      <c r="A157" s="103"/>
      <c r="B157" s="51" t="str">
        <f>IFERROR(VLOOKUP(speciated_chemicals_18[[#This Row],[CAS '#]],species[],MATCH("Substance", species[#Headers], 0),FALSE),"No CAS Number Entered")</f>
        <v>No CAS Number Entered</v>
      </c>
      <c r="C157" s="102"/>
      <c r="D157" s="102" t="s">
        <v>12666</v>
      </c>
      <c r="E157" s="102" t="s">
        <v>12666</v>
      </c>
      <c r="F157" s="102" t="s">
        <v>12666</v>
      </c>
      <c r="G157" s="102" t="s">
        <v>12666</v>
      </c>
      <c r="H157" s="164"/>
      <c r="I157" s="51">
        <f>IF(speciated_chemicals_18[[#This Row],[Inert / Not a Contaminant?]]="Yes", 0, speciated_chemicals_18[[#This Row],[Weight Percent]]*(unique_components_16[[#Totals],[Controlled lb/hr]]+standard_components_13[[#Totals],[Controlled
lb/hr]]))</f>
        <v>0</v>
      </c>
      <c r="J157" s="51">
        <f>IF(speciated_chemicals_18[[#This Row],[Inert / Not a Contaminant?]]="Yes", 0, speciated_chemicals_18[[#This Row],[Weight Percent]]*(unique_components_16[[#Totals],[Controlled
tpy]]+standard_components_13[[#Totals],[Controlled
tpy]]))</f>
        <v>0</v>
      </c>
    </row>
    <row r="158" spans="1:10" x14ac:dyDescent="0.2">
      <c r="A158" s="103"/>
      <c r="B158" s="51" t="str">
        <f>IFERROR(VLOOKUP(speciated_chemicals_18[[#This Row],[CAS '#]],species[],MATCH("Substance", species[#Headers], 0),FALSE),"No CAS Number Entered")</f>
        <v>No CAS Number Entered</v>
      </c>
      <c r="C158" s="102"/>
      <c r="D158" s="102" t="s">
        <v>12666</v>
      </c>
      <c r="E158" s="102" t="s">
        <v>12666</v>
      </c>
      <c r="F158" s="102" t="s">
        <v>12666</v>
      </c>
      <c r="G158" s="102" t="s">
        <v>12666</v>
      </c>
      <c r="H158" s="164"/>
      <c r="I158" s="51">
        <f>IF(speciated_chemicals_18[[#This Row],[Inert / Not a Contaminant?]]="Yes", 0, speciated_chemicals_18[[#This Row],[Weight Percent]]*(unique_components_16[[#Totals],[Controlled lb/hr]]+standard_components_13[[#Totals],[Controlled
lb/hr]]))</f>
        <v>0</v>
      </c>
      <c r="J158" s="51">
        <f>IF(speciated_chemicals_18[[#This Row],[Inert / Not a Contaminant?]]="Yes", 0, speciated_chemicals_18[[#This Row],[Weight Percent]]*(unique_components_16[[#Totals],[Controlled
tpy]]+standard_components_13[[#Totals],[Controlled
tpy]]))</f>
        <v>0</v>
      </c>
    </row>
    <row r="159" spans="1:10" x14ac:dyDescent="0.2">
      <c r="A159" s="103"/>
      <c r="B159" s="51" t="str">
        <f>IFERROR(VLOOKUP(speciated_chemicals_18[[#This Row],[CAS '#]],species[],MATCH("Substance", species[#Headers], 0),FALSE),"No CAS Number Entered")</f>
        <v>No CAS Number Entered</v>
      </c>
      <c r="C159" s="102"/>
      <c r="D159" s="102" t="s">
        <v>12666</v>
      </c>
      <c r="E159" s="102" t="s">
        <v>12666</v>
      </c>
      <c r="F159" s="102" t="s">
        <v>12666</v>
      </c>
      <c r="G159" s="102" t="s">
        <v>12666</v>
      </c>
      <c r="H159" s="164"/>
      <c r="I159" s="51">
        <f>IF(speciated_chemicals_18[[#This Row],[Inert / Not a Contaminant?]]="Yes", 0, speciated_chemicals_18[[#This Row],[Weight Percent]]*(unique_components_16[[#Totals],[Controlled lb/hr]]+standard_components_13[[#Totals],[Controlled
lb/hr]]))</f>
        <v>0</v>
      </c>
      <c r="J159" s="51">
        <f>IF(speciated_chemicals_18[[#This Row],[Inert / Not a Contaminant?]]="Yes", 0, speciated_chemicals_18[[#This Row],[Weight Percent]]*(unique_components_16[[#Totals],[Controlled
tpy]]+standard_components_13[[#Totals],[Controlled
tpy]]))</f>
        <v>0</v>
      </c>
    </row>
    <row r="160" spans="1:10" x14ac:dyDescent="0.2">
      <c r="A160" s="103"/>
      <c r="B160" s="51" t="str">
        <f>IFERROR(VLOOKUP(speciated_chemicals_18[[#This Row],[CAS '#]],species[],MATCH("Substance", species[#Headers], 0),FALSE),"No CAS Number Entered")</f>
        <v>No CAS Number Entered</v>
      </c>
      <c r="C160" s="102"/>
      <c r="D160" s="102" t="s">
        <v>12666</v>
      </c>
      <c r="E160" s="102" t="s">
        <v>12666</v>
      </c>
      <c r="F160" s="102" t="s">
        <v>12666</v>
      </c>
      <c r="G160" s="102" t="s">
        <v>12666</v>
      </c>
      <c r="H160" s="164"/>
      <c r="I160" s="51">
        <f>IF(speciated_chemicals_18[[#This Row],[Inert / Not a Contaminant?]]="Yes", 0, speciated_chemicals_18[[#This Row],[Weight Percent]]*(unique_components_16[[#Totals],[Controlled lb/hr]]+standard_components_13[[#Totals],[Controlled
lb/hr]]))</f>
        <v>0</v>
      </c>
      <c r="J160" s="51">
        <f>IF(speciated_chemicals_18[[#This Row],[Inert / Not a Contaminant?]]="Yes", 0, speciated_chemicals_18[[#This Row],[Weight Percent]]*(unique_components_16[[#Totals],[Controlled
tpy]]+standard_components_13[[#Totals],[Controlled
tpy]]))</f>
        <v>0</v>
      </c>
    </row>
    <row r="161" spans="1:10" x14ac:dyDescent="0.2">
      <c r="A161" s="103"/>
      <c r="B161" s="51" t="str">
        <f>IFERROR(VLOOKUP(speciated_chemicals_18[[#This Row],[CAS '#]],species[],MATCH("Substance", species[#Headers], 0),FALSE),"No CAS Number Entered")</f>
        <v>No CAS Number Entered</v>
      </c>
      <c r="C161" s="102"/>
      <c r="D161" s="102" t="s">
        <v>12666</v>
      </c>
      <c r="E161" s="102" t="s">
        <v>12666</v>
      </c>
      <c r="F161" s="102" t="s">
        <v>12666</v>
      </c>
      <c r="G161" s="102" t="s">
        <v>12666</v>
      </c>
      <c r="H161" s="164"/>
      <c r="I161" s="51">
        <f>IF(speciated_chemicals_18[[#This Row],[Inert / Not a Contaminant?]]="Yes", 0, speciated_chemicals_18[[#This Row],[Weight Percent]]*(unique_components_16[[#Totals],[Controlled lb/hr]]+standard_components_13[[#Totals],[Controlled
lb/hr]]))</f>
        <v>0</v>
      </c>
      <c r="J161" s="51">
        <f>IF(speciated_chemicals_18[[#This Row],[Inert / Not a Contaminant?]]="Yes", 0, speciated_chemicals_18[[#This Row],[Weight Percent]]*(unique_components_16[[#Totals],[Controlled
tpy]]+standard_components_13[[#Totals],[Controlled
tpy]]))</f>
        <v>0</v>
      </c>
    </row>
    <row r="162" spans="1:10" x14ac:dyDescent="0.2">
      <c r="A162" s="103"/>
      <c r="B162" s="51" t="str">
        <f>IFERROR(VLOOKUP(speciated_chemicals_18[[#This Row],[CAS '#]],species[],MATCH("Substance", species[#Headers], 0),FALSE),"No CAS Number Entered")</f>
        <v>No CAS Number Entered</v>
      </c>
      <c r="C162" s="102"/>
      <c r="D162" s="102" t="s">
        <v>12666</v>
      </c>
      <c r="E162" s="102" t="s">
        <v>12666</v>
      </c>
      <c r="F162" s="102" t="s">
        <v>12666</v>
      </c>
      <c r="G162" s="102" t="s">
        <v>12666</v>
      </c>
      <c r="H162" s="164"/>
      <c r="I162" s="51">
        <f>IF(speciated_chemicals_18[[#This Row],[Inert / Not a Contaminant?]]="Yes", 0, speciated_chemicals_18[[#This Row],[Weight Percent]]*(unique_components_16[[#Totals],[Controlled lb/hr]]+standard_components_13[[#Totals],[Controlled
lb/hr]]))</f>
        <v>0</v>
      </c>
      <c r="J162" s="51">
        <f>IF(speciated_chemicals_18[[#This Row],[Inert / Not a Contaminant?]]="Yes", 0, speciated_chemicals_18[[#This Row],[Weight Percent]]*(unique_components_16[[#Totals],[Controlled
tpy]]+standard_components_13[[#Totals],[Controlled
tpy]]))</f>
        <v>0</v>
      </c>
    </row>
    <row r="163" spans="1:10" x14ac:dyDescent="0.2">
      <c r="A163" s="103"/>
      <c r="B163" s="51" t="str">
        <f>IFERROR(VLOOKUP(speciated_chemicals_18[[#This Row],[CAS '#]],species[],MATCH("Substance", species[#Headers], 0),FALSE),"No CAS Number Entered")</f>
        <v>No CAS Number Entered</v>
      </c>
      <c r="C163" s="102"/>
      <c r="D163" s="102" t="s">
        <v>12666</v>
      </c>
      <c r="E163" s="102" t="s">
        <v>12666</v>
      </c>
      <c r="F163" s="102" t="s">
        <v>12666</v>
      </c>
      <c r="G163" s="102" t="s">
        <v>12666</v>
      </c>
      <c r="H163" s="164"/>
      <c r="I163" s="51">
        <f>IF(speciated_chemicals_18[[#This Row],[Inert / Not a Contaminant?]]="Yes", 0, speciated_chemicals_18[[#This Row],[Weight Percent]]*(unique_components_16[[#Totals],[Controlled lb/hr]]+standard_components_13[[#Totals],[Controlled
lb/hr]]))</f>
        <v>0</v>
      </c>
      <c r="J163" s="51">
        <f>IF(speciated_chemicals_18[[#This Row],[Inert / Not a Contaminant?]]="Yes", 0, speciated_chemicals_18[[#This Row],[Weight Percent]]*(unique_components_16[[#Totals],[Controlled
tpy]]+standard_components_13[[#Totals],[Controlled
tpy]]))</f>
        <v>0</v>
      </c>
    </row>
    <row r="164" spans="1:10" x14ac:dyDescent="0.2">
      <c r="A164" s="103"/>
      <c r="B164" s="51" t="str">
        <f>IFERROR(VLOOKUP(speciated_chemicals_18[[#This Row],[CAS '#]],species[],MATCH("Substance", species[#Headers], 0),FALSE),"No CAS Number Entered")</f>
        <v>No CAS Number Entered</v>
      </c>
      <c r="C164" s="102"/>
      <c r="D164" s="102" t="s">
        <v>12666</v>
      </c>
      <c r="E164" s="102" t="s">
        <v>12666</v>
      </c>
      <c r="F164" s="102" t="s">
        <v>12666</v>
      </c>
      <c r="G164" s="102" t="s">
        <v>12666</v>
      </c>
      <c r="H164" s="164"/>
      <c r="I164" s="51">
        <f>IF(speciated_chemicals_18[[#This Row],[Inert / Not a Contaminant?]]="Yes", 0, speciated_chemicals_18[[#This Row],[Weight Percent]]*(unique_components_16[[#Totals],[Controlled lb/hr]]+standard_components_13[[#Totals],[Controlled
lb/hr]]))</f>
        <v>0</v>
      </c>
      <c r="J164" s="51">
        <f>IF(speciated_chemicals_18[[#This Row],[Inert / Not a Contaminant?]]="Yes", 0, speciated_chemicals_18[[#This Row],[Weight Percent]]*(unique_components_16[[#Totals],[Controlled
tpy]]+standard_components_13[[#Totals],[Controlled
tpy]]))</f>
        <v>0</v>
      </c>
    </row>
    <row r="165" spans="1:10" x14ac:dyDescent="0.2">
      <c r="A165" s="103"/>
      <c r="B165" s="51" t="str">
        <f>IFERROR(VLOOKUP(speciated_chemicals_18[[#This Row],[CAS '#]],species[],MATCH("Substance", species[#Headers], 0),FALSE),"No CAS Number Entered")</f>
        <v>No CAS Number Entered</v>
      </c>
      <c r="C165" s="102"/>
      <c r="D165" s="102" t="s">
        <v>12666</v>
      </c>
      <c r="E165" s="102" t="s">
        <v>12666</v>
      </c>
      <c r="F165" s="102" t="s">
        <v>12666</v>
      </c>
      <c r="G165" s="102" t="s">
        <v>12666</v>
      </c>
      <c r="H165" s="164"/>
      <c r="I165" s="51">
        <f>IF(speciated_chemicals_18[[#This Row],[Inert / Not a Contaminant?]]="Yes", 0, speciated_chemicals_18[[#This Row],[Weight Percent]]*(unique_components_16[[#Totals],[Controlled lb/hr]]+standard_components_13[[#Totals],[Controlled
lb/hr]]))</f>
        <v>0</v>
      </c>
      <c r="J165" s="51">
        <f>IF(speciated_chemicals_18[[#This Row],[Inert / Not a Contaminant?]]="Yes", 0, speciated_chemicals_18[[#This Row],[Weight Percent]]*(unique_components_16[[#Totals],[Controlled
tpy]]+standard_components_13[[#Totals],[Controlled
tpy]]))</f>
        <v>0</v>
      </c>
    </row>
    <row r="166" spans="1:10" x14ac:dyDescent="0.2">
      <c r="A166" s="103"/>
      <c r="B166" s="51" t="str">
        <f>IFERROR(VLOOKUP(speciated_chemicals_18[[#This Row],[CAS '#]],species[],MATCH("Substance", species[#Headers], 0),FALSE),"No CAS Number Entered")</f>
        <v>No CAS Number Entered</v>
      </c>
      <c r="C166" s="102"/>
      <c r="D166" s="102" t="s">
        <v>12666</v>
      </c>
      <c r="E166" s="102" t="s">
        <v>12666</v>
      </c>
      <c r="F166" s="102" t="s">
        <v>12666</v>
      </c>
      <c r="G166" s="102" t="s">
        <v>12666</v>
      </c>
      <c r="H166" s="164"/>
      <c r="I166" s="51">
        <f>IF(speciated_chemicals_18[[#This Row],[Inert / Not a Contaminant?]]="Yes", 0, speciated_chemicals_18[[#This Row],[Weight Percent]]*(unique_components_16[[#Totals],[Controlled lb/hr]]+standard_components_13[[#Totals],[Controlled
lb/hr]]))</f>
        <v>0</v>
      </c>
      <c r="J166" s="51">
        <f>IF(speciated_chemicals_18[[#This Row],[Inert / Not a Contaminant?]]="Yes", 0, speciated_chemicals_18[[#This Row],[Weight Percent]]*(unique_components_16[[#Totals],[Controlled
tpy]]+standard_components_13[[#Totals],[Controlled
tpy]]))</f>
        <v>0</v>
      </c>
    </row>
    <row r="167" spans="1:10" x14ac:dyDescent="0.2">
      <c r="A167" s="103"/>
      <c r="B167" s="51" t="str">
        <f>IFERROR(VLOOKUP(speciated_chemicals_18[[#This Row],[CAS '#]],species[],MATCH("Substance", species[#Headers], 0),FALSE),"No CAS Number Entered")</f>
        <v>No CAS Number Entered</v>
      </c>
      <c r="C167" s="102"/>
      <c r="D167" s="102" t="s">
        <v>12666</v>
      </c>
      <c r="E167" s="102" t="s">
        <v>12666</v>
      </c>
      <c r="F167" s="102" t="s">
        <v>12666</v>
      </c>
      <c r="G167" s="102" t="s">
        <v>12666</v>
      </c>
      <c r="H167" s="164"/>
      <c r="I167" s="51">
        <f>IF(speciated_chemicals_18[[#This Row],[Inert / Not a Contaminant?]]="Yes", 0, speciated_chemicals_18[[#This Row],[Weight Percent]]*(unique_components_16[[#Totals],[Controlled lb/hr]]+standard_components_13[[#Totals],[Controlled
lb/hr]]))</f>
        <v>0</v>
      </c>
      <c r="J167" s="51">
        <f>IF(speciated_chemicals_18[[#This Row],[Inert / Not a Contaminant?]]="Yes", 0, speciated_chemicals_18[[#This Row],[Weight Percent]]*(unique_components_16[[#Totals],[Controlled
tpy]]+standard_components_13[[#Totals],[Controlled
tpy]]))</f>
        <v>0</v>
      </c>
    </row>
    <row r="168" spans="1:10" x14ac:dyDescent="0.2">
      <c r="A168" s="103"/>
      <c r="B168" s="51" t="str">
        <f>IFERROR(VLOOKUP(speciated_chemicals_18[[#This Row],[CAS '#]],species[],MATCH("Substance", species[#Headers], 0),FALSE),"No CAS Number Entered")</f>
        <v>No CAS Number Entered</v>
      </c>
      <c r="C168" s="102"/>
      <c r="D168" s="102" t="s">
        <v>12666</v>
      </c>
      <c r="E168" s="102" t="s">
        <v>12666</v>
      </c>
      <c r="F168" s="102" t="s">
        <v>12666</v>
      </c>
      <c r="G168" s="102" t="s">
        <v>12666</v>
      </c>
      <c r="H168" s="164"/>
      <c r="I168" s="51">
        <f>IF(speciated_chemicals_18[[#This Row],[Inert / Not a Contaminant?]]="Yes", 0, speciated_chemicals_18[[#This Row],[Weight Percent]]*(unique_components_16[[#Totals],[Controlled lb/hr]]+standard_components_13[[#Totals],[Controlled
lb/hr]]))</f>
        <v>0</v>
      </c>
      <c r="J168" s="51">
        <f>IF(speciated_chemicals_18[[#This Row],[Inert / Not a Contaminant?]]="Yes", 0, speciated_chemicals_18[[#This Row],[Weight Percent]]*(unique_components_16[[#Totals],[Controlled
tpy]]+standard_components_13[[#Totals],[Controlled
tpy]]))</f>
        <v>0</v>
      </c>
    </row>
    <row r="169" spans="1:10" x14ac:dyDescent="0.2">
      <c r="A169" s="103"/>
      <c r="B169" s="51" t="str">
        <f>IFERROR(VLOOKUP(speciated_chemicals_18[[#This Row],[CAS '#]],species[],MATCH("Substance", species[#Headers], 0),FALSE),"No CAS Number Entered")</f>
        <v>No CAS Number Entered</v>
      </c>
      <c r="C169" s="102"/>
      <c r="D169" s="102" t="s">
        <v>12666</v>
      </c>
      <c r="E169" s="102" t="s">
        <v>12666</v>
      </c>
      <c r="F169" s="102" t="s">
        <v>12666</v>
      </c>
      <c r="G169" s="102" t="s">
        <v>12666</v>
      </c>
      <c r="H169" s="164"/>
      <c r="I169" s="51">
        <f>IF(speciated_chemicals_18[[#This Row],[Inert / Not a Contaminant?]]="Yes", 0, speciated_chemicals_18[[#This Row],[Weight Percent]]*(unique_components_16[[#Totals],[Controlled lb/hr]]+standard_components_13[[#Totals],[Controlled
lb/hr]]))</f>
        <v>0</v>
      </c>
      <c r="J169" s="51">
        <f>IF(speciated_chemicals_18[[#This Row],[Inert / Not a Contaminant?]]="Yes", 0, speciated_chemicals_18[[#This Row],[Weight Percent]]*(unique_components_16[[#Totals],[Controlled
tpy]]+standard_components_13[[#Totals],[Controlled
tpy]]))</f>
        <v>0</v>
      </c>
    </row>
    <row r="170" spans="1:10" x14ac:dyDescent="0.2">
      <c r="A170" s="103"/>
      <c r="B170" s="51" t="str">
        <f>IFERROR(VLOOKUP(speciated_chemicals_18[[#This Row],[CAS '#]],species[],MATCH("Substance", species[#Headers], 0),FALSE),"No CAS Number Entered")</f>
        <v>No CAS Number Entered</v>
      </c>
      <c r="C170" s="102"/>
      <c r="D170" s="102" t="s">
        <v>12666</v>
      </c>
      <c r="E170" s="102" t="s">
        <v>12666</v>
      </c>
      <c r="F170" s="102" t="s">
        <v>12666</v>
      </c>
      <c r="G170" s="102" t="s">
        <v>12666</v>
      </c>
      <c r="H170" s="164"/>
      <c r="I170" s="51">
        <f>IF(speciated_chemicals_18[[#This Row],[Inert / Not a Contaminant?]]="Yes", 0, speciated_chemicals_18[[#This Row],[Weight Percent]]*(unique_components_16[[#Totals],[Controlled lb/hr]]+standard_components_13[[#Totals],[Controlled
lb/hr]]))</f>
        <v>0</v>
      </c>
      <c r="J170" s="51">
        <f>IF(speciated_chemicals_18[[#This Row],[Inert / Not a Contaminant?]]="Yes", 0, speciated_chemicals_18[[#This Row],[Weight Percent]]*(unique_components_16[[#Totals],[Controlled
tpy]]+standard_components_13[[#Totals],[Controlled
tpy]]))</f>
        <v>0</v>
      </c>
    </row>
    <row r="171" spans="1:10" x14ac:dyDescent="0.2">
      <c r="A171" s="103"/>
      <c r="B171" s="51" t="str">
        <f>IFERROR(VLOOKUP(speciated_chemicals_18[[#This Row],[CAS '#]],species[],MATCH("Substance", species[#Headers], 0),FALSE),"No CAS Number Entered")</f>
        <v>No CAS Number Entered</v>
      </c>
      <c r="C171" s="102"/>
      <c r="D171" s="102" t="s">
        <v>12666</v>
      </c>
      <c r="E171" s="102" t="s">
        <v>12666</v>
      </c>
      <c r="F171" s="102" t="s">
        <v>12666</v>
      </c>
      <c r="G171" s="102" t="s">
        <v>12666</v>
      </c>
      <c r="H171" s="164"/>
      <c r="I171" s="51">
        <f>IF(speciated_chemicals_18[[#This Row],[Inert / Not a Contaminant?]]="Yes", 0, speciated_chemicals_18[[#This Row],[Weight Percent]]*(unique_components_16[[#Totals],[Controlled lb/hr]]+standard_components_13[[#Totals],[Controlled
lb/hr]]))</f>
        <v>0</v>
      </c>
      <c r="J171" s="51">
        <f>IF(speciated_chemicals_18[[#This Row],[Inert / Not a Contaminant?]]="Yes", 0, speciated_chemicals_18[[#This Row],[Weight Percent]]*(unique_components_16[[#Totals],[Controlled
tpy]]+standard_components_13[[#Totals],[Controlled
tpy]]))</f>
        <v>0</v>
      </c>
    </row>
    <row r="172" spans="1:10" x14ac:dyDescent="0.2">
      <c r="A172" s="103"/>
      <c r="B172" s="51" t="str">
        <f>IFERROR(VLOOKUP(speciated_chemicals_18[[#This Row],[CAS '#]],species[],MATCH("Substance", species[#Headers], 0),FALSE),"No CAS Number Entered")</f>
        <v>No CAS Number Entered</v>
      </c>
      <c r="C172" s="102"/>
      <c r="D172" s="102" t="s">
        <v>12666</v>
      </c>
      <c r="E172" s="102" t="s">
        <v>12666</v>
      </c>
      <c r="F172" s="102" t="s">
        <v>12666</v>
      </c>
      <c r="G172" s="102" t="s">
        <v>12666</v>
      </c>
      <c r="H172" s="164"/>
      <c r="I172" s="51">
        <f>IF(speciated_chemicals_18[[#This Row],[Inert / Not a Contaminant?]]="Yes", 0, speciated_chemicals_18[[#This Row],[Weight Percent]]*(unique_components_16[[#Totals],[Controlled lb/hr]]+standard_components_13[[#Totals],[Controlled
lb/hr]]))</f>
        <v>0</v>
      </c>
      <c r="J172" s="51">
        <f>IF(speciated_chemicals_18[[#This Row],[Inert / Not a Contaminant?]]="Yes", 0, speciated_chemicals_18[[#This Row],[Weight Percent]]*(unique_components_16[[#Totals],[Controlled
tpy]]+standard_components_13[[#Totals],[Controlled
tpy]]))</f>
        <v>0</v>
      </c>
    </row>
    <row r="173" spans="1:10" x14ac:dyDescent="0.2">
      <c r="A173" s="103"/>
      <c r="B173" s="51" t="str">
        <f>IFERROR(VLOOKUP(speciated_chemicals_18[[#This Row],[CAS '#]],species[],MATCH("Substance", species[#Headers], 0),FALSE),"No CAS Number Entered")</f>
        <v>No CAS Number Entered</v>
      </c>
      <c r="C173" s="102"/>
      <c r="D173" s="102" t="s">
        <v>12666</v>
      </c>
      <c r="E173" s="102" t="s">
        <v>12666</v>
      </c>
      <c r="F173" s="102" t="s">
        <v>12666</v>
      </c>
      <c r="G173" s="102" t="s">
        <v>12666</v>
      </c>
      <c r="H173" s="164"/>
      <c r="I173" s="51">
        <f>IF(speciated_chemicals_18[[#This Row],[Inert / Not a Contaminant?]]="Yes", 0, speciated_chemicals_18[[#This Row],[Weight Percent]]*(unique_components_16[[#Totals],[Controlled lb/hr]]+standard_components_13[[#Totals],[Controlled
lb/hr]]))</f>
        <v>0</v>
      </c>
      <c r="J173" s="51">
        <f>IF(speciated_chemicals_18[[#This Row],[Inert / Not a Contaminant?]]="Yes", 0, speciated_chemicals_18[[#This Row],[Weight Percent]]*(unique_components_16[[#Totals],[Controlled
tpy]]+standard_components_13[[#Totals],[Controlled
tpy]]))</f>
        <v>0</v>
      </c>
    </row>
    <row r="174" spans="1:10" x14ac:dyDescent="0.2">
      <c r="A174" s="103"/>
      <c r="B174" s="51" t="str">
        <f>IFERROR(VLOOKUP(speciated_chemicals_18[[#This Row],[CAS '#]],species[],MATCH("Substance", species[#Headers], 0),FALSE),"No CAS Number Entered")</f>
        <v>No CAS Number Entered</v>
      </c>
      <c r="C174" s="102"/>
      <c r="D174" s="102" t="s">
        <v>12666</v>
      </c>
      <c r="E174" s="102" t="s">
        <v>12666</v>
      </c>
      <c r="F174" s="102" t="s">
        <v>12666</v>
      </c>
      <c r="G174" s="102" t="s">
        <v>12666</v>
      </c>
      <c r="H174" s="164"/>
      <c r="I174" s="51">
        <f>IF(speciated_chemicals_18[[#This Row],[Inert / Not a Contaminant?]]="Yes", 0, speciated_chemicals_18[[#This Row],[Weight Percent]]*(unique_components_16[[#Totals],[Controlled lb/hr]]+standard_components_13[[#Totals],[Controlled
lb/hr]]))</f>
        <v>0</v>
      </c>
      <c r="J174" s="51">
        <f>IF(speciated_chemicals_18[[#This Row],[Inert / Not a Contaminant?]]="Yes", 0, speciated_chemicals_18[[#This Row],[Weight Percent]]*(unique_components_16[[#Totals],[Controlled
tpy]]+standard_components_13[[#Totals],[Controlled
tpy]]))</f>
        <v>0</v>
      </c>
    </row>
    <row r="175" spans="1:10" x14ac:dyDescent="0.2">
      <c r="A175" s="103"/>
      <c r="B175" s="51" t="str">
        <f>IFERROR(VLOOKUP(speciated_chemicals_18[[#This Row],[CAS '#]],species[],MATCH("Substance", species[#Headers], 0),FALSE),"No CAS Number Entered")</f>
        <v>No CAS Number Entered</v>
      </c>
      <c r="C175" s="102"/>
      <c r="D175" s="102" t="s">
        <v>12666</v>
      </c>
      <c r="E175" s="102" t="s">
        <v>12666</v>
      </c>
      <c r="F175" s="102" t="s">
        <v>12666</v>
      </c>
      <c r="G175" s="102" t="s">
        <v>12666</v>
      </c>
      <c r="H175" s="164"/>
      <c r="I175" s="51">
        <f>IF(speciated_chemicals_18[[#This Row],[Inert / Not a Contaminant?]]="Yes", 0, speciated_chemicals_18[[#This Row],[Weight Percent]]*(unique_components_16[[#Totals],[Controlled lb/hr]]+standard_components_13[[#Totals],[Controlled
lb/hr]]))</f>
        <v>0</v>
      </c>
      <c r="J175" s="51">
        <f>IF(speciated_chemicals_18[[#This Row],[Inert / Not a Contaminant?]]="Yes", 0, speciated_chemicals_18[[#This Row],[Weight Percent]]*(unique_components_16[[#Totals],[Controlled
tpy]]+standard_components_13[[#Totals],[Controlled
tpy]]))</f>
        <v>0</v>
      </c>
    </row>
    <row r="176" spans="1:10" x14ac:dyDescent="0.2">
      <c r="A176" s="165"/>
      <c r="B176" s="51" t="str">
        <f>IFERROR(VLOOKUP(speciated_chemicals_18[[#This Row],[CAS '#]],species[],MATCH("Substance", species[#Headers], 0),FALSE),"No CAS Number Entered")</f>
        <v>No CAS Number Entered</v>
      </c>
      <c r="C176" s="102"/>
      <c r="D176" s="102" t="s">
        <v>12666</v>
      </c>
      <c r="E176" s="102" t="s">
        <v>12666</v>
      </c>
      <c r="F176" s="102" t="s">
        <v>12666</v>
      </c>
      <c r="G176" s="102" t="s">
        <v>12666</v>
      </c>
      <c r="H176" s="164"/>
      <c r="I176" s="51">
        <f>IF(speciated_chemicals_18[[#This Row],[Inert / Not a Contaminant?]]="Yes", 0, speciated_chemicals_18[[#This Row],[Weight Percent]]*(unique_components_16[[#Totals],[Controlled lb/hr]]+standard_components_13[[#Totals],[Controlled
lb/hr]]))</f>
        <v>0</v>
      </c>
      <c r="J176" s="51">
        <f>IF(speciated_chemicals_18[[#This Row],[Inert / Not a Contaminant?]]="Yes", 0, speciated_chemicals_18[[#This Row],[Weight Percent]]*(unique_components_16[[#Totals],[Controlled
tpy]]+standard_components_13[[#Totals],[Controlled
tpy]]))</f>
        <v>0</v>
      </c>
    </row>
    <row r="177" spans="1:10" x14ac:dyDescent="0.2">
      <c r="A177" s="103"/>
      <c r="B177" s="51" t="str">
        <f>IFERROR(VLOOKUP(speciated_chemicals_18[[#This Row],[CAS '#]],species[],MATCH("Substance", species[#Headers], 0),FALSE),"No CAS Number Entered")</f>
        <v>No CAS Number Entered</v>
      </c>
      <c r="C177" s="102"/>
      <c r="D177" s="102" t="s">
        <v>12666</v>
      </c>
      <c r="E177" s="102" t="s">
        <v>12666</v>
      </c>
      <c r="F177" s="102" t="s">
        <v>12666</v>
      </c>
      <c r="G177" s="102" t="s">
        <v>12666</v>
      </c>
      <c r="H177" s="164"/>
      <c r="I177" s="51">
        <f>IF(speciated_chemicals_18[[#This Row],[Inert / Not a Contaminant?]]="Yes", 0, speciated_chemicals_18[[#This Row],[Weight Percent]]*(unique_components_16[[#Totals],[Controlled lb/hr]]+standard_components_13[[#Totals],[Controlled
lb/hr]]))</f>
        <v>0</v>
      </c>
      <c r="J177" s="51">
        <f>IF(speciated_chemicals_18[[#This Row],[Inert / Not a Contaminant?]]="Yes", 0, speciated_chemicals_18[[#This Row],[Weight Percent]]*(unique_components_16[[#Totals],[Controlled
tpy]]+standard_components_13[[#Totals],[Controlled
tpy]]))</f>
        <v>0</v>
      </c>
    </row>
    <row r="178" spans="1:10" x14ac:dyDescent="0.2">
      <c r="A178" s="103"/>
      <c r="B178" s="51" t="str">
        <f>IFERROR(VLOOKUP(speciated_chemicals_18[[#This Row],[CAS '#]],species[],MATCH("Substance", species[#Headers], 0),FALSE),"No CAS Number Entered")</f>
        <v>No CAS Number Entered</v>
      </c>
      <c r="C178" s="102"/>
      <c r="D178" s="102" t="s">
        <v>12666</v>
      </c>
      <c r="E178" s="102" t="s">
        <v>12666</v>
      </c>
      <c r="F178" s="102" t="s">
        <v>12666</v>
      </c>
      <c r="G178" s="102" t="s">
        <v>12666</v>
      </c>
      <c r="H178" s="164"/>
      <c r="I178" s="51">
        <f>IF(speciated_chemicals_18[[#This Row],[Inert / Not a Contaminant?]]="Yes", 0, speciated_chemicals_18[[#This Row],[Weight Percent]]*(unique_components_16[[#Totals],[Controlled lb/hr]]+standard_components_13[[#Totals],[Controlled
lb/hr]]))</f>
        <v>0</v>
      </c>
      <c r="J178" s="51">
        <f>IF(speciated_chemicals_18[[#This Row],[Inert / Not a Contaminant?]]="Yes", 0, speciated_chemicals_18[[#This Row],[Weight Percent]]*(unique_components_16[[#Totals],[Controlled
tpy]]+standard_components_13[[#Totals],[Controlled
tpy]]))</f>
        <v>0</v>
      </c>
    </row>
    <row r="179" spans="1:10" x14ac:dyDescent="0.2">
      <c r="A179" s="103"/>
      <c r="B179" s="51" t="str">
        <f>IFERROR(VLOOKUP(speciated_chemicals_18[[#This Row],[CAS '#]],species[],MATCH("Substance", species[#Headers], 0),FALSE),"No CAS Number Entered")</f>
        <v>No CAS Number Entered</v>
      </c>
      <c r="C179" s="102"/>
      <c r="D179" s="102" t="s">
        <v>12666</v>
      </c>
      <c r="E179" s="102" t="s">
        <v>12666</v>
      </c>
      <c r="F179" s="102" t="s">
        <v>12666</v>
      </c>
      <c r="G179" s="102" t="s">
        <v>12666</v>
      </c>
      <c r="H179" s="164"/>
      <c r="I179" s="51">
        <f>IF(speciated_chemicals_18[[#This Row],[Inert / Not a Contaminant?]]="Yes", 0, speciated_chemicals_18[[#This Row],[Weight Percent]]*(unique_components_16[[#Totals],[Controlled lb/hr]]+standard_components_13[[#Totals],[Controlled
lb/hr]]))</f>
        <v>0</v>
      </c>
      <c r="J179" s="51">
        <f>IF(speciated_chemicals_18[[#This Row],[Inert / Not a Contaminant?]]="Yes", 0, speciated_chemicals_18[[#This Row],[Weight Percent]]*(unique_components_16[[#Totals],[Controlled
tpy]]+standard_components_13[[#Totals],[Controlled
tpy]]))</f>
        <v>0</v>
      </c>
    </row>
    <row r="180" spans="1:10" x14ac:dyDescent="0.2">
      <c r="A180" s="103"/>
      <c r="B180" s="51" t="str">
        <f>IFERROR(VLOOKUP(speciated_chemicals_18[[#This Row],[CAS '#]],species[],MATCH("Substance", species[#Headers], 0),FALSE),"No CAS Number Entered")</f>
        <v>No CAS Number Entered</v>
      </c>
      <c r="C180" s="102"/>
      <c r="D180" s="102" t="s">
        <v>12666</v>
      </c>
      <c r="E180" s="102" t="s">
        <v>12666</v>
      </c>
      <c r="F180" s="102" t="s">
        <v>12666</v>
      </c>
      <c r="G180" s="102" t="s">
        <v>12666</v>
      </c>
      <c r="H180" s="164"/>
      <c r="I180" s="51">
        <f>IF(speciated_chemicals_18[[#This Row],[Inert / Not a Contaminant?]]="Yes", 0, speciated_chemicals_18[[#This Row],[Weight Percent]]*(unique_components_16[[#Totals],[Controlled lb/hr]]+standard_components_13[[#Totals],[Controlled
lb/hr]]))</f>
        <v>0</v>
      </c>
      <c r="J180" s="51">
        <f>IF(speciated_chemicals_18[[#This Row],[Inert / Not a Contaminant?]]="Yes", 0, speciated_chemicals_18[[#This Row],[Weight Percent]]*(unique_components_16[[#Totals],[Controlled
tpy]]+standard_components_13[[#Totals],[Controlled
tpy]]))</f>
        <v>0</v>
      </c>
    </row>
    <row r="181" spans="1:10" ht="30" x14ac:dyDescent="0.2">
      <c r="A181" s="184" t="s">
        <v>12705</v>
      </c>
      <c r="B181" s="52"/>
      <c r="C181" s="53"/>
      <c r="D181" s="52"/>
      <c r="E181" s="52"/>
      <c r="F181" s="52"/>
      <c r="G181" s="52"/>
      <c r="H181" s="166">
        <f>SUBTOTAL(109,speciated_chemicals_18[Weight Percent])</f>
        <v>0</v>
      </c>
      <c r="I181" s="167">
        <f>SUBTOTAL(109,speciated_chemicals_18[lb/hr])</f>
        <v>0</v>
      </c>
      <c r="J181" s="167">
        <f>SUBTOTAL(109,speciated_chemicals_18[tpy])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MATCH(speciated_ghg_19[[#This Row],[CAS '#]], gwp_table[CAS No.], 0), MATCH("Name", gwp_table[#Headers], 0)),"No CAS Number Entered")</f>
        <v>No CAS Number Entered</v>
      </c>
      <c r="C185" s="79" t="str">
        <f>IFERROR(INDEX(gwp_table[], MATCH(speciated_ghg_19[[#This Row],[CAS '#]], gwp_table[CAS No.], 0), MATCH("Global warming potential", gwp_table[#Headers], 0)),"No CAS Number Entered")</f>
        <v>No CAS Number Entered</v>
      </c>
      <c r="D185" s="219"/>
      <c r="E185" s="79">
        <f>IFERROR(speciated_ghg_19[[#This Row],[Weight Percent]]*(unique_components_16[[#Totals],[Controlled
tpy]]+standard_components_13[[#Totals],[Controlled
tpy]]), "-")</f>
        <v>0</v>
      </c>
      <c r="F185" s="81" t="str">
        <f>IFERROR(speciated_ghg_19[[#This Row],[Mass Emissions (U.S. tons per year)]]*speciated_ghg_19[[#This Row],[Global Warming Potential (GWP)]], "-")</f>
        <v>-</v>
      </c>
      <c r="G185" s="30"/>
      <c r="H185" s="168"/>
      <c r="I185" s="168"/>
    </row>
    <row r="186" spans="1:10" x14ac:dyDescent="0.2">
      <c r="A186" s="210"/>
      <c r="B186" s="79" t="str">
        <f>IFERROR(INDEX(gwp_table[], MATCH(speciated_ghg_19[[#This Row],[CAS '#]], gwp_table[CAS No.], 0), MATCH("Name", gwp_table[#Headers], 0)),"No CAS Number Entered")</f>
        <v>No CAS Number Entered</v>
      </c>
      <c r="C186" s="79" t="str">
        <f>IFERROR(INDEX(gwp_table[], MATCH(speciated_ghg_19[[#This Row],[CAS '#]], gwp_table[CAS No.], 0), MATCH("Global warming potential", gwp_table[#Headers], 0)),"No CAS Number Entered")</f>
        <v>No CAS Number Entered</v>
      </c>
      <c r="D186" s="219"/>
      <c r="E186" s="79">
        <f>IFERROR(speciated_ghg_19[[#This Row],[Weight Percent]]*(unique_components_16[[#Totals],[Controlled
tpy]]+standard_components_13[[#Totals],[Controlled
tpy]]), "-")</f>
        <v>0</v>
      </c>
      <c r="F186" s="81" t="str">
        <f>IFERROR(speciated_ghg_19[[#This Row],[Mass Emissions (U.S. tons per year)]]*speciated_ghg_19[[#This Row],[Global Warming Potential (GWP)]], "-")</f>
        <v>-</v>
      </c>
      <c r="G186" s="30"/>
      <c r="H186" s="168"/>
      <c r="I186" s="168"/>
    </row>
    <row r="187" spans="1:10" x14ac:dyDescent="0.2">
      <c r="A187" s="210"/>
      <c r="B187" s="79" t="str">
        <f>IFERROR(INDEX(gwp_table[], MATCH(speciated_ghg_19[[#This Row],[CAS '#]], gwp_table[CAS No.], 0), MATCH("Name", gwp_table[#Headers], 0)),"No CAS Number Entered")</f>
        <v>No CAS Number Entered</v>
      </c>
      <c r="C187" s="79" t="str">
        <f>IFERROR(INDEX(gwp_table[], MATCH(speciated_ghg_19[[#This Row],[CAS '#]], gwp_table[CAS No.], 0), MATCH("Global warming potential", gwp_table[#Headers], 0)),"No CAS Number Entered")</f>
        <v>No CAS Number Entered</v>
      </c>
      <c r="D187" s="219"/>
      <c r="E187" s="79">
        <f>IFERROR(speciated_ghg_19[[#This Row],[Weight Percent]]*(unique_components_16[[#Totals],[Controlled
tpy]]+standard_components_13[[#Totals],[Controlled
tpy]]), "-")</f>
        <v>0</v>
      </c>
      <c r="F187" s="81" t="str">
        <f>IFERROR(speciated_ghg_19[[#This Row],[Mass Emissions (U.S. tons per year)]]*speciated_ghg_19[[#This Row],[Global Warming Potential (GWP)]], "-")</f>
        <v>-</v>
      </c>
      <c r="G187" s="30"/>
      <c r="H187" s="168"/>
      <c r="I187" s="168"/>
    </row>
    <row r="188" spans="1:10" x14ac:dyDescent="0.2">
      <c r="A188" s="210"/>
      <c r="B188" s="79" t="str">
        <f>IFERROR(INDEX(gwp_table[], MATCH(speciated_ghg_19[[#This Row],[CAS '#]], gwp_table[CAS No.], 0), MATCH("Name", gwp_table[#Headers], 0)),"No CAS Number Entered")</f>
        <v>No CAS Number Entered</v>
      </c>
      <c r="C188" s="79" t="str">
        <f>IFERROR(INDEX(gwp_table[], MATCH(speciated_ghg_19[[#This Row],[CAS '#]], gwp_table[CAS No.], 0), MATCH("Global warming potential", gwp_table[#Headers], 0)),"No CAS Number Entered")</f>
        <v>No CAS Number Entered</v>
      </c>
      <c r="D188" s="219"/>
      <c r="E188" s="79">
        <f>IFERROR(speciated_ghg_19[[#This Row],[Weight Percent]]*(unique_components_16[[#Totals],[Controlled
tpy]]+standard_components_13[[#Totals],[Controlled
tpy]]), "-")</f>
        <v>0</v>
      </c>
      <c r="F188" s="81" t="str">
        <f>IFERROR(speciated_ghg_19[[#This Row],[Mass Emissions (U.S. tons per year)]]*speciated_ghg_19[[#This Row],[Global Warming Potential (GWP)]], "-")</f>
        <v>-</v>
      </c>
      <c r="G188" s="30"/>
      <c r="H188" s="168"/>
      <c r="I188" s="168"/>
    </row>
    <row r="189" spans="1:10" x14ac:dyDescent="0.2">
      <c r="A189" s="210"/>
      <c r="B189" s="79" t="str">
        <f>IFERROR(INDEX(gwp_table[], MATCH(speciated_ghg_19[[#This Row],[CAS '#]], gwp_table[CAS No.], 0), MATCH("Name", gwp_table[#Headers], 0)),"No CAS Number Entered")</f>
        <v>No CAS Number Entered</v>
      </c>
      <c r="C189" s="79" t="str">
        <f>IFERROR(INDEX(gwp_table[], MATCH(speciated_ghg_19[[#This Row],[CAS '#]], gwp_table[CAS No.], 0), MATCH("Global warming potential", gwp_table[#Headers], 0)),"No CAS Number Entered")</f>
        <v>No CAS Number Entered</v>
      </c>
      <c r="D189" s="219"/>
      <c r="E189" s="79">
        <f>IFERROR(speciated_ghg_19[[#This Row],[Weight Percent]]*(unique_components_16[[#Totals],[Controlled
tpy]]+standard_components_13[[#Totals],[Controlled
tpy]]), "-")</f>
        <v>0</v>
      </c>
      <c r="F189" s="81" t="str">
        <f>IFERROR(speciated_ghg_19[[#This Row],[Mass Emissions (U.S. tons per year)]]*speciated_ghg_19[[#This Row],[Global Warming Potential (GWP)]], "-")</f>
        <v>-</v>
      </c>
      <c r="G189" s="30"/>
      <c r="H189" s="168"/>
      <c r="I189" s="168"/>
    </row>
    <row r="190" spans="1:10" x14ac:dyDescent="0.2">
      <c r="A190" s="210"/>
      <c r="B190" s="79" t="str">
        <f>IFERROR(INDEX(gwp_table[], MATCH(speciated_ghg_19[[#This Row],[CAS '#]], gwp_table[CAS No.], 0), MATCH("Name", gwp_table[#Headers], 0)),"No CAS Number Entered")</f>
        <v>No CAS Number Entered</v>
      </c>
      <c r="C190" s="79" t="str">
        <f>IFERROR(INDEX(gwp_table[], MATCH(speciated_ghg_19[[#This Row],[CAS '#]], gwp_table[CAS No.], 0), MATCH("Global warming potential", gwp_table[#Headers], 0)),"No CAS Number Entered")</f>
        <v>No CAS Number Entered</v>
      </c>
      <c r="D190" s="219"/>
      <c r="E190" s="79">
        <f>IFERROR(speciated_ghg_19[[#This Row],[Weight Percent]]*(unique_components_16[[#Totals],[Controlled
tpy]]+standard_components_13[[#Totals],[Controlled
tpy]]), "-")</f>
        <v>0</v>
      </c>
      <c r="F190" s="81" t="str">
        <f>IFERROR(speciated_ghg_19[[#This Row],[Mass Emissions (U.S. tons per year)]]*speciated_ghg_19[[#This Row],[Global Warming Potential (GWP)]], "-")</f>
        <v>-</v>
      </c>
      <c r="G190" s="30"/>
      <c r="H190" s="168"/>
      <c r="I190" s="168"/>
    </row>
    <row r="191" spans="1:10" x14ac:dyDescent="0.2">
      <c r="A191" s="210"/>
      <c r="B191" s="79" t="str">
        <f>IFERROR(INDEX(gwp_table[], MATCH(speciated_ghg_19[[#This Row],[CAS '#]], gwp_table[CAS No.], 0), MATCH("Name", gwp_table[#Headers], 0)),"No CAS Number Entered")</f>
        <v>No CAS Number Entered</v>
      </c>
      <c r="C191" s="79" t="str">
        <f>IFERROR(INDEX(gwp_table[], MATCH(speciated_ghg_19[[#This Row],[CAS '#]], gwp_table[CAS No.], 0), MATCH("Global warming potential", gwp_table[#Headers], 0)),"No CAS Number Entered")</f>
        <v>No CAS Number Entered</v>
      </c>
      <c r="D191" s="219"/>
      <c r="E191" s="79">
        <f>IFERROR(speciated_ghg_19[[#This Row],[Weight Percent]]*(unique_components_16[[#Totals],[Controlled
tpy]]+standard_components_13[[#Totals],[Controlled
tpy]]), "-")</f>
        <v>0</v>
      </c>
      <c r="F191" s="81" t="str">
        <f>IFERROR(speciated_ghg_19[[#This Row],[Mass Emissions (U.S. tons per year)]]*speciated_ghg_19[[#This Row],[Global Warming Potential (GWP)]], "-")</f>
        <v>-</v>
      </c>
      <c r="G191" s="17"/>
    </row>
    <row r="192" spans="1:10" ht="15" x14ac:dyDescent="0.25">
      <c r="A192" s="210"/>
      <c r="B192" s="79" t="str">
        <f>IFERROR(INDEX(gwp_table[], MATCH(speciated_ghg_19[[#This Row],[CAS '#]], gwp_table[CAS No.], 0), MATCH("Name", gwp_table[#Headers], 0)),"No CAS Number Entered")</f>
        <v>No CAS Number Entered</v>
      </c>
      <c r="C192" s="79" t="str">
        <f>IFERROR(INDEX(gwp_table[], MATCH(speciated_ghg_19[[#This Row],[CAS '#]], gwp_table[CAS No.], 0), MATCH("Global warming potential", gwp_table[#Headers], 0)),"No CAS Number Entered")</f>
        <v>No CAS Number Entered</v>
      </c>
      <c r="D192" s="219"/>
      <c r="E192" s="79">
        <f>IFERROR(speciated_ghg_19[[#This Row],[Weight Percent]]*(unique_components_16[[#Totals],[Controlled
tpy]]+standard_components_13[[#Totals],[Controlled
tpy]]), "-")</f>
        <v>0</v>
      </c>
      <c r="F192" s="81" t="str">
        <f>IFERROR(speciated_ghg_19[[#This Row],[Mass Emissions (U.S. tons per year)]]*speciated_ghg_19[[#This Row],[Global Warming Potential (GWP)]], "-")</f>
        <v>-</v>
      </c>
      <c r="G192" s="134"/>
      <c r="H192" s="169"/>
    </row>
    <row r="193" spans="1:9" ht="15" x14ac:dyDescent="0.25">
      <c r="A193" s="210"/>
      <c r="B193" s="79" t="str">
        <f>IFERROR(INDEX(gwp_table[], MATCH(speciated_ghg_19[[#This Row],[CAS '#]], gwp_table[CAS No.], 0), MATCH("Name", gwp_table[#Headers], 0)),"No CAS Number Entered")</f>
        <v>No CAS Number Entered</v>
      </c>
      <c r="C193" s="79" t="str">
        <f>IFERROR(INDEX(gwp_table[], MATCH(speciated_ghg_19[[#This Row],[CAS '#]], gwp_table[CAS No.], 0), MATCH("Global warming potential", gwp_table[#Headers], 0)),"No CAS Number Entered")</f>
        <v>No CAS Number Entered</v>
      </c>
      <c r="D193" s="219"/>
      <c r="E193" s="79">
        <f>IFERROR(speciated_ghg_19[[#This Row],[Weight Percent]]*(unique_components_16[[#Totals],[Controlled
tpy]]+standard_components_13[[#Totals],[Controlled
tpy]]), "-")</f>
        <v>0</v>
      </c>
      <c r="F193" s="81" t="str">
        <f>IFERROR(speciated_ghg_19[[#This Row],[Mass Emissions (U.S. tons per year)]]*speciated_ghg_19[[#This Row],[Global Warming Potential (GWP)]], "-")</f>
        <v>-</v>
      </c>
      <c r="G193" s="134"/>
      <c r="H193" s="169"/>
    </row>
    <row r="194" spans="1:9" ht="15" x14ac:dyDescent="0.25">
      <c r="A194" s="210"/>
      <c r="B194" s="79" t="str">
        <f>IFERROR(INDEX(gwp_table[], MATCH(speciated_ghg_19[[#This Row],[CAS '#]], gwp_table[CAS No.], 0), MATCH("Name", gwp_table[#Headers], 0)),"No CAS Number Entered")</f>
        <v>No CAS Number Entered</v>
      </c>
      <c r="C194" s="79" t="str">
        <f>IFERROR(INDEX(gwp_table[], MATCH(speciated_ghg_19[[#This Row],[CAS '#]], gwp_table[CAS No.], 0), MATCH("Global warming potential", gwp_table[#Headers], 0)),"No CAS Number Entered")</f>
        <v>No CAS Number Entered</v>
      </c>
      <c r="D194" s="219"/>
      <c r="E194" s="79">
        <f>IFERROR(speciated_ghg_19[[#This Row],[Weight Percent]]*(unique_components_16[[#Totals],[Controlled
tpy]]+standard_components_13[[#Totals],[Controlled
tpy]]), "-")</f>
        <v>0</v>
      </c>
      <c r="F194" s="81" t="str">
        <f>IFERROR(speciated_ghg_19[[#This Row],[Mass Emissions (U.S. tons per year)]]*speciated_ghg_19[[#This Row],[Global Warming Potential (GWP)]], "-")</f>
        <v>-</v>
      </c>
      <c r="G194" s="134"/>
      <c r="H194" s="169"/>
    </row>
    <row r="195" spans="1:9" x14ac:dyDescent="0.2">
      <c r="A195" s="210"/>
      <c r="B195" s="79" t="str">
        <f>IFERROR(INDEX(gwp_table[], MATCH(speciated_ghg_19[[#This Row],[CAS '#]], gwp_table[CAS No.], 0), MATCH("Name", gwp_table[#Headers], 0)),"No CAS Number Entered")</f>
        <v>No CAS Number Entered</v>
      </c>
      <c r="C195" s="79" t="str">
        <f>IFERROR(INDEX(gwp_table[], MATCH(speciated_ghg_19[[#This Row],[CAS '#]], gwp_table[CAS No.], 0), MATCH("Global warming potential", gwp_table[#Headers], 0)),"No CAS Number Entered")</f>
        <v>No CAS Number Entered</v>
      </c>
      <c r="D195" s="219"/>
      <c r="E195" s="79">
        <f>IFERROR(speciated_ghg_19[[#This Row],[Weight Percent]]*(unique_components_16[[#Totals],[Controlled
tpy]]+standard_components_13[[#Totals],[Controlled
tpy]]), "-")</f>
        <v>0</v>
      </c>
      <c r="F195" s="81" t="str">
        <f>IFERROR(speciated_ghg_19[[#This Row],[Mass Emissions (U.S. tons per year)]]*speciated_ghg_19[[#This Row],[Global Warming Potential (GWP)]], "-")</f>
        <v>-</v>
      </c>
      <c r="G195" s="69"/>
      <c r="H195" s="169"/>
    </row>
    <row r="196" spans="1:9" x14ac:dyDescent="0.2">
      <c r="A196" s="210"/>
      <c r="B196" s="79" t="str">
        <f>IFERROR(INDEX(gwp_table[], MATCH(speciated_ghg_19[[#This Row],[CAS '#]], gwp_table[CAS No.], 0), MATCH("Name", gwp_table[#Headers], 0)),"No CAS Number Entered")</f>
        <v>No CAS Number Entered</v>
      </c>
      <c r="C196" s="79" t="str">
        <f>IFERROR(INDEX(gwp_table[], MATCH(speciated_ghg_19[[#This Row],[CAS '#]], gwp_table[CAS No.], 0), MATCH("Global warming potential", gwp_table[#Headers], 0)),"No CAS Number Entered")</f>
        <v>No CAS Number Entered</v>
      </c>
      <c r="D196" s="219"/>
      <c r="E196" s="79">
        <f>IFERROR(speciated_ghg_19[[#This Row],[Weight Percent]]*(unique_components_16[[#Totals],[Controlled
tpy]]+standard_components_13[[#Totals],[Controlled
tpy]]), "-")</f>
        <v>0</v>
      </c>
      <c r="F196" s="81" t="str">
        <f>IFERROR(speciated_ghg_19[[#This Row],[Mass Emissions (U.S. tons per year)]]*speciated_ghg_19[[#This Row],[Global Warming Potential (GWP)]], "-")</f>
        <v>-</v>
      </c>
      <c r="G196" s="29"/>
      <c r="H196" s="169"/>
    </row>
    <row r="197" spans="1:9" x14ac:dyDescent="0.2">
      <c r="A197" s="210"/>
      <c r="B197" s="79" t="str">
        <f>IFERROR(INDEX(gwp_table[], MATCH(speciated_ghg_19[[#This Row],[CAS '#]], gwp_table[CAS No.], 0), MATCH("Name", gwp_table[#Headers], 0)),"No CAS Number Entered")</f>
        <v>No CAS Number Entered</v>
      </c>
      <c r="C197" s="79" t="str">
        <f>IFERROR(INDEX(gwp_table[], MATCH(speciated_ghg_19[[#This Row],[CAS '#]], gwp_table[CAS No.], 0), MATCH("Global warming potential", gwp_table[#Headers], 0)),"No CAS Number Entered")</f>
        <v>No CAS Number Entered</v>
      </c>
      <c r="D197" s="219"/>
      <c r="E197" s="79">
        <f>IFERROR(speciated_ghg_19[[#This Row],[Weight Percent]]*(unique_components_16[[#Totals],[Controlled
tpy]]+standard_components_13[[#Totals],[Controlled
tpy]]), "-")</f>
        <v>0</v>
      </c>
      <c r="F197" s="81" t="str">
        <f>IFERROR(speciated_ghg_19[[#This Row],[Mass Emissions (U.S. tons per year)]]*speciated_ghg_19[[#This Row],[Global Warming Potential (GWP)]], "-")</f>
        <v>-</v>
      </c>
      <c r="G197" s="29"/>
      <c r="H197" s="29"/>
      <c r="I197" s="169"/>
    </row>
    <row r="198" spans="1:9" x14ac:dyDescent="0.2">
      <c r="A198" s="210"/>
      <c r="B198" s="79" t="str">
        <f>IFERROR(INDEX(gwp_table[], MATCH(speciated_ghg_19[[#This Row],[CAS '#]], gwp_table[CAS No.], 0), MATCH("Name", gwp_table[#Headers], 0)),"No CAS Number Entered")</f>
        <v>No CAS Number Entered</v>
      </c>
      <c r="C198" s="79" t="str">
        <f>IFERROR(INDEX(gwp_table[], MATCH(speciated_ghg_19[[#This Row],[CAS '#]], gwp_table[CAS No.], 0), MATCH("Global warming potential", gwp_table[#Headers], 0)),"No CAS Number Entered")</f>
        <v>No CAS Number Entered</v>
      </c>
      <c r="D198" s="219"/>
      <c r="E198" s="79">
        <f>IFERROR(speciated_ghg_19[[#This Row],[Weight Percent]]*(unique_components_16[[#Totals],[Controlled
tpy]]+standard_components_13[[#Totals],[Controlled
tpy]]), "-")</f>
        <v>0</v>
      </c>
      <c r="F198" s="81" t="str">
        <f>IFERROR(speciated_ghg_19[[#This Row],[Mass Emissions (U.S. tons per year)]]*speciated_ghg_19[[#This Row],[Global Warming Potential (GWP)]], "-")</f>
        <v>-</v>
      </c>
      <c r="G198" s="29"/>
      <c r="H198" s="29"/>
      <c r="I198" s="169"/>
    </row>
    <row r="199" spans="1:9" x14ac:dyDescent="0.2">
      <c r="A199" s="210"/>
      <c r="B199" s="79" t="str">
        <f>IFERROR(INDEX(gwp_table[], MATCH(speciated_ghg_19[[#This Row],[CAS '#]], gwp_table[CAS No.], 0), MATCH("Name", gwp_table[#Headers], 0)),"No CAS Number Entered")</f>
        <v>No CAS Number Entered</v>
      </c>
      <c r="C199" s="79" t="str">
        <f>IFERROR(INDEX(gwp_table[], MATCH(speciated_ghg_19[[#This Row],[CAS '#]], gwp_table[CAS No.], 0), MATCH("Global warming potential", gwp_table[#Headers], 0)),"No CAS Number Entered")</f>
        <v>No CAS Number Entered</v>
      </c>
      <c r="D199" s="219"/>
      <c r="E199" s="79">
        <f>IFERROR(speciated_ghg_19[[#This Row],[Weight Percent]]*(unique_components_16[[#Totals],[Controlled
tpy]]+standard_components_13[[#Totals],[Controlled
tpy]]), "-")</f>
        <v>0</v>
      </c>
      <c r="F199" s="81" t="str">
        <f>IFERROR(speciated_ghg_19[[#This Row],[Mass Emissions (U.S. tons per year)]]*speciated_ghg_19[[#This Row],[Global Warming Potential (GWP)]], "-")</f>
        <v>-</v>
      </c>
      <c r="G199" s="29"/>
      <c r="H199" s="29"/>
      <c r="I199" s="169"/>
    </row>
    <row r="200" spans="1:9" x14ac:dyDescent="0.2">
      <c r="A200" s="210"/>
      <c r="B200" s="79" t="str">
        <f>IFERROR(INDEX(gwp_table[], MATCH(speciated_ghg_19[[#This Row],[CAS '#]], gwp_table[CAS No.], 0), MATCH("Name", gwp_table[#Headers], 0)),"No CAS Number Entered")</f>
        <v>No CAS Number Entered</v>
      </c>
      <c r="C200" s="79" t="str">
        <f>IFERROR(INDEX(gwp_table[], MATCH(speciated_ghg_19[[#This Row],[CAS '#]], gwp_table[CAS No.], 0), MATCH("Global warming potential", gwp_table[#Headers], 0)),"No CAS Number Entered")</f>
        <v>No CAS Number Entered</v>
      </c>
      <c r="D200" s="219"/>
      <c r="E200" s="79">
        <f>IFERROR(speciated_ghg_19[[#This Row],[Weight Percent]]*(unique_components_16[[#Totals],[Controlled
tpy]]+standard_components_13[[#Totals],[Controlled
tpy]]), "-")</f>
        <v>0</v>
      </c>
      <c r="F200" s="81" t="str">
        <f>IFERROR(speciated_ghg_19[[#This Row],[Mass Emissions (U.S. tons per year)]]*speciated_ghg_19[[#This Row],[Global Warming Potential (GWP)]], "-")</f>
        <v>-</v>
      </c>
      <c r="G200" s="29"/>
      <c r="H200" s="29"/>
      <c r="I200" s="169"/>
    </row>
    <row r="201" spans="1:9" x14ac:dyDescent="0.2">
      <c r="A201" s="210"/>
      <c r="B201" s="79" t="str">
        <f>IFERROR(INDEX(gwp_table[], MATCH(speciated_ghg_19[[#This Row],[CAS '#]], gwp_table[CAS No.], 0), MATCH("Name", gwp_table[#Headers], 0)),"No CAS Number Entered")</f>
        <v>No CAS Number Entered</v>
      </c>
      <c r="C201" s="79" t="str">
        <f>IFERROR(INDEX(gwp_table[], MATCH(speciated_ghg_19[[#This Row],[CAS '#]], gwp_table[CAS No.], 0), MATCH("Global warming potential", gwp_table[#Headers], 0)),"No CAS Number Entered")</f>
        <v>No CAS Number Entered</v>
      </c>
      <c r="D201" s="219"/>
      <c r="E201" s="79">
        <f>IFERROR(speciated_ghg_19[[#This Row],[Weight Percent]]*(unique_components_16[[#Totals],[Controlled
tpy]]+standard_components_13[[#Totals],[Controlled
tpy]]), "-")</f>
        <v>0</v>
      </c>
      <c r="F201" s="81" t="str">
        <f>IFERROR(speciated_ghg_19[[#This Row],[Mass Emissions (U.S. tons per year)]]*speciated_ghg_19[[#This Row],[Global Warming Potential (GWP)]], "-")</f>
        <v>-</v>
      </c>
      <c r="G201" s="169"/>
      <c r="H201" s="169"/>
      <c r="I201" s="169"/>
    </row>
    <row r="202" spans="1:9" x14ac:dyDescent="0.2">
      <c r="A202" s="210"/>
      <c r="B202" s="79" t="str">
        <f>IFERROR(INDEX(gwp_table[], MATCH(speciated_ghg_19[[#This Row],[CAS '#]], gwp_table[CAS No.], 0), MATCH("Name", gwp_table[#Headers], 0)),"No CAS Number Entered")</f>
        <v>No CAS Number Entered</v>
      </c>
      <c r="C202" s="79" t="str">
        <f>IFERROR(INDEX(gwp_table[], MATCH(speciated_ghg_19[[#This Row],[CAS '#]], gwp_table[CAS No.], 0), MATCH("Global warming potential", gwp_table[#Headers], 0)),"No CAS Number Entered")</f>
        <v>No CAS Number Entered</v>
      </c>
      <c r="D202" s="219"/>
      <c r="E202" s="79">
        <f>IFERROR(speciated_ghg_19[[#This Row],[Weight Percent]]*(unique_components_16[[#Totals],[Controlled
tpy]]+standard_components_13[[#Totals],[Controlled
tpy]]), "-")</f>
        <v>0</v>
      </c>
      <c r="F202" s="81" t="str">
        <f>IFERROR(speciated_ghg_19[[#This Row],[Mass Emissions (U.S. tons per year)]]*speciated_ghg_19[[#This Row],[Global Warming Potential (GWP)]], "-")</f>
        <v>-</v>
      </c>
      <c r="G202" s="169"/>
      <c r="H202" s="169"/>
      <c r="I202" s="169"/>
    </row>
    <row r="203" spans="1:9" x14ac:dyDescent="0.2">
      <c r="A203" s="210"/>
      <c r="B203" s="79" t="str">
        <f>IFERROR(INDEX(gwp_table[], MATCH(speciated_ghg_19[[#This Row],[CAS '#]], gwp_table[CAS No.], 0), MATCH("Name", gwp_table[#Headers], 0)),"No CAS Number Entered")</f>
        <v>No CAS Number Entered</v>
      </c>
      <c r="C203" s="79" t="str">
        <f>IFERROR(INDEX(gwp_table[], MATCH(speciated_ghg_19[[#This Row],[CAS '#]], gwp_table[CAS No.], 0), MATCH("Global warming potential", gwp_table[#Headers], 0)),"No CAS Number Entered")</f>
        <v>No CAS Number Entered</v>
      </c>
      <c r="D203" s="219"/>
      <c r="E203" s="79">
        <f>IFERROR(speciated_ghg_19[[#This Row],[Weight Percent]]*(unique_components_16[[#Totals],[Controlled
tpy]]+standard_components_13[[#Totals],[Controlled
tpy]]), "-")</f>
        <v>0</v>
      </c>
      <c r="F203" s="81" t="str">
        <f>IFERROR(speciated_ghg_19[[#This Row],[Mass Emissions (U.S. tons per year)]]*speciated_ghg_19[[#This Row],[Global Warming Potential (GWP)]], "-")</f>
        <v>-</v>
      </c>
      <c r="G203" s="169"/>
      <c r="H203" s="169"/>
      <c r="I203" s="169"/>
    </row>
    <row r="204" spans="1:9" ht="30" x14ac:dyDescent="0.25">
      <c r="A204" s="185" t="s">
        <v>13321</v>
      </c>
      <c r="B204" s="77"/>
      <c r="C204" s="77"/>
      <c r="D204" s="77"/>
      <c r="E204" s="80">
        <f>SUBTOTAL(109,speciated_ghg_19[Mass Emissions (U.S. tons per year)])</f>
        <v>0</v>
      </c>
      <c r="F204" s="82">
        <f>SUBTOTAL(109,speciated_ghg_19[CO2e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speciated_chemicals_18[[#Totals],[lb/hr]]</f>
        <v>0</v>
      </c>
      <c r="C207" s="134"/>
      <c r="D207" s="134"/>
      <c r="E207" s="134"/>
      <c r="F207" s="134"/>
      <c r="G207" s="169"/>
      <c r="H207" s="169"/>
    </row>
    <row r="208" spans="1:9" ht="29.25" x14ac:dyDescent="0.25">
      <c r="A208" s="174" t="s">
        <v>13320</v>
      </c>
      <c r="B208" s="175">
        <f>speciated_chemicals_18[[#Totals],[tpy]]</f>
        <v>0</v>
      </c>
      <c r="C208" s="134"/>
      <c r="D208" s="134"/>
      <c r="E208" s="134"/>
      <c r="F208" s="134"/>
      <c r="G208" s="169"/>
      <c r="H208" s="169"/>
    </row>
    <row r="209" spans="1:8" ht="15" x14ac:dyDescent="0.25">
      <c r="A209" s="126" t="s">
        <v>13277</v>
      </c>
      <c r="B209" s="128">
        <f>SUMIF(speciated_chemicals_18[VOC?],"Yes",speciated_chemicals_18[lb/hr])</f>
        <v>0</v>
      </c>
      <c r="C209" s="134"/>
      <c r="D209" s="29"/>
      <c r="E209" s="29"/>
      <c r="F209" s="29"/>
      <c r="G209" s="169"/>
      <c r="H209" s="169"/>
    </row>
    <row r="210" spans="1:8" ht="15" x14ac:dyDescent="0.25">
      <c r="A210" s="126" t="s">
        <v>12669</v>
      </c>
      <c r="B210" s="128">
        <f>SUMIF(speciated_chemicals_18[VOC?],"Yes",speciated_chemicals_18[tpy])</f>
        <v>0</v>
      </c>
      <c r="C210" s="134"/>
      <c r="D210" s="29"/>
      <c r="E210" s="29"/>
      <c r="F210" s="29"/>
      <c r="G210" s="169"/>
      <c r="H210" s="169"/>
    </row>
    <row r="211" spans="1:8" ht="15" x14ac:dyDescent="0.25">
      <c r="A211" s="126" t="s">
        <v>12775</v>
      </c>
      <c r="B211" s="128">
        <f>SUMIF(speciated_chemicals_18[Inorganic?],"Yes",speciated_chemicals_18[lb/hr])</f>
        <v>0</v>
      </c>
      <c r="C211" s="134"/>
      <c r="D211" s="29"/>
      <c r="E211" s="29"/>
      <c r="F211" s="29"/>
      <c r="G211" s="169"/>
      <c r="H211" s="169"/>
    </row>
    <row r="212" spans="1:8" ht="15" x14ac:dyDescent="0.25">
      <c r="A212" s="126" t="s">
        <v>12770</v>
      </c>
      <c r="B212" s="128">
        <f>SUMIF(speciated_chemicals_18[Inorganic?],"Yes",speciated_chemicals_18[tpy])</f>
        <v>0</v>
      </c>
      <c r="C212" s="134"/>
      <c r="D212" s="29"/>
      <c r="E212" s="29"/>
      <c r="F212" s="29"/>
      <c r="G212" s="169"/>
      <c r="H212" s="169"/>
    </row>
    <row r="213" spans="1:8" ht="15" x14ac:dyDescent="0.25">
      <c r="A213" s="126" t="s">
        <v>13276</v>
      </c>
      <c r="B213" s="128">
        <f>SUMIF(speciated_chemicals_18[VOC-Exempt Solvent?],"Yes",speciated_chemicals_18[lb/hr])</f>
        <v>0</v>
      </c>
      <c r="C213" s="134"/>
      <c r="D213" s="29"/>
      <c r="E213" s="29"/>
      <c r="F213" s="29"/>
      <c r="G213" s="169"/>
      <c r="H213" s="169"/>
    </row>
    <row r="214" spans="1:8" ht="15" x14ac:dyDescent="0.25">
      <c r="A214" s="126" t="s">
        <v>13278</v>
      </c>
      <c r="B214" s="128">
        <f>SUMIF(speciated_chemicals_18[VOC-Exempt Solvent?],"Yes",speciated_chemicals_18[tpy])</f>
        <v>0</v>
      </c>
      <c r="C214" s="134"/>
      <c r="D214" s="29"/>
      <c r="E214" s="29"/>
      <c r="F214" s="29"/>
      <c r="G214" s="169"/>
      <c r="H214" s="169"/>
    </row>
    <row r="215" spans="1:8" ht="15" x14ac:dyDescent="0.25">
      <c r="A215" s="127" t="s">
        <v>13280</v>
      </c>
      <c r="B215" s="176">
        <f>speciated_ghg_19[[#Totals],[Mass Emissions (U.S. tons per year)]]</f>
        <v>0</v>
      </c>
      <c r="C215" s="134"/>
      <c r="D215" s="29"/>
      <c r="E215" s="29"/>
      <c r="F215" s="29"/>
      <c r="G215" s="169"/>
      <c r="H215" s="169"/>
    </row>
    <row r="216" spans="1:8" ht="18.75" x14ac:dyDescent="0.35">
      <c r="A216" s="127" t="s">
        <v>13281</v>
      </c>
      <c r="B216" s="176">
        <f>speciated_ghg_19[[#Totals],[CO2e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gXTnIkL162Qj1/EB5wypKr4NNAHrmYKbE32WmVYpmnw3Olho7+ucVNTyKSsoKMEAVi1e83zmeUCsIChxKV7f9w==" saltValue="6cUi7L04H2CjSvQ96jp1XQ==" spinCount="100000" sheet="1" objects="1" scenarios="1" formatColumns="0" formatRows="0" autoFilter="0"/>
  <conditionalFormatting sqref="A21:H21">
    <cfRule type="expression" dxfId="2350" priority="5">
      <formula>$F$19="No"</formula>
    </cfRule>
  </conditionalFormatting>
  <conditionalFormatting sqref="A105:E106 F106:G126">
    <cfRule type="expression" dxfId="2349" priority="4">
      <formula>$E$104="no"</formula>
    </cfRule>
  </conditionalFormatting>
  <conditionalFormatting sqref="C131:C180">
    <cfRule type="expression" dxfId="2348" priority="3">
      <formula>NOT(B131="Other (Please specify):")</formula>
    </cfRule>
  </conditionalFormatting>
  <conditionalFormatting sqref="A107:E126">
    <cfRule type="expression" dxfId="2347" priority="2">
      <formula>$A$58="No"</formula>
    </cfRule>
  </conditionalFormatting>
  <conditionalFormatting sqref="A107:E126 A206:B214 A215:A216">
    <cfRule type="expression" dxfId="2346"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F82DA09E-735A-4880-8C56-8B0D97FF9BAA}"/>
    <dataValidation type="list" allowBlank="1" showInputMessage="1" showErrorMessage="1" sqref="E104:H104 B10" xr:uid="{2B41F78B-E0C9-4AA8-80A1-E61BBB9FC658}">
      <formula1>"Yes,No"</formula1>
    </dataValidation>
    <dataValidation type="list" allowBlank="1" showInputMessage="1" showErrorMessage="1" sqref="F19:H20" xr:uid="{FA00DF4E-925A-4C33-B116-5028D8DDC0BA}">
      <formula1>"No,Yes - 75%,Yes - 95%"</formula1>
    </dataValidation>
    <dataValidation type="list" allowBlank="1" showInputMessage="1" showErrorMessage="1" sqref="F18" xr:uid="{71A6434E-A6A3-4292-AAFE-7E8B9794BC0F}">
      <formula1>IF(#REF!="SOCMI Non-leaker",ListNone,ListInspection)</formula1>
    </dataValidation>
    <dataValidation type="list" allowBlank="1" showInputMessage="1" showErrorMessage="1" sqref="F16:F17" xr:uid="{84DD1B2D-254E-4317-BDC0-850804AE4D15}">
      <formula1>IF(#REF!="SOCMI Non-Leaker",ListNone,ListInstrument)</formula1>
    </dataValidation>
    <dataValidation type="list" allowBlank="1" showInputMessage="1" prompt="Please specify whether the substance is a volatile organic compound (VOC); methane and ethane are not classifed as VOCs" sqref="D132:D180" xr:uid="{2CBAB010-946C-4908-9BAE-AE28ADA12816}">
      <formula1>"Yes,No"</formula1>
    </dataValidation>
    <dataValidation allowBlank="1" showInputMessage="1" showErrorMessage="1" prompt="Enter the weight percent of the substance" sqref="H178:H180 H132:H176" xr:uid="{99A0B680-1A30-41E4-A1BF-6AD4C85BA622}"/>
    <dataValidation type="list" allowBlank="1" showInputMessage="1" showErrorMessage="1" prompt="Enter or select Chemical Abstracts Service number; select &quot;N/A&quot; if a CAS # is not applicable" sqref="A131:A175 A177:A180" xr:uid="{1D0D47C1-B33F-44C1-82D6-BEDE1A6671A1}">
      <formula1>SpeciesList</formula1>
    </dataValidation>
    <dataValidation type="list" allowBlank="1" showInputMessage="1" prompt="Select other species from dropdown" sqref="C131:C180" xr:uid="{C7789AD1-6C9C-4C00-9015-70137BB437F5}">
      <formula1>NoCASList</formula1>
    </dataValidation>
    <dataValidation allowBlank="1" showInputMessage="1" showErrorMessage="1" prompt="Proposed control efficiency (0-1)" sqref="E107:E126" xr:uid="{34065E8D-8BFF-472B-BA49-FD9C4005A55B}"/>
    <dataValidation allowBlank="1" showInputMessage="1" showErrorMessage="1" prompt="Count of unique component" sqref="C107:C126" xr:uid="{7B2F2E89-F78C-4742-AF20-4994B8EC1E57}"/>
    <dataValidation allowBlank="1" showInputMessage="1" showErrorMessage="1" prompt="Type of service (e.g. gas, vapor, or liquid)" sqref="B107:B126" xr:uid="{9FB91DF5-A984-4279-8B54-74BB570DD09D}"/>
    <dataValidation allowBlank="1" showInputMessage="1" showErrorMessage="1" prompt="Name of unique component" sqref="A107:A126" xr:uid="{86B7466B-93C2-427E-950A-EBC8795571C1}"/>
    <dataValidation type="list" allowBlank="1" showInputMessage="1" showErrorMessage="1" sqref="B13" xr:uid="{2C263FCB-451E-4E57-8C15-31B9227E75B2}">
      <formula1>industry_names</formula1>
    </dataValidation>
    <dataValidation type="list" allowBlank="1" showInputMessage="1" showErrorMessage="1" sqref="B19" xr:uid="{16123426-9251-4A1B-8E1C-11FF2F0F1C89}">
      <formula1>yes_no_list</formula1>
    </dataValidation>
    <dataValidation type="list" allowBlank="1" showInputMessage="1" showErrorMessage="1" sqref="B20" xr:uid="{0FCE6EBD-39CF-49A7-904E-72271C5D2B92}">
      <formula1>process_drains_effs</formula1>
    </dataValidation>
    <dataValidation allowBlank="1" showInputMessage="1" showErrorMessage="1" prompt="Proposed emission factor" sqref="D107:D126" xr:uid="{D8AC68D7-0AE1-4180-B12C-BE86D3825A59}"/>
    <dataValidation type="list" allowBlank="1" showInputMessage="1" prompt="Please specify if the substance is an inert substance or is not considered a contaminant (e.g. steam)" sqref="G131:G180" xr:uid="{3B2ADFDE-5D89-4DB3-91F3-F82318C66E53}">
      <formula1>"Yes,No"</formula1>
    </dataValidation>
    <dataValidation type="list" allowBlank="1" showInputMessage="1" showErrorMessage="1" prompt="Please select from the dropdown" sqref="B104" xr:uid="{B685AA00-1133-4D64-BB7E-75CAFA28A639}">
      <formula1>yes_no_list</formula1>
    </dataValidation>
    <dataValidation allowBlank="1" showInputMessage="1" showErrorMessage="1" prompt="Provide justification" sqref="B105" xr:uid="{6B031050-3078-478C-AC28-E4973DAB4697}"/>
    <dataValidation type="list" showInputMessage="1" prompt="Please specify whether the substance is a volatile organic compound (VOC); methane and ethane are not classifed as VOCs" sqref="D131" xr:uid="{EEAB069F-4F3D-44E6-9F28-EBAE1839AE5C}">
      <formula1>"Yes,No"</formula1>
    </dataValidation>
    <dataValidation type="list" showInputMessage="1" prompt="Please specify whether the substance is an inorganic contaminant (e.g. ammonia or chlorine gas)" sqref="E131:E180" xr:uid="{E91855CF-4206-4DFA-9AD9-6F2672FCB242}">
      <formula1>"Yes,No"</formula1>
    </dataValidation>
    <dataValidation type="list" allowBlank="1" showInputMessage="1" prompt="Please specify whether the substance is an VOC-exempt solvent." sqref="F131:F180" xr:uid="{3D93337A-11DA-45A2-9B3C-701AF717FCC6}">
      <formula1>"Yes,No"</formula1>
    </dataValidation>
    <dataValidation type="list" allowBlank="1" showInputMessage="1" showErrorMessage="1" prompt="Enter or select Chemical Abstracts Service number; select &quot;N/A&quot; if a CAS # is not applicable" sqref="A185:A203 A176" xr:uid="{3A1F619C-211E-4FCE-A2D4-E0864A23DBCE}">
      <formula1>gwp_table_cas</formula1>
    </dataValidation>
    <dataValidation type="decimal" allowBlank="1" showInputMessage="1" showErrorMessage="1" prompt="Enter the weight percent of the substance" sqref="H177" xr:uid="{6C94412B-C5A5-46B2-A712-78CB12AEFB16}">
      <formula1>0</formula1>
      <formula2>1</formula2>
    </dataValidation>
    <dataValidation type="decimal" operator="greaterThan" allowBlank="1" showInputMessage="1" showErrorMessage="1" prompt="Enter the weight percent of the substance" sqref="H131 D185:D203" xr:uid="{53FCE80A-ACB4-48AD-A4FB-7CEEF3F29548}">
      <formula1>0</formula1>
    </dataValidation>
    <dataValidation type="list" allowBlank="1" showInputMessage="1" showErrorMessage="1" sqref="B18" xr:uid="{087970C9-F457-45C8-AE4A-A754D7D68543}">
      <formula1>inspection_ldar_list</formula1>
    </dataValidation>
    <dataValidation type="list" allowBlank="1" showInputMessage="1" showErrorMessage="1" sqref="B17" xr:uid="{C6F04B6B-1DC9-4736-8BFD-93E9E2B086B6}">
      <formula1>connector_ldar_list</formula1>
    </dataValidation>
    <dataValidation type="list" allowBlank="1" showInputMessage="1" showErrorMessage="1" sqref="B16" xr:uid="{3F6911EC-441D-45D7-8DA0-6A0725A58938}">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33A05-7786-4209-A449-3A81F8BC3C78}">
  <sheetPr codeName="Sheet7">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INDEX((standard_components_121[[#This Row],[Component]]=factor_eff_table[Component])*(standard_components_121[[#This Row],[Service]]=factor_eff_table[Service]), 0, 1), 0)),
 "-")</f>
        <v>-</v>
      </c>
      <c r="E25" s="145" t="str" cm="1">
        <f t="array" ref="E2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25" s="145" t="str" cm="1">
        <f t="array" ref="F2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25" s="145" t="str" cm="1">
        <f t="array" ref="G2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2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2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INDEX((standard_components_121[[#This Row],[Component]]=factor_eff_table[Component])*(standard_components_121[[#This Row],[Service]]=factor_eff_table[Service]), 0, 1), 0)),
 "-")</f>
        <v>-</v>
      </c>
      <c r="E26" s="145" t="str" cm="1">
        <f t="array" ref="E2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26" s="145" t="str" cm="1">
        <f t="array" ref="F2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26" s="145" t="str" cm="1">
        <f t="array" ref="G2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2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2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INDEX((standard_components_121[[#This Row],[Component]]=factor_eff_table[Component])*(standard_components_121[[#This Row],[Service]]=factor_eff_table[Service]), 0, 1), 0)),
 "-")</f>
        <v>-</v>
      </c>
      <c r="E27" s="145" t="str" cm="1">
        <f t="array" ref="E2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27" s="145" t="str" cm="1">
        <f t="array" ref="F2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27" s="145" t="str" cm="1">
        <f t="array" ref="G2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2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2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INDEX((standard_components_121[[#This Row],[Component]]=factor_eff_table[Component])*(standard_components_121[[#This Row],[Service]]=factor_eff_table[Service]), 0, 1), 0)),
 "-")</f>
        <v>-</v>
      </c>
      <c r="E28" s="145" t="str" cm="1">
        <f t="array" ref="E2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28" s="145" t="str" cm="1">
        <f t="array" ref="F2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28" s="145" t="str" cm="1">
        <f t="array" ref="G2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2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2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INDEX((standard_components_121[[#This Row],[Component]]=factor_eff_table[Component])*(standard_components_121[[#This Row],[Service]]=factor_eff_table[Service]), 0, 1), 0)),
 "-")</f>
        <v>-</v>
      </c>
      <c r="E29" s="145" t="str" cm="1">
        <f t="array" ref="E2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29" s="145" t="str" cm="1">
        <f t="array" ref="F2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29" s="145" t="str" cm="1">
        <f t="array" ref="G2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2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2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INDEX((standard_components_121[[#This Row],[Component]]=factor_eff_table[Component])*(standard_components_121[[#This Row],[Service]]=factor_eff_table[Service]), 0, 1), 0)),
 "-")</f>
        <v>-</v>
      </c>
      <c r="E30" s="145" t="str" cm="1">
        <f t="array" ref="E3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0" s="145" t="str" cm="1">
        <f t="array" ref="F3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0" s="145" t="str" cm="1">
        <f t="array" ref="G3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INDEX((standard_components_121[[#This Row],[Component]]=factor_eff_table[Component])*(standard_components_121[[#This Row],[Service]]=factor_eff_table[Service]), 0, 1), 0)),
 "-")</f>
        <v>-</v>
      </c>
      <c r="E31" s="145" t="str" cm="1">
        <f t="array" ref="E3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1" s="145" t="str" cm="1">
        <f t="array" ref="F3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1" s="145" t="str" cm="1">
        <f t="array" ref="G3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INDEX((standard_components_121[[#This Row],[Component]]=factor_eff_table[Component])*(standard_components_121[[#This Row],[Service]]=factor_eff_table[Service]), 0, 1), 0)),
 "-")</f>
        <v>-</v>
      </c>
      <c r="E32" s="145" t="str" cm="1">
        <f t="array" ref="E3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2" s="145" t="str" cm="1">
        <f t="array" ref="F3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2" s="145" t="str" cm="1">
        <f t="array" ref="G3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INDEX((standard_components_121[[#This Row],[Component]]=factor_eff_table[Component])*(standard_components_121[[#This Row],[Service]]=factor_eff_table[Service]), 0, 1), 0)),
 "-")</f>
        <v>-</v>
      </c>
      <c r="E33" s="145" t="str" cm="1">
        <f t="array" ref="E3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3" s="145" t="str" cm="1">
        <f t="array" ref="F3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3" s="145" t="str" cm="1">
        <f t="array" ref="G3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INDEX((standard_components_121[[#This Row],[Component]]=factor_eff_table[Component])*(standard_components_121[[#This Row],[Service]]=factor_eff_table[Service]), 0, 1), 0)),
 "-")</f>
        <v>-</v>
      </c>
      <c r="E34" s="145" t="str" cm="1">
        <f t="array" ref="E3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4" s="145" t="str" cm="1">
        <f t="array" ref="F3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4" s="145" t="str" cm="1">
        <f t="array" ref="G3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INDEX((standard_components_121[[#This Row],[Component]]=factor_eff_table[Component])*(standard_components_121[[#This Row],[Service]]=factor_eff_table[Service]), 0, 1), 0)),
 "-")</f>
        <v>-</v>
      </c>
      <c r="E35" s="145" t="str" cm="1">
        <f t="array" ref="E3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5" s="145" t="str" cm="1">
        <f t="array" ref="F3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5" s="145" t="str" cm="1">
        <f t="array" ref="G3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INDEX((standard_components_121[[#This Row],[Component]]=factor_eff_table[Component])*(standard_components_121[[#This Row],[Service]]=factor_eff_table[Service]), 0, 1), 0)),
 "-")</f>
        <v>-</v>
      </c>
      <c r="E36" s="145" t="str" cm="1">
        <f t="array" ref="E3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6" s="145" t="str" cm="1">
        <f t="array" ref="F3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6" s="145" t="str" cm="1">
        <f t="array" ref="G3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INDEX((standard_components_121[[#This Row],[Component]]=factor_eff_table[Component])*(standard_components_121[[#This Row],[Service]]=factor_eff_table[Service]), 0, 1), 0)),
 "-")</f>
        <v>-</v>
      </c>
      <c r="E37" s="145" t="str" cm="1">
        <f t="array" ref="E3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7" s="145" t="str" cm="1">
        <f t="array" ref="F3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7" s="145" t="str" cm="1">
        <f t="array" ref="G3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INDEX((standard_components_121[[#This Row],[Component]]=factor_eff_table[Component])*(standard_components_121[[#This Row],[Service]]=factor_eff_table[Service]), 0, 1), 0)),
 "-")</f>
        <v>-</v>
      </c>
      <c r="E38" s="145" t="str" cm="1">
        <f t="array" ref="E3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8" s="145" t="str" cm="1">
        <f t="array" ref="F3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8" s="145" t="str" cm="1">
        <f t="array" ref="G3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INDEX((standard_components_121[[#This Row],[Component]]=factor_eff_table[Component])*(standard_components_121[[#This Row],[Service]]=factor_eff_table[Service]), 0, 1), 0)),
 "-")</f>
        <v>-</v>
      </c>
      <c r="E39" s="145" t="str" cm="1">
        <f t="array" ref="E3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39" s="145" t="str" cm="1">
        <f t="array" ref="F3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39" s="145" t="str" cm="1">
        <f t="array" ref="G3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3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3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INDEX((standard_components_121[[#This Row],[Component]]=factor_eff_table[Component])*(standard_components_121[[#This Row],[Service]]=factor_eff_table[Service]), 0, 1), 0)),
 "-")</f>
        <v>-</v>
      </c>
      <c r="E40" s="145" t="str" cm="1">
        <f t="array" ref="E4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0" s="145" t="str" cm="1">
        <f t="array" ref="F4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0" s="145" t="str" cm="1">
        <f t="array" ref="G4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INDEX((standard_components_121[[#This Row],[Component]]=factor_eff_table[Component])*(standard_components_121[[#This Row],[Service]]=factor_eff_table[Service]), 0, 1), 0)),
 "-")</f>
        <v>-</v>
      </c>
      <c r="E41" s="145" t="str" cm="1">
        <f t="array" ref="E4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1" s="145" t="str" cm="1">
        <f t="array" ref="F4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1" s="145" t="str" cm="1">
        <f t="array" ref="G4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INDEX((standard_components_121[[#This Row],[Component]]=factor_eff_table[Component])*(standard_components_121[[#This Row],[Service]]=factor_eff_table[Service]), 0, 1), 0)),
 "-")</f>
        <v>-</v>
      </c>
      <c r="E42" s="145" t="str" cm="1">
        <f t="array" ref="E4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2" s="145" t="str" cm="1">
        <f t="array" ref="F4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2" s="145" t="str" cm="1">
        <f t="array" ref="G4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INDEX((standard_components_121[[#This Row],[Component]]=factor_eff_table[Component])*(standard_components_121[[#This Row],[Service]]=factor_eff_table[Service]), 0, 1), 0)),
 "-")</f>
        <v>-</v>
      </c>
      <c r="E43" s="145" t="str" cm="1">
        <f t="array" ref="E4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3" s="145" t="str" cm="1">
        <f t="array" ref="F4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3" s="145" t="str" cm="1">
        <f t="array" ref="G4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INDEX((standard_components_121[[#This Row],[Component]]=factor_eff_table[Component])*(standard_components_121[[#This Row],[Service]]=factor_eff_table[Service]), 0, 1), 0)),
 "-")</f>
        <v>-</v>
      </c>
      <c r="E44" s="145" t="str" cm="1">
        <f t="array" ref="E4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4" s="145" t="str" cm="1">
        <f t="array" ref="F4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4" s="145" t="str" cm="1">
        <f t="array" ref="G4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INDEX((standard_components_121[[#This Row],[Component]]=factor_eff_table[Component])*(standard_components_121[[#This Row],[Service]]=factor_eff_table[Service]), 0, 1), 0)),
 "-")</f>
        <v>-</v>
      </c>
      <c r="E45" s="145" t="str" cm="1">
        <f t="array" ref="E4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5" s="145" t="str" cm="1">
        <f t="array" ref="F4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5" s="145" t="str" cm="1">
        <f t="array" ref="G4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INDEX((standard_components_121[[#This Row],[Component]]=factor_eff_table[Component])*(standard_components_121[[#This Row],[Service]]=factor_eff_table[Service]), 0, 1), 0)),
 "-")</f>
        <v>-</v>
      </c>
      <c r="E46" s="145" t="str" cm="1">
        <f t="array" ref="E4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6" s="145" t="str" cm="1">
        <f t="array" ref="F4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6" s="145" t="str" cm="1">
        <f t="array" ref="G4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INDEX((standard_components_121[[#This Row],[Component]]=factor_eff_table[Component])*(standard_components_121[[#This Row],[Service]]=factor_eff_table[Service]), 0, 1), 0)),
 "-")</f>
        <v>-</v>
      </c>
      <c r="E47" s="145" t="str" cm="1">
        <f t="array" ref="E4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7" s="145" t="str" cm="1">
        <f t="array" ref="F4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7" s="145" t="str" cm="1">
        <f t="array" ref="G4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INDEX((standard_components_121[[#This Row],[Component]]=factor_eff_table[Component])*(standard_components_121[[#This Row],[Service]]=factor_eff_table[Service]), 0, 1), 0)),
 "-")</f>
        <v>-</v>
      </c>
      <c r="E48" s="145" t="str" cm="1">
        <f t="array" ref="E4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8" s="145" t="str" cm="1">
        <f t="array" ref="F4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8" s="145" t="str" cm="1">
        <f t="array" ref="G4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INDEX((standard_components_121[[#This Row],[Component]]=factor_eff_table[Component])*(standard_components_121[[#This Row],[Service]]=factor_eff_table[Service]), 0, 1), 0)),
 "-")</f>
        <v>-</v>
      </c>
      <c r="E49" s="145" t="str" cm="1">
        <f t="array" ref="E4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49" s="145" t="str" cm="1">
        <f t="array" ref="F4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49" s="145" t="str" cm="1">
        <f t="array" ref="G4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4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4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INDEX((standard_components_121[[#This Row],[Component]]=factor_eff_table[Component])*(standard_components_121[[#This Row],[Service]]=factor_eff_table[Service]), 0, 1), 0)),
 "-")</f>
        <v>-</v>
      </c>
      <c r="E50" s="145" t="str" cm="1">
        <f t="array" ref="E5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0" s="145" t="str" cm="1">
        <f t="array" ref="F5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0" s="145" t="str" cm="1">
        <f t="array" ref="G5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INDEX((standard_components_121[[#This Row],[Component]]=factor_eff_table[Component])*(standard_components_121[[#This Row],[Service]]=factor_eff_table[Service]), 0, 1), 0)),
 "-")</f>
        <v>-</v>
      </c>
      <c r="E51" s="145" t="str" cm="1">
        <f t="array" ref="E5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1" s="145" t="str" cm="1">
        <f t="array" ref="F5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1" s="145" t="str" cm="1">
        <f t="array" ref="G5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INDEX((standard_components_121[[#This Row],[Component]]=factor_eff_table[Component])*(standard_components_121[[#This Row],[Service]]=factor_eff_table[Service]), 0, 1), 0)),
 "-")</f>
        <v>-</v>
      </c>
      <c r="E52" s="145" t="str" cm="1">
        <f t="array" ref="E5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2" s="145" t="str" cm="1">
        <f t="array" ref="F5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2" s="145" t="str" cm="1">
        <f t="array" ref="G5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INDEX((standard_components_121[[#This Row],[Component]]=factor_eff_table[Component])*(standard_components_121[[#This Row],[Service]]=factor_eff_table[Service]), 0, 1), 0)),
 "-")</f>
        <v>-</v>
      </c>
      <c r="E53" s="145" t="str" cm="1">
        <f t="array" ref="E5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3" s="145" t="str" cm="1">
        <f t="array" ref="F5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3" s="145" t="str" cm="1">
        <f t="array" ref="G5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INDEX((standard_components_121[[#This Row],[Component]]=factor_eff_table[Component])*(standard_components_121[[#This Row],[Service]]=factor_eff_table[Service]), 0, 1), 0)),
 "-")</f>
        <v>-</v>
      </c>
      <c r="E54" s="145" t="str" cm="1">
        <f t="array" ref="E5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4" s="145" t="str" cm="1">
        <f t="array" ref="F5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4" s="145" t="str" cm="1">
        <f t="array" ref="G5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INDEX((standard_components_121[[#This Row],[Component]]=factor_eff_table[Component])*(standard_components_121[[#This Row],[Service]]=factor_eff_table[Service]), 0, 1), 0)),
 "-")</f>
        <v>-</v>
      </c>
      <c r="E55" s="145" t="str" cm="1">
        <f t="array" ref="E5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5" s="145" t="str" cm="1">
        <f t="array" ref="F5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5" s="145" t="str" cm="1">
        <f t="array" ref="G5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INDEX((standard_components_121[[#This Row],[Component]]=factor_eff_table[Component])*(standard_components_121[[#This Row],[Service]]=factor_eff_table[Service]), 0, 1), 0)),
 "-")</f>
        <v>-</v>
      </c>
      <c r="E56" s="145" t="str" cm="1">
        <f t="array" ref="E5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6" s="145" t="str" cm="1">
        <f t="array" ref="F5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6" s="145" t="str" cm="1">
        <f t="array" ref="G5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INDEX((standard_components_121[[#This Row],[Component]]=factor_eff_table[Component])*(standard_components_121[[#This Row],[Service]]=factor_eff_table[Service]), 0, 1), 0)),
 "-")</f>
        <v>-</v>
      </c>
      <c r="E57" s="145" t="str" cm="1">
        <f t="array" ref="E5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7" s="145" t="str" cm="1">
        <f t="array" ref="F5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7" s="145" t="str" cm="1">
        <f t="array" ref="G5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INDEX((standard_components_121[[#This Row],[Component]]=factor_eff_table[Component])*(standard_components_121[[#This Row],[Service]]=factor_eff_table[Service]), 0, 1), 0)),
 "-")</f>
        <v>-</v>
      </c>
      <c r="E58" s="145" t="str" cm="1">
        <f t="array" ref="E5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8" s="145" t="str" cm="1">
        <f t="array" ref="F5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8" s="145" t="str" cm="1">
        <f t="array" ref="G5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INDEX((standard_components_121[[#This Row],[Component]]=factor_eff_table[Component])*(standard_components_121[[#This Row],[Service]]=factor_eff_table[Service]), 0, 1), 0)),
 "-")</f>
        <v>-</v>
      </c>
      <c r="E59" s="145" t="str" cm="1">
        <f t="array" ref="E5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59" s="145" t="str" cm="1">
        <f t="array" ref="F5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59" s="145" t="str" cm="1">
        <f t="array" ref="G5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5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5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INDEX((standard_components_121[[#This Row],[Component]]=factor_eff_table[Component])*(standard_components_121[[#This Row],[Service]]=factor_eff_table[Service]), 0, 1), 0)),
 "-")</f>
        <v>-</v>
      </c>
      <c r="E60" s="145" t="str" cm="1">
        <f t="array" ref="E6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0" s="145" t="str" cm="1">
        <f t="array" ref="F6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0" s="145" t="str" cm="1">
        <f t="array" ref="G6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INDEX((standard_components_121[[#This Row],[Component]]=factor_eff_table[Component])*(standard_components_121[[#This Row],[Service]]=factor_eff_table[Service]), 0, 1), 0)),
 "-")</f>
        <v>-</v>
      </c>
      <c r="E61" s="145" t="str" cm="1">
        <f t="array" ref="E6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1" s="145" t="str" cm="1">
        <f t="array" ref="F6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1" s="145" t="str" cm="1">
        <f t="array" ref="G6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INDEX((standard_components_121[[#This Row],[Component]]=factor_eff_table[Component])*(standard_components_121[[#This Row],[Service]]=factor_eff_table[Service]), 0, 1), 0)),
 "-")</f>
        <v>-</v>
      </c>
      <c r="E62" s="145" t="str" cm="1">
        <f t="array" ref="E6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2" s="145" t="str" cm="1">
        <f t="array" ref="F6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2" s="145" t="str" cm="1">
        <f t="array" ref="G6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INDEX((standard_components_121[[#This Row],[Component]]=factor_eff_table[Component])*(standard_components_121[[#This Row],[Service]]=factor_eff_table[Service]), 0, 1), 0)),
 "-")</f>
        <v>-</v>
      </c>
      <c r="E63" s="145" t="str" cm="1">
        <f t="array" ref="E6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3" s="145" t="str" cm="1">
        <f t="array" ref="F6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3" s="145" t="str" cm="1">
        <f t="array" ref="G6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INDEX((standard_components_121[[#This Row],[Component]]=factor_eff_table[Component])*(standard_components_121[[#This Row],[Service]]=factor_eff_table[Service]), 0, 1), 0)),
 "-")</f>
        <v>-</v>
      </c>
      <c r="E64" s="145" t="str" cm="1">
        <f t="array" ref="E6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4" s="145" t="str" cm="1">
        <f t="array" ref="F6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4" s="145" t="str" cm="1">
        <f t="array" ref="G6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INDEX((standard_components_121[[#This Row],[Component]]=factor_eff_table[Component])*(standard_components_121[[#This Row],[Service]]=factor_eff_table[Service]), 0, 1), 0)),
 "-")</f>
        <v>-</v>
      </c>
      <c r="E65" s="145" t="str" cm="1">
        <f t="array" ref="E6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5" s="145" t="str" cm="1">
        <f t="array" ref="F6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5" s="145" t="str" cm="1">
        <f t="array" ref="G6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INDEX((standard_components_121[[#This Row],[Component]]=factor_eff_table[Component])*(standard_components_121[[#This Row],[Service]]=factor_eff_table[Service]), 0, 1), 0)),
 "-")</f>
        <v>-</v>
      </c>
      <c r="E66" s="145" t="str" cm="1">
        <f t="array" ref="E6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6" s="145" t="str" cm="1">
        <f t="array" ref="F6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6" s="145" t="str" cm="1">
        <f t="array" ref="G6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INDEX((standard_components_121[[#This Row],[Component]]=factor_eff_table[Component])*(standard_components_121[[#This Row],[Service]]=factor_eff_table[Service]), 0, 1), 0)),
 "-")</f>
        <v>-</v>
      </c>
      <c r="E67" s="145" t="str" cm="1">
        <f t="array" ref="E6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7" s="145" t="str" cm="1">
        <f t="array" ref="F6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7" s="145" t="str" cm="1">
        <f t="array" ref="G6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INDEX((standard_components_121[[#This Row],[Component]]=factor_eff_table[Component])*(standard_components_121[[#This Row],[Service]]=factor_eff_table[Service]), 0, 1), 0)),
 "-")</f>
        <v>-</v>
      </c>
      <c r="E68" s="145" t="str" cm="1">
        <f t="array" ref="E6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8" s="145" t="str" cm="1">
        <f t="array" ref="F6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8" s="145" t="str" cm="1">
        <f t="array" ref="G6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INDEX((standard_components_121[[#This Row],[Component]]=factor_eff_table[Component])*(standard_components_121[[#This Row],[Service]]=factor_eff_table[Service]), 0, 1), 0)),
 "-")</f>
        <v>-</v>
      </c>
      <c r="E69" s="145" t="str" cm="1">
        <f t="array" ref="E6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69" s="145" t="str" cm="1">
        <f t="array" ref="F6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69" s="145" t="str" cm="1">
        <f t="array" ref="G6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6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6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INDEX((standard_components_121[[#This Row],[Component]]=factor_eff_table[Component])*(standard_components_121[[#This Row],[Service]]=factor_eff_table[Service]), 0, 1), 0)),
 "-")</f>
        <v>-</v>
      </c>
      <c r="E70" s="145" t="str" cm="1">
        <f t="array" ref="E7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0" s="145" t="str" cm="1">
        <f t="array" ref="F7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0" s="145" t="str" cm="1">
        <f t="array" ref="G7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INDEX((standard_components_121[[#This Row],[Component]]=factor_eff_table[Component])*(standard_components_121[[#This Row],[Service]]=factor_eff_table[Service]), 0, 1), 0)),
 "-")</f>
        <v>-</v>
      </c>
      <c r="E71" s="145" t="str" cm="1">
        <f t="array" ref="E7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1" s="145" t="str" cm="1">
        <f t="array" ref="F7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1" s="145" t="str" cm="1">
        <f t="array" ref="G7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INDEX((standard_components_121[[#This Row],[Component]]=factor_eff_table[Component])*(standard_components_121[[#This Row],[Service]]=factor_eff_table[Service]), 0, 1), 0)),
 "-")</f>
        <v>-</v>
      </c>
      <c r="E72" s="145" t="str" cm="1">
        <f t="array" ref="E7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2" s="145" t="str" cm="1">
        <f t="array" ref="F7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2" s="145" t="str" cm="1">
        <f t="array" ref="G7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INDEX((standard_components_121[[#This Row],[Component]]=factor_eff_table[Component])*(standard_components_121[[#This Row],[Service]]=factor_eff_table[Service]), 0, 1), 0)),
 "-")</f>
        <v>-</v>
      </c>
      <c r="E73" s="145" t="str" cm="1">
        <f t="array" ref="E7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3" s="145" t="str" cm="1">
        <f t="array" ref="F7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3" s="145" t="str" cm="1">
        <f t="array" ref="G7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INDEX((standard_components_121[[#This Row],[Component]]=factor_eff_table[Component])*(standard_components_121[[#This Row],[Service]]=factor_eff_table[Service]), 0, 1), 0)),
 "-")</f>
        <v>-</v>
      </c>
      <c r="E74" s="145" t="str" cm="1">
        <f t="array" ref="E7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4" s="145" t="str" cm="1">
        <f t="array" ref="F7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4" s="145" t="str" cm="1">
        <f t="array" ref="G7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INDEX((standard_components_121[[#This Row],[Component]]=factor_eff_table[Component])*(standard_components_121[[#This Row],[Service]]=factor_eff_table[Service]), 0, 1), 0)),
 "-")</f>
        <v>-</v>
      </c>
      <c r="E75" s="145" t="str" cm="1">
        <f t="array" ref="E7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5" s="145" t="str" cm="1">
        <f t="array" ref="F7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5" s="145" t="str" cm="1">
        <f t="array" ref="G7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INDEX((standard_components_121[[#This Row],[Component]]=factor_eff_table[Component])*(standard_components_121[[#This Row],[Service]]=factor_eff_table[Service]), 0, 1), 0)),
 "-")</f>
        <v>-</v>
      </c>
      <c r="E76" s="145" t="str" cm="1">
        <f t="array" ref="E7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6" s="145" t="str" cm="1">
        <f t="array" ref="F7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6" s="145" t="str" cm="1">
        <f t="array" ref="G7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INDEX((standard_components_121[[#This Row],[Component]]=factor_eff_table[Component])*(standard_components_121[[#This Row],[Service]]=factor_eff_table[Service]), 0, 1), 0)),
 "-")</f>
        <v>-</v>
      </c>
      <c r="E77" s="145" t="str" cm="1">
        <f t="array" ref="E7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7" s="145" t="str" cm="1">
        <f t="array" ref="F7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7" s="145" t="str" cm="1">
        <f t="array" ref="G7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INDEX((standard_components_121[[#This Row],[Component]]=factor_eff_table[Component])*(standard_components_121[[#This Row],[Service]]=factor_eff_table[Service]), 0, 1), 0)),
 "-")</f>
        <v>-</v>
      </c>
      <c r="E78" s="145" t="str" cm="1">
        <f t="array" ref="E7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8" s="145" t="str" cm="1">
        <f t="array" ref="F7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8" s="145" t="str" cm="1">
        <f t="array" ref="G7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INDEX((standard_components_121[[#This Row],[Component]]=factor_eff_table[Component])*(standard_components_121[[#This Row],[Service]]=factor_eff_table[Service]), 0, 1), 0)),
 "-")</f>
        <v>-</v>
      </c>
      <c r="E79" s="145" t="str" cm="1">
        <f t="array" ref="E7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79" s="145" t="str" cm="1">
        <f t="array" ref="F7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79" s="145" t="str" cm="1">
        <f t="array" ref="G7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7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7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INDEX((standard_components_121[[#This Row],[Component]]=factor_eff_table[Component])*(standard_components_121[[#This Row],[Service]]=factor_eff_table[Service]), 0, 1), 0)),
 "-")</f>
        <v>-</v>
      </c>
      <c r="E80" s="145" t="str" cm="1">
        <f t="array" ref="E8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0" s="145" t="str" cm="1">
        <f t="array" ref="F8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0" s="145" t="str" cm="1">
        <f t="array" ref="G8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INDEX((standard_components_121[[#This Row],[Component]]=factor_eff_table[Component])*(standard_components_121[[#This Row],[Service]]=factor_eff_table[Service]), 0, 1), 0)),
 "-")</f>
        <v>-</v>
      </c>
      <c r="E81" s="145" t="str" cm="1">
        <f t="array" ref="E8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1" s="145" t="str" cm="1">
        <f t="array" ref="F8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1" s="145" t="str" cm="1">
        <f t="array" ref="G8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INDEX((standard_components_121[[#This Row],[Component]]=factor_eff_table[Component])*(standard_components_121[[#This Row],[Service]]=factor_eff_table[Service]), 0, 1), 0)),
 "-")</f>
        <v>-</v>
      </c>
      <c r="E82" s="145" t="str" cm="1">
        <f t="array" ref="E8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2" s="145" t="str" cm="1">
        <f t="array" ref="F8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2" s="145" t="str" cm="1">
        <f t="array" ref="G8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INDEX((standard_components_121[[#This Row],[Component]]=factor_eff_table[Component])*(standard_components_121[[#This Row],[Service]]=factor_eff_table[Service]), 0, 1), 0)),
 "-")</f>
        <v>-</v>
      </c>
      <c r="E83" s="145" t="str" cm="1">
        <f t="array" ref="E8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3" s="145" t="str" cm="1">
        <f t="array" ref="F8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3" s="145" t="str" cm="1">
        <f t="array" ref="G8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INDEX((standard_components_121[[#This Row],[Component]]=factor_eff_table[Component])*(standard_components_121[[#This Row],[Service]]=factor_eff_table[Service]), 0, 1), 0)),
 "-")</f>
        <v>-</v>
      </c>
      <c r="E84" s="145" t="str" cm="1">
        <f t="array" ref="E8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4" s="145" t="str" cm="1">
        <f t="array" ref="F8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4" s="145" t="str" cm="1">
        <f t="array" ref="G8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INDEX((standard_components_121[[#This Row],[Component]]=factor_eff_table[Component])*(standard_components_121[[#This Row],[Service]]=factor_eff_table[Service]), 0, 1), 0)),
 "-")</f>
        <v>-</v>
      </c>
      <c r="E85" s="145" t="str" cm="1">
        <f t="array" ref="E8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5" s="145" t="str" cm="1">
        <f t="array" ref="F8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5" s="145" t="str" cm="1">
        <f t="array" ref="G8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INDEX((standard_components_121[[#This Row],[Component]]=factor_eff_table[Component])*(standard_components_121[[#This Row],[Service]]=factor_eff_table[Service]), 0, 1), 0)),
 "-")</f>
        <v>-</v>
      </c>
      <c r="E86" s="145" t="str" cm="1">
        <f t="array" ref="E8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6" s="145" t="str" cm="1">
        <f t="array" ref="F8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6" s="145" t="str" cm="1">
        <f t="array" ref="G8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INDEX((standard_components_121[[#This Row],[Component]]=factor_eff_table[Component])*(standard_components_121[[#This Row],[Service]]=factor_eff_table[Service]), 0, 1), 0)),
 "-")</f>
        <v>-</v>
      </c>
      <c r="E87" s="145" t="str" cm="1">
        <f t="array" ref="E8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7" s="145" t="str" cm="1">
        <f t="array" ref="F8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7" s="145" t="str" cm="1">
        <f t="array" ref="G8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INDEX((standard_components_121[[#This Row],[Component]]=factor_eff_table[Component])*(standard_components_121[[#This Row],[Service]]=factor_eff_table[Service]), 0, 1), 0)),
 "-")</f>
        <v>-</v>
      </c>
      <c r="E88" s="145" t="str" cm="1">
        <f t="array" ref="E8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8" s="145" t="str" cm="1">
        <f t="array" ref="F8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8" s="145" t="str" cm="1">
        <f t="array" ref="G8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INDEX((standard_components_121[[#This Row],[Component]]=factor_eff_table[Component])*(standard_components_121[[#This Row],[Service]]=factor_eff_table[Service]), 0, 1), 0)),
 "-")</f>
        <v>-</v>
      </c>
      <c r="E89" s="145" t="str" cm="1">
        <f t="array" ref="E8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89" s="145" t="str" cm="1">
        <f t="array" ref="F8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89" s="145" t="str" cm="1">
        <f t="array" ref="G8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8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8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INDEX((standard_components_121[[#This Row],[Component]]=factor_eff_table[Component])*(standard_components_121[[#This Row],[Service]]=factor_eff_table[Service]), 0, 1), 0)),
 "-")</f>
        <v>-</v>
      </c>
      <c r="E90" s="145" t="str" cm="1">
        <f t="array" ref="E9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0" s="145" t="str" cm="1">
        <f t="array" ref="F9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0" s="145" t="str" cm="1">
        <f t="array" ref="G9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INDEX((standard_components_121[[#This Row],[Component]]=factor_eff_table[Component])*(standard_components_121[[#This Row],[Service]]=factor_eff_table[Service]), 0, 1), 0)),
 "-")</f>
        <v>-</v>
      </c>
      <c r="E91" s="145" t="str" cm="1">
        <f t="array" ref="E91">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1" s="145" t="str" cm="1">
        <f t="array" ref="F91">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1" s="145" t="str" cm="1">
        <f t="array" ref="G91">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1"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1"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INDEX((standard_components_121[[#This Row],[Component]]=factor_eff_table[Component])*(standard_components_121[[#This Row],[Service]]=factor_eff_table[Service]), 0, 1), 0)),
 "-")</f>
        <v>-</v>
      </c>
      <c r="E92" s="145" t="str" cm="1">
        <f t="array" ref="E92">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2" s="145" t="str" cm="1">
        <f t="array" ref="F92">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2" s="145" t="str" cm="1">
        <f t="array" ref="G92">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2"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2"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INDEX((standard_components_121[[#This Row],[Component]]=factor_eff_table[Component])*(standard_components_121[[#This Row],[Service]]=factor_eff_table[Service]), 0, 1), 0)),
 "-")</f>
        <v>-</v>
      </c>
      <c r="E93" s="145" t="str" cm="1">
        <f t="array" ref="E93">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3" s="145" t="str" cm="1">
        <f t="array" ref="F93">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3" s="145" t="str" cm="1">
        <f t="array" ref="G93">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3"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3"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INDEX((standard_components_121[[#This Row],[Component]]=factor_eff_table[Component])*(standard_components_121[[#This Row],[Service]]=factor_eff_table[Service]), 0, 1), 0)),
 "-")</f>
        <v>-</v>
      </c>
      <c r="E94" s="145" t="str" cm="1">
        <f t="array" ref="E94">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4" s="145" t="str" cm="1">
        <f t="array" ref="F94">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4" s="145" t="str" cm="1">
        <f t="array" ref="G94">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4"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4"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INDEX((standard_components_121[[#This Row],[Component]]=factor_eff_table[Component])*(standard_components_121[[#This Row],[Service]]=factor_eff_table[Service]), 0, 1), 0)),
 "-")</f>
        <v>-</v>
      </c>
      <c r="E95" s="145" t="str" cm="1">
        <f t="array" ref="E95">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5" s="145" t="str" cm="1">
        <f t="array" ref="F95">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5" s="145" t="str" cm="1">
        <f t="array" ref="G95">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5"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5"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INDEX((standard_components_121[[#This Row],[Component]]=factor_eff_table[Component])*(standard_components_121[[#This Row],[Service]]=factor_eff_table[Service]), 0, 1), 0)),
 "-")</f>
        <v>-</v>
      </c>
      <c r="E96" s="145" t="str" cm="1">
        <f t="array" ref="E96">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6" s="145" t="str" cm="1">
        <f t="array" ref="F96">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6" s="145" t="str" cm="1">
        <f t="array" ref="G96">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6"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6"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INDEX((standard_components_121[[#This Row],[Component]]=factor_eff_table[Component])*(standard_components_121[[#This Row],[Service]]=factor_eff_table[Service]), 0, 1), 0)),
 "-")</f>
        <v>-</v>
      </c>
      <c r="E97" s="145" t="str" cm="1">
        <f t="array" ref="E97">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7" s="145" t="str" cm="1">
        <f t="array" ref="F97">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7" s="145" t="str" cm="1">
        <f t="array" ref="G97">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7"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7"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INDEX((standard_components_121[[#This Row],[Component]]=factor_eff_table[Component])*(standard_components_121[[#This Row],[Service]]=factor_eff_table[Service]), 0, 1), 0)),
 "-")</f>
        <v>-</v>
      </c>
      <c r="E98" s="145" t="str" cm="1">
        <f t="array" ref="E98">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8" s="145" t="str" cm="1">
        <f t="array" ref="F98">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8" s="145" t="str" cm="1">
        <f t="array" ref="G98">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8"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8"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INDEX((standard_components_121[[#This Row],[Component]]=factor_eff_table[Component])*(standard_components_121[[#This Row],[Service]]=factor_eff_table[Service]), 0, 1), 0)),
 "-")</f>
        <v>-</v>
      </c>
      <c r="E99" s="145" t="str" cm="1">
        <f t="array" ref="E99">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99" s="145" t="str" cm="1">
        <f t="array" ref="F99">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99" s="145" t="str" cm="1">
        <f t="array" ref="G99">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99"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99"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INDEX((standard_components_121[[#This Row],[Component]]=factor_eff_table[Component])*(standard_components_121[[#This Row],[Service]]=factor_eff_table[Service]), 0, 1), 0)),
 "-")</f>
        <v>-</v>
      </c>
      <c r="E100" s="145" t="str" cm="1">
        <f t="array" ref="E100">IF(AND(process_drain_bool="Yes",LEFT(standard_components_121[[#This Row],[Component]], LEN("Process drains"))="Process Drains", ISBLANK(instrument_ldar)=FALSE), process_drain_eff,
IFERROR(
INDEX(
INDEX(factor_eff_table[], , MATCH(instrument_ldar, factor_eff_table[#Headers], 0)),
MATCH(1, INDEX((standard_components_121[[#This Row],[Component]]=factor_eff_table[Component])*(standard_components_121[[#This Row],[Service]]=factor_eff_table[Service]), 0, 1), 0)),
 "-"))</f>
        <v>-</v>
      </c>
      <c r="F100" s="145" t="str" cm="1">
        <f t="array" ref="F100">IF(AND(process_drain_bool="Yes",LEFT(standard_components_121[[#This Row],[Component]], LEN("Process drains"))="Process Drains", ISBLANK(connector_ldar)=FALSE), process_drain_eff,
IFERROR(
INDEX(
INDEX(factor_eff_table[], , MATCH(connector_ldar, factor_eff_table[#Headers], 0)),
MATCH(1, INDEX((standard_components_121[[#This Row],[Component]]=factor_eff_table[Component])*(standard_components_121[[#This Row],[Service]]=factor_eff_table[Service]), 0, 1), 0)),
 "-"))</f>
        <v>-</v>
      </c>
      <c r="G100" s="145" t="str" cm="1">
        <f t="array" ref="G100">IF(AND(process_drain_bool="Yes",LEFT(standard_components_121[[#This Row],[Component]], LEN("Process Drains"))="Process Drains", ISBLANK(inspection_ldar)=FALSE), process_drain_eff,
IFERROR(
INDEX(
INDEX(factor_eff_table[], , MATCH(inspection_ldar, factor_eff_table[#Headers], 0)),
MATCH(1, INDEX((standard_components_121[[#This Row],[Component]]=factor_eff_table[Component])*(standard_components_121[[#This Row],[Service]]=factor_eff_table[Service]), 0, 1), 0)),
 "-"))</f>
        <v>-</v>
      </c>
      <c r="H100" s="146" t="str">
        <f>IF(standard_components_121[[#This Row],[Component]]="Sampling Connections (annual) [2]", "N/A",
 IF(standard_components_121[[#This Row],[Component]]="Sampling Connections (hourly) [1]", standard_components_121[[#This Row],[Count]]*standard_components_121[[#This Row],[Industry Emission Factor]],
IFERROR(standard_components_121[[#This Row],[Count]]*standard_components_121[[#This Row],[Industry Emission Factor]]*MIN(1-standard_components_121[[#This Row],[Instrument Monitoring LDAR Control Efficiency]], 1-standard_components_121[[#This Row],[Physical Inspection LDAR Control Efficiency]], 1-standard_components_121[[#This Row],[Connector Monitoring LDAR Control Efficiency]]), "-")))</f>
        <v>-</v>
      </c>
      <c r="I100" s="146" t="str">
        <f>IF(standard_components_121[[#This Row],[Component]]="Sampling Connections (hourly) [1]", "N/A",
 IF(standard_components_121[[#This Row],[Component]]="Sampling Connections (annual) [2]", standard_components_121[[#This Row],[Count]]*standard_components_121[[#This Row],[Industry Emission Factor]]/stons_to_lbs,
 IFERROR(years_to_hrs/stons_to_lbs*standard_components_121[[#This Row],[Controlled
lb/hr]], "-")))</f>
        <v>-</v>
      </c>
    </row>
    <row r="101" spans="1:9" ht="15" x14ac:dyDescent="0.25">
      <c r="A101" s="147" t="s">
        <v>12776</v>
      </c>
      <c r="B101" s="148"/>
      <c r="C101" s="149">
        <f>SUBTOTAL(109,standard_components_121[Count])</f>
        <v>0</v>
      </c>
      <c r="D101" s="150"/>
      <c r="E101" s="150"/>
      <c r="F101" s="150"/>
      <c r="G101" s="150"/>
      <c r="H101" s="151">
        <f>SUBTOTAL(109,standard_components_121[Controlled
lb/hr])</f>
        <v>0</v>
      </c>
      <c r="I101" s="151">
        <f>SUBTOTAL(109,standard_components_121[Controlled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unique_components_122[[#This Row],[Count]]*unique_components_122[[#This Row],[Proposed Emission Factor]]*(1-unique_components_122[[#This Row],[Proposed Control Efficiency]])</f>
        <v>0</v>
      </c>
      <c r="G107" s="155">
        <f>IFERROR(unique_components_122[[#This Row],[Controlled lb/hr]]*4.38,"")</f>
        <v>0</v>
      </c>
    </row>
    <row r="108" spans="1:9" x14ac:dyDescent="0.2">
      <c r="A108" s="103"/>
      <c r="B108" s="104"/>
      <c r="C108" s="153"/>
      <c r="D108" s="154"/>
      <c r="E108" s="154"/>
      <c r="F108" s="146">
        <f>unique_components_122[[#This Row],[Count]]*unique_components_122[[#This Row],[Proposed Emission Factor]]*(1-unique_components_122[[#This Row],[Proposed Control Efficiency]])</f>
        <v>0</v>
      </c>
      <c r="G108" s="155">
        <f>IFERROR(unique_components_122[[#This Row],[Controlled lb/hr]]*4.38,"")</f>
        <v>0</v>
      </c>
    </row>
    <row r="109" spans="1:9" x14ac:dyDescent="0.2">
      <c r="A109" s="103"/>
      <c r="B109" s="104"/>
      <c r="C109" s="153"/>
      <c r="D109" s="154"/>
      <c r="E109" s="154"/>
      <c r="F109" s="146">
        <f>unique_components_122[[#This Row],[Count]]*unique_components_122[[#This Row],[Proposed Emission Factor]]*(1-unique_components_122[[#This Row],[Proposed Control Efficiency]])</f>
        <v>0</v>
      </c>
      <c r="G109" s="155">
        <f>IFERROR(unique_components_122[[#This Row],[Controlled lb/hr]]*4.38,"")</f>
        <v>0</v>
      </c>
    </row>
    <row r="110" spans="1:9" x14ac:dyDescent="0.2">
      <c r="A110" s="103"/>
      <c r="B110" s="104"/>
      <c r="C110" s="153"/>
      <c r="D110" s="154"/>
      <c r="E110" s="154"/>
      <c r="F110" s="146">
        <f>unique_components_122[[#This Row],[Count]]*unique_components_122[[#This Row],[Proposed Emission Factor]]*(1-unique_components_122[[#This Row],[Proposed Control Efficiency]])</f>
        <v>0</v>
      </c>
      <c r="G110" s="155">
        <f>IFERROR(unique_components_122[[#This Row],[Controlled lb/hr]]*4.38,"")</f>
        <v>0</v>
      </c>
    </row>
    <row r="111" spans="1:9" x14ac:dyDescent="0.2">
      <c r="A111" s="103"/>
      <c r="B111" s="104"/>
      <c r="C111" s="153"/>
      <c r="D111" s="154"/>
      <c r="E111" s="154"/>
      <c r="F111" s="146">
        <f>unique_components_122[[#This Row],[Count]]*unique_components_122[[#This Row],[Proposed Emission Factor]]*(1-unique_components_122[[#This Row],[Proposed Control Efficiency]])</f>
        <v>0</v>
      </c>
      <c r="G111" s="155">
        <f>IFERROR(unique_components_122[[#This Row],[Controlled lb/hr]]*4.38,"")</f>
        <v>0</v>
      </c>
    </row>
    <row r="112" spans="1:9" x14ac:dyDescent="0.2">
      <c r="A112" s="103"/>
      <c r="B112" s="104"/>
      <c r="C112" s="153"/>
      <c r="D112" s="154"/>
      <c r="E112" s="154"/>
      <c r="F112" s="146">
        <f>unique_components_122[[#This Row],[Count]]*unique_components_122[[#This Row],[Proposed Emission Factor]]*(1-unique_components_122[[#This Row],[Proposed Control Efficiency]])</f>
        <v>0</v>
      </c>
      <c r="G112" s="155">
        <f>IFERROR(unique_components_122[[#This Row],[Controlled lb/hr]]*4.38,"")</f>
        <v>0</v>
      </c>
    </row>
    <row r="113" spans="1:8" x14ac:dyDescent="0.2">
      <c r="A113" s="103"/>
      <c r="B113" s="104"/>
      <c r="C113" s="153"/>
      <c r="D113" s="154"/>
      <c r="E113" s="154"/>
      <c r="F113" s="146">
        <f>unique_components_122[[#This Row],[Count]]*unique_components_122[[#This Row],[Proposed Emission Factor]]*(1-unique_components_122[[#This Row],[Proposed Control Efficiency]])</f>
        <v>0</v>
      </c>
      <c r="G113" s="155">
        <f>IFERROR(unique_components_122[[#This Row],[Controlled lb/hr]]*4.38,"")</f>
        <v>0</v>
      </c>
    </row>
    <row r="114" spans="1:8" x14ac:dyDescent="0.2">
      <c r="A114" s="103"/>
      <c r="B114" s="104"/>
      <c r="C114" s="153"/>
      <c r="D114" s="154"/>
      <c r="E114" s="154"/>
      <c r="F114" s="146">
        <f>unique_components_122[[#This Row],[Count]]*unique_components_122[[#This Row],[Proposed Emission Factor]]*(1-unique_components_122[[#This Row],[Proposed Control Efficiency]])</f>
        <v>0</v>
      </c>
      <c r="G114" s="155">
        <f>IFERROR(unique_components_122[[#This Row],[Controlled lb/hr]]*4.38,"")</f>
        <v>0</v>
      </c>
    </row>
    <row r="115" spans="1:8" x14ac:dyDescent="0.2">
      <c r="A115" s="103"/>
      <c r="B115" s="104"/>
      <c r="C115" s="153"/>
      <c r="D115" s="154"/>
      <c r="E115" s="154"/>
      <c r="F115" s="146">
        <f>unique_components_122[[#This Row],[Count]]*unique_components_122[[#This Row],[Proposed Emission Factor]]*(1-unique_components_122[[#This Row],[Proposed Control Efficiency]])</f>
        <v>0</v>
      </c>
      <c r="G115" s="155">
        <f>IFERROR(unique_components_122[[#This Row],[Controlled lb/hr]]*4.38,"")</f>
        <v>0</v>
      </c>
    </row>
    <row r="116" spans="1:8" x14ac:dyDescent="0.2">
      <c r="A116" s="103"/>
      <c r="B116" s="104"/>
      <c r="C116" s="153"/>
      <c r="D116" s="154"/>
      <c r="E116" s="154"/>
      <c r="F116" s="146">
        <f>unique_components_122[[#This Row],[Count]]*unique_components_122[[#This Row],[Proposed Emission Factor]]*(1-unique_components_122[[#This Row],[Proposed Control Efficiency]])</f>
        <v>0</v>
      </c>
      <c r="G116" s="155">
        <f>IFERROR(unique_components_122[[#This Row],[Controlled lb/hr]]*4.38,"")</f>
        <v>0</v>
      </c>
    </row>
    <row r="117" spans="1:8" x14ac:dyDescent="0.2">
      <c r="A117" s="103"/>
      <c r="B117" s="104"/>
      <c r="C117" s="153"/>
      <c r="D117" s="154"/>
      <c r="E117" s="154"/>
      <c r="F117" s="146">
        <f>unique_components_122[[#This Row],[Count]]*unique_components_122[[#This Row],[Proposed Emission Factor]]*(1-unique_components_122[[#This Row],[Proposed Control Efficiency]])</f>
        <v>0</v>
      </c>
      <c r="G117" s="155">
        <f>IFERROR(unique_components_122[[#This Row],[Controlled lb/hr]]*4.38,"")</f>
        <v>0</v>
      </c>
    </row>
    <row r="118" spans="1:8" x14ac:dyDescent="0.2">
      <c r="A118" s="103"/>
      <c r="B118" s="104"/>
      <c r="C118" s="153"/>
      <c r="D118" s="154"/>
      <c r="E118" s="154"/>
      <c r="F118" s="146">
        <f>unique_components_122[[#This Row],[Count]]*unique_components_122[[#This Row],[Proposed Emission Factor]]*(1-unique_components_122[[#This Row],[Proposed Control Efficiency]])</f>
        <v>0</v>
      </c>
      <c r="G118" s="155">
        <f>IFERROR(unique_components_122[[#This Row],[Controlled lb/hr]]*4.38,"")</f>
        <v>0</v>
      </c>
    </row>
    <row r="119" spans="1:8" x14ac:dyDescent="0.2">
      <c r="A119" s="103"/>
      <c r="B119" s="104"/>
      <c r="C119" s="153"/>
      <c r="D119" s="154"/>
      <c r="E119" s="154"/>
      <c r="F119" s="146">
        <f>unique_components_122[[#This Row],[Count]]*unique_components_122[[#This Row],[Proposed Emission Factor]]*(1-unique_components_122[[#This Row],[Proposed Control Efficiency]])</f>
        <v>0</v>
      </c>
      <c r="G119" s="155">
        <f>IFERROR(unique_components_122[[#This Row],[Controlled lb/hr]]*4.38,"")</f>
        <v>0</v>
      </c>
    </row>
    <row r="120" spans="1:8" x14ac:dyDescent="0.2">
      <c r="A120" s="103"/>
      <c r="B120" s="104"/>
      <c r="C120" s="153"/>
      <c r="D120" s="154"/>
      <c r="E120" s="154"/>
      <c r="F120" s="146">
        <f>unique_components_122[[#This Row],[Count]]*unique_components_122[[#This Row],[Proposed Emission Factor]]*(1-unique_components_122[[#This Row],[Proposed Control Efficiency]])</f>
        <v>0</v>
      </c>
      <c r="G120" s="155">
        <f>IFERROR(unique_components_122[[#This Row],[Controlled lb/hr]]*4.38,"")</f>
        <v>0</v>
      </c>
    </row>
    <row r="121" spans="1:8" x14ac:dyDescent="0.2">
      <c r="A121" s="103"/>
      <c r="B121" s="104"/>
      <c r="C121" s="153"/>
      <c r="D121" s="154"/>
      <c r="E121" s="154"/>
      <c r="F121" s="146">
        <f>unique_components_122[[#This Row],[Count]]*unique_components_122[[#This Row],[Proposed Emission Factor]]*(1-unique_components_122[[#This Row],[Proposed Control Efficiency]])</f>
        <v>0</v>
      </c>
      <c r="G121" s="155">
        <f>IFERROR(unique_components_122[[#This Row],[Controlled lb/hr]]*4.38,"")</f>
        <v>0</v>
      </c>
    </row>
    <row r="122" spans="1:8" x14ac:dyDescent="0.2">
      <c r="A122" s="103"/>
      <c r="B122" s="104"/>
      <c r="C122" s="153"/>
      <c r="D122" s="154"/>
      <c r="E122" s="154"/>
      <c r="F122" s="146">
        <f>unique_components_122[[#This Row],[Count]]*unique_components_122[[#This Row],[Proposed Emission Factor]]*(1-unique_components_122[[#This Row],[Proposed Control Efficiency]])</f>
        <v>0</v>
      </c>
      <c r="G122" s="155">
        <f>IFERROR(unique_components_122[[#This Row],[Controlled lb/hr]]*4.38,"")</f>
        <v>0</v>
      </c>
    </row>
    <row r="123" spans="1:8" x14ac:dyDescent="0.2">
      <c r="A123" s="103"/>
      <c r="B123" s="104"/>
      <c r="C123" s="153"/>
      <c r="D123" s="154"/>
      <c r="E123" s="154"/>
      <c r="F123" s="146">
        <f>unique_components_122[[#This Row],[Count]]*unique_components_122[[#This Row],[Proposed Emission Factor]]*(1-unique_components_122[[#This Row],[Proposed Control Efficiency]])</f>
        <v>0</v>
      </c>
      <c r="G123" s="155">
        <f>IFERROR(unique_components_122[[#This Row],[Controlled lb/hr]]*4.38,"")</f>
        <v>0</v>
      </c>
    </row>
    <row r="124" spans="1:8" x14ac:dyDescent="0.2">
      <c r="A124" s="103"/>
      <c r="B124" s="104"/>
      <c r="C124" s="153"/>
      <c r="D124" s="154"/>
      <c r="E124" s="154"/>
      <c r="F124" s="146">
        <f>unique_components_122[[#This Row],[Count]]*unique_components_122[[#This Row],[Proposed Emission Factor]]*(1-unique_components_122[[#This Row],[Proposed Control Efficiency]])</f>
        <v>0</v>
      </c>
      <c r="G124" s="155">
        <f>IFERROR(unique_components_122[[#This Row],[Controlled lb/hr]]*4.38,"")</f>
        <v>0</v>
      </c>
    </row>
    <row r="125" spans="1:8" x14ac:dyDescent="0.2">
      <c r="A125" s="103"/>
      <c r="B125" s="104"/>
      <c r="C125" s="153"/>
      <c r="D125" s="154"/>
      <c r="E125" s="154"/>
      <c r="F125" s="146">
        <f>unique_components_122[[#This Row],[Count]]*unique_components_122[[#This Row],[Proposed Emission Factor]]*(1-unique_components_122[[#This Row],[Proposed Control Efficiency]])</f>
        <v>0</v>
      </c>
      <c r="G125" s="155">
        <f>IFERROR(unique_components_122[[#This Row],[Controlled lb/hr]]*4.38,"")</f>
        <v>0</v>
      </c>
    </row>
    <row r="126" spans="1:8" x14ac:dyDescent="0.2">
      <c r="A126" s="105"/>
      <c r="B126" s="106"/>
      <c r="C126" s="156"/>
      <c r="D126" s="154"/>
      <c r="E126" s="157"/>
      <c r="F126" s="158">
        <f>unique_components_122[[#This Row],[Count]]*unique_components_122[[#This Row],[Proposed Emission Factor]]*(1-unique_components_122[[#This Row],[Proposed Control Efficiency]])</f>
        <v>0</v>
      </c>
      <c r="G126" s="159">
        <f>IFERROR(unique_components_122[[#This Row],[Controlled lb/hr]]*4.38,"")</f>
        <v>0</v>
      </c>
    </row>
    <row r="127" spans="1:8" ht="30" x14ac:dyDescent="0.2">
      <c r="A127" s="57" t="s">
        <v>13297</v>
      </c>
      <c r="B127" s="54"/>
      <c r="C127" s="160">
        <f>SUBTOTAL(109,unique_components_122[Count])</f>
        <v>0</v>
      </c>
      <c r="D127" s="161"/>
      <c r="E127" s="161"/>
      <c r="F127" s="162">
        <f>SUBTOTAL(109,unique_components_122[Controlled lb/hr])</f>
        <v>0</v>
      </c>
      <c r="G127" s="162">
        <f>SUBTOTAL(109,unique_components_122[Controlled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IFERROR(VLOOKUP(speciated_chemicals_123[[#This Row],[CAS '#]],species[],MATCH("Substance", species[#Headers], 0),FALSE),"No CAS Number Entered")</f>
        <v>No CAS Number Entered</v>
      </c>
      <c r="C131" s="102"/>
      <c r="D131" s="102" t="s">
        <v>12666</v>
      </c>
      <c r="E131" s="102" t="s">
        <v>12666</v>
      </c>
      <c r="F131" s="102" t="s">
        <v>12666</v>
      </c>
      <c r="G131" s="102" t="s">
        <v>12666</v>
      </c>
      <c r="H131" s="164"/>
      <c r="I131" s="51">
        <f>IF(speciated_chemicals_123[[#This Row],[Inert / Not a Contaminant?]]="Yes", 0, speciated_chemicals_123[[#This Row],[Weight Percent]]*(unique_components_122[[#Totals],[Controlled lb/hr]]+standard_components_121[[#Totals],[Controlled
lb/hr]]))</f>
        <v>0</v>
      </c>
      <c r="J131" s="51">
        <f>IF(speciated_chemicals_123[[#This Row],[Inert / Not a Contaminant?]]="Yes", 0, speciated_chemicals_123[[#This Row],[Weight Percent]]*(unique_components_122[[#Totals],[Controlled
tpy]]+standard_components_121[[#Totals],[Controlled
tpy]]))</f>
        <v>0</v>
      </c>
    </row>
    <row r="132" spans="1:10" x14ac:dyDescent="0.2">
      <c r="A132" s="103"/>
      <c r="B132" s="51" t="str">
        <f>IFERROR(VLOOKUP(speciated_chemicals_123[[#This Row],[CAS '#]],species[],MATCH("Substance", species[#Headers], 0),FALSE),"No CAS Number Entered")</f>
        <v>No CAS Number Entered</v>
      </c>
      <c r="C132" s="102"/>
      <c r="D132" s="102" t="s">
        <v>12666</v>
      </c>
      <c r="E132" s="102" t="s">
        <v>12666</v>
      </c>
      <c r="F132" s="102" t="s">
        <v>12666</v>
      </c>
      <c r="G132" s="102" t="s">
        <v>12666</v>
      </c>
      <c r="H132" s="164"/>
      <c r="I132" s="51">
        <f>IF(speciated_chemicals_123[[#This Row],[Inert / Not a Contaminant?]]="Yes", 0, speciated_chemicals_123[[#This Row],[Weight Percent]]*(unique_components_122[[#Totals],[Controlled lb/hr]]+standard_components_121[[#Totals],[Controlled
lb/hr]]))</f>
        <v>0</v>
      </c>
      <c r="J132" s="51">
        <f>IF(speciated_chemicals_123[[#This Row],[Inert / Not a Contaminant?]]="Yes", 0, speciated_chemicals_123[[#This Row],[Weight Percent]]*(unique_components_122[[#Totals],[Controlled
tpy]]+standard_components_121[[#Totals],[Controlled
tpy]]))</f>
        <v>0</v>
      </c>
    </row>
    <row r="133" spans="1:10" x14ac:dyDescent="0.2">
      <c r="A133" s="103"/>
      <c r="B133" s="51" t="str">
        <f>IFERROR(VLOOKUP(speciated_chemicals_123[[#This Row],[CAS '#]],species[],MATCH("Substance", species[#Headers], 0),FALSE),"No CAS Number Entered")</f>
        <v>No CAS Number Entered</v>
      </c>
      <c r="C133" s="102"/>
      <c r="D133" s="102" t="s">
        <v>12666</v>
      </c>
      <c r="E133" s="102" t="s">
        <v>12666</v>
      </c>
      <c r="F133" s="102" t="s">
        <v>12666</v>
      </c>
      <c r="G133" s="102" t="s">
        <v>12666</v>
      </c>
      <c r="H133" s="164"/>
      <c r="I133" s="51">
        <f>IF(speciated_chemicals_123[[#This Row],[Inert / Not a Contaminant?]]="Yes", 0, speciated_chemicals_123[[#This Row],[Weight Percent]]*(unique_components_122[[#Totals],[Controlled lb/hr]]+standard_components_121[[#Totals],[Controlled
lb/hr]]))</f>
        <v>0</v>
      </c>
      <c r="J133" s="51">
        <f>IF(speciated_chemicals_123[[#This Row],[Inert / Not a Contaminant?]]="Yes", 0, speciated_chemicals_123[[#This Row],[Weight Percent]]*(unique_components_122[[#Totals],[Controlled
tpy]]+standard_components_121[[#Totals],[Controlled
tpy]]))</f>
        <v>0</v>
      </c>
    </row>
    <row r="134" spans="1:10" x14ac:dyDescent="0.2">
      <c r="A134" s="103"/>
      <c r="B134" s="51" t="str">
        <f>IFERROR(VLOOKUP(speciated_chemicals_123[[#This Row],[CAS '#]],species[],MATCH("Substance", species[#Headers], 0),FALSE),"No CAS Number Entered")</f>
        <v>No CAS Number Entered</v>
      </c>
      <c r="C134" s="102"/>
      <c r="D134" s="102" t="s">
        <v>12666</v>
      </c>
      <c r="E134" s="102" t="s">
        <v>12666</v>
      </c>
      <c r="F134" s="102" t="s">
        <v>12666</v>
      </c>
      <c r="G134" s="102" t="s">
        <v>12666</v>
      </c>
      <c r="H134" s="164"/>
      <c r="I134" s="51">
        <f>IF(speciated_chemicals_123[[#This Row],[Inert / Not a Contaminant?]]="Yes", 0, speciated_chemicals_123[[#This Row],[Weight Percent]]*(unique_components_122[[#Totals],[Controlled lb/hr]]+standard_components_121[[#Totals],[Controlled
lb/hr]]))</f>
        <v>0</v>
      </c>
      <c r="J134" s="51">
        <f>IF(speciated_chemicals_123[[#This Row],[Inert / Not a Contaminant?]]="Yes", 0, speciated_chemicals_123[[#This Row],[Weight Percent]]*(unique_components_122[[#Totals],[Controlled
tpy]]+standard_components_121[[#Totals],[Controlled
tpy]]))</f>
        <v>0</v>
      </c>
    </row>
    <row r="135" spans="1:10" x14ac:dyDescent="0.2">
      <c r="A135" s="103"/>
      <c r="B135" s="51" t="str">
        <f>IFERROR(VLOOKUP(speciated_chemicals_123[[#This Row],[CAS '#]],species[],MATCH("Substance", species[#Headers], 0),FALSE),"No CAS Number Entered")</f>
        <v>No CAS Number Entered</v>
      </c>
      <c r="C135" s="102"/>
      <c r="D135" s="102" t="s">
        <v>12666</v>
      </c>
      <c r="E135" s="102" t="s">
        <v>12666</v>
      </c>
      <c r="F135" s="102" t="s">
        <v>12666</v>
      </c>
      <c r="G135" s="102" t="s">
        <v>12666</v>
      </c>
      <c r="H135" s="164"/>
      <c r="I135" s="51">
        <f>IF(speciated_chemicals_123[[#This Row],[Inert / Not a Contaminant?]]="Yes", 0, speciated_chemicals_123[[#This Row],[Weight Percent]]*(unique_components_122[[#Totals],[Controlled lb/hr]]+standard_components_121[[#Totals],[Controlled
lb/hr]]))</f>
        <v>0</v>
      </c>
      <c r="J135" s="51">
        <f>IF(speciated_chemicals_123[[#This Row],[Inert / Not a Contaminant?]]="Yes", 0, speciated_chemicals_123[[#This Row],[Weight Percent]]*(unique_components_122[[#Totals],[Controlled
tpy]]+standard_components_121[[#Totals],[Controlled
tpy]]))</f>
        <v>0</v>
      </c>
    </row>
    <row r="136" spans="1:10" x14ac:dyDescent="0.2">
      <c r="A136" s="103"/>
      <c r="B136" s="51" t="str">
        <f>IFERROR(VLOOKUP(speciated_chemicals_123[[#This Row],[CAS '#]],species[],MATCH("Substance", species[#Headers], 0),FALSE),"No CAS Number Entered")</f>
        <v>No CAS Number Entered</v>
      </c>
      <c r="C136" s="102"/>
      <c r="D136" s="102" t="s">
        <v>12666</v>
      </c>
      <c r="E136" s="102" t="s">
        <v>12666</v>
      </c>
      <c r="F136" s="102" t="s">
        <v>12666</v>
      </c>
      <c r="G136" s="102" t="s">
        <v>12666</v>
      </c>
      <c r="H136" s="164"/>
      <c r="I136" s="51">
        <f>IF(speciated_chemicals_123[[#This Row],[Inert / Not a Contaminant?]]="Yes", 0, speciated_chemicals_123[[#This Row],[Weight Percent]]*(unique_components_122[[#Totals],[Controlled lb/hr]]+standard_components_121[[#Totals],[Controlled
lb/hr]]))</f>
        <v>0</v>
      </c>
      <c r="J136" s="51">
        <f>IF(speciated_chemicals_123[[#This Row],[Inert / Not a Contaminant?]]="Yes", 0, speciated_chemicals_123[[#This Row],[Weight Percent]]*(unique_components_122[[#Totals],[Controlled
tpy]]+standard_components_121[[#Totals],[Controlled
tpy]]))</f>
        <v>0</v>
      </c>
    </row>
    <row r="137" spans="1:10" x14ac:dyDescent="0.2">
      <c r="A137" s="103"/>
      <c r="B137" s="51" t="str">
        <f>IFERROR(VLOOKUP(speciated_chemicals_123[[#This Row],[CAS '#]],species[],MATCH("Substance", species[#Headers], 0),FALSE),"No CAS Number Entered")</f>
        <v>No CAS Number Entered</v>
      </c>
      <c r="C137" s="102"/>
      <c r="D137" s="102" t="s">
        <v>12666</v>
      </c>
      <c r="E137" s="102" t="s">
        <v>12666</v>
      </c>
      <c r="F137" s="102" t="s">
        <v>12666</v>
      </c>
      <c r="G137" s="102" t="s">
        <v>12666</v>
      </c>
      <c r="H137" s="164"/>
      <c r="I137" s="51">
        <f>IF(speciated_chemicals_123[[#This Row],[Inert / Not a Contaminant?]]="Yes", 0, speciated_chemicals_123[[#This Row],[Weight Percent]]*(unique_components_122[[#Totals],[Controlled lb/hr]]+standard_components_121[[#Totals],[Controlled
lb/hr]]))</f>
        <v>0</v>
      </c>
      <c r="J137" s="51">
        <f>IF(speciated_chemicals_123[[#This Row],[Inert / Not a Contaminant?]]="Yes", 0, speciated_chemicals_123[[#This Row],[Weight Percent]]*(unique_components_122[[#Totals],[Controlled
tpy]]+standard_components_121[[#Totals],[Controlled
tpy]]))</f>
        <v>0</v>
      </c>
    </row>
    <row r="138" spans="1:10" x14ac:dyDescent="0.2">
      <c r="A138" s="103"/>
      <c r="B138" s="51" t="str">
        <f>IFERROR(VLOOKUP(speciated_chemicals_123[[#This Row],[CAS '#]],species[],MATCH("Substance", species[#Headers], 0),FALSE),"No CAS Number Entered")</f>
        <v>No CAS Number Entered</v>
      </c>
      <c r="C138" s="102"/>
      <c r="D138" s="102" t="s">
        <v>12666</v>
      </c>
      <c r="E138" s="102" t="s">
        <v>12666</v>
      </c>
      <c r="F138" s="102" t="s">
        <v>12666</v>
      </c>
      <c r="G138" s="102" t="s">
        <v>12666</v>
      </c>
      <c r="H138" s="164"/>
      <c r="I138" s="51">
        <f>IF(speciated_chemicals_123[[#This Row],[Inert / Not a Contaminant?]]="Yes", 0, speciated_chemicals_123[[#This Row],[Weight Percent]]*(unique_components_122[[#Totals],[Controlled lb/hr]]+standard_components_121[[#Totals],[Controlled
lb/hr]]))</f>
        <v>0</v>
      </c>
      <c r="J138" s="51">
        <f>IF(speciated_chemicals_123[[#This Row],[Inert / Not a Contaminant?]]="Yes", 0, speciated_chemicals_123[[#This Row],[Weight Percent]]*(unique_components_122[[#Totals],[Controlled
tpy]]+standard_components_121[[#Totals],[Controlled
tpy]]))</f>
        <v>0</v>
      </c>
    </row>
    <row r="139" spans="1:10" x14ac:dyDescent="0.2">
      <c r="A139" s="103"/>
      <c r="B139" s="51" t="str">
        <f>IFERROR(VLOOKUP(speciated_chemicals_123[[#This Row],[CAS '#]],species[],MATCH("Substance", species[#Headers], 0),FALSE),"No CAS Number Entered")</f>
        <v>No CAS Number Entered</v>
      </c>
      <c r="C139" s="102"/>
      <c r="D139" s="102" t="s">
        <v>12666</v>
      </c>
      <c r="E139" s="102" t="s">
        <v>12666</v>
      </c>
      <c r="F139" s="102" t="s">
        <v>12666</v>
      </c>
      <c r="G139" s="102" t="s">
        <v>12666</v>
      </c>
      <c r="H139" s="164"/>
      <c r="I139" s="51">
        <f>IF(speciated_chemicals_123[[#This Row],[Inert / Not a Contaminant?]]="Yes", 0, speciated_chemicals_123[[#This Row],[Weight Percent]]*(unique_components_122[[#Totals],[Controlled lb/hr]]+standard_components_121[[#Totals],[Controlled
lb/hr]]))</f>
        <v>0</v>
      </c>
      <c r="J139" s="51">
        <f>IF(speciated_chemicals_123[[#This Row],[Inert / Not a Contaminant?]]="Yes", 0, speciated_chemicals_123[[#This Row],[Weight Percent]]*(unique_components_122[[#Totals],[Controlled
tpy]]+standard_components_121[[#Totals],[Controlled
tpy]]))</f>
        <v>0</v>
      </c>
    </row>
    <row r="140" spans="1:10" x14ac:dyDescent="0.2">
      <c r="A140" s="103"/>
      <c r="B140" s="51" t="str">
        <f>IFERROR(VLOOKUP(speciated_chemicals_123[[#This Row],[CAS '#]],species[],MATCH("Substance", species[#Headers], 0),FALSE),"No CAS Number Entered")</f>
        <v>No CAS Number Entered</v>
      </c>
      <c r="C140" s="102"/>
      <c r="D140" s="102" t="s">
        <v>12666</v>
      </c>
      <c r="E140" s="102" t="s">
        <v>12666</v>
      </c>
      <c r="F140" s="102" t="s">
        <v>12666</v>
      </c>
      <c r="G140" s="102" t="s">
        <v>12666</v>
      </c>
      <c r="H140" s="164"/>
      <c r="I140" s="51">
        <f>IF(speciated_chemicals_123[[#This Row],[Inert / Not a Contaminant?]]="Yes", 0, speciated_chemicals_123[[#This Row],[Weight Percent]]*(unique_components_122[[#Totals],[Controlled lb/hr]]+standard_components_121[[#Totals],[Controlled
lb/hr]]))</f>
        <v>0</v>
      </c>
      <c r="J140" s="51">
        <f>IF(speciated_chemicals_123[[#This Row],[Inert / Not a Contaminant?]]="Yes", 0, speciated_chemicals_123[[#This Row],[Weight Percent]]*(unique_components_122[[#Totals],[Controlled
tpy]]+standard_components_121[[#Totals],[Controlled
tpy]]))</f>
        <v>0</v>
      </c>
    </row>
    <row r="141" spans="1:10" x14ac:dyDescent="0.2">
      <c r="A141" s="103"/>
      <c r="B141" s="51" t="str">
        <f>IFERROR(VLOOKUP(speciated_chemicals_123[[#This Row],[CAS '#]],species[],MATCH("Substance", species[#Headers], 0),FALSE),"No CAS Number Entered")</f>
        <v>No CAS Number Entered</v>
      </c>
      <c r="C141" s="102"/>
      <c r="D141" s="102" t="s">
        <v>12666</v>
      </c>
      <c r="E141" s="102" t="s">
        <v>12666</v>
      </c>
      <c r="F141" s="102" t="s">
        <v>12666</v>
      </c>
      <c r="G141" s="102" t="s">
        <v>12666</v>
      </c>
      <c r="H141" s="164"/>
      <c r="I141" s="51">
        <f>IF(speciated_chemicals_123[[#This Row],[Inert / Not a Contaminant?]]="Yes", 0, speciated_chemicals_123[[#This Row],[Weight Percent]]*(unique_components_122[[#Totals],[Controlled lb/hr]]+standard_components_121[[#Totals],[Controlled
lb/hr]]))</f>
        <v>0</v>
      </c>
      <c r="J141" s="51">
        <f>IF(speciated_chemicals_123[[#This Row],[Inert / Not a Contaminant?]]="Yes", 0, speciated_chemicals_123[[#This Row],[Weight Percent]]*(unique_components_122[[#Totals],[Controlled
tpy]]+standard_components_121[[#Totals],[Controlled
tpy]]))</f>
        <v>0</v>
      </c>
    </row>
    <row r="142" spans="1:10" x14ac:dyDescent="0.2">
      <c r="A142" s="103"/>
      <c r="B142" s="51" t="str">
        <f>IFERROR(VLOOKUP(speciated_chemicals_123[[#This Row],[CAS '#]],species[],MATCH("Substance", species[#Headers], 0),FALSE),"No CAS Number Entered")</f>
        <v>No CAS Number Entered</v>
      </c>
      <c r="C142" s="102"/>
      <c r="D142" s="102" t="s">
        <v>12666</v>
      </c>
      <c r="E142" s="102" t="s">
        <v>12666</v>
      </c>
      <c r="F142" s="102" t="s">
        <v>12666</v>
      </c>
      <c r="G142" s="102" t="s">
        <v>12666</v>
      </c>
      <c r="H142" s="164"/>
      <c r="I142" s="51">
        <f>IF(speciated_chemicals_123[[#This Row],[Inert / Not a Contaminant?]]="Yes", 0, speciated_chemicals_123[[#This Row],[Weight Percent]]*(unique_components_122[[#Totals],[Controlled lb/hr]]+standard_components_121[[#Totals],[Controlled
lb/hr]]))</f>
        <v>0</v>
      </c>
      <c r="J142" s="51">
        <f>IF(speciated_chemicals_123[[#This Row],[Inert / Not a Contaminant?]]="Yes", 0, speciated_chemicals_123[[#This Row],[Weight Percent]]*(unique_components_122[[#Totals],[Controlled
tpy]]+standard_components_121[[#Totals],[Controlled
tpy]]))</f>
        <v>0</v>
      </c>
    </row>
    <row r="143" spans="1:10" x14ac:dyDescent="0.2">
      <c r="A143" s="103"/>
      <c r="B143" s="51" t="str">
        <f>IFERROR(VLOOKUP(speciated_chemicals_123[[#This Row],[CAS '#]],species[],MATCH("Substance", species[#Headers], 0),FALSE),"No CAS Number Entered")</f>
        <v>No CAS Number Entered</v>
      </c>
      <c r="C143" s="102"/>
      <c r="D143" s="102" t="s">
        <v>12666</v>
      </c>
      <c r="E143" s="102" t="s">
        <v>12666</v>
      </c>
      <c r="F143" s="102" t="s">
        <v>12666</v>
      </c>
      <c r="G143" s="102" t="s">
        <v>12666</v>
      </c>
      <c r="H143" s="164"/>
      <c r="I143" s="51">
        <f>IF(speciated_chemicals_123[[#This Row],[Inert / Not a Contaminant?]]="Yes", 0, speciated_chemicals_123[[#This Row],[Weight Percent]]*(unique_components_122[[#Totals],[Controlled lb/hr]]+standard_components_121[[#Totals],[Controlled
lb/hr]]))</f>
        <v>0</v>
      </c>
      <c r="J143" s="51">
        <f>IF(speciated_chemicals_123[[#This Row],[Inert / Not a Contaminant?]]="Yes", 0, speciated_chemicals_123[[#This Row],[Weight Percent]]*(unique_components_122[[#Totals],[Controlled
tpy]]+standard_components_121[[#Totals],[Controlled
tpy]]))</f>
        <v>0</v>
      </c>
    </row>
    <row r="144" spans="1:10" x14ac:dyDescent="0.2">
      <c r="A144" s="103"/>
      <c r="B144" s="51" t="str">
        <f>IFERROR(VLOOKUP(speciated_chemicals_123[[#This Row],[CAS '#]],species[],MATCH("Substance", species[#Headers], 0),FALSE),"No CAS Number Entered")</f>
        <v>No CAS Number Entered</v>
      </c>
      <c r="C144" s="102"/>
      <c r="D144" s="102" t="s">
        <v>12666</v>
      </c>
      <c r="E144" s="102" t="s">
        <v>12666</v>
      </c>
      <c r="F144" s="102" t="s">
        <v>12666</v>
      </c>
      <c r="G144" s="102" t="s">
        <v>12666</v>
      </c>
      <c r="H144" s="164"/>
      <c r="I144" s="51">
        <f>IF(speciated_chemicals_123[[#This Row],[Inert / Not a Contaminant?]]="Yes", 0, speciated_chemicals_123[[#This Row],[Weight Percent]]*(unique_components_122[[#Totals],[Controlled lb/hr]]+standard_components_121[[#Totals],[Controlled
lb/hr]]))</f>
        <v>0</v>
      </c>
      <c r="J144" s="51">
        <f>IF(speciated_chemicals_123[[#This Row],[Inert / Not a Contaminant?]]="Yes", 0, speciated_chemicals_123[[#This Row],[Weight Percent]]*(unique_components_122[[#Totals],[Controlled
tpy]]+standard_components_121[[#Totals],[Controlled
tpy]]))</f>
        <v>0</v>
      </c>
    </row>
    <row r="145" spans="1:10" x14ac:dyDescent="0.2">
      <c r="A145" s="103"/>
      <c r="B145" s="51" t="str">
        <f>IFERROR(VLOOKUP(speciated_chemicals_123[[#This Row],[CAS '#]],species[],MATCH("Substance", species[#Headers], 0),FALSE),"No CAS Number Entered")</f>
        <v>No CAS Number Entered</v>
      </c>
      <c r="C145" s="102"/>
      <c r="D145" s="102" t="s">
        <v>12666</v>
      </c>
      <c r="E145" s="102" t="s">
        <v>12666</v>
      </c>
      <c r="F145" s="102" t="s">
        <v>12666</v>
      </c>
      <c r="G145" s="102" t="s">
        <v>12666</v>
      </c>
      <c r="H145" s="164"/>
      <c r="I145" s="51">
        <f>IF(speciated_chemicals_123[[#This Row],[Inert / Not a Contaminant?]]="Yes", 0, speciated_chemicals_123[[#This Row],[Weight Percent]]*(unique_components_122[[#Totals],[Controlled lb/hr]]+standard_components_121[[#Totals],[Controlled
lb/hr]]))</f>
        <v>0</v>
      </c>
      <c r="J145" s="51">
        <f>IF(speciated_chemicals_123[[#This Row],[Inert / Not a Contaminant?]]="Yes", 0, speciated_chemicals_123[[#This Row],[Weight Percent]]*(unique_components_122[[#Totals],[Controlled
tpy]]+standard_components_121[[#Totals],[Controlled
tpy]]))</f>
        <v>0</v>
      </c>
    </row>
    <row r="146" spans="1:10" x14ac:dyDescent="0.2">
      <c r="A146" s="103"/>
      <c r="B146" s="51" t="str">
        <f>IFERROR(VLOOKUP(speciated_chemicals_123[[#This Row],[CAS '#]],species[],MATCH("Substance", species[#Headers], 0),FALSE),"No CAS Number Entered")</f>
        <v>No CAS Number Entered</v>
      </c>
      <c r="C146" s="102"/>
      <c r="D146" s="102" t="s">
        <v>12666</v>
      </c>
      <c r="E146" s="102" t="s">
        <v>12666</v>
      </c>
      <c r="F146" s="102" t="s">
        <v>12666</v>
      </c>
      <c r="G146" s="102" t="s">
        <v>12666</v>
      </c>
      <c r="H146" s="164"/>
      <c r="I146" s="51">
        <f>IF(speciated_chemicals_123[[#This Row],[Inert / Not a Contaminant?]]="Yes", 0, speciated_chemicals_123[[#This Row],[Weight Percent]]*(unique_components_122[[#Totals],[Controlled lb/hr]]+standard_components_121[[#Totals],[Controlled
lb/hr]]))</f>
        <v>0</v>
      </c>
      <c r="J146" s="51">
        <f>IF(speciated_chemicals_123[[#This Row],[Inert / Not a Contaminant?]]="Yes", 0, speciated_chemicals_123[[#This Row],[Weight Percent]]*(unique_components_122[[#Totals],[Controlled
tpy]]+standard_components_121[[#Totals],[Controlled
tpy]]))</f>
        <v>0</v>
      </c>
    </row>
    <row r="147" spans="1:10" x14ac:dyDescent="0.2">
      <c r="A147" s="103"/>
      <c r="B147" s="51" t="str">
        <f>IFERROR(VLOOKUP(speciated_chemicals_123[[#This Row],[CAS '#]],species[],MATCH("Substance", species[#Headers], 0),FALSE),"No CAS Number Entered")</f>
        <v>No CAS Number Entered</v>
      </c>
      <c r="C147" s="102"/>
      <c r="D147" s="102" t="s">
        <v>12666</v>
      </c>
      <c r="E147" s="102" t="s">
        <v>12666</v>
      </c>
      <c r="F147" s="102" t="s">
        <v>12666</v>
      </c>
      <c r="G147" s="102" t="s">
        <v>12666</v>
      </c>
      <c r="H147" s="164"/>
      <c r="I147" s="51">
        <f>IF(speciated_chemicals_123[[#This Row],[Inert / Not a Contaminant?]]="Yes", 0, speciated_chemicals_123[[#This Row],[Weight Percent]]*(unique_components_122[[#Totals],[Controlled lb/hr]]+standard_components_121[[#Totals],[Controlled
lb/hr]]))</f>
        <v>0</v>
      </c>
      <c r="J147" s="51">
        <f>IF(speciated_chemicals_123[[#This Row],[Inert / Not a Contaminant?]]="Yes", 0, speciated_chemicals_123[[#This Row],[Weight Percent]]*(unique_components_122[[#Totals],[Controlled
tpy]]+standard_components_121[[#Totals],[Controlled
tpy]]))</f>
        <v>0</v>
      </c>
    </row>
    <row r="148" spans="1:10" x14ac:dyDescent="0.2">
      <c r="A148" s="103"/>
      <c r="B148" s="51" t="str">
        <f>IFERROR(VLOOKUP(speciated_chemicals_123[[#This Row],[CAS '#]],species[],MATCH("Substance", species[#Headers], 0),FALSE),"No CAS Number Entered")</f>
        <v>No CAS Number Entered</v>
      </c>
      <c r="C148" s="102"/>
      <c r="D148" s="102" t="s">
        <v>12666</v>
      </c>
      <c r="E148" s="102" t="s">
        <v>12666</v>
      </c>
      <c r="F148" s="102" t="s">
        <v>12666</v>
      </c>
      <c r="G148" s="102" t="s">
        <v>12666</v>
      </c>
      <c r="H148" s="164"/>
      <c r="I148" s="51">
        <f>IF(speciated_chemicals_123[[#This Row],[Inert / Not a Contaminant?]]="Yes", 0, speciated_chemicals_123[[#This Row],[Weight Percent]]*(unique_components_122[[#Totals],[Controlled lb/hr]]+standard_components_121[[#Totals],[Controlled
lb/hr]]))</f>
        <v>0</v>
      </c>
      <c r="J148" s="51">
        <f>IF(speciated_chemicals_123[[#This Row],[Inert / Not a Contaminant?]]="Yes", 0, speciated_chemicals_123[[#This Row],[Weight Percent]]*(unique_components_122[[#Totals],[Controlled
tpy]]+standard_components_121[[#Totals],[Controlled
tpy]]))</f>
        <v>0</v>
      </c>
    </row>
    <row r="149" spans="1:10" x14ac:dyDescent="0.2">
      <c r="A149" s="103"/>
      <c r="B149" s="51" t="str">
        <f>IFERROR(VLOOKUP(speciated_chemicals_123[[#This Row],[CAS '#]],species[],MATCH("Substance", species[#Headers], 0),FALSE),"No CAS Number Entered")</f>
        <v>No CAS Number Entered</v>
      </c>
      <c r="C149" s="102"/>
      <c r="D149" s="102" t="s">
        <v>12666</v>
      </c>
      <c r="E149" s="102" t="s">
        <v>12666</v>
      </c>
      <c r="F149" s="102" t="s">
        <v>12666</v>
      </c>
      <c r="G149" s="102" t="s">
        <v>12666</v>
      </c>
      <c r="H149" s="164"/>
      <c r="I149" s="51">
        <f>IF(speciated_chemicals_123[[#This Row],[Inert / Not a Contaminant?]]="Yes", 0, speciated_chemicals_123[[#This Row],[Weight Percent]]*(unique_components_122[[#Totals],[Controlled lb/hr]]+standard_components_121[[#Totals],[Controlled
lb/hr]]))</f>
        <v>0</v>
      </c>
      <c r="J149" s="51">
        <f>IF(speciated_chemicals_123[[#This Row],[Inert / Not a Contaminant?]]="Yes", 0, speciated_chemicals_123[[#This Row],[Weight Percent]]*(unique_components_122[[#Totals],[Controlled
tpy]]+standard_components_121[[#Totals],[Controlled
tpy]]))</f>
        <v>0</v>
      </c>
    </row>
    <row r="150" spans="1:10" x14ac:dyDescent="0.2">
      <c r="A150" s="103"/>
      <c r="B150" s="51" t="str">
        <f>IFERROR(VLOOKUP(speciated_chemicals_123[[#This Row],[CAS '#]],species[],MATCH("Substance", species[#Headers], 0),FALSE),"No CAS Number Entered")</f>
        <v>No CAS Number Entered</v>
      </c>
      <c r="C150" s="102"/>
      <c r="D150" s="102" t="s">
        <v>12666</v>
      </c>
      <c r="E150" s="102" t="s">
        <v>12666</v>
      </c>
      <c r="F150" s="102" t="s">
        <v>12666</v>
      </c>
      <c r="G150" s="102" t="s">
        <v>12666</v>
      </c>
      <c r="H150" s="164"/>
      <c r="I150" s="51">
        <f>IF(speciated_chemicals_123[[#This Row],[Inert / Not a Contaminant?]]="Yes", 0, speciated_chemicals_123[[#This Row],[Weight Percent]]*(unique_components_122[[#Totals],[Controlled lb/hr]]+standard_components_121[[#Totals],[Controlled
lb/hr]]))</f>
        <v>0</v>
      </c>
      <c r="J150" s="51">
        <f>IF(speciated_chemicals_123[[#This Row],[Inert / Not a Contaminant?]]="Yes", 0, speciated_chemicals_123[[#This Row],[Weight Percent]]*(unique_components_122[[#Totals],[Controlled
tpy]]+standard_components_121[[#Totals],[Controlled
tpy]]))</f>
        <v>0</v>
      </c>
    </row>
    <row r="151" spans="1:10" x14ac:dyDescent="0.2">
      <c r="A151" s="103"/>
      <c r="B151" s="51" t="str">
        <f>IFERROR(VLOOKUP(speciated_chemicals_123[[#This Row],[CAS '#]],species[],MATCH("Substance", species[#Headers], 0),FALSE),"No CAS Number Entered")</f>
        <v>No CAS Number Entered</v>
      </c>
      <c r="C151" s="102"/>
      <c r="D151" s="102" t="s">
        <v>12666</v>
      </c>
      <c r="E151" s="102" t="s">
        <v>12666</v>
      </c>
      <c r="F151" s="102" t="s">
        <v>12666</v>
      </c>
      <c r="G151" s="102" t="s">
        <v>12666</v>
      </c>
      <c r="H151" s="164"/>
      <c r="I151" s="51">
        <f>IF(speciated_chemicals_123[[#This Row],[Inert / Not a Contaminant?]]="Yes", 0, speciated_chemicals_123[[#This Row],[Weight Percent]]*(unique_components_122[[#Totals],[Controlled lb/hr]]+standard_components_121[[#Totals],[Controlled
lb/hr]]))</f>
        <v>0</v>
      </c>
      <c r="J151" s="51">
        <f>IF(speciated_chemicals_123[[#This Row],[Inert / Not a Contaminant?]]="Yes", 0, speciated_chemicals_123[[#This Row],[Weight Percent]]*(unique_components_122[[#Totals],[Controlled
tpy]]+standard_components_121[[#Totals],[Controlled
tpy]]))</f>
        <v>0</v>
      </c>
    </row>
    <row r="152" spans="1:10" x14ac:dyDescent="0.2">
      <c r="A152" s="103"/>
      <c r="B152" s="51" t="str">
        <f>IFERROR(VLOOKUP(speciated_chemicals_123[[#This Row],[CAS '#]],species[],MATCH("Substance", species[#Headers], 0),FALSE),"No CAS Number Entered")</f>
        <v>No CAS Number Entered</v>
      </c>
      <c r="C152" s="102"/>
      <c r="D152" s="102" t="s">
        <v>12666</v>
      </c>
      <c r="E152" s="102" t="s">
        <v>12666</v>
      </c>
      <c r="F152" s="102" t="s">
        <v>12666</v>
      </c>
      <c r="G152" s="102" t="s">
        <v>12666</v>
      </c>
      <c r="H152" s="164"/>
      <c r="I152" s="51">
        <f>IF(speciated_chemicals_123[[#This Row],[Inert / Not a Contaminant?]]="Yes", 0, speciated_chemicals_123[[#This Row],[Weight Percent]]*(unique_components_122[[#Totals],[Controlled lb/hr]]+standard_components_121[[#Totals],[Controlled
lb/hr]]))</f>
        <v>0</v>
      </c>
      <c r="J152" s="51">
        <f>IF(speciated_chemicals_123[[#This Row],[Inert / Not a Contaminant?]]="Yes", 0, speciated_chemicals_123[[#This Row],[Weight Percent]]*(unique_components_122[[#Totals],[Controlled
tpy]]+standard_components_121[[#Totals],[Controlled
tpy]]))</f>
        <v>0</v>
      </c>
    </row>
    <row r="153" spans="1:10" x14ac:dyDescent="0.2">
      <c r="A153" s="103"/>
      <c r="B153" s="51" t="str">
        <f>IFERROR(VLOOKUP(speciated_chemicals_123[[#This Row],[CAS '#]],species[],MATCH("Substance", species[#Headers], 0),FALSE),"No CAS Number Entered")</f>
        <v>No CAS Number Entered</v>
      </c>
      <c r="C153" s="102"/>
      <c r="D153" s="102" t="s">
        <v>12666</v>
      </c>
      <c r="E153" s="102" t="s">
        <v>12666</v>
      </c>
      <c r="F153" s="102" t="s">
        <v>12666</v>
      </c>
      <c r="G153" s="102" t="s">
        <v>12666</v>
      </c>
      <c r="H153" s="164"/>
      <c r="I153" s="51">
        <f>IF(speciated_chemicals_123[[#This Row],[Inert / Not a Contaminant?]]="Yes", 0, speciated_chemicals_123[[#This Row],[Weight Percent]]*(unique_components_122[[#Totals],[Controlled lb/hr]]+standard_components_121[[#Totals],[Controlled
lb/hr]]))</f>
        <v>0</v>
      </c>
      <c r="J153" s="51">
        <f>IF(speciated_chemicals_123[[#This Row],[Inert / Not a Contaminant?]]="Yes", 0, speciated_chemicals_123[[#This Row],[Weight Percent]]*(unique_components_122[[#Totals],[Controlled
tpy]]+standard_components_121[[#Totals],[Controlled
tpy]]))</f>
        <v>0</v>
      </c>
    </row>
    <row r="154" spans="1:10" x14ac:dyDescent="0.2">
      <c r="A154" s="103"/>
      <c r="B154" s="51" t="str">
        <f>IFERROR(VLOOKUP(speciated_chemicals_123[[#This Row],[CAS '#]],species[],MATCH("Substance", species[#Headers], 0),FALSE),"No CAS Number Entered")</f>
        <v>No CAS Number Entered</v>
      </c>
      <c r="C154" s="102"/>
      <c r="D154" s="102" t="s">
        <v>12666</v>
      </c>
      <c r="E154" s="102" t="s">
        <v>12666</v>
      </c>
      <c r="F154" s="102" t="s">
        <v>12666</v>
      </c>
      <c r="G154" s="102" t="s">
        <v>12666</v>
      </c>
      <c r="H154" s="164"/>
      <c r="I154" s="51">
        <f>IF(speciated_chemicals_123[[#This Row],[Inert / Not a Contaminant?]]="Yes", 0, speciated_chemicals_123[[#This Row],[Weight Percent]]*(unique_components_122[[#Totals],[Controlled lb/hr]]+standard_components_121[[#Totals],[Controlled
lb/hr]]))</f>
        <v>0</v>
      </c>
      <c r="J154" s="51">
        <f>IF(speciated_chemicals_123[[#This Row],[Inert / Not a Contaminant?]]="Yes", 0, speciated_chemicals_123[[#This Row],[Weight Percent]]*(unique_components_122[[#Totals],[Controlled
tpy]]+standard_components_121[[#Totals],[Controlled
tpy]]))</f>
        <v>0</v>
      </c>
    </row>
    <row r="155" spans="1:10" x14ac:dyDescent="0.2">
      <c r="A155" s="103"/>
      <c r="B155" s="51" t="str">
        <f>IFERROR(VLOOKUP(speciated_chemicals_123[[#This Row],[CAS '#]],species[],MATCH("Substance", species[#Headers], 0),FALSE),"No CAS Number Entered")</f>
        <v>No CAS Number Entered</v>
      </c>
      <c r="C155" s="102"/>
      <c r="D155" s="102" t="s">
        <v>12666</v>
      </c>
      <c r="E155" s="102" t="s">
        <v>12666</v>
      </c>
      <c r="F155" s="102" t="s">
        <v>12666</v>
      </c>
      <c r="G155" s="102" t="s">
        <v>12666</v>
      </c>
      <c r="H155" s="164"/>
      <c r="I155" s="51">
        <f>IF(speciated_chemicals_123[[#This Row],[Inert / Not a Contaminant?]]="Yes", 0, speciated_chemicals_123[[#This Row],[Weight Percent]]*(unique_components_122[[#Totals],[Controlled lb/hr]]+standard_components_121[[#Totals],[Controlled
lb/hr]]))</f>
        <v>0</v>
      </c>
      <c r="J155" s="51">
        <f>IF(speciated_chemicals_123[[#This Row],[Inert / Not a Contaminant?]]="Yes", 0, speciated_chemicals_123[[#This Row],[Weight Percent]]*(unique_components_122[[#Totals],[Controlled
tpy]]+standard_components_121[[#Totals],[Controlled
tpy]]))</f>
        <v>0</v>
      </c>
    </row>
    <row r="156" spans="1:10" x14ac:dyDescent="0.2">
      <c r="A156" s="103"/>
      <c r="B156" s="51" t="str">
        <f>IFERROR(VLOOKUP(speciated_chemicals_123[[#This Row],[CAS '#]],species[],MATCH("Substance", species[#Headers], 0),FALSE),"No CAS Number Entered")</f>
        <v>No CAS Number Entered</v>
      </c>
      <c r="C156" s="102"/>
      <c r="D156" s="102" t="s">
        <v>12666</v>
      </c>
      <c r="E156" s="102" t="s">
        <v>12666</v>
      </c>
      <c r="F156" s="102" t="s">
        <v>12666</v>
      </c>
      <c r="G156" s="102" t="s">
        <v>12666</v>
      </c>
      <c r="H156" s="164"/>
      <c r="I156" s="51">
        <f>IF(speciated_chemicals_123[[#This Row],[Inert / Not a Contaminant?]]="Yes", 0, speciated_chemicals_123[[#This Row],[Weight Percent]]*(unique_components_122[[#Totals],[Controlled lb/hr]]+standard_components_121[[#Totals],[Controlled
lb/hr]]))</f>
        <v>0</v>
      </c>
      <c r="J156" s="51">
        <f>IF(speciated_chemicals_123[[#This Row],[Inert / Not a Contaminant?]]="Yes", 0, speciated_chemicals_123[[#This Row],[Weight Percent]]*(unique_components_122[[#Totals],[Controlled
tpy]]+standard_components_121[[#Totals],[Controlled
tpy]]))</f>
        <v>0</v>
      </c>
    </row>
    <row r="157" spans="1:10" x14ac:dyDescent="0.2">
      <c r="A157" s="103"/>
      <c r="B157" s="51" t="str">
        <f>IFERROR(VLOOKUP(speciated_chemicals_123[[#This Row],[CAS '#]],species[],MATCH("Substance", species[#Headers], 0),FALSE),"No CAS Number Entered")</f>
        <v>No CAS Number Entered</v>
      </c>
      <c r="C157" s="102"/>
      <c r="D157" s="102" t="s">
        <v>12666</v>
      </c>
      <c r="E157" s="102" t="s">
        <v>12666</v>
      </c>
      <c r="F157" s="102" t="s">
        <v>12666</v>
      </c>
      <c r="G157" s="102" t="s">
        <v>12666</v>
      </c>
      <c r="H157" s="164"/>
      <c r="I157" s="51">
        <f>IF(speciated_chemicals_123[[#This Row],[Inert / Not a Contaminant?]]="Yes", 0, speciated_chemicals_123[[#This Row],[Weight Percent]]*(unique_components_122[[#Totals],[Controlled lb/hr]]+standard_components_121[[#Totals],[Controlled
lb/hr]]))</f>
        <v>0</v>
      </c>
      <c r="J157" s="51">
        <f>IF(speciated_chemicals_123[[#This Row],[Inert / Not a Contaminant?]]="Yes", 0, speciated_chemicals_123[[#This Row],[Weight Percent]]*(unique_components_122[[#Totals],[Controlled
tpy]]+standard_components_121[[#Totals],[Controlled
tpy]]))</f>
        <v>0</v>
      </c>
    </row>
    <row r="158" spans="1:10" x14ac:dyDescent="0.2">
      <c r="A158" s="103"/>
      <c r="B158" s="51" t="str">
        <f>IFERROR(VLOOKUP(speciated_chemicals_123[[#This Row],[CAS '#]],species[],MATCH("Substance", species[#Headers], 0),FALSE),"No CAS Number Entered")</f>
        <v>No CAS Number Entered</v>
      </c>
      <c r="C158" s="102"/>
      <c r="D158" s="102" t="s">
        <v>12666</v>
      </c>
      <c r="E158" s="102" t="s">
        <v>12666</v>
      </c>
      <c r="F158" s="102" t="s">
        <v>12666</v>
      </c>
      <c r="G158" s="102" t="s">
        <v>12666</v>
      </c>
      <c r="H158" s="164"/>
      <c r="I158" s="51">
        <f>IF(speciated_chemicals_123[[#This Row],[Inert / Not a Contaminant?]]="Yes", 0, speciated_chemicals_123[[#This Row],[Weight Percent]]*(unique_components_122[[#Totals],[Controlled lb/hr]]+standard_components_121[[#Totals],[Controlled
lb/hr]]))</f>
        <v>0</v>
      </c>
      <c r="J158" s="51">
        <f>IF(speciated_chemicals_123[[#This Row],[Inert / Not a Contaminant?]]="Yes", 0, speciated_chemicals_123[[#This Row],[Weight Percent]]*(unique_components_122[[#Totals],[Controlled
tpy]]+standard_components_121[[#Totals],[Controlled
tpy]]))</f>
        <v>0</v>
      </c>
    </row>
    <row r="159" spans="1:10" x14ac:dyDescent="0.2">
      <c r="A159" s="103"/>
      <c r="B159" s="51" t="str">
        <f>IFERROR(VLOOKUP(speciated_chemicals_123[[#This Row],[CAS '#]],species[],MATCH("Substance", species[#Headers], 0),FALSE),"No CAS Number Entered")</f>
        <v>No CAS Number Entered</v>
      </c>
      <c r="C159" s="102"/>
      <c r="D159" s="102" t="s">
        <v>12666</v>
      </c>
      <c r="E159" s="102" t="s">
        <v>12666</v>
      </c>
      <c r="F159" s="102" t="s">
        <v>12666</v>
      </c>
      <c r="G159" s="102" t="s">
        <v>12666</v>
      </c>
      <c r="H159" s="164"/>
      <c r="I159" s="51">
        <f>IF(speciated_chemicals_123[[#This Row],[Inert / Not a Contaminant?]]="Yes", 0, speciated_chemicals_123[[#This Row],[Weight Percent]]*(unique_components_122[[#Totals],[Controlled lb/hr]]+standard_components_121[[#Totals],[Controlled
lb/hr]]))</f>
        <v>0</v>
      </c>
      <c r="J159" s="51">
        <f>IF(speciated_chemicals_123[[#This Row],[Inert / Not a Contaminant?]]="Yes", 0, speciated_chemicals_123[[#This Row],[Weight Percent]]*(unique_components_122[[#Totals],[Controlled
tpy]]+standard_components_121[[#Totals],[Controlled
tpy]]))</f>
        <v>0</v>
      </c>
    </row>
    <row r="160" spans="1:10" x14ac:dyDescent="0.2">
      <c r="A160" s="103"/>
      <c r="B160" s="51" t="str">
        <f>IFERROR(VLOOKUP(speciated_chemicals_123[[#This Row],[CAS '#]],species[],MATCH("Substance", species[#Headers], 0),FALSE),"No CAS Number Entered")</f>
        <v>No CAS Number Entered</v>
      </c>
      <c r="C160" s="102"/>
      <c r="D160" s="102" t="s">
        <v>12666</v>
      </c>
      <c r="E160" s="102" t="s">
        <v>12666</v>
      </c>
      <c r="F160" s="102" t="s">
        <v>12666</v>
      </c>
      <c r="G160" s="102" t="s">
        <v>12666</v>
      </c>
      <c r="H160" s="164"/>
      <c r="I160" s="51">
        <f>IF(speciated_chemicals_123[[#This Row],[Inert / Not a Contaminant?]]="Yes", 0, speciated_chemicals_123[[#This Row],[Weight Percent]]*(unique_components_122[[#Totals],[Controlled lb/hr]]+standard_components_121[[#Totals],[Controlled
lb/hr]]))</f>
        <v>0</v>
      </c>
      <c r="J160" s="51">
        <f>IF(speciated_chemicals_123[[#This Row],[Inert / Not a Contaminant?]]="Yes", 0, speciated_chemicals_123[[#This Row],[Weight Percent]]*(unique_components_122[[#Totals],[Controlled
tpy]]+standard_components_121[[#Totals],[Controlled
tpy]]))</f>
        <v>0</v>
      </c>
    </row>
    <row r="161" spans="1:10" x14ac:dyDescent="0.2">
      <c r="A161" s="103"/>
      <c r="B161" s="51" t="str">
        <f>IFERROR(VLOOKUP(speciated_chemicals_123[[#This Row],[CAS '#]],species[],MATCH("Substance", species[#Headers], 0),FALSE),"No CAS Number Entered")</f>
        <v>No CAS Number Entered</v>
      </c>
      <c r="C161" s="102"/>
      <c r="D161" s="102" t="s">
        <v>12666</v>
      </c>
      <c r="E161" s="102" t="s">
        <v>12666</v>
      </c>
      <c r="F161" s="102" t="s">
        <v>12666</v>
      </c>
      <c r="G161" s="102" t="s">
        <v>12666</v>
      </c>
      <c r="H161" s="164"/>
      <c r="I161" s="51">
        <f>IF(speciated_chemicals_123[[#This Row],[Inert / Not a Contaminant?]]="Yes", 0, speciated_chemicals_123[[#This Row],[Weight Percent]]*(unique_components_122[[#Totals],[Controlled lb/hr]]+standard_components_121[[#Totals],[Controlled
lb/hr]]))</f>
        <v>0</v>
      </c>
      <c r="J161" s="51">
        <f>IF(speciated_chemicals_123[[#This Row],[Inert / Not a Contaminant?]]="Yes", 0, speciated_chemicals_123[[#This Row],[Weight Percent]]*(unique_components_122[[#Totals],[Controlled
tpy]]+standard_components_121[[#Totals],[Controlled
tpy]]))</f>
        <v>0</v>
      </c>
    </row>
    <row r="162" spans="1:10" x14ac:dyDescent="0.2">
      <c r="A162" s="103"/>
      <c r="B162" s="51" t="str">
        <f>IFERROR(VLOOKUP(speciated_chemicals_123[[#This Row],[CAS '#]],species[],MATCH("Substance", species[#Headers], 0),FALSE),"No CAS Number Entered")</f>
        <v>No CAS Number Entered</v>
      </c>
      <c r="C162" s="102"/>
      <c r="D162" s="102" t="s">
        <v>12666</v>
      </c>
      <c r="E162" s="102" t="s">
        <v>12666</v>
      </c>
      <c r="F162" s="102" t="s">
        <v>12666</v>
      </c>
      <c r="G162" s="102" t="s">
        <v>12666</v>
      </c>
      <c r="H162" s="164"/>
      <c r="I162" s="51">
        <f>IF(speciated_chemicals_123[[#This Row],[Inert / Not a Contaminant?]]="Yes", 0, speciated_chemicals_123[[#This Row],[Weight Percent]]*(unique_components_122[[#Totals],[Controlled lb/hr]]+standard_components_121[[#Totals],[Controlled
lb/hr]]))</f>
        <v>0</v>
      </c>
      <c r="J162" s="51">
        <f>IF(speciated_chemicals_123[[#This Row],[Inert / Not a Contaminant?]]="Yes", 0, speciated_chemicals_123[[#This Row],[Weight Percent]]*(unique_components_122[[#Totals],[Controlled
tpy]]+standard_components_121[[#Totals],[Controlled
tpy]]))</f>
        <v>0</v>
      </c>
    </row>
    <row r="163" spans="1:10" x14ac:dyDescent="0.2">
      <c r="A163" s="103"/>
      <c r="B163" s="51" t="str">
        <f>IFERROR(VLOOKUP(speciated_chemicals_123[[#This Row],[CAS '#]],species[],MATCH("Substance", species[#Headers], 0),FALSE),"No CAS Number Entered")</f>
        <v>No CAS Number Entered</v>
      </c>
      <c r="C163" s="102"/>
      <c r="D163" s="102" t="s">
        <v>12666</v>
      </c>
      <c r="E163" s="102" t="s">
        <v>12666</v>
      </c>
      <c r="F163" s="102" t="s">
        <v>12666</v>
      </c>
      <c r="G163" s="102" t="s">
        <v>12666</v>
      </c>
      <c r="H163" s="164"/>
      <c r="I163" s="51">
        <f>IF(speciated_chemicals_123[[#This Row],[Inert / Not a Contaminant?]]="Yes", 0, speciated_chemicals_123[[#This Row],[Weight Percent]]*(unique_components_122[[#Totals],[Controlled lb/hr]]+standard_components_121[[#Totals],[Controlled
lb/hr]]))</f>
        <v>0</v>
      </c>
      <c r="J163" s="51">
        <f>IF(speciated_chemicals_123[[#This Row],[Inert / Not a Contaminant?]]="Yes", 0, speciated_chemicals_123[[#This Row],[Weight Percent]]*(unique_components_122[[#Totals],[Controlled
tpy]]+standard_components_121[[#Totals],[Controlled
tpy]]))</f>
        <v>0</v>
      </c>
    </row>
    <row r="164" spans="1:10" x14ac:dyDescent="0.2">
      <c r="A164" s="103"/>
      <c r="B164" s="51" t="str">
        <f>IFERROR(VLOOKUP(speciated_chemicals_123[[#This Row],[CAS '#]],species[],MATCH("Substance", species[#Headers], 0),FALSE),"No CAS Number Entered")</f>
        <v>No CAS Number Entered</v>
      </c>
      <c r="C164" s="102"/>
      <c r="D164" s="102" t="s">
        <v>12666</v>
      </c>
      <c r="E164" s="102" t="s">
        <v>12666</v>
      </c>
      <c r="F164" s="102" t="s">
        <v>12666</v>
      </c>
      <c r="G164" s="102" t="s">
        <v>12666</v>
      </c>
      <c r="H164" s="164"/>
      <c r="I164" s="51">
        <f>IF(speciated_chemicals_123[[#This Row],[Inert / Not a Contaminant?]]="Yes", 0, speciated_chemicals_123[[#This Row],[Weight Percent]]*(unique_components_122[[#Totals],[Controlled lb/hr]]+standard_components_121[[#Totals],[Controlled
lb/hr]]))</f>
        <v>0</v>
      </c>
      <c r="J164" s="51">
        <f>IF(speciated_chemicals_123[[#This Row],[Inert / Not a Contaminant?]]="Yes", 0, speciated_chemicals_123[[#This Row],[Weight Percent]]*(unique_components_122[[#Totals],[Controlled
tpy]]+standard_components_121[[#Totals],[Controlled
tpy]]))</f>
        <v>0</v>
      </c>
    </row>
    <row r="165" spans="1:10" x14ac:dyDescent="0.2">
      <c r="A165" s="103"/>
      <c r="B165" s="51" t="str">
        <f>IFERROR(VLOOKUP(speciated_chemicals_123[[#This Row],[CAS '#]],species[],MATCH("Substance", species[#Headers], 0),FALSE),"No CAS Number Entered")</f>
        <v>No CAS Number Entered</v>
      </c>
      <c r="C165" s="102"/>
      <c r="D165" s="102" t="s">
        <v>12666</v>
      </c>
      <c r="E165" s="102" t="s">
        <v>12666</v>
      </c>
      <c r="F165" s="102" t="s">
        <v>12666</v>
      </c>
      <c r="G165" s="102" t="s">
        <v>12666</v>
      </c>
      <c r="H165" s="164"/>
      <c r="I165" s="51">
        <f>IF(speciated_chemicals_123[[#This Row],[Inert / Not a Contaminant?]]="Yes", 0, speciated_chemicals_123[[#This Row],[Weight Percent]]*(unique_components_122[[#Totals],[Controlled lb/hr]]+standard_components_121[[#Totals],[Controlled
lb/hr]]))</f>
        <v>0</v>
      </c>
      <c r="J165" s="51">
        <f>IF(speciated_chemicals_123[[#This Row],[Inert / Not a Contaminant?]]="Yes", 0, speciated_chemicals_123[[#This Row],[Weight Percent]]*(unique_components_122[[#Totals],[Controlled
tpy]]+standard_components_121[[#Totals],[Controlled
tpy]]))</f>
        <v>0</v>
      </c>
    </row>
    <row r="166" spans="1:10" x14ac:dyDescent="0.2">
      <c r="A166" s="103"/>
      <c r="B166" s="51" t="str">
        <f>IFERROR(VLOOKUP(speciated_chemicals_123[[#This Row],[CAS '#]],species[],MATCH("Substance", species[#Headers], 0),FALSE),"No CAS Number Entered")</f>
        <v>No CAS Number Entered</v>
      </c>
      <c r="C166" s="102"/>
      <c r="D166" s="102" t="s">
        <v>12666</v>
      </c>
      <c r="E166" s="102" t="s">
        <v>12666</v>
      </c>
      <c r="F166" s="102" t="s">
        <v>12666</v>
      </c>
      <c r="G166" s="102" t="s">
        <v>12666</v>
      </c>
      <c r="H166" s="164"/>
      <c r="I166" s="51">
        <f>IF(speciated_chemicals_123[[#This Row],[Inert / Not a Contaminant?]]="Yes", 0, speciated_chemicals_123[[#This Row],[Weight Percent]]*(unique_components_122[[#Totals],[Controlled lb/hr]]+standard_components_121[[#Totals],[Controlled
lb/hr]]))</f>
        <v>0</v>
      </c>
      <c r="J166" s="51">
        <f>IF(speciated_chemicals_123[[#This Row],[Inert / Not a Contaminant?]]="Yes", 0, speciated_chemicals_123[[#This Row],[Weight Percent]]*(unique_components_122[[#Totals],[Controlled
tpy]]+standard_components_121[[#Totals],[Controlled
tpy]]))</f>
        <v>0</v>
      </c>
    </row>
    <row r="167" spans="1:10" x14ac:dyDescent="0.2">
      <c r="A167" s="103"/>
      <c r="B167" s="51" t="str">
        <f>IFERROR(VLOOKUP(speciated_chemicals_123[[#This Row],[CAS '#]],species[],MATCH("Substance", species[#Headers], 0),FALSE),"No CAS Number Entered")</f>
        <v>No CAS Number Entered</v>
      </c>
      <c r="C167" s="102"/>
      <c r="D167" s="102" t="s">
        <v>12666</v>
      </c>
      <c r="E167" s="102" t="s">
        <v>12666</v>
      </c>
      <c r="F167" s="102" t="s">
        <v>12666</v>
      </c>
      <c r="G167" s="102" t="s">
        <v>12666</v>
      </c>
      <c r="H167" s="164"/>
      <c r="I167" s="51">
        <f>IF(speciated_chemicals_123[[#This Row],[Inert / Not a Contaminant?]]="Yes", 0, speciated_chemicals_123[[#This Row],[Weight Percent]]*(unique_components_122[[#Totals],[Controlled lb/hr]]+standard_components_121[[#Totals],[Controlled
lb/hr]]))</f>
        <v>0</v>
      </c>
      <c r="J167" s="51">
        <f>IF(speciated_chemicals_123[[#This Row],[Inert / Not a Contaminant?]]="Yes", 0, speciated_chemicals_123[[#This Row],[Weight Percent]]*(unique_components_122[[#Totals],[Controlled
tpy]]+standard_components_121[[#Totals],[Controlled
tpy]]))</f>
        <v>0</v>
      </c>
    </row>
    <row r="168" spans="1:10" x14ac:dyDescent="0.2">
      <c r="A168" s="103"/>
      <c r="B168" s="51" t="str">
        <f>IFERROR(VLOOKUP(speciated_chemicals_123[[#This Row],[CAS '#]],species[],MATCH("Substance", species[#Headers], 0),FALSE),"No CAS Number Entered")</f>
        <v>No CAS Number Entered</v>
      </c>
      <c r="C168" s="102"/>
      <c r="D168" s="102" t="s">
        <v>12666</v>
      </c>
      <c r="E168" s="102" t="s">
        <v>12666</v>
      </c>
      <c r="F168" s="102" t="s">
        <v>12666</v>
      </c>
      <c r="G168" s="102" t="s">
        <v>12666</v>
      </c>
      <c r="H168" s="164"/>
      <c r="I168" s="51">
        <f>IF(speciated_chemicals_123[[#This Row],[Inert / Not a Contaminant?]]="Yes", 0, speciated_chemicals_123[[#This Row],[Weight Percent]]*(unique_components_122[[#Totals],[Controlled lb/hr]]+standard_components_121[[#Totals],[Controlled
lb/hr]]))</f>
        <v>0</v>
      </c>
      <c r="J168" s="51">
        <f>IF(speciated_chemicals_123[[#This Row],[Inert / Not a Contaminant?]]="Yes", 0, speciated_chemicals_123[[#This Row],[Weight Percent]]*(unique_components_122[[#Totals],[Controlled
tpy]]+standard_components_121[[#Totals],[Controlled
tpy]]))</f>
        <v>0</v>
      </c>
    </row>
    <row r="169" spans="1:10" x14ac:dyDescent="0.2">
      <c r="A169" s="103"/>
      <c r="B169" s="51" t="str">
        <f>IFERROR(VLOOKUP(speciated_chemicals_123[[#This Row],[CAS '#]],species[],MATCH("Substance", species[#Headers], 0),FALSE),"No CAS Number Entered")</f>
        <v>No CAS Number Entered</v>
      </c>
      <c r="C169" s="102"/>
      <c r="D169" s="102" t="s">
        <v>12666</v>
      </c>
      <c r="E169" s="102" t="s">
        <v>12666</v>
      </c>
      <c r="F169" s="102" t="s">
        <v>12666</v>
      </c>
      <c r="G169" s="102" t="s">
        <v>12666</v>
      </c>
      <c r="H169" s="164"/>
      <c r="I169" s="51">
        <f>IF(speciated_chemicals_123[[#This Row],[Inert / Not a Contaminant?]]="Yes", 0, speciated_chemicals_123[[#This Row],[Weight Percent]]*(unique_components_122[[#Totals],[Controlled lb/hr]]+standard_components_121[[#Totals],[Controlled
lb/hr]]))</f>
        <v>0</v>
      </c>
      <c r="J169" s="51">
        <f>IF(speciated_chemicals_123[[#This Row],[Inert / Not a Contaminant?]]="Yes", 0, speciated_chemicals_123[[#This Row],[Weight Percent]]*(unique_components_122[[#Totals],[Controlled
tpy]]+standard_components_121[[#Totals],[Controlled
tpy]]))</f>
        <v>0</v>
      </c>
    </row>
    <row r="170" spans="1:10" x14ac:dyDescent="0.2">
      <c r="A170" s="103"/>
      <c r="B170" s="51" t="str">
        <f>IFERROR(VLOOKUP(speciated_chemicals_123[[#This Row],[CAS '#]],species[],MATCH("Substance", species[#Headers], 0),FALSE),"No CAS Number Entered")</f>
        <v>No CAS Number Entered</v>
      </c>
      <c r="C170" s="102"/>
      <c r="D170" s="102" t="s">
        <v>12666</v>
      </c>
      <c r="E170" s="102" t="s">
        <v>12666</v>
      </c>
      <c r="F170" s="102" t="s">
        <v>12666</v>
      </c>
      <c r="G170" s="102" t="s">
        <v>12666</v>
      </c>
      <c r="H170" s="164"/>
      <c r="I170" s="51">
        <f>IF(speciated_chemicals_123[[#This Row],[Inert / Not a Contaminant?]]="Yes", 0, speciated_chemicals_123[[#This Row],[Weight Percent]]*(unique_components_122[[#Totals],[Controlled lb/hr]]+standard_components_121[[#Totals],[Controlled
lb/hr]]))</f>
        <v>0</v>
      </c>
      <c r="J170" s="51">
        <f>IF(speciated_chemicals_123[[#This Row],[Inert / Not a Contaminant?]]="Yes", 0, speciated_chemicals_123[[#This Row],[Weight Percent]]*(unique_components_122[[#Totals],[Controlled
tpy]]+standard_components_121[[#Totals],[Controlled
tpy]]))</f>
        <v>0</v>
      </c>
    </row>
    <row r="171" spans="1:10" x14ac:dyDescent="0.2">
      <c r="A171" s="103"/>
      <c r="B171" s="51" t="str">
        <f>IFERROR(VLOOKUP(speciated_chemicals_123[[#This Row],[CAS '#]],species[],MATCH("Substance", species[#Headers], 0),FALSE),"No CAS Number Entered")</f>
        <v>No CAS Number Entered</v>
      </c>
      <c r="C171" s="102"/>
      <c r="D171" s="102" t="s">
        <v>12666</v>
      </c>
      <c r="E171" s="102" t="s">
        <v>12666</v>
      </c>
      <c r="F171" s="102" t="s">
        <v>12666</v>
      </c>
      <c r="G171" s="102" t="s">
        <v>12666</v>
      </c>
      <c r="H171" s="164"/>
      <c r="I171" s="51">
        <f>IF(speciated_chemicals_123[[#This Row],[Inert / Not a Contaminant?]]="Yes", 0, speciated_chemicals_123[[#This Row],[Weight Percent]]*(unique_components_122[[#Totals],[Controlled lb/hr]]+standard_components_121[[#Totals],[Controlled
lb/hr]]))</f>
        <v>0</v>
      </c>
      <c r="J171" s="51">
        <f>IF(speciated_chemicals_123[[#This Row],[Inert / Not a Contaminant?]]="Yes", 0, speciated_chemicals_123[[#This Row],[Weight Percent]]*(unique_components_122[[#Totals],[Controlled
tpy]]+standard_components_121[[#Totals],[Controlled
tpy]]))</f>
        <v>0</v>
      </c>
    </row>
    <row r="172" spans="1:10" x14ac:dyDescent="0.2">
      <c r="A172" s="103"/>
      <c r="B172" s="51" t="str">
        <f>IFERROR(VLOOKUP(speciated_chemicals_123[[#This Row],[CAS '#]],species[],MATCH("Substance", species[#Headers], 0),FALSE),"No CAS Number Entered")</f>
        <v>No CAS Number Entered</v>
      </c>
      <c r="C172" s="102"/>
      <c r="D172" s="102" t="s">
        <v>12666</v>
      </c>
      <c r="E172" s="102" t="s">
        <v>12666</v>
      </c>
      <c r="F172" s="102" t="s">
        <v>12666</v>
      </c>
      <c r="G172" s="102" t="s">
        <v>12666</v>
      </c>
      <c r="H172" s="164"/>
      <c r="I172" s="51">
        <f>IF(speciated_chemicals_123[[#This Row],[Inert / Not a Contaminant?]]="Yes", 0, speciated_chemicals_123[[#This Row],[Weight Percent]]*(unique_components_122[[#Totals],[Controlled lb/hr]]+standard_components_121[[#Totals],[Controlled
lb/hr]]))</f>
        <v>0</v>
      </c>
      <c r="J172" s="51">
        <f>IF(speciated_chemicals_123[[#This Row],[Inert / Not a Contaminant?]]="Yes", 0, speciated_chemicals_123[[#This Row],[Weight Percent]]*(unique_components_122[[#Totals],[Controlled
tpy]]+standard_components_121[[#Totals],[Controlled
tpy]]))</f>
        <v>0</v>
      </c>
    </row>
    <row r="173" spans="1:10" x14ac:dyDescent="0.2">
      <c r="A173" s="103"/>
      <c r="B173" s="51" t="str">
        <f>IFERROR(VLOOKUP(speciated_chemicals_123[[#This Row],[CAS '#]],species[],MATCH("Substance", species[#Headers], 0),FALSE),"No CAS Number Entered")</f>
        <v>No CAS Number Entered</v>
      </c>
      <c r="C173" s="102"/>
      <c r="D173" s="102" t="s">
        <v>12666</v>
      </c>
      <c r="E173" s="102" t="s">
        <v>12666</v>
      </c>
      <c r="F173" s="102" t="s">
        <v>12666</v>
      </c>
      <c r="G173" s="102" t="s">
        <v>12666</v>
      </c>
      <c r="H173" s="164"/>
      <c r="I173" s="51">
        <f>IF(speciated_chemicals_123[[#This Row],[Inert / Not a Contaminant?]]="Yes", 0, speciated_chemicals_123[[#This Row],[Weight Percent]]*(unique_components_122[[#Totals],[Controlled lb/hr]]+standard_components_121[[#Totals],[Controlled
lb/hr]]))</f>
        <v>0</v>
      </c>
      <c r="J173" s="51">
        <f>IF(speciated_chemicals_123[[#This Row],[Inert / Not a Contaminant?]]="Yes", 0, speciated_chemicals_123[[#This Row],[Weight Percent]]*(unique_components_122[[#Totals],[Controlled
tpy]]+standard_components_121[[#Totals],[Controlled
tpy]]))</f>
        <v>0</v>
      </c>
    </row>
    <row r="174" spans="1:10" x14ac:dyDescent="0.2">
      <c r="A174" s="103"/>
      <c r="B174" s="51" t="str">
        <f>IFERROR(VLOOKUP(speciated_chemicals_123[[#This Row],[CAS '#]],species[],MATCH("Substance", species[#Headers], 0),FALSE),"No CAS Number Entered")</f>
        <v>No CAS Number Entered</v>
      </c>
      <c r="C174" s="102"/>
      <c r="D174" s="102" t="s">
        <v>12666</v>
      </c>
      <c r="E174" s="102" t="s">
        <v>12666</v>
      </c>
      <c r="F174" s="102" t="s">
        <v>12666</v>
      </c>
      <c r="G174" s="102" t="s">
        <v>12666</v>
      </c>
      <c r="H174" s="164"/>
      <c r="I174" s="51">
        <f>IF(speciated_chemicals_123[[#This Row],[Inert / Not a Contaminant?]]="Yes", 0, speciated_chemicals_123[[#This Row],[Weight Percent]]*(unique_components_122[[#Totals],[Controlled lb/hr]]+standard_components_121[[#Totals],[Controlled
lb/hr]]))</f>
        <v>0</v>
      </c>
      <c r="J174" s="51">
        <f>IF(speciated_chemicals_123[[#This Row],[Inert / Not a Contaminant?]]="Yes", 0, speciated_chemicals_123[[#This Row],[Weight Percent]]*(unique_components_122[[#Totals],[Controlled
tpy]]+standard_components_121[[#Totals],[Controlled
tpy]]))</f>
        <v>0</v>
      </c>
    </row>
    <row r="175" spans="1:10" x14ac:dyDescent="0.2">
      <c r="A175" s="103"/>
      <c r="B175" s="51" t="str">
        <f>IFERROR(VLOOKUP(speciated_chemicals_123[[#This Row],[CAS '#]],species[],MATCH("Substance", species[#Headers], 0),FALSE),"No CAS Number Entered")</f>
        <v>No CAS Number Entered</v>
      </c>
      <c r="C175" s="102"/>
      <c r="D175" s="102" t="s">
        <v>12666</v>
      </c>
      <c r="E175" s="102" t="s">
        <v>12666</v>
      </c>
      <c r="F175" s="102" t="s">
        <v>12666</v>
      </c>
      <c r="G175" s="102" t="s">
        <v>12666</v>
      </c>
      <c r="H175" s="164"/>
      <c r="I175" s="51">
        <f>IF(speciated_chemicals_123[[#This Row],[Inert / Not a Contaminant?]]="Yes", 0, speciated_chemicals_123[[#This Row],[Weight Percent]]*(unique_components_122[[#Totals],[Controlled lb/hr]]+standard_components_121[[#Totals],[Controlled
lb/hr]]))</f>
        <v>0</v>
      </c>
      <c r="J175" s="51">
        <f>IF(speciated_chemicals_123[[#This Row],[Inert / Not a Contaminant?]]="Yes", 0, speciated_chemicals_123[[#This Row],[Weight Percent]]*(unique_components_122[[#Totals],[Controlled
tpy]]+standard_components_121[[#Totals],[Controlled
tpy]]))</f>
        <v>0</v>
      </c>
    </row>
    <row r="176" spans="1:10" x14ac:dyDescent="0.2">
      <c r="A176" s="165"/>
      <c r="B176" s="51" t="str">
        <f>IFERROR(VLOOKUP(speciated_chemicals_123[[#This Row],[CAS '#]],species[],MATCH("Substance", species[#Headers], 0),FALSE),"No CAS Number Entered")</f>
        <v>No CAS Number Entered</v>
      </c>
      <c r="C176" s="102"/>
      <c r="D176" s="102" t="s">
        <v>12666</v>
      </c>
      <c r="E176" s="102" t="s">
        <v>12666</v>
      </c>
      <c r="F176" s="102" t="s">
        <v>12666</v>
      </c>
      <c r="G176" s="102" t="s">
        <v>12666</v>
      </c>
      <c r="H176" s="164"/>
      <c r="I176" s="51">
        <f>IF(speciated_chemicals_123[[#This Row],[Inert / Not a Contaminant?]]="Yes", 0, speciated_chemicals_123[[#This Row],[Weight Percent]]*(unique_components_122[[#Totals],[Controlled lb/hr]]+standard_components_121[[#Totals],[Controlled
lb/hr]]))</f>
        <v>0</v>
      </c>
      <c r="J176" s="51">
        <f>IF(speciated_chemicals_123[[#This Row],[Inert / Not a Contaminant?]]="Yes", 0, speciated_chemicals_123[[#This Row],[Weight Percent]]*(unique_components_122[[#Totals],[Controlled
tpy]]+standard_components_121[[#Totals],[Controlled
tpy]]))</f>
        <v>0</v>
      </c>
    </row>
    <row r="177" spans="1:10" x14ac:dyDescent="0.2">
      <c r="A177" s="103"/>
      <c r="B177" s="51" t="str">
        <f>IFERROR(VLOOKUP(speciated_chemicals_123[[#This Row],[CAS '#]],species[],MATCH("Substance", species[#Headers], 0),FALSE),"No CAS Number Entered")</f>
        <v>No CAS Number Entered</v>
      </c>
      <c r="C177" s="102"/>
      <c r="D177" s="102" t="s">
        <v>12666</v>
      </c>
      <c r="E177" s="102" t="s">
        <v>12666</v>
      </c>
      <c r="F177" s="102" t="s">
        <v>12666</v>
      </c>
      <c r="G177" s="102" t="s">
        <v>12666</v>
      </c>
      <c r="H177" s="164"/>
      <c r="I177" s="51">
        <f>IF(speciated_chemicals_123[[#This Row],[Inert / Not a Contaminant?]]="Yes", 0, speciated_chemicals_123[[#This Row],[Weight Percent]]*(unique_components_122[[#Totals],[Controlled lb/hr]]+standard_components_121[[#Totals],[Controlled
lb/hr]]))</f>
        <v>0</v>
      </c>
      <c r="J177" s="51">
        <f>IF(speciated_chemicals_123[[#This Row],[Inert / Not a Contaminant?]]="Yes", 0, speciated_chemicals_123[[#This Row],[Weight Percent]]*(unique_components_122[[#Totals],[Controlled
tpy]]+standard_components_121[[#Totals],[Controlled
tpy]]))</f>
        <v>0</v>
      </c>
    </row>
    <row r="178" spans="1:10" x14ac:dyDescent="0.2">
      <c r="A178" s="103"/>
      <c r="B178" s="51" t="str">
        <f>IFERROR(VLOOKUP(speciated_chemicals_123[[#This Row],[CAS '#]],species[],MATCH("Substance", species[#Headers], 0),FALSE),"No CAS Number Entered")</f>
        <v>No CAS Number Entered</v>
      </c>
      <c r="C178" s="102"/>
      <c r="D178" s="102" t="s">
        <v>12666</v>
      </c>
      <c r="E178" s="102" t="s">
        <v>12666</v>
      </c>
      <c r="F178" s="102" t="s">
        <v>12666</v>
      </c>
      <c r="G178" s="102" t="s">
        <v>12666</v>
      </c>
      <c r="H178" s="164"/>
      <c r="I178" s="51">
        <f>IF(speciated_chemicals_123[[#This Row],[Inert / Not a Contaminant?]]="Yes", 0, speciated_chemicals_123[[#This Row],[Weight Percent]]*(unique_components_122[[#Totals],[Controlled lb/hr]]+standard_components_121[[#Totals],[Controlled
lb/hr]]))</f>
        <v>0</v>
      </c>
      <c r="J178" s="51">
        <f>IF(speciated_chemicals_123[[#This Row],[Inert / Not a Contaminant?]]="Yes", 0, speciated_chemicals_123[[#This Row],[Weight Percent]]*(unique_components_122[[#Totals],[Controlled
tpy]]+standard_components_121[[#Totals],[Controlled
tpy]]))</f>
        <v>0</v>
      </c>
    </row>
    <row r="179" spans="1:10" x14ac:dyDescent="0.2">
      <c r="A179" s="103"/>
      <c r="B179" s="51" t="str">
        <f>IFERROR(VLOOKUP(speciated_chemicals_123[[#This Row],[CAS '#]],species[],MATCH("Substance", species[#Headers], 0),FALSE),"No CAS Number Entered")</f>
        <v>No CAS Number Entered</v>
      </c>
      <c r="C179" s="102"/>
      <c r="D179" s="102" t="s">
        <v>12666</v>
      </c>
      <c r="E179" s="102" t="s">
        <v>12666</v>
      </c>
      <c r="F179" s="102" t="s">
        <v>12666</v>
      </c>
      <c r="G179" s="102" t="s">
        <v>12666</v>
      </c>
      <c r="H179" s="164"/>
      <c r="I179" s="51">
        <f>IF(speciated_chemicals_123[[#This Row],[Inert / Not a Contaminant?]]="Yes", 0, speciated_chemicals_123[[#This Row],[Weight Percent]]*(unique_components_122[[#Totals],[Controlled lb/hr]]+standard_components_121[[#Totals],[Controlled
lb/hr]]))</f>
        <v>0</v>
      </c>
      <c r="J179" s="51">
        <f>IF(speciated_chemicals_123[[#This Row],[Inert / Not a Contaminant?]]="Yes", 0, speciated_chemicals_123[[#This Row],[Weight Percent]]*(unique_components_122[[#Totals],[Controlled
tpy]]+standard_components_121[[#Totals],[Controlled
tpy]]))</f>
        <v>0</v>
      </c>
    </row>
    <row r="180" spans="1:10" x14ac:dyDescent="0.2">
      <c r="A180" s="103"/>
      <c r="B180" s="51" t="str">
        <f>IFERROR(VLOOKUP(speciated_chemicals_123[[#This Row],[CAS '#]],species[],MATCH("Substance", species[#Headers], 0),FALSE),"No CAS Number Entered")</f>
        <v>No CAS Number Entered</v>
      </c>
      <c r="C180" s="102"/>
      <c r="D180" s="102" t="s">
        <v>12666</v>
      </c>
      <c r="E180" s="102" t="s">
        <v>12666</v>
      </c>
      <c r="F180" s="102" t="s">
        <v>12666</v>
      </c>
      <c r="G180" s="102" t="s">
        <v>12666</v>
      </c>
      <c r="H180" s="164"/>
      <c r="I180" s="51">
        <f>IF(speciated_chemicals_123[[#This Row],[Inert / Not a Contaminant?]]="Yes", 0, speciated_chemicals_123[[#This Row],[Weight Percent]]*(unique_components_122[[#Totals],[Controlled lb/hr]]+standard_components_121[[#Totals],[Controlled
lb/hr]]))</f>
        <v>0</v>
      </c>
      <c r="J180" s="51">
        <f>IF(speciated_chemicals_123[[#This Row],[Inert / Not a Contaminant?]]="Yes", 0, speciated_chemicals_123[[#This Row],[Weight Percent]]*(unique_components_122[[#Totals],[Controlled
tpy]]+standard_components_121[[#Totals],[Controlled
tpy]]))</f>
        <v>0</v>
      </c>
    </row>
    <row r="181" spans="1:10" ht="30" x14ac:dyDescent="0.2">
      <c r="A181" s="184" t="s">
        <v>12705</v>
      </c>
      <c r="B181" s="52"/>
      <c r="C181" s="53"/>
      <c r="D181" s="52"/>
      <c r="E181" s="52"/>
      <c r="F181" s="52"/>
      <c r="G181" s="52"/>
      <c r="H181" s="166">
        <f>SUBTOTAL(109,speciated_chemicals_123[Weight Percent])</f>
        <v>0</v>
      </c>
      <c r="I181" s="167">
        <f>SUBTOTAL(109,speciated_chemicals_123[lb/hr])</f>
        <v>0</v>
      </c>
      <c r="J181" s="167">
        <f>SUBTOTAL(109,speciated_chemicals_123[tpy])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MATCH(speciated_ghg_124[[#This Row],[CAS '#]], gwp_table[CAS No.], 0), MATCH("Name", gwp_table[#Headers], 0)),"No CAS Number Entered")</f>
        <v>No CAS Number Entered</v>
      </c>
      <c r="C185" s="79" t="str">
        <f>IFERROR(INDEX(gwp_table[], MATCH(speciated_ghg_124[[#This Row],[CAS '#]], gwp_table[CAS No.], 0), MATCH("Global warming potential", gwp_table[#Headers], 0)),"No CAS Number Entered")</f>
        <v>No CAS Number Entered</v>
      </c>
      <c r="D185" s="219"/>
      <c r="E185" s="79">
        <f>IFERROR(speciated_ghg_124[[#This Row],[Weight Percent]]*(unique_components_122[[#Totals],[Controlled
tpy]]+standard_components_121[[#Totals],[Controlled
tpy]]), "-")</f>
        <v>0</v>
      </c>
      <c r="F185" s="81" t="str">
        <f>IFERROR(speciated_ghg_124[[#This Row],[Mass Emissions (U.S. tons per year)]]*speciated_ghg_124[[#This Row],[Global Warming Potential (GWP)]], "-")</f>
        <v>-</v>
      </c>
      <c r="G185" s="30"/>
      <c r="H185" s="168"/>
      <c r="I185" s="168"/>
    </row>
    <row r="186" spans="1:10" x14ac:dyDescent="0.2">
      <c r="A186" s="210"/>
      <c r="B186" s="79" t="str">
        <f>IFERROR(INDEX(gwp_table[], MATCH(speciated_ghg_124[[#This Row],[CAS '#]], gwp_table[CAS No.], 0), MATCH("Name", gwp_table[#Headers], 0)),"No CAS Number Entered")</f>
        <v>No CAS Number Entered</v>
      </c>
      <c r="C186" s="79" t="str">
        <f>IFERROR(INDEX(gwp_table[], MATCH(speciated_ghg_124[[#This Row],[CAS '#]], gwp_table[CAS No.], 0), MATCH("Global warming potential", gwp_table[#Headers], 0)),"No CAS Number Entered")</f>
        <v>No CAS Number Entered</v>
      </c>
      <c r="D186" s="219"/>
      <c r="E186" s="79">
        <f>IFERROR(speciated_ghg_124[[#This Row],[Weight Percent]]*(unique_components_122[[#Totals],[Controlled
tpy]]+standard_components_121[[#Totals],[Controlled
tpy]]), "-")</f>
        <v>0</v>
      </c>
      <c r="F186" s="81" t="str">
        <f>IFERROR(speciated_ghg_124[[#This Row],[Mass Emissions (U.S. tons per year)]]*speciated_ghg_124[[#This Row],[Global Warming Potential (GWP)]], "-")</f>
        <v>-</v>
      </c>
      <c r="G186" s="30"/>
      <c r="H186" s="168"/>
      <c r="I186" s="168"/>
    </row>
    <row r="187" spans="1:10" x14ac:dyDescent="0.2">
      <c r="A187" s="210"/>
      <c r="B187" s="79" t="str">
        <f>IFERROR(INDEX(gwp_table[], MATCH(speciated_ghg_124[[#This Row],[CAS '#]], gwp_table[CAS No.], 0), MATCH("Name", gwp_table[#Headers], 0)),"No CAS Number Entered")</f>
        <v>No CAS Number Entered</v>
      </c>
      <c r="C187" s="79" t="str">
        <f>IFERROR(INDEX(gwp_table[], MATCH(speciated_ghg_124[[#This Row],[CAS '#]], gwp_table[CAS No.], 0), MATCH("Global warming potential", gwp_table[#Headers], 0)),"No CAS Number Entered")</f>
        <v>No CAS Number Entered</v>
      </c>
      <c r="D187" s="219"/>
      <c r="E187" s="79">
        <f>IFERROR(speciated_ghg_124[[#This Row],[Weight Percent]]*(unique_components_122[[#Totals],[Controlled
tpy]]+standard_components_121[[#Totals],[Controlled
tpy]]), "-")</f>
        <v>0</v>
      </c>
      <c r="F187" s="81" t="str">
        <f>IFERROR(speciated_ghg_124[[#This Row],[Mass Emissions (U.S. tons per year)]]*speciated_ghg_124[[#This Row],[Global Warming Potential (GWP)]], "-")</f>
        <v>-</v>
      </c>
      <c r="G187" s="30"/>
      <c r="H187" s="168"/>
      <c r="I187" s="168"/>
    </row>
    <row r="188" spans="1:10" x14ac:dyDescent="0.2">
      <c r="A188" s="210"/>
      <c r="B188" s="79" t="str">
        <f>IFERROR(INDEX(gwp_table[], MATCH(speciated_ghg_124[[#This Row],[CAS '#]], gwp_table[CAS No.], 0), MATCH("Name", gwp_table[#Headers], 0)),"No CAS Number Entered")</f>
        <v>No CAS Number Entered</v>
      </c>
      <c r="C188" s="79" t="str">
        <f>IFERROR(INDEX(gwp_table[], MATCH(speciated_ghg_124[[#This Row],[CAS '#]], gwp_table[CAS No.], 0), MATCH("Global warming potential", gwp_table[#Headers], 0)),"No CAS Number Entered")</f>
        <v>No CAS Number Entered</v>
      </c>
      <c r="D188" s="219"/>
      <c r="E188" s="79">
        <f>IFERROR(speciated_ghg_124[[#This Row],[Weight Percent]]*(unique_components_122[[#Totals],[Controlled
tpy]]+standard_components_121[[#Totals],[Controlled
tpy]]), "-")</f>
        <v>0</v>
      </c>
      <c r="F188" s="81" t="str">
        <f>IFERROR(speciated_ghg_124[[#This Row],[Mass Emissions (U.S. tons per year)]]*speciated_ghg_124[[#This Row],[Global Warming Potential (GWP)]], "-")</f>
        <v>-</v>
      </c>
      <c r="G188" s="30"/>
      <c r="H188" s="168"/>
      <c r="I188" s="168"/>
    </row>
    <row r="189" spans="1:10" x14ac:dyDescent="0.2">
      <c r="A189" s="210"/>
      <c r="B189" s="79" t="str">
        <f>IFERROR(INDEX(gwp_table[], MATCH(speciated_ghg_124[[#This Row],[CAS '#]], gwp_table[CAS No.], 0), MATCH("Name", gwp_table[#Headers], 0)),"No CAS Number Entered")</f>
        <v>No CAS Number Entered</v>
      </c>
      <c r="C189" s="79" t="str">
        <f>IFERROR(INDEX(gwp_table[], MATCH(speciated_ghg_124[[#This Row],[CAS '#]], gwp_table[CAS No.], 0), MATCH("Global warming potential", gwp_table[#Headers], 0)),"No CAS Number Entered")</f>
        <v>No CAS Number Entered</v>
      </c>
      <c r="D189" s="219"/>
      <c r="E189" s="79">
        <f>IFERROR(speciated_ghg_124[[#This Row],[Weight Percent]]*(unique_components_122[[#Totals],[Controlled
tpy]]+standard_components_121[[#Totals],[Controlled
tpy]]), "-")</f>
        <v>0</v>
      </c>
      <c r="F189" s="81" t="str">
        <f>IFERROR(speciated_ghg_124[[#This Row],[Mass Emissions (U.S. tons per year)]]*speciated_ghg_124[[#This Row],[Global Warming Potential (GWP)]], "-")</f>
        <v>-</v>
      </c>
      <c r="G189" s="30"/>
      <c r="H189" s="168"/>
      <c r="I189" s="168"/>
    </row>
    <row r="190" spans="1:10" x14ac:dyDescent="0.2">
      <c r="A190" s="210"/>
      <c r="B190" s="79" t="str">
        <f>IFERROR(INDEX(gwp_table[], MATCH(speciated_ghg_124[[#This Row],[CAS '#]], gwp_table[CAS No.], 0), MATCH("Name", gwp_table[#Headers], 0)),"No CAS Number Entered")</f>
        <v>No CAS Number Entered</v>
      </c>
      <c r="C190" s="79" t="str">
        <f>IFERROR(INDEX(gwp_table[], MATCH(speciated_ghg_124[[#This Row],[CAS '#]], gwp_table[CAS No.], 0), MATCH("Global warming potential", gwp_table[#Headers], 0)),"No CAS Number Entered")</f>
        <v>No CAS Number Entered</v>
      </c>
      <c r="D190" s="219"/>
      <c r="E190" s="79">
        <f>IFERROR(speciated_ghg_124[[#This Row],[Weight Percent]]*(unique_components_122[[#Totals],[Controlled
tpy]]+standard_components_121[[#Totals],[Controlled
tpy]]), "-")</f>
        <v>0</v>
      </c>
      <c r="F190" s="81" t="str">
        <f>IFERROR(speciated_ghg_124[[#This Row],[Mass Emissions (U.S. tons per year)]]*speciated_ghg_124[[#This Row],[Global Warming Potential (GWP)]], "-")</f>
        <v>-</v>
      </c>
      <c r="G190" s="30"/>
      <c r="H190" s="168"/>
      <c r="I190" s="168"/>
    </row>
    <row r="191" spans="1:10" x14ac:dyDescent="0.2">
      <c r="A191" s="210"/>
      <c r="B191" s="79" t="str">
        <f>IFERROR(INDEX(gwp_table[], MATCH(speciated_ghg_124[[#This Row],[CAS '#]], gwp_table[CAS No.], 0), MATCH("Name", gwp_table[#Headers], 0)),"No CAS Number Entered")</f>
        <v>No CAS Number Entered</v>
      </c>
      <c r="C191" s="79" t="str">
        <f>IFERROR(INDEX(gwp_table[], MATCH(speciated_ghg_124[[#This Row],[CAS '#]], gwp_table[CAS No.], 0), MATCH("Global warming potential", gwp_table[#Headers], 0)),"No CAS Number Entered")</f>
        <v>No CAS Number Entered</v>
      </c>
      <c r="D191" s="219"/>
      <c r="E191" s="79">
        <f>IFERROR(speciated_ghg_124[[#This Row],[Weight Percent]]*(unique_components_122[[#Totals],[Controlled
tpy]]+standard_components_121[[#Totals],[Controlled
tpy]]), "-")</f>
        <v>0</v>
      </c>
      <c r="F191" s="81" t="str">
        <f>IFERROR(speciated_ghg_124[[#This Row],[Mass Emissions (U.S. tons per year)]]*speciated_ghg_124[[#This Row],[Global Warming Potential (GWP)]], "-")</f>
        <v>-</v>
      </c>
      <c r="G191" s="17"/>
    </row>
    <row r="192" spans="1:10" ht="15" x14ac:dyDescent="0.25">
      <c r="A192" s="210"/>
      <c r="B192" s="79" t="str">
        <f>IFERROR(INDEX(gwp_table[], MATCH(speciated_ghg_124[[#This Row],[CAS '#]], gwp_table[CAS No.], 0), MATCH("Name", gwp_table[#Headers], 0)),"No CAS Number Entered")</f>
        <v>No CAS Number Entered</v>
      </c>
      <c r="C192" s="79" t="str">
        <f>IFERROR(INDEX(gwp_table[], MATCH(speciated_ghg_124[[#This Row],[CAS '#]], gwp_table[CAS No.], 0), MATCH("Global warming potential", gwp_table[#Headers], 0)),"No CAS Number Entered")</f>
        <v>No CAS Number Entered</v>
      </c>
      <c r="D192" s="219"/>
      <c r="E192" s="79">
        <f>IFERROR(speciated_ghg_124[[#This Row],[Weight Percent]]*(unique_components_122[[#Totals],[Controlled
tpy]]+standard_components_121[[#Totals],[Controlled
tpy]]), "-")</f>
        <v>0</v>
      </c>
      <c r="F192" s="81" t="str">
        <f>IFERROR(speciated_ghg_124[[#This Row],[Mass Emissions (U.S. tons per year)]]*speciated_ghg_124[[#This Row],[Global Warming Potential (GWP)]], "-")</f>
        <v>-</v>
      </c>
      <c r="G192" s="134"/>
      <c r="H192" s="169"/>
    </row>
    <row r="193" spans="1:9" ht="15" x14ac:dyDescent="0.25">
      <c r="A193" s="210"/>
      <c r="B193" s="79" t="str">
        <f>IFERROR(INDEX(gwp_table[], MATCH(speciated_ghg_124[[#This Row],[CAS '#]], gwp_table[CAS No.], 0), MATCH("Name", gwp_table[#Headers], 0)),"No CAS Number Entered")</f>
        <v>No CAS Number Entered</v>
      </c>
      <c r="C193" s="79" t="str">
        <f>IFERROR(INDEX(gwp_table[], MATCH(speciated_ghg_124[[#This Row],[CAS '#]], gwp_table[CAS No.], 0), MATCH("Global warming potential", gwp_table[#Headers], 0)),"No CAS Number Entered")</f>
        <v>No CAS Number Entered</v>
      </c>
      <c r="D193" s="219"/>
      <c r="E193" s="79">
        <f>IFERROR(speciated_ghg_124[[#This Row],[Weight Percent]]*(unique_components_122[[#Totals],[Controlled
tpy]]+standard_components_121[[#Totals],[Controlled
tpy]]), "-")</f>
        <v>0</v>
      </c>
      <c r="F193" s="81" t="str">
        <f>IFERROR(speciated_ghg_124[[#This Row],[Mass Emissions (U.S. tons per year)]]*speciated_ghg_124[[#This Row],[Global Warming Potential (GWP)]], "-")</f>
        <v>-</v>
      </c>
      <c r="G193" s="134"/>
      <c r="H193" s="169"/>
    </row>
    <row r="194" spans="1:9" ht="15" x14ac:dyDescent="0.25">
      <c r="A194" s="210"/>
      <c r="B194" s="79" t="str">
        <f>IFERROR(INDEX(gwp_table[], MATCH(speciated_ghg_124[[#This Row],[CAS '#]], gwp_table[CAS No.], 0), MATCH("Name", gwp_table[#Headers], 0)),"No CAS Number Entered")</f>
        <v>No CAS Number Entered</v>
      </c>
      <c r="C194" s="79" t="str">
        <f>IFERROR(INDEX(gwp_table[], MATCH(speciated_ghg_124[[#This Row],[CAS '#]], gwp_table[CAS No.], 0), MATCH("Global warming potential", gwp_table[#Headers], 0)),"No CAS Number Entered")</f>
        <v>No CAS Number Entered</v>
      </c>
      <c r="D194" s="219"/>
      <c r="E194" s="79">
        <f>IFERROR(speciated_ghg_124[[#This Row],[Weight Percent]]*(unique_components_122[[#Totals],[Controlled
tpy]]+standard_components_121[[#Totals],[Controlled
tpy]]), "-")</f>
        <v>0</v>
      </c>
      <c r="F194" s="81" t="str">
        <f>IFERROR(speciated_ghg_124[[#This Row],[Mass Emissions (U.S. tons per year)]]*speciated_ghg_124[[#This Row],[Global Warming Potential (GWP)]], "-")</f>
        <v>-</v>
      </c>
      <c r="G194" s="134"/>
      <c r="H194" s="169"/>
    </row>
    <row r="195" spans="1:9" x14ac:dyDescent="0.2">
      <c r="A195" s="210"/>
      <c r="B195" s="79" t="str">
        <f>IFERROR(INDEX(gwp_table[], MATCH(speciated_ghg_124[[#This Row],[CAS '#]], gwp_table[CAS No.], 0), MATCH("Name", gwp_table[#Headers], 0)),"No CAS Number Entered")</f>
        <v>No CAS Number Entered</v>
      </c>
      <c r="C195" s="79" t="str">
        <f>IFERROR(INDEX(gwp_table[], MATCH(speciated_ghg_124[[#This Row],[CAS '#]], gwp_table[CAS No.], 0), MATCH("Global warming potential", gwp_table[#Headers], 0)),"No CAS Number Entered")</f>
        <v>No CAS Number Entered</v>
      </c>
      <c r="D195" s="219"/>
      <c r="E195" s="79">
        <f>IFERROR(speciated_ghg_124[[#This Row],[Weight Percent]]*(unique_components_122[[#Totals],[Controlled
tpy]]+standard_components_121[[#Totals],[Controlled
tpy]]), "-")</f>
        <v>0</v>
      </c>
      <c r="F195" s="81" t="str">
        <f>IFERROR(speciated_ghg_124[[#This Row],[Mass Emissions (U.S. tons per year)]]*speciated_ghg_124[[#This Row],[Global Warming Potential (GWP)]], "-")</f>
        <v>-</v>
      </c>
      <c r="G195" s="69"/>
      <c r="H195" s="169"/>
    </row>
    <row r="196" spans="1:9" x14ac:dyDescent="0.2">
      <c r="A196" s="210"/>
      <c r="B196" s="79" t="str">
        <f>IFERROR(INDEX(gwp_table[], MATCH(speciated_ghg_124[[#This Row],[CAS '#]], gwp_table[CAS No.], 0), MATCH("Name", gwp_table[#Headers], 0)),"No CAS Number Entered")</f>
        <v>No CAS Number Entered</v>
      </c>
      <c r="C196" s="79" t="str">
        <f>IFERROR(INDEX(gwp_table[], MATCH(speciated_ghg_124[[#This Row],[CAS '#]], gwp_table[CAS No.], 0), MATCH("Global warming potential", gwp_table[#Headers], 0)),"No CAS Number Entered")</f>
        <v>No CAS Number Entered</v>
      </c>
      <c r="D196" s="219"/>
      <c r="E196" s="79">
        <f>IFERROR(speciated_ghg_124[[#This Row],[Weight Percent]]*(unique_components_122[[#Totals],[Controlled
tpy]]+standard_components_121[[#Totals],[Controlled
tpy]]), "-")</f>
        <v>0</v>
      </c>
      <c r="F196" s="81" t="str">
        <f>IFERROR(speciated_ghg_124[[#This Row],[Mass Emissions (U.S. tons per year)]]*speciated_ghg_124[[#This Row],[Global Warming Potential (GWP)]], "-")</f>
        <v>-</v>
      </c>
      <c r="G196" s="29"/>
      <c r="H196" s="169"/>
    </row>
    <row r="197" spans="1:9" x14ac:dyDescent="0.2">
      <c r="A197" s="210"/>
      <c r="B197" s="79" t="str">
        <f>IFERROR(INDEX(gwp_table[], MATCH(speciated_ghg_124[[#This Row],[CAS '#]], gwp_table[CAS No.], 0), MATCH("Name", gwp_table[#Headers], 0)),"No CAS Number Entered")</f>
        <v>No CAS Number Entered</v>
      </c>
      <c r="C197" s="79" t="str">
        <f>IFERROR(INDEX(gwp_table[], MATCH(speciated_ghg_124[[#This Row],[CAS '#]], gwp_table[CAS No.], 0), MATCH("Global warming potential", gwp_table[#Headers], 0)),"No CAS Number Entered")</f>
        <v>No CAS Number Entered</v>
      </c>
      <c r="D197" s="219"/>
      <c r="E197" s="79">
        <f>IFERROR(speciated_ghg_124[[#This Row],[Weight Percent]]*(unique_components_122[[#Totals],[Controlled
tpy]]+standard_components_121[[#Totals],[Controlled
tpy]]), "-")</f>
        <v>0</v>
      </c>
      <c r="F197" s="81" t="str">
        <f>IFERROR(speciated_ghg_124[[#This Row],[Mass Emissions (U.S. tons per year)]]*speciated_ghg_124[[#This Row],[Global Warming Potential (GWP)]], "-")</f>
        <v>-</v>
      </c>
      <c r="G197" s="29"/>
      <c r="H197" s="29"/>
      <c r="I197" s="169"/>
    </row>
    <row r="198" spans="1:9" x14ac:dyDescent="0.2">
      <c r="A198" s="210"/>
      <c r="B198" s="79" t="str">
        <f>IFERROR(INDEX(gwp_table[], MATCH(speciated_ghg_124[[#This Row],[CAS '#]], gwp_table[CAS No.], 0), MATCH("Name", gwp_table[#Headers], 0)),"No CAS Number Entered")</f>
        <v>No CAS Number Entered</v>
      </c>
      <c r="C198" s="79" t="str">
        <f>IFERROR(INDEX(gwp_table[], MATCH(speciated_ghg_124[[#This Row],[CAS '#]], gwp_table[CAS No.], 0), MATCH("Global warming potential", gwp_table[#Headers], 0)),"No CAS Number Entered")</f>
        <v>No CAS Number Entered</v>
      </c>
      <c r="D198" s="219"/>
      <c r="E198" s="79">
        <f>IFERROR(speciated_ghg_124[[#This Row],[Weight Percent]]*(unique_components_122[[#Totals],[Controlled
tpy]]+standard_components_121[[#Totals],[Controlled
tpy]]), "-")</f>
        <v>0</v>
      </c>
      <c r="F198" s="81" t="str">
        <f>IFERROR(speciated_ghg_124[[#This Row],[Mass Emissions (U.S. tons per year)]]*speciated_ghg_124[[#This Row],[Global Warming Potential (GWP)]], "-")</f>
        <v>-</v>
      </c>
      <c r="G198" s="29"/>
      <c r="H198" s="29"/>
      <c r="I198" s="169"/>
    </row>
    <row r="199" spans="1:9" x14ac:dyDescent="0.2">
      <c r="A199" s="210"/>
      <c r="B199" s="79" t="str">
        <f>IFERROR(INDEX(gwp_table[], MATCH(speciated_ghg_124[[#This Row],[CAS '#]], gwp_table[CAS No.], 0), MATCH("Name", gwp_table[#Headers], 0)),"No CAS Number Entered")</f>
        <v>No CAS Number Entered</v>
      </c>
      <c r="C199" s="79" t="str">
        <f>IFERROR(INDEX(gwp_table[], MATCH(speciated_ghg_124[[#This Row],[CAS '#]], gwp_table[CAS No.], 0), MATCH("Global warming potential", gwp_table[#Headers], 0)),"No CAS Number Entered")</f>
        <v>No CAS Number Entered</v>
      </c>
      <c r="D199" s="219"/>
      <c r="E199" s="79">
        <f>IFERROR(speciated_ghg_124[[#This Row],[Weight Percent]]*(unique_components_122[[#Totals],[Controlled
tpy]]+standard_components_121[[#Totals],[Controlled
tpy]]), "-")</f>
        <v>0</v>
      </c>
      <c r="F199" s="81" t="str">
        <f>IFERROR(speciated_ghg_124[[#This Row],[Mass Emissions (U.S. tons per year)]]*speciated_ghg_124[[#This Row],[Global Warming Potential (GWP)]], "-")</f>
        <v>-</v>
      </c>
      <c r="G199" s="29"/>
      <c r="H199" s="29"/>
      <c r="I199" s="169"/>
    </row>
    <row r="200" spans="1:9" x14ac:dyDescent="0.2">
      <c r="A200" s="210"/>
      <c r="B200" s="79" t="str">
        <f>IFERROR(INDEX(gwp_table[], MATCH(speciated_ghg_124[[#This Row],[CAS '#]], gwp_table[CAS No.], 0), MATCH("Name", gwp_table[#Headers], 0)),"No CAS Number Entered")</f>
        <v>No CAS Number Entered</v>
      </c>
      <c r="C200" s="79" t="str">
        <f>IFERROR(INDEX(gwp_table[], MATCH(speciated_ghg_124[[#This Row],[CAS '#]], gwp_table[CAS No.], 0), MATCH("Global warming potential", gwp_table[#Headers], 0)),"No CAS Number Entered")</f>
        <v>No CAS Number Entered</v>
      </c>
      <c r="D200" s="219"/>
      <c r="E200" s="79">
        <f>IFERROR(speciated_ghg_124[[#This Row],[Weight Percent]]*(unique_components_122[[#Totals],[Controlled
tpy]]+standard_components_121[[#Totals],[Controlled
tpy]]), "-")</f>
        <v>0</v>
      </c>
      <c r="F200" s="81" t="str">
        <f>IFERROR(speciated_ghg_124[[#This Row],[Mass Emissions (U.S. tons per year)]]*speciated_ghg_124[[#This Row],[Global Warming Potential (GWP)]], "-")</f>
        <v>-</v>
      </c>
      <c r="G200" s="29"/>
      <c r="H200" s="29"/>
      <c r="I200" s="169"/>
    </row>
    <row r="201" spans="1:9" x14ac:dyDescent="0.2">
      <c r="A201" s="210"/>
      <c r="B201" s="79" t="str">
        <f>IFERROR(INDEX(gwp_table[], MATCH(speciated_ghg_124[[#This Row],[CAS '#]], gwp_table[CAS No.], 0), MATCH("Name", gwp_table[#Headers], 0)),"No CAS Number Entered")</f>
        <v>No CAS Number Entered</v>
      </c>
      <c r="C201" s="79" t="str">
        <f>IFERROR(INDEX(gwp_table[], MATCH(speciated_ghg_124[[#This Row],[CAS '#]], gwp_table[CAS No.], 0), MATCH("Global warming potential", gwp_table[#Headers], 0)),"No CAS Number Entered")</f>
        <v>No CAS Number Entered</v>
      </c>
      <c r="D201" s="219"/>
      <c r="E201" s="79">
        <f>IFERROR(speciated_ghg_124[[#This Row],[Weight Percent]]*(unique_components_122[[#Totals],[Controlled
tpy]]+standard_components_121[[#Totals],[Controlled
tpy]]), "-")</f>
        <v>0</v>
      </c>
      <c r="F201" s="81" t="str">
        <f>IFERROR(speciated_ghg_124[[#This Row],[Mass Emissions (U.S. tons per year)]]*speciated_ghg_124[[#This Row],[Global Warming Potential (GWP)]], "-")</f>
        <v>-</v>
      </c>
      <c r="G201" s="169"/>
      <c r="H201" s="169"/>
      <c r="I201" s="169"/>
    </row>
    <row r="202" spans="1:9" x14ac:dyDescent="0.2">
      <c r="A202" s="210"/>
      <c r="B202" s="79" t="str">
        <f>IFERROR(INDEX(gwp_table[], MATCH(speciated_ghg_124[[#This Row],[CAS '#]], gwp_table[CAS No.], 0), MATCH("Name", gwp_table[#Headers], 0)),"No CAS Number Entered")</f>
        <v>No CAS Number Entered</v>
      </c>
      <c r="C202" s="79" t="str">
        <f>IFERROR(INDEX(gwp_table[], MATCH(speciated_ghg_124[[#This Row],[CAS '#]], gwp_table[CAS No.], 0), MATCH("Global warming potential", gwp_table[#Headers], 0)),"No CAS Number Entered")</f>
        <v>No CAS Number Entered</v>
      </c>
      <c r="D202" s="219"/>
      <c r="E202" s="79">
        <f>IFERROR(speciated_ghg_124[[#This Row],[Weight Percent]]*(unique_components_122[[#Totals],[Controlled
tpy]]+standard_components_121[[#Totals],[Controlled
tpy]]), "-")</f>
        <v>0</v>
      </c>
      <c r="F202" s="81" t="str">
        <f>IFERROR(speciated_ghg_124[[#This Row],[Mass Emissions (U.S. tons per year)]]*speciated_ghg_124[[#This Row],[Global Warming Potential (GWP)]], "-")</f>
        <v>-</v>
      </c>
      <c r="G202" s="169"/>
      <c r="H202" s="169"/>
      <c r="I202" s="169"/>
    </row>
    <row r="203" spans="1:9" x14ac:dyDescent="0.2">
      <c r="A203" s="210"/>
      <c r="B203" s="79" t="str">
        <f>IFERROR(INDEX(gwp_table[], MATCH(speciated_ghg_124[[#This Row],[CAS '#]], gwp_table[CAS No.], 0), MATCH("Name", gwp_table[#Headers], 0)),"No CAS Number Entered")</f>
        <v>No CAS Number Entered</v>
      </c>
      <c r="C203" s="79" t="str">
        <f>IFERROR(INDEX(gwp_table[], MATCH(speciated_ghg_124[[#This Row],[CAS '#]], gwp_table[CAS No.], 0), MATCH("Global warming potential", gwp_table[#Headers], 0)),"No CAS Number Entered")</f>
        <v>No CAS Number Entered</v>
      </c>
      <c r="D203" s="219"/>
      <c r="E203" s="79">
        <f>IFERROR(speciated_ghg_124[[#This Row],[Weight Percent]]*(unique_components_122[[#Totals],[Controlled
tpy]]+standard_components_121[[#Totals],[Controlled
tpy]]), "-")</f>
        <v>0</v>
      </c>
      <c r="F203" s="81" t="str">
        <f>IFERROR(speciated_ghg_124[[#This Row],[Mass Emissions (U.S. tons per year)]]*speciated_ghg_124[[#This Row],[Global Warming Potential (GWP)]], "-")</f>
        <v>-</v>
      </c>
      <c r="G203" s="169"/>
      <c r="H203" s="169"/>
      <c r="I203" s="169"/>
    </row>
    <row r="204" spans="1:9" ht="30" x14ac:dyDescent="0.25">
      <c r="A204" s="185" t="s">
        <v>13321</v>
      </c>
      <c r="B204" s="77"/>
      <c r="C204" s="77"/>
      <c r="D204" s="77"/>
      <c r="E204" s="80">
        <f>SUBTOTAL(109,speciated_ghg_124[Mass Emissions (U.S. tons per year)])</f>
        <v>0</v>
      </c>
      <c r="F204" s="82">
        <f>SUBTOTAL(109,speciated_ghg_124[CO2e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speciated_chemicals_123[[#Totals],[lb/hr]]</f>
        <v>0</v>
      </c>
      <c r="C207" s="134"/>
      <c r="D207" s="134"/>
      <c r="E207" s="134"/>
      <c r="F207" s="134"/>
      <c r="G207" s="169"/>
      <c r="H207" s="169"/>
    </row>
    <row r="208" spans="1:9" ht="29.25" x14ac:dyDescent="0.25">
      <c r="A208" s="174" t="s">
        <v>13320</v>
      </c>
      <c r="B208" s="175">
        <f>speciated_chemicals_123[[#Totals],[tpy]]</f>
        <v>0</v>
      </c>
      <c r="C208" s="134"/>
      <c r="D208" s="134"/>
      <c r="E208" s="134"/>
      <c r="F208" s="134"/>
      <c r="G208" s="169"/>
      <c r="H208" s="169"/>
    </row>
    <row r="209" spans="1:8" ht="15" x14ac:dyDescent="0.25">
      <c r="A209" s="126" t="s">
        <v>13277</v>
      </c>
      <c r="B209" s="128">
        <f>SUMIF(speciated_chemicals_123[VOC?],"Yes",speciated_chemicals_123[lb/hr])</f>
        <v>0</v>
      </c>
      <c r="C209" s="134"/>
      <c r="D209" s="29"/>
      <c r="E209" s="29"/>
      <c r="F209" s="29"/>
      <c r="G209" s="169"/>
      <c r="H209" s="169"/>
    </row>
    <row r="210" spans="1:8" ht="15" x14ac:dyDescent="0.25">
      <c r="A210" s="126" t="s">
        <v>12669</v>
      </c>
      <c r="B210" s="128">
        <f>SUMIF(speciated_chemicals_123[VOC?],"Yes",speciated_chemicals_123[tpy])</f>
        <v>0</v>
      </c>
      <c r="C210" s="134"/>
      <c r="D210" s="29"/>
      <c r="E210" s="29"/>
      <c r="F210" s="29"/>
      <c r="G210" s="169"/>
      <c r="H210" s="169"/>
    </row>
    <row r="211" spans="1:8" ht="15" x14ac:dyDescent="0.25">
      <c r="A211" s="126" t="s">
        <v>12775</v>
      </c>
      <c r="B211" s="128">
        <f>SUMIF(speciated_chemicals_123[Inorganic?],"Yes",speciated_chemicals_123[lb/hr])</f>
        <v>0</v>
      </c>
      <c r="C211" s="134"/>
      <c r="D211" s="29"/>
      <c r="E211" s="29"/>
      <c r="F211" s="29"/>
      <c r="G211" s="169"/>
      <c r="H211" s="169"/>
    </row>
    <row r="212" spans="1:8" ht="15" x14ac:dyDescent="0.25">
      <c r="A212" s="126" t="s">
        <v>12770</v>
      </c>
      <c r="B212" s="128">
        <f>SUMIF(speciated_chemicals_123[Inorganic?],"Yes",speciated_chemicals_123[tpy])</f>
        <v>0</v>
      </c>
      <c r="C212" s="134"/>
      <c r="D212" s="29"/>
      <c r="E212" s="29"/>
      <c r="F212" s="29"/>
      <c r="G212" s="169"/>
      <c r="H212" s="169"/>
    </row>
    <row r="213" spans="1:8" ht="15" x14ac:dyDescent="0.25">
      <c r="A213" s="126" t="s">
        <v>13276</v>
      </c>
      <c r="B213" s="128">
        <f>SUMIF(speciated_chemicals_123[VOC-Exempt Solvent?],"Yes",speciated_chemicals_123[lb/hr])</f>
        <v>0</v>
      </c>
      <c r="C213" s="134"/>
      <c r="D213" s="29"/>
      <c r="E213" s="29"/>
      <c r="F213" s="29"/>
      <c r="G213" s="169"/>
      <c r="H213" s="169"/>
    </row>
    <row r="214" spans="1:8" ht="15" x14ac:dyDescent="0.25">
      <c r="A214" s="126" t="s">
        <v>13278</v>
      </c>
      <c r="B214" s="128">
        <f>SUMIF(speciated_chemicals_123[VOC-Exempt Solvent?],"Yes",speciated_chemicals_123[tpy])</f>
        <v>0</v>
      </c>
      <c r="C214" s="134"/>
      <c r="D214" s="29"/>
      <c r="E214" s="29"/>
      <c r="F214" s="29"/>
      <c r="G214" s="169"/>
      <c r="H214" s="169"/>
    </row>
    <row r="215" spans="1:8" ht="15" x14ac:dyDescent="0.25">
      <c r="A215" s="127" t="s">
        <v>13280</v>
      </c>
      <c r="B215" s="176">
        <f>speciated_ghg_124[[#Totals],[Mass Emissions (U.S. tons per year)]]</f>
        <v>0</v>
      </c>
      <c r="C215" s="134"/>
      <c r="D215" s="29"/>
      <c r="E215" s="29"/>
      <c r="F215" s="29"/>
      <c r="G215" s="169"/>
      <c r="H215" s="169"/>
    </row>
    <row r="216" spans="1:8" ht="18.75" x14ac:dyDescent="0.35">
      <c r="A216" s="127" t="s">
        <v>13281</v>
      </c>
      <c r="B216" s="176">
        <f>speciated_ghg_124[[#Totals],[CO2e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ZTqkzj+IWQEPjmT7xc3TfgrCFDSVCDNKome1w/WuaI4sfiQahvFhAX3Cv831odQgZqMghEP3pNqJxsV/Z0cNkA==" saltValue="ISOcluPx8ifOCyUZA18TiA==" spinCount="100000" sheet="1" objects="1" scenarios="1" formatColumns="0" formatRows="0" autoFilter="0"/>
  <conditionalFormatting sqref="A21:H21">
    <cfRule type="expression" dxfId="2257" priority="5">
      <formula>$F$19="No"</formula>
    </cfRule>
  </conditionalFormatting>
  <conditionalFormatting sqref="A105:E106 F106:G126">
    <cfRule type="expression" dxfId="2256" priority="4">
      <formula>$E$104="no"</formula>
    </cfRule>
  </conditionalFormatting>
  <conditionalFormatting sqref="C131:C180">
    <cfRule type="expression" dxfId="2255" priority="3">
      <formula>NOT(B131="Other (Please specify):")</formula>
    </cfRule>
  </conditionalFormatting>
  <conditionalFormatting sqref="A107:E126">
    <cfRule type="expression" dxfId="2254" priority="2">
      <formula>$A$58="No"</formula>
    </cfRule>
  </conditionalFormatting>
  <conditionalFormatting sqref="A107:E126 A206:B214 A215:A216">
    <cfRule type="expression" dxfId="2253"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24D82C71-BB2E-4CF6-A903-66B8EDA85357}"/>
    <dataValidation type="list" allowBlank="1" showInputMessage="1" showErrorMessage="1" sqref="E104:H104 B10" xr:uid="{8B1C46DC-7A34-4CDB-9A62-3255DB3C2E67}">
      <formula1>"Yes,No"</formula1>
    </dataValidation>
    <dataValidation type="list" allowBlank="1" showInputMessage="1" showErrorMessage="1" sqref="F19:H20" xr:uid="{C87DC17C-C11F-4F80-A99A-E6B7CC0BD960}">
      <formula1>"No,Yes - 75%,Yes - 95%"</formula1>
    </dataValidation>
    <dataValidation type="list" allowBlank="1" showInputMessage="1" showErrorMessage="1" sqref="F18" xr:uid="{84510042-FEF7-4FEE-8DF2-3BF0998A8DEE}">
      <formula1>IF(#REF!="SOCMI Non-leaker",ListNone,ListInspection)</formula1>
    </dataValidation>
    <dataValidation type="list" allowBlank="1" showInputMessage="1" showErrorMessage="1" sqref="F16:F17" xr:uid="{6F1E4D6B-13C3-41C7-83CB-D546E8E1AB04}">
      <formula1>IF(#REF!="SOCMI Non-Leaker",ListNone,ListInstrument)</formula1>
    </dataValidation>
    <dataValidation type="list" allowBlank="1" showInputMessage="1" prompt="Please specify whether the substance is a volatile organic compound (VOC); methane and ethane are not classifed as VOCs" sqref="D132:D180" xr:uid="{C0104D11-F5BF-482B-8594-DC1CA61E3A2F}">
      <formula1>"Yes,No"</formula1>
    </dataValidation>
    <dataValidation allowBlank="1" showInputMessage="1" showErrorMessage="1" prompt="Enter the weight percent of the substance" sqref="H178:H180 H132:H176" xr:uid="{FE60978F-E8D0-4022-B6FD-CA0AFCFAB89A}"/>
    <dataValidation type="list" allowBlank="1" showInputMessage="1" showErrorMessage="1" prompt="Enter or select Chemical Abstracts Service number; select &quot;N/A&quot; if a CAS # is not applicable" sqref="A131:A175 A177:A180" xr:uid="{CE574C93-81C4-44EA-8D93-96A76C55B635}">
      <formula1>SpeciesList</formula1>
    </dataValidation>
    <dataValidation type="list" allowBlank="1" showInputMessage="1" prompt="Select other species from dropdown" sqref="C131:C180" xr:uid="{C859C1B1-C814-4680-9913-B350E01F8FDD}">
      <formula1>NoCASList</formula1>
    </dataValidation>
    <dataValidation allowBlank="1" showInputMessage="1" showErrorMessage="1" prompt="Proposed control efficiency (0-1)" sqref="E107:E126" xr:uid="{AE999A34-8324-42AC-9EE7-7C794209718A}"/>
    <dataValidation allowBlank="1" showInputMessage="1" showErrorMessage="1" prompt="Count of unique component" sqref="C107:C126" xr:uid="{222D4FDA-DCA4-4F4E-8477-AA218AEC6D4E}"/>
    <dataValidation allowBlank="1" showInputMessage="1" showErrorMessage="1" prompt="Type of service (e.g. gas, vapor, or liquid)" sqref="B107:B126" xr:uid="{1C337F30-7102-428F-861E-D793922EA4C6}"/>
    <dataValidation allowBlank="1" showInputMessage="1" showErrorMessage="1" prompt="Name of unique component" sqref="A107:A126" xr:uid="{A5CA8398-EF7A-4484-8866-D6F2540F1415}"/>
    <dataValidation type="list" allowBlank="1" showInputMessage="1" showErrorMessage="1" sqref="B13" xr:uid="{3CCEF81D-6522-4E0B-A0C5-7E53D8FF4233}">
      <formula1>industry_names</formula1>
    </dataValidation>
    <dataValidation type="list" allowBlank="1" showInputMessage="1" showErrorMessage="1" sqref="B19" xr:uid="{8B71871E-DA2B-426D-BD18-15D51F67CEBD}">
      <formula1>yes_no_list</formula1>
    </dataValidation>
    <dataValidation type="list" allowBlank="1" showInputMessage="1" showErrorMessage="1" sqref="B20" xr:uid="{46B44C18-D51D-44A9-818E-E858ECA6BE86}">
      <formula1>process_drains_effs</formula1>
    </dataValidation>
    <dataValidation allowBlank="1" showInputMessage="1" showErrorMessage="1" prompt="Proposed emission factor" sqref="D107:D126" xr:uid="{9DA99FE3-7BF8-4344-B5A5-4FEC73A445D6}"/>
    <dataValidation type="list" allowBlank="1" showInputMessage="1" prompt="Please specify if the substance is an inert substance or is not considered a contaminant (e.g. steam)" sqref="G131:G180" xr:uid="{13A5858B-7052-41E1-92CF-DB722642D1F5}">
      <formula1>"Yes,No"</formula1>
    </dataValidation>
    <dataValidation type="list" allowBlank="1" showInputMessage="1" showErrorMessage="1" prompt="Please select from the dropdown" sqref="B104" xr:uid="{3764C175-0EBB-411B-81B0-CF0F515A48B0}">
      <formula1>yes_no_list</formula1>
    </dataValidation>
    <dataValidation allowBlank="1" showInputMessage="1" showErrorMessage="1" prompt="Provide justification" sqref="B105" xr:uid="{D8FAAF77-8E6B-42C5-A287-8768D6015607}"/>
    <dataValidation type="list" showInputMessage="1" prompt="Please specify whether the substance is a volatile organic compound (VOC); methane and ethane are not classifed as VOCs" sqref="D131" xr:uid="{6462D160-6B1A-4E1F-AAA9-CA730B2CCFB4}">
      <formula1>"Yes,No"</formula1>
    </dataValidation>
    <dataValidation type="list" showInputMessage="1" prompt="Please specify whether the substance is an inorganic contaminant (e.g. ammonia or chlorine gas)" sqref="E131:E180" xr:uid="{40B54345-E9CF-4E62-996D-C2BCC5556445}">
      <formula1>"Yes,No"</formula1>
    </dataValidation>
    <dataValidation type="list" allowBlank="1" showInputMessage="1" prompt="Please specify whether the substance is an VOC-exempt solvent." sqref="F131:F180" xr:uid="{285A0BFA-64C9-476D-866E-C1E7DD1B1DCD}">
      <formula1>"Yes,No"</formula1>
    </dataValidation>
    <dataValidation type="list" allowBlank="1" showInputMessage="1" showErrorMessage="1" prompt="Enter or select Chemical Abstracts Service number; select &quot;N/A&quot; if a CAS # is not applicable" sqref="A185:A203 A176" xr:uid="{179E3ADC-0F80-4429-9174-828BA2B32174}">
      <formula1>gwp_table_cas</formula1>
    </dataValidation>
    <dataValidation type="decimal" allowBlank="1" showInputMessage="1" showErrorMessage="1" prompt="Enter the weight percent of the substance" sqref="H177" xr:uid="{735DB898-4FAD-46CF-A467-5087036F1E58}">
      <formula1>0</formula1>
      <formula2>1</formula2>
    </dataValidation>
    <dataValidation type="decimal" operator="greaterThan" allowBlank="1" showInputMessage="1" showErrorMessage="1" prompt="Enter the weight percent of the substance" sqref="H131 D185:D203" xr:uid="{3622AD38-B5E1-4AEB-AB9D-993A9A1E2129}">
      <formula1>0</formula1>
    </dataValidation>
    <dataValidation type="list" allowBlank="1" showInputMessage="1" showErrorMessage="1" sqref="B18" xr:uid="{51293D3E-1200-45D3-8414-01F856674513}">
      <formula1>inspection_ldar_list</formula1>
    </dataValidation>
    <dataValidation type="list" allowBlank="1" showInputMessage="1" showErrorMessage="1" sqref="B17" xr:uid="{6B6B3473-CDB3-4F68-81F4-F55B5C565B7F}">
      <formula1>connector_ldar_list</formula1>
    </dataValidation>
    <dataValidation type="list" allowBlank="1" showInputMessage="1" showErrorMessage="1" sqref="B16" xr:uid="{F6C7A813-B96B-4335-9FED-2844EB4CCC75}">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0252-D167-46DA-9D9E-32B4FB9BCB07}">
  <sheetPr codeName="Sheet8">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INDEX((standard_components_125[[#This Row],[Component]]=factor_eff_table[Component])*(standard_components_125[[#This Row],[Service]]=factor_eff_table[Service]), 0, 1), 0)),
 "-")</f>
        <v>-</v>
      </c>
      <c r="E25" s="145" t="str" cm="1">
        <f t="array" ref="E2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25" s="145" t="str" cm="1">
        <f t="array" ref="F2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25" s="145" t="str" cm="1">
        <f t="array" ref="G2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2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2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INDEX((standard_components_125[[#This Row],[Component]]=factor_eff_table[Component])*(standard_components_125[[#This Row],[Service]]=factor_eff_table[Service]), 0, 1), 0)),
 "-")</f>
        <v>-</v>
      </c>
      <c r="E26" s="145" t="str" cm="1">
        <f t="array" ref="E2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26" s="145" t="str" cm="1">
        <f t="array" ref="F2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26" s="145" t="str" cm="1">
        <f t="array" ref="G2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2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2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INDEX((standard_components_125[[#This Row],[Component]]=factor_eff_table[Component])*(standard_components_125[[#This Row],[Service]]=factor_eff_table[Service]), 0, 1), 0)),
 "-")</f>
        <v>-</v>
      </c>
      <c r="E27" s="145" t="str" cm="1">
        <f t="array" ref="E2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27" s="145" t="str" cm="1">
        <f t="array" ref="F2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27" s="145" t="str" cm="1">
        <f t="array" ref="G2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2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2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INDEX((standard_components_125[[#This Row],[Component]]=factor_eff_table[Component])*(standard_components_125[[#This Row],[Service]]=factor_eff_table[Service]), 0, 1), 0)),
 "-")</f>
        <v>-</v>
      </c>
      <c r="E28" s="145" t="str" cm="1">
        <f t="array" ref="E2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28" s="145" t="str" cm="1">
        <f t="array" ref="F2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28" s="145" t="str" cm="1">
        <f t="array" ref="G2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2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2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INDEX((standard_components_125[[#This Row],[Component]]=factor_eff_table[Component])*(standard_components_125[[#This Row],[Service]]=factor_eff_table[Service]), 0, 1), 0)),
 "-")</f>
        <v>-</v>
      </c>
      <c r="E29" s="145" t="str" cm="1">
        <f t="array" ref="E2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29" s="145" t="str" cm="1">
        <f t="array" ref="F2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29" s="145" t="str" cm="1">
        <f t="array" ref="G2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2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2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INDEX((standard_components_125[[#This Row],[Component]]=factor_eff_table[Component])*(standard_components_125[[#This Row],[Service]]=factor_eff_table[Service]), 0, 1), 0)),
 "-")</f>
        <v>-</v>
      </c>
      <c r="E30" s="145" t="str" cm="1">
        <f t="array" ref="E3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0" s="145" t="str" cm="1">
        <f t="array" ref="F3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0" s="145" t="str" cm="1">
        <f t="array" ref="G3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INDEX((standard_components_125[[#This Row],[Component]]=factor_eff_table[Component])*(standard_components_125[[#This Row],[Service]]=factor_eff_table[Service]), 0, 1), 0)),
 "-")</f>
        <v>-</v>
      </c>
      <c r="E31" s="145" t="str" cm="1">
        <f t="array" ref="E3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1" s="145" t="str" cm="1">
        <f t="array" ref="F3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1" s="145" t="str" cm="1">
        <f t="array" ref="G3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INDEX((standard_components_125[[#This Row],[Component]]=factor_eff_table[Component])*(standard_components_125[[#This Row],[Service]]=factor_eff_table[Service]), 0, 1), 0)),
 "-")</f>
        <v>-</v>
      </c>
      <c r="E32" s="145" t="str" cm="1">
        <f t="array" ref="E3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2" s="145" t="str" cm="1">
        <f t="array" ref="F3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2" s="145" t="str" cm="1">
        <f t="array" ref="G3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INDEX((standard_components_125[[#This Row],[Component]]=factor_eff_table[Component])*(standard_components_125[[#This Row],[Service]]=factor_eff_table[Service]), 0, 1), 0)),
 "-")</f>
        <v>-</v>
      </c>
      <c r="E33" s="145" t="str" cm="1">
        <f t="array" ref="E3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3" s="145" t="str" cm="1">
        <f t="array" ref="F3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3" s="145" t="str" cm="1">
        <f t="array" ref="G3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INDEX((standard_components_125[[#This Row],[Component]]=factor_eff_table[Component])*(standard_components_125[[#This Row],[Service]]=factor_eff_table[Service]), 0, 1), 0)),
 "-")</f>
        <v>-</v>
      </c>
      <c r="E34" s="145" t="str" cm="1">
        <f t="array" ref="E3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4" s="145" t="str" cm="1">
        <f t="array" ref="F3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4" s="145" t="str" cm="1">
        <f t="array" ref="G3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INDEX((standard_components_125[[#This Row],[Component]]=factor_eff_table[Component])*(standard_components_125[[#This Row],[Service]]=factor_eff_table[Service]), 0, 1), 0)),
 "-")</f>
        <v>-</v>
      </c>
      <c r="E35" s="145" t="str" cm="1">
        <f t="array" ref="E3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5" s="145" t="str" cm="1">
        <f t="array" ref="F3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5" s="145" t="str" cm="1">
        <f t="array" ref="G3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INDEX((standard_components_125[[#This Row],[Component]]=factor_eff_table[Component])*(standard_components_125[[#This Row],[Service]]=factor_eff_table[Service]), 0, 1), 0)),
 "-")</f>
        <v>-</v>
      </c>
      <c r="E36" s="145" t="str" cm="1">
        <f t="array" ref="E3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6" s="145" t="str" cm="1">
        <f t="array" ref="F3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6" s="145" t="str" cm="1">
        <f t="array" ref="G3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INDEX((standard_components_125[[#This Row],[Component]]=factor_eff_table[Component])*(standard_components_125[[#This Row],[Service]]=factor_eff_table[Service]), 0, 1), 0)),
 "-")</f>
        <v>-</v>
      </c>
      <c r="E37" s="145" t="str" cm="1">
        <f t="array" ref="E3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7" s="145" t="str" cm="1">
        <f t="array" ref="F3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7" s="145" t="str" cm="1">
        <f t="array" ref="G3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INDEX((standard_components_125[[#This Row],[Component]]=factor_eff_table[Component])*(standard_components_125[[#This Row],[Service]]=factor_eff_table[Service]), 0, 1), 0)),
 "-")</f>
        <v>-</v>
      </c>
      <c r="E38" s="145" t="str" cm="1">
        <f t="array" ref="E3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8" s="145" t="str" cm="1">
        <f t="array" ref="F3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8" s="145" t="str" cm="1">
        <f t="array" ref="G3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INDEX((standard_components_125[[#This Row],[Component]]=factor_eff_table[Component])*(standard_components_125[[#This Row],[Service]]=factor_eff_table[Service]), 0, 1), 0)),
 "-")</f>
        <v>-</v>
      </c>
      <c r="E39" s="145" t="str" cm="1">
        <f t="array" ref="E3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39" s="145" t="str" cm="1">
        <f t="array" ref="F3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39" s="145" t="str" cm="1">
        <f t="array" ref="G3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3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3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INDEX((standard_components_125[[#This Row],[Component]]=factor_eff_table[Component])*(standard_components_125[[#This Row],[Service]]=factor_eff_table[Service]), 0, 1), 0)),
 "-")</f>
        <v>-</v>
      </c>
      <c r="E40" s="145" t="str" cm="1">
        <f t="array" ref="E4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0" s="145" t="str" cm="1">
        <f t="array" ref="F4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0" s="145" t="str" cm="1">
        <f t="array" ref="G4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INDEX((standard_components_125[[#This Row],[Component]]=factor_eff_table[Component])*(standard_components_125[[#This Row],[Service]]=factor_eff_table[Service]), 0, 1), 0)),
 "-")</f>
        <v>-</v>
      </c>
      <c r="E41" s="145" t="str" cm="1">
        <f t="array" ref="E4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1" s="145" t="str" cm="1">
        <f t="array" ref="F4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1" s="145" t="str" cm="1">
        <f t="array" ref="G4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INDEX((standard_components_125[[#This Row],[Component]]=factor_eff_table[Component])*(standard_components_125[[#This Row],[Service]]=factor_eff_table[Service]), 0, 1), 0)),
 "-")</f>
        <v>-</v>
      </c>
      <c r="E42" s="145" t="str" cm="1">
        <f t="array" ref="E4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2" s="145" t="str" cm="1">
        <f t="array" ref="F4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2" s="145" t="str" cm="1">
        <f t="array" ref="G4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INDEX((standard_components_125[[#This Row],[Component]]=factor_eff_table[Component])*(standard_components_125[[#This Row],[Service]]=factor_eff_table[Service]), 0, 1), 0)),
 "-")</f>
        <v>-</v>
      </c>
      <c r="E43" s="145" t="str" cm="1">
        <f t="array" ref="E4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3" s="145" t="str" cm="1">
        <f t="array" ref="F4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3" s="145" t="str" cm="1">
        <f t="array" ref="G4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INDEX((standard_components_125[[#This Row],[Component]]=factor_eff_table[Component])*(standard_components_125[[#This Row],[Service]]=factor_eff_table[Service]), 0, 1), 0)),
 "-")</f>
        <v>-</v>
      </c>
      <c r="E44" s="145" t="str" cm="1">
        <f t="array" ref="E4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4" s="145" t="str" cm="1">
        <f t="array" ref="F4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4" s="145" t="str" cm="1">
        <f t="array" ref="G4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INDEX((standard_components_125[[#This Row],[Component]]=factor_eff_table[Component])*(standard_components_125[[#This Row],[Service]]=factor_eff_table[Service]), 0, 1), 0)),
 "-")</f>
        <v>-</v>
      </c>
      <c r="E45" s="145" t="str" cm="1">
        <f t="array" ref="E4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5" s="145" t="str" cm="1">
        <f t="array" ref="F4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5" s="145" t="str" cm="1">
        <f t="array" ref="G4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INDEX((standard_components_125[[#This Row],[Component]]=factor_eff_table[Component])*(standard_components_125[[#This Row],[Service]]=factor_eff_table[Service]), 0, 1), 0)),
 "-")</f>
        <v>-</v>
      </c>
      <c r="E46" s="145" t="str" cm="1">
        <f t="array" ref="E4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6" s="145" t="str" cm="1">
        <f t="array" ref="F4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6" s="145" t="str" cm="1">
        <f t="array" ref="G4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INDEX((standard_components_125[[#This Row],[Component]]=factor_eff_table[Component])*(standard_components_125[[#This Row],[Service]]=factor_eff_table[Service]), 0, 1), 0)),
 "-")</f>
        <v>-</v>
      </c>
      <c r="E47" s="145" t="str" cm="1">
        <f t="array" ref="E4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7" s="145" t="str" cm="1">
        <f t="array" ref="F4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7" s="145" t="str" cm="1">
        <f t="array" ref="G4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INDEX((standard_components_125[[#This Row],[Component]]=factor_eff_table[Component])*(standard_components_125[[#This Row],[Service]]=factor_eff_table[Service]), 0, 1), 0)),
 "-")</f>
        <v>-</v>
      </c>
      <c r="E48" s="145" t="str" cm="1">
        <f t="array" ref="E4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8" s="145" t="str" cm="1">
        <f t="array" ref="F4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8" s="145" t="str" cm="1">
        <f t="array" ref="G4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INDEX((standard_components_125[[#This Row],[Component]]=factor_eff_table[Component])*(standard_components_125[[#This Row],[Service]]=factor_eff_table[Service]), 0, 1), 0)),
 "-")</f>
        <v>-</v>
      </c>
      <c r="E49" s="145" t="str" cm="1">
        <f t="array" ref="E4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49" s="145" t="str" cm="1">
        <f t="array" ref="F4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49" s="145" t="str" cm="1">
        <f t="array" ref="G4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4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4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INDEX((standard_components_125[[#This Row],[Component]]=factor_eff_table[Component])*(standard_components_125[[#This Row],[Service]]=factor_eff_table[Service]), 0, 1), 0)),
 "-")</f>
        <v>-</v>
      </c>
      <c r="E50" s="145" t="str" cm="1">
        <f t="array" ref="E5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0" s="145" t="str" cm="1">
        <f t="array" ref="F5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0" s="145" t="str" cm="1">
        <f t="array" ref="G5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INDEX((standard_components_125[[#This Row],[Component]]=factor_eff_table[Component])*(standard_components_125[[#This Row],[Service]]=factor_eff_table[Service]), 0, 1), 0)),
 "-")</f>
        <v>-</v>
      </c>
      <c r="E51" s="145" t="str" cm="1">
        <f t="array" ref="E5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1" s="145" t="str" cm="1">
        <f t="array" ref="F5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1" s="145" t="str" cm="1">
        <f t="array" ref="G5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INDEX((standard_components_125[[#This Row],[Component]]=factor_eff_table[Component])*(standard_components_125[[#This Row],[Service]]=factor_eff_table[Service]), 0, 1), 0)),
 "-")</f>
        <v>-</v>
      </c>
      <c r="E52" s="145" t="str" cm="1">
        <f t="array" ref="E5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2" s="145" t="str" cm="1">
        <f t="array" ref="F5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2" s="145" t="str" cm="1">
        <f t="array" ref="G5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INDEX((standard_components_125[[#This Row],[Component]]=factor_eff_table[Component])*(standard_components_125[[#This Row],[Service]]=factor_eff_table[Service]), 0, 1), 0)),
 "-")</f>
        <v>-</v>
      </c>
      <c r="E53" s="145" t="str" cm="1">
        <f t="array" ref="E5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3" s="145" t="str" cm="1">
        <f t="array" ref="F5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3" s="145" t="str" cm="1">
        <f t="array" ref="G5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INDEX((standard_components_125[[#This Row],[Component]]=factor_eff_table[Component])*(standard_components_125[[#This Row],[Service]]=factor_eff_table[Service]), 0, 1), 0)),
 "-")</f>
        <v>-</v>
      </c>
      <c r="E54" s="145" t="str" cm="1">
        <f t="array" ref="E5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4" s="145" t="str" cm="1">
        <f t="array" ref="F5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4" s="145" t="str" cm="1">
        <f t="array" ref="G5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INDEX((standard_components_125[[#This Row],[Component]]=factor_eff_table[Component])*(standard_components_125[[#This Row],[Service]]=factor_eff_table[Service]), 0, 1), 0)),
 "-")</f>
        <v>-</v>
      </c>
      <c r="E55" s="145" t="str" cm="1">
        <f t="array" ref="E5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5" s="145" t="str" cm="1">
        <f t="array" ref="F5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5" s="145" t="str" cm="1">
        <f t="array" ref="G5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INDEX((standard_components_125[[#This Row],[Component]]=factor_eff_table[Component])*(standard_components_125[[#This Row],[Service]]=factor_eff_table[Service]), 0, 1), 0)),
 "-")</f>
        <v>-</v>
      </c>
      <c r="E56" s="145" t="str" cm="1">
        <f t="array" ref="E5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6" s="145" t="str" cm="1">
        <f t="array" ref="F5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6" s="145" t="str" cm="1">
        <f t="array" ref="G5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INDEX((standard_components_125[[#This Row],[Component]]=factor_eff_table[Component])*(standard_components_125[[#This Row],[Service]]=factor_eff_table[Service]), 0, 1), 0)),
 "-")</f>
        <v>-</v>
      </c>
      <c r="E57" s="145" t="str" cm="1">
        <f t="array" ref="E5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7" s="145" t="str" cm="1">
        <f t="array" ref="F5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7" s="145" t="str" cm="1">
        <f t="array" ref="G5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INDEX((standard_components_125[[#This Row],[Component]]=factor_eff_table[Component])*(standard_components_125[[#This Row],[Service]]=factor_eff_table[Service]), 0, 1), 0)),
 "-")</f>
        <v>-</v>
      </c>
      <c r="E58" s="145" t="str" cm="1">
        <f t="array" ref="E5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8" s="145" t="str" cm="1">
        <f t="array" ref="F5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8" s="145" t="str" cm="1">
        <f t="array" ref="G5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INDEX((standard_components_125[[#This Row],[Component]]=factor_eff_table[Component])*(standard_components_125[[#This Row],[Service]]=factor_eff_table[Service]), 0, 1), 0)),
 "-")</f>
        <v>-</v>
      </c>
      <c r="E59" s="145" t="str" cm="1">
        <f t="array" ref="E5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59" s="145" t="str" cm="1">
        <f t="array" ref="F5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59" s="145" t="str" cm="1">
        <f t="array" ref="G5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5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5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INDEX((standard_components_125[[#This Row],[Component]]=factor_eff_table[Component])*(standard_components_125[[#This Row],[Service]]=factor_eff_table[Service]), 0, 1), 0)),
 "-")</f>
        <v>-</v>
      </c>
      <c r="E60" s="145" t="str" cm="1">
        <f t="array" ref="E6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0" s="145" t="str" cm="1">
        <f t="array" ref="F6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0" s="145" t="str" cm="1">
        <f t="array" ref="G6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INDEX((standard_components_125[[#This Row],[Component]]=factor_eff_table[Component])*(standard_components_125[[#This Row],[Service]]=factor_eff_table[Service]), 0, 1), 0)),
 "-")</f>
        <v>-</v>
      </c>
      <c r="E61" s="145" t="str" cm="1">
        <f t="array" ref="E6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1" s="145" t="str" cm="1">
        <f t="array" ref="F6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1" s="145" t="str" cm="1">
        <f t="array" ref="G6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INDEX((standard_components_125[[#This Row],[Component]]=factor_eff_table[Component])*(standard_components_125[[#This Row],[Service]]=factor_eff_table[Service]), 0, 1), 0)),
 "-")</f>
        <v>-</v>
      </c>
      <c r="E62" s="145" t="str" cm="1">
        <f t="array" ref="E6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2" s="145" t="str" cm="1">
        <f t="array" ref="F6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2" s="145" t="str" cm="1">
        <f t="array" ref="G6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INDEX((standard_components_125[[#This Row],[Component]]=factor_eff_table[Component])*(standard_components_125[[#This Row],[Service]]=factor_eff_table[Service]), 0, 1), 0)),
 "-")</f>
        <v>-</v>
      </c>
      <c r="E63" s="145" t="str" cm="1">
        <f t="array" ref="E6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3" s="145" t="str" cm="1">
        <f t="array" ref="F6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3" s="145" t="str" cm="1">
        <f t="array" ref="G6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INDEX((standard_components_125[[#This Row],[Component]]=factor_eff_table[Component])*(standard_components_125[[#This Row],[Service]]=factor_eff_table[Service]), 0, 1), 0)),
 "-")</f>
        <v>-</v>
      </c>
      <c r="E64" s="145" t="str" cm="1">
        <f t="array" ref="E6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4" s="145" t="str" cm="1">
        <f t="array" ref="F6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4" s="145" t="str" cm="1">
        <f t="array" ref="G6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INDEX((standard_components_125[[#This Row],[Component]]=factor_eff_table[Component])*(standard_components_125[[#This Row],[Service]]=factor_eff_table[Service]), 0, 1), 0)),
 "-")</f>
        <v>-</v>
      </c>
      <c r="E65" s="145" t="str" cm="1">
        <f t="array" ref="E6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5" s="145" t="str" cm="1">
        <f t="array" ref="F6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5" s="145" t="str" cm="1">
        <f t="array" ref="G6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INDEX((standard_components_125[[#This Row],[Component]]=factor_eff_table[Component])*(standard_components_125[[#This Row],[Service]]=factor_eff_table[Service]), 0, 1), 0)),
 "-")</f>
        <v>-</v>
      </c>
      <c r="E66" s="145" t="str" cm="1">
        <f t="array" ref="E6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6" s="145" t="str" cm="1">
        <f t="array" ref="F6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6" s="145" t="str" cm="1">
        <f t="array" ref="G6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INDEX((standard_components_125[[#This Row],[Component]]=factor_eff_table[Component])*(standard_components_125[[#This Row],[Service]]=factor_eff_table[Service]), 0, 1), 0)),
 "-")</f>
        <v>-</v>
      </c>
      <c r="E67" s="145" t="str" cm="1">
        <f t="array" ref="E6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7" s="145" t="str" cm="1">
        <f t="array" ref="F6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7" s="145" t="str" cm="1">
        <f t="array" ref="G6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INDEX((standard_components_125[[#This Row],[Component]]=factor_eff_table[Component])*(standard_components_125[[#This Row],[Service]]=factor_eff_table[Service]), 0, 1), 0)),
 "-")</f>
        <v>-</v>
      </c>
      <c r="E68" s="145" t="str" cm="1">
        <f t="array" ref="E6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8" s="145" t="str" cm="1">
        <f t="array" ref="F6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8" s="145" t="str" cm="1">
        <f t="array" ref="G6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INDEX((standard_components_125[[#This Row],[Component]]=factor_eff_table[Component])*(standard_components_125[[#This Row],[Service]]=factor_eff_table[Service]), 0, 1), 0)),
 "-")</f>
        <v>-</v>
      </c>
      <c r="E69" s="145" t="str" cm="1">
        <f t="array" ref="E6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69" s="145" t="str" cm="1">
        <f t="array" ref="F6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69" s="145" t="str" cm="1">
        <f t="array" ref="G6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6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6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INDEX((standard_components_125[[#This Row],[Component]]=factor_eff_table[Component])*(standard_components_125[[#This Row],[Service]]=factor_eff_table[Service]), 0, 1), 0)),
 "-")</f>
        <v>-</v>
      </c>
      <c r="E70" s="145" t="str" cm="1">
        <f t="array" ref="E7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0" s="145" t="str" cm="1">
        <f t="array" ref="F7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0" s="145" t="str" cm="1">
        <f t="array" ref="G7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INDEX((standard_components_125[[#This Row],[Component]]=factor_eff_table[Component])*(standard_components_125[[#This Row],[Service]]=factor_eff_table[Service]), 0, 1), 0)),
 "-")</f>
        <v>-</v>
      </c>
      <c r="E71" s="145" t="str" cm="1">
        <f t="array" ref="E7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1" s="145" t="str" cm="1">
        <f t="array" ref="F7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1" s="145" t="str" cm="1">
        <f t="array" ref="G7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INDEX((standard_components_125[[#This Row],[Component]]=factor_eff_table[Component])*(standard_components_125[[#This Row],[Service]]=factor_eff_table[Service]), 0, 1), 0)),
 "-")</f>
        <v>-</v>
      </c>
      <c r="E72" s="145" t="str" cm="1">
        <f t="array" ref="E7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2" s="145" t="str" cm="1">
        <f t="array" ref="F7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2" s="145" t="str" cm="1">
        <f t="array" ref="G7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INDEX((standard_components_125[[#This Row],[Component]]=factor_eff_table[Component])*(standard_components_125[[#This Row],[Service]]=factor_eff_table[Service]), 0, 1), 0)),
 "-")</f>
        <v>-</v>
      </c>
      <c r="E73" s="145" t="str" cm="1">
        <f t="array" ref="E7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3" s="145" t="str" cm="1">
        <f t="array" ref="F7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3" s="145" t="str" cm="1">
        <f t="array" ref="G7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INDEX((standard_components_125[[#This Row],[Component]]=factor_eff_table[Component])*(standard_components_125[[#This Row],[Service]]=factor_eff_table[Service]), 0, 1), 0)),
 "-")</f>
        <v>-</v>
      </c>
      <c r="E74" s="145" t="str" cm="1">
        <f t="array" ref="E7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4" s="145" t="str" cm="1">
        <f t="array" ref="F7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4" s="145" t="str" cm="1">
        <f t="array" ref="G7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INDEX((standard_components_125[[#This Row],[Component]]=factor_eff_table[Component])*(standard_components_125[[#This Row],[Service]]=factor_eff_table[Service]), 0, 1), 0)),
 "-")</f>
        <v>-</v>
      </c>
      <c r="E75" s="145" t="str" cm="1">
        <f t="array" ref="E7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5" s="145" t="str" cm="1">
        <f t="array" ref="F7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5" s="145" t="str" cm="1">
        <f t="array" ref="G7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INDEX((standard_components_125[[#This Row],[Component]]=factor_eff_table[Component])*(standard_components_125[[#This Row],[Service]]=factor_eff_table[Service]), 0, 1), 0)),
 "-")</f>
        <v>-</v>
      </c>
      <c r="E76" s="145" t="str" cm="1">
        <f t="array" ref="E7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6" s="145" t="str" cm="1">
        <f t="array" ref="F7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6" s="145" t="str" cm="1">
        <f t="array" ref="G7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INDEX((standard_components_125[[#This Row],[Component]]=factor_eff_table[Component])*(standard_components_125[[#This Row],[Service]]=factor_eff_table[Service]), 0, 1), 0)),
 "-")</f>
        <v>-</v>
      </c>
      <c r="E77" s="145" t="str" cm="1">
        <f t="array" ref="E7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7" s="145" t="str" cm="1">
        <f t="array" ref="F7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7" s="145" t="str" cm="1">
        <f t="array" ref="G7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INDEX((standard_components_125[[#This Row],[Component]]=factor_eff_table[Component])*(standard_components_125[[#This Row],[Service]]=factor_eff_table[Service]), 0, 1), 0)),
 "-")</f>
        <v>-</v>
      </c>
      <c r="E78" s="145" t="str" cm="1">
        <f t="array" ref="E7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8" s="145" t="str" cm="1">
        <f t="array" ref="F7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8" s="145" t="str" cm="1">
        <f t="array" ref="G7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INDEX((standard_components_125[[#This Row],[Component]]=factor_eff_table[Component])*(standard_components_125[[#This Row],[Service]]=factor_eff_table[Service]), 0, 1), 0)),
 "-")</f>
        <v>-</v>
      </c>
      <c r="E79" s="145" t="str" cm="1">
        <f t="array" ref="E7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79" s="145" t="str" cm="1">
        <f t="array" ref="F7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79" s="145" t="str" cm="1">
        <f t="array" ref="G7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7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7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INDEX((standard_components_125[[#This Row],[Component]]=factor_eff_table[Component])*(standard_components_125[[#This Row],[Service]]=factor_eff_table[Service]), 0, 1), 0)),
 "-")</f>
        <v>-</v>
      </c>
      <c r="E80" s="145" t="str" cm="1">
        <f t="array" ref="E8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0" s="145" t="str" cm="1">
        <f t="array" ref="F8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0" s="145" t="str" cm="1">
        <f t="array" ref="G8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INDEX((standard_components_125[[#This Row],[Component]]=factor_eff_table[Component])*(standard_components_125[[#This Row],[Service]]=factor_eff_table[Service]), 0, 1), 0)),
 "-")</f>
        <v>-</v>
      </c>
      <c r="E81" s="145" t="str" cm="1">
        <f t="array" ref="E8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1" s="145" t="str" cm="1">
        <f t="array" ref="F8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1" s="145" t="str" cm="1">
        <f t="array" ref="G8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INDEX((standard_components_125[[#This Row],[Component]]=factor_eff_table[Component])*(standard_components_125[[#This Row],[Service]]=factor_eff_table[Service]), 0, 1), 0)),
 "-")</f>
        <v>-</v>
      </c>
      <c r="E82" s="145" t="str" cm="1">
        <f t="array" ref="E8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2" s="145" t="str" cm="1">
        <f t="array" ref="F8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2" s="145" t="str" cm="1">
        <f t="array" ref="G8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INDEX((standard_components_125[[#This Row],[Component]]=factor_eff_table[Component])*(standard_components_125[[#This Row],[Service]]=factor_eff_table[Service]), 0, 1), 0)),
 "-")</f>
        <v>-</v>
      </c>
      <c r="E83" s="145" t="str" cm="1">
        <f t="array" ref="E8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3" s="145" t="str" cm="1">
        <f t="array" ref="F8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3" s="145" t="str" cm="1">
        <f t="array" ref="G8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INDEX((standard_components_125[[#This Row],[Component]]=factor_eff_table[Component])*(standard_components_125[[#This Row],[Service]]=factor_eff_table[Service]), 0, 1), 0)),
 "-")</f>
        <v>-</v>
      </c>
      <c r="E84" s="145" t="str" cm="1">
        <f t="array" ref="E8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4" s="145" t="str" cm="1">
        <f t="array" ref="F8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4" s="145" t="str" cm="1">
        <f t="array" ref="G8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INDEX((standard_components_125[[#This Row],[Component]]=factor_eff_table[Component])*(standard_components_125[[#This Row],[Service]]=factor_eff_table[Service]), 0, 1), 0)),
 "-")</f>
        <v>-</v>
      </c>
      <c r="E85" s="145" t="str" cm="1">
        <f t="array" ref="E8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5" s="145" t="str" cm="1">
        <f t="array" ref="F8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5" s="145" t="str" cm="1">
        <f t="array" ref="G8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INDEX((standard_components_125[[#This Row],[Component]]=factor_eff_table[Component])*(standard_components_125[[#This Row],[Service]]=factor_eff_table[Service]), 0, 1), 0)),
 "-")</f>
        <v>-</v>
      </c>
      <c r="E86" s="145" t="str" cm="1">
        <f t="array" ref="E8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6" s="145" t="str" cm="1">
        <f t="array" ref="F8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6" s="145" t="str" cm="1">
        <f t="array" ref="G8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INDEX((standard_components_125[[#This Row],[Component]]=factor_eff_table[Component])*(standard_components_125[[#This Row],[Service]]=factor_eff_table[Service]), 0, 1), 0)),
 "-")</f>
        <v>-</v>
      </c>
      <c r="E87" s="145" t="str" cm="1">
        <f t="array" ref="E8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7" s="145" t="str" cm="1">
        <f t="array" ref="F8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7" s="145" t="str" cm="1">
        <f t="array" ref="G8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INDEX((standard_components_125[[#This Row],[Component]]=factor_eff_table[Component])*(standard_components_125[[#This Row],[Service]]=factor_eff_table[Service]), 0, 1), 0)),
 "-")</f>
        <v>-</v>
      </c>
      <c r="E88" s="145" t="str" cm="1">
        <f t="array" ref="E8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8" s="145" t="str" cm="1">
        <f t="array" ref="F8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8" s="145" t="str" cm="1">
        <f t="array" ref="G8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INDEX((standard_components_125[[#This Row],[Component]]=factor_eff_table[Component])*(standard_components_125[[#This Row],[Service]]=factor_eff_table[Service]), 0, 1), 0)),
 "-")</f>
        <v>-</v>
      </c>
      <c r="E89" s="145" t="str" cm="1">
        <f t="array" ref="E8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89" s="145" t="str" cm="1">
        <f t="array" ref="F8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89" s="145" t="str" cm="1">
        <f t="array" ref="G8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8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8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INDEX((standard_components_125[[#This Row],[Component]]=factor_eff_table[Component])*(standard_components_125[[#This Row],[Service]]=factor_eff_table[Service]), 0, 1), 0)),
 "-")</f>
        <v>-</v>
      </c>
      <c r="E90" s="145" t="str" cm="1">
        <f t="array" ref="E9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0" s="145" t="str" cm="1">
        <f t="array" ref="F9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0" s="145" t="str" cm="1">
        <f t="array" ref="G9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INDEX((standard_components_125[[#This Row],[Component]]=factor_eff_table[Component])*(standard_components_125[[#This Row],[Service]]=factor_eff_table[Service]), 0, 1), 0)),
 "-")</f>
        <v>-</v>
      </c>
      <c r="E91" s="145" t="str" cm="1">
        <f t="array" ref="E91">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1" s="145" t="str" cm="1">
        <f t="array" ref="F91">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1" s="145" t="str" cm="1">
        <f t="array" ref="G91">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1"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1"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INDEX((standard_components_125[[#This Row],[Component]]=factor_eff_table[Component])*(standard_components_125[[#This Row],[Service]]=factor_eff_table[Service]), 0, 1), 0)),
 "-")</f>
        <v>-</v>
      </c>
      <c r="E92" s="145" t="str" cm="1">
        <f t="array" ref="E92">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2" s="145" t="str" cm="1">
        <f t="array" ref="F92">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2" s="145" t="str" cm="1">
        <f t="array" ref="G92">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2"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2"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INDEX((standard_components_125[[#This Row],[Component]]=factor_eff_table[Component])*(standard_components_125[[#This Row],[Service]]=factor_eff_table[Service]), 0, 1), 0)),
 "-")</f>
        <v>-</v>
      </c>
      <c r="E93" s="145" t="str" cm="1">
        <f t="array" ref="E93">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3" s="145" t="str" cm="1">
        <f t="array" ref="F93">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3" s="145" t="str" cm="1">
        <f t="array" ref="G93">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3"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3"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INDEX((standard_components_125[[#This Row],[Component]]=factor_eff_table[Component])*(standard_components_125[[#This Row],[Service]]=factor_eff_table[Service]), 0, 1), 0)),
 "-")</f>
        <v>-</v>
      </c>
      <c r="E94" s="145" t="str" cm="1">
        <f t="array" ref="E94">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4" s="145" t="str" cm="1">
        <f t="array" ref="F94">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4" s="145" t="str" cm="1">
        <f t="array" ref="G94">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4"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4"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INDEX((standard_components_125[[#This Row],[Component]]=factor_eff_table[Component])*(standard_components_125[[#This Row],[Service]]=factor_eff_table[Service]), 0, 1), 0)),
 "-")</f>
        <v>-</v>
      </c>
      <c r="E95" s="145" t="str" cm="1">
        <f t="array" ref="E95">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5" s="145" t="str" cm="1">
        <f t="array" ref="F95">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5" s="145" t="str" cm="1">
        <f t="array" ref="G95">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5"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5"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INDEX((standard_components_125[[#This Row],[Component]]=factor_eff_table[Component])*(standard_components_125[[#This Row],[Service]]=factor_eff_table[Service]), 0, 1), 0)),
 "-")</f>
        <v>-</v>
      </c>
      <c r="E96" s="145" t="str" cm="1">
        <f t="array" ref="E96">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6" s="145" t="str" cm="1">
        <f t="array" ref="F96">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6" s="145" t="str" cm="1">
        <f t="array" ref="G96">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6"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6"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INDEX((standard_components_125[[#This Row],[Component]]=factor_eff_table[Component])*(standard_components_125[[#This Row],[Service]]=factor_eff_table[Service]), 0, 1), 0)),
 "-")</f>
        <v>-</v>
      </c>
      <c r="E97" s="145" t="str" cm="1">
        <f t="array" ref="E97">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7" s="145" t="str" cm="1">
        <f t="array" ref="F97">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7" s="145" t="str" cm="1">
        <f t="array" ref="G97">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7"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7"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INDEX((standard_components_125[[#This Row],[Component]]=factor_eff_table[Component])*(standard_components_125[[#This Row],[Service]]=factor_eff_table[Service]), 0, 1), 0)),
 "-")</f>
        <v>-</v>
      </c>
      <c r="E98" s="145" t="str" cm="1">
        <f t="array" ref="E98">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8" s="145" t="str" cm="1">
        <f t="array" ref="F98">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8" s="145" t="str" cm="1">
        <f t="array" ref="G98">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8"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8"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INDEX((standard_components_125[[#This Row],[Component]]=factor_eff_table[Component])*(standard_components_125[[#This Row],[Service]]=factor_eff_table[Service]), 0, 1), 0)),
 "-")</f>
        <v>-</v>
      </c>
      <c r="E99" s="145" t="str" cm="1">
        <f t="array" ref="E99">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99" s="145" t="str" cm="1">
        <f t="array" ref="F99">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99" s="145" t="str" cm="1">
        <f t="array" ref="G99">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99"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99"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INDEX((standard_components_125[[#This Row],[Component]]=factor_eff_table[Component])*(standard_components_125[[#This Row],[Service]]=factor_eff_table[Service]), 0, 1), 0)),
 "-")</f>
        <v>-</v>
      </c>
      <c r="E100" s="145" t="str" cm="1">
        <f t="array" ref="E100">IF(AND(process_drain_bool="Yes",LEFT(standard_components_125[[#This Row],[Component]], LEN("Process drains"))="Process Drains", ISBLANK(instrument_ldar)=FALSE), process_drain_eff,
IFERROR(
INDEX(
INDEX(factor_eff_table[], , MATCH(instrument_ldar, factor_eff_table[#Headers], 0)),
MATCH(1, INDEX((standard_components_125[[#This Row],[Component]]=factor_eff_table[Component])*(standard_components_125[[#This Row],[Service]]=factor_eff_table[Service]), 0, 1), 0)),
 "-"))</f>
        <v>-</v>
      </c>
      <c r="F100" s="145" t="str" cm="1">
        <f t="array" ref="F100">IF(AND(process_drain_bool="Yes",LEFT(standard_components_125[[#This Row],[Component]], LEN("Process drains"))="Process Drains", ISBLANK(connector_ldar)=FALSE), process_drain_eff,
IFERROR(
INDEX(
INDEX(factor_eff_table[], , MATCH(connector_ldar, factor_eff_table[#Headers], 0)),
MATCH(1, INDEX((standard_components_125[[#This Row],[Component]]=factor_eff_table[Component])*(standard_components_125[[#This Row],[Service]]=factor_eff_table[Service]), 0, 1), 0)),
 "-"))</f>
        <v>-</v>
      </c>
      <c r="G100" s="145" t="str" cm="1">
        <f t="array" ref="G100">IF(AND(process_drain_bool="Yes",LEFT(standard_components_125[[#This Row],[Component]], LEN("Process Drains"))="Process Drains", ISBLANK(inspection_ldar)=FALSE), process_drain_eff,
IFERROR(
INDEX(
INDEX(factor_eff_table[], , MATCH(inspection_ldar, factor_eff_table[#Headers], 0)),
MATCH(1, INDEX((standard_components_125[[#This Row],[Component]]=factor_eff_table[Component])*(standard_components_125[[#This Row],[Service]]=factor_eff_table[Service]), 0, 1), 0)),
 "-"))</f>
        <v>-</v>
      </c>
      <c r="H100" s="146" t="str">
        <f>IF(standard_components_125[[#This Row],[Component]]="Sampling Connections (annual) [2]", "N/A",
 IF(standard_components_125[[#This Row],[Component]]="Sampling Connections (hourly) [1]", standard_components_125[[#This Row],[Count]]*standard_components_125[[#This Row],[Industry Emission Factor]],
IFERROR(standard_components_125[[#This Row],[Count]]*standard_components_125[[#This Row],[Industry Emission Factor]]*MIN(1-standard_components_125[[#This Row],[Instrument Monitoring LDAR Control Efficiency]], 1-standard_components_125[[#This Row],[Physical Inspection LDAR Control Efficiency]], 1-standard_components_125[[#This Row],[Connector Monitoring LDAR Control Efficiency]]), "-")))</f>
        <v>-</v>
      </c>
      <c r="I100" s="146" t="str">
        <f>IF(standard_components_125[[#This Row],[Component]]="Sampling Connections (hourly) [1]", "N/A",
 IF(standard_components_125[[#This Row],[Component]]="Sampling Connections (annual) [2]", standard_components_125[[#This Row],[Count]]*standard_components_125[[#This Row],[Industry Emission Factor]]/stons_to_lbs,
 IFERROR(years_to_hrs/stons_to_lbs*standard_components_125[[#This Row],[Controlled
lb/hr]], "-")))</f>
        <v>-</v>
      </c>
    </row>
    <row r="101" spans="1:9" ht="15" x14ac:dyDescent="0.25">
      <c r="A101" s="147" t="s">
        <v>12776</v>
      </c>
      <c r="B101" s="148"/>
      <c r="C101" s="149">
        <f>SUBTOTAL(109,standard_components_125[Count])</f>
        <v>0</v>
      </c>
      <c r="D101" s="150"/>
      <c r="E101" s="150"/>
      <c r="F101" s="150"/>
      <c r="G101" s="150"/>
      <c r="H101" s="151">
        <f>SUBTOTAL(109,standard_components_125[Controlled
lb/hr])</f>
        <v>0</v>
      </c>
      <c r="I101" s="151">
        <f>SUBTOTAL(109,standard_components_125[Controlled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unique_components_126[[#This Row],[Count]]*unique_components_126[[#This Row],[Proposed Emission Factor]]*(1-unique_components_126[[#This Row],[Proposed Control Efficiency]])</f>
        <v>0</v>
      </c>
      <c r="G107" s="155">
        <f>IFERROR(unique_components_126[[#This Row],[Controlled lb/hr]]*4.38,"")</f>
        <v>0</v>
      </c>
    </row>
    <row r="108" spans="1:9" x14ac:dyDescent="0.2">
      <c r="A108" s="103"/>
      <c r="B108" s="104"/>
      <c r="C108" s="153"/>
      <c r="D108" s="154"/>
      <c r="E108" s="154"/>
      <c r="F108" s="146">
        <f>unique_components_126[[#This Row],[Count]]*unique_components_126[[#This Row],[Proposed Emission Factor]]*(1-unique_components_126[[#This Row],[Proposed Control Efficiency]])</f>
        <v>0</v>
      </c>
      <c r="G108" s="155">
        <f>IFERROR(unique_components_126[[#This Row],[Controlled lb/hr]]*4.38,"")</f>
        <v>0</v>
      </c>
    </row>
    <row r="109" spans="1:9" x14ac:dyDescent="0.2">
      <c r="A109" s="103"/>
      <c r="B109" s="104"/>
      <c r="C109" s="153"/>
      <c r="D109" s="154"/>
      <c r="E109" s="154"/>
      <c r="F109" s="146">
        <f>unique_components_126[[#This Row],[Count]]*unique_components_126[[#This Row],[Proposed Emission Factor]]*(1-unique_components_126[[#This Row],[Proposed Control Efficiency]])</f>
        <v>0</v>
      </c>
      <c r="G109" s="155">
        <f>IFERROR(unique_components_126[[#This Row],[Controlled lb/hr]]*4.38,"")</f>
        <v>0</v>
      </c>
    </row>
    <row r="110" spans="1:9" x14ac:dyDescent="0.2">
      <c r="A110" s="103"/>
      <c r="B110" s="104"/>
      <c r="C110" s="153"/>
      <c r="D110" s="154"/>
      <c r="E110" s="154"/>
      <c r="F110" s="146">
        <f>unique_components_126[[#This Row],[Count]]*unique_components_126[[#This Row],[Proposed Emission Factor]]*(1-unique_components_126[[#This Row],[Proposed Control Efficiency]])</f>
        <v>0</v>
      </c>
      <c r="G110" s="155">
        <f>IFERROR(unique_components_126[[#This Row],[Controlled lb/hr]]*4.38,"")</f>
        <v>0</v>
      </c>
    </row>
    <row r="111" spans="1:9" x14ac:dyDescent="0.2">
      <c r="A111" s="103"/>
      <c r="B111" s="104"/>
      <c r="C111" s="153"/>
      <c r="D111" s="154"/>
      <c r="E111" s="154"/>
      <c r="F111" s="146">
        <f>unique_components_126[[#This Row],[Count]]*unique_components_126[[#This Row],[Proposed Emission Factor]]*(1-unique_components_126[[#This Row],[Proposed Control Efficiency]])</f>
        <v>0</v>
      </c>
      <c r="G111" s="155">
        <f>IFERROR(unique_components_126[[#This Row],[Controlled lb/hr]]*4.38,"")</f>
        <v>0</v>
      </c>
    </row>
    <row r="112" spans="1:9" x14ac:dyDescent="0.2">
      <c r="A112" s="103"/>
      <c r="B112" s="104"/>
      <c r="C112" s="153"/>
      <c r="D112" s="154"/>
      <c r="E112" s="154"/>
      <c r="F112" s="146">
        <f>unique_components_126[[#This Row],[Count]]*unique_components_126[[#This Row],[Proposed Emission Factor]]*(1-unique_components_126[[#This Row],[Proposed Control Efficiency]])</f>
        <v>0</v>
      </c>
      <c r="G112" s="155">
        <f>IFERROR(unique_components_126[[#This Row],[Controlled lb/hr]]*4.38,"")</f>
        <v>0</v>
      </c>
    </row>
    <row r="113" spans="1:8" x14ac:dyDescent="0.2">
      <c r="A113" s="103"/>
      <c r="B113" s="104"/>
      <c r="C113" s="153"/>
      <c r="D113" s="154"/>
      <c r="E113" s="154"/>
      <c r="F113" s="146">
        <f>unique_components_126[[#This Row],[Count]]*unique_components_126[[#This Row],[Proposed Emission Factor]]*(1-unique_components_126[[#This Row],[Proposed Control Efficiency]])</f>
        <v>0</v>
      </c>
      <c r="G113" s="155">
        <f>IFERROR(unique_components_126[[#This Row],[Controlled lb/hr]]*4.38,"")</f>
        <v>0</v>
      </c>
    </row>
    <row r="114" spans="1:8" x14ac:dyDescent="0.2">
      <c r="A114" s="103"/>
      <c r="B114" s="104"/>
      <c r="C114" s="153"/>
      <c r="D114" s="154"/>
      <c r="E114" s="154"/>
      <c r="F114" s="146">
        <f>unique_components_126[[#This Row],[Count]]*unique_components_126[[#This Row],[Proposed Emission Factor]]*(1-unique_components_126[[#This Row],[Proposed Control Efficiency]])</f>
        <v>0</v>
      </c>
      <c r="G114" s="155">
        <f>IFERROR(unique_components_126[[#This Row],[Controlled lb/hr]]*4.38,"")</f>
        <v>0</v>
      </c>
    </row>
    <row r="115" spans="1:8" x14ac:dyDescent="0.2">
      <c r="A115" s="103"/>
      <c r="B115" s="104"/>
      <c r="C115" s="153"/>
      <c r="D115" s="154"/>
      <c r="E115" s="154"/>
      <c r="F115" s="146">
        <f>unique_components_126[[#This Row],[Count]]*unique_components_126[[#This Row],[Proposed Emission Factor]]*(1-unique_components_126[[#This Row],[Proposed Control Efficiency]])</f>
        <v>0</v>
      </c>
      <c r="G115" s="155">
        <f>IFERROR(unique_components_126[[#This Row],[Controlled lb/hr]]*4.38,"")</f>
        <v>0</v>
      </c>
    </row>
    <row r="116" spans="1:8" x14ac:dyDescent="0.2">
      <c r="A116" s="103"/>
      <c r="B116" s="104"/>
      <c r="C116" s="153"/>
      <c r="D116" s="154"/>
      <c r="E116" s="154"/>
      <c r="F116" s="146">
        <f>unique_components_126[[#This Row],[Count]]*unique_components_126[[#This Row],[Proposed Emission Factor]]*(1-unique_components_126[[#This Row],[Proposed Control Efficiency]])</f>
        <v>0</v>
      </c>
      <c r="G116" s="155">
        <f>IFERROR(unique_components_126[[#This Row],[Controlled lb/hr]]*4.38,"")</f>
        <v>0</v>
      </c>
    </row>
    <row r="117" spans="1:8" x14ac:dyDescent="0.2">
      <c r="A117" s="103"/>
      <c r="B117" s="104"/>
      <c r="C117" s="153"/>
      <c r="D117" s="154"/>
      <c r="E117" s="154"/>
      <c r="F117" s="146">
        <f>unique_components_126[[#This Row],[Count]]*unique_components_126[[#This Row],[Proposed Emission Factor]]*(1-unique_components_126[[#This Row],[Proposed Control Efficiency]])</f>
        <v>0</v>
      </c>
      <c r="G117" s="155">
        <f>IFERROR(unique_components_126[[#This Row],[Controlled lb/hr]]*4.38,"")</f>
        <v>0</v>
      </c>
    </row>
    <row r="118" spans="1:8" x14ac:dyDescent="0.2">
      <c r="A118" s="103"/>
      <c r="B118" s="104"/>
      <c r="C118" s="153"/>
      <c r="D118" s="154"/>
      <c r="E118" s="154"/>
      <c r="F118" s="146">
        <f>unique_components_126[[#This Row],[Count]]*unique_components_126[[#This Row],[Proposed Emission Factor]]*(1-unique_components_126[[#This Row],[Proposed Control Efficiency]])</f>
        <v>0</v>
      </c>
      <c r="G118" s="155">
        <f>IFERROR(unique_components_126[[#This Row],[Controlled lb/hr]]*4.38,"")</f>
        <v>0</v>
      </c>
    </row>
    <row r="119" spans="1:8" x14ac:dyDescent="0.2">
      <c r="A119" s="103"/>
      <c r="B119" s="104"/>
      <c r="C119" s="153"/>
      <c r="D119" s="154"/>
      <c r="E119" s="154"/>
      <c r="F119" s="146">
        <f>unique_components_126[[#This Row],[Count]]*unique_components_126[[#This Row],[Proposed Emission Factor]]*(1-unique_components_126[[#This Row],[Proposed Control Efficiency]])</f>
        <v>0</v>
      </c>
      <c r="G119" s="155">
        <f>IFERROR(unique_components_126[[#This Row],[Controlled lb/hr]]*4.38,"")</f>
        <v>0</v>
      </c>
    </row>
    <row r="120" spans="1:8" x14ac:dyDescent="0.2">
      <c r="A120" s="103"/>
      <c r="B120" s="104"/>
      <c r="C120" s="153"/>
      <c r="D120" s="154"/>
      <c r="E120" s="154"/>
      <c r="F120" s="146">
        <f>unique_components_126[[#This Row],[Count]]*unique_components_126[[#This Row],[Proposed Emission Factor]]*(1-unique_components_126[[#This Row],[Proposed Control Efficiency]])</f>
        <v>0</v>
      </c>
      <c r="G120" s="155">
        <f>IFERROR(unique_components_126[[#This Row],[Controlled lb/hr]]*4.38,"")</f>
        <v>0</v>
      </c>
    </row>
    <row r="121" spans="1:8" x14ac:dyDescent="0.2">
      <c r="A121" s="103"/>
      <c r="B121" s="104"/>
      <c r="C121" s="153"/>
      <c r="D121" s="154"/>
      <c r="E121" s="154"/>
      <c r="F121" s="146">
        <f>unique_components_126[[#This Row],[Count]]*unique_components_126[[#This Row],[Proposed Emission Factor]]*(1-unique_components_126[[#This Row],[Proposed Control Efficiency]])</f>
        <v>0</v>
      </c>
      <c r="G121" s="155">
        <f>IFERROR(unique_components_126[[#This Row],[Controlled lb/hr]]*4.38,"")</f>
        <v>0</v>
      </c>
    </row>
    <row r="122" spans="1:8" x14ac:dyDescent="0.2">
      <c r="A122" s="103"/>
      <c r="B122" s="104"/>
      <c r="C122" s="153"/>
      <c r="D122" s="154"/>
      <c r="E122" s="154"/>
      <c r="F122" s="146">
        <f>unique_components_126[[#This Row],[Count]]*unique_components_126[[#This Row],[Proposed Emission Factor]]*(1-unique_components_126[[#This Row],[Proposed Control Efficiency]])</f>
        <v>0</v>
      </c>
      <c r="G122" s="155">
        <f>IFERROR(unique_components_126[[#This Row],[Controlled lb/hr]]*4.38,"")</f>
        <v>0</v>
      </c>
    </row>
    <row r="123" spans="1:8" x14ac:dyDescent="0.2">
      <c r="A123" s="103"/>
      <c r="B123" s="104"/>
      <c r="C123" s="153"/>
      <c r="D123" s="154"/>
      <c r="E123" s="154"/>
      <c r="F123" s="146">
        <f>unique_components_126[[#This Row],[Count]]*unique_components_126[[#This Row],[Proposed Emission Factor]]*(1-unique_components_126[[#This Row],[Proposed Control Efficiency]])</f>
        <v>0</v>
      </c>
      <c r="G123" s="155">
        <f>IFERROR(unique_components_126[[#This Row],[Controlled lb/hr]]*4.38,"")</f>
        <v>0</v>
      </c>
    </row>
    <row r="124" spans="1:8" x14ac:dyDescent="0.2">
      <c r="A124" s="103"/>
      <c r="B124" s="104"/>
      <c r="C124" s="153"/>
      <c r="D124" s="154"/>
      <c r="E124" s="154"/>
      <c r="F124" s="146">
        <f>unique_components_126[[#This Row],[Count]]*unique_components_126[[#This Row],[Proposed Emission Factor]]*(1-unique_components_126[[#This Row],[Proposed Control Efficiency]])</f>
        <v>0</v>
      </c>
      <c r="G124" s="155">
        <f>IFERROR(unique_components_126[[#This Row],[Controlled lb/hr]]*4.38,"")</f>
        <v>0</v>
      </c>
    </row>
    <row r="125" spans="1:8" x14ac:dyDescent="0.2">
      <c r="A125" s="103"/>
      <c r="B125" s="104"/>
      <c r="C125" s="153"/>
      <c r="D125" s="154"/>
      <c r="E125" s="154"/>
      <c r="F125" s="146">
        <f>unique_components_126[[#This Row],[Count]]*unique_components_126[[#This Row],[Proposed Emission Factor]]*(1-unique_components_126[[#This Row],[Proposed Control Efficiency]])</f>
        <v>0</v>
      </c>
      <c r="G125" s="155">
        <f>IFERROR(unique_components_126[[#This Row],[Controlled lb/hr]]*4.38,"")</f>
        <v>0</v>
      </c>
    </row>
    <row r="126" spans="1:8" x14ac:dyDescent="0.2">
      <c r="A126" s="105"/>
      <c r="B126" s="106"/>
      <c r="C126" s="156"/>
      <c r="D126" s="154"/>
      <c r="E126" s="157"/>
      <c r="F126" s="158">
        <f>unique_components_126[[#This Row],[Count]]*unique_components_126[[#This Row],[Proposed Emission Factor]]*(1-unique_components_126[[#This Row],[Proposed Control Efficiency]])</f>
        <v>0</v>
      </c>
      <c r="G126" s="159">
        <f>IFERROR(unique_components_126[[#This Row],[Controlled lb/hr]]*4.38,"")</f>
        <v>0</v>
      </c>
    </row>
    <row r="127" spans="1:8" ht="30" x14ac:dyDescent="0.2">
      <c r="A127" s="57" t="s">
        <v>13297</v>
      </c>
      <c r="B127" s="54"/>
      <c r="C127" s="160">
        <f>SUBTOTAL(109,unique_components_126[Count])</f>
        <v>0</v>
      </c>
      <c r="D127" s="161"/>
      <c r="E127" s="161"/>
      <c r="F127" s="162">
        <f>SUBTOTAL(109,unique_components_126[Controlled lb/hr])</f>
        <v>0</v>
      </c>
      <c r="G127" s="162">
        <f>SUBTOTAL(109,unique_components_126[Controlled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IFERROR(VLOOKUP(speciated_chemicals_127[[#This Row],[CAS '#]],species[],MATCH("Substance", species[#Headers], 0),FALSE),"No CAS Number Entered")</f>
        <v>No CAS Number Entered</v>
      </c>
      <c r="C131" s="102"/>
      <c r="D131" s="102" t="s">
        <v>12666</v>
      </c>
      <c r="E131" s="102" t="s">
        <v>12666</v>
      </c>
      <c r="F131" s="102" t="s">
        <v>12666</v>
      </c>
      <c r="G131" s="102" t="s">
        <v>12666</v>
      </c>
      <c r="H131" s="164"/>
      <c r="I131" s="51">
        <f>IF(speciated_chemicals_127[[#This Row],[Inert / Not a Contaminant?]]="Yes", 0, speciated_chemicals_127[[#This Row],[Weight Percent]]*(unique_components_126[[#Totals],[Controlled lb/hr]]+standard_components_125[[#Totals],[Controlled
lb/hr]]))</f>
        <v>0</v>
      </c>
      <c r="J131" s="51">
        <f>IF(speciated_chemicals_127[[#This Row],[Inert / Not a Contaminant?]]="Yes", 0, speciated_chemicals_127[[#This Row],[Weight Percent]]*(unique_components_126[[#Totals],[Controlled
tpy]]+standard_components_125[[#Totals],[Controlled
tpy]]))</f>
        <v>0</v>
      </c>
    </row>
    <row r="132" spans="1:10" x14ac:dyDescent="0.2">
      <c r="A132" s="103"/>
      <c r="B132" s="51" t="str">
        <f>IFERROR(VLOOKUP(speciated_chemicals_127[[#This Row],[CAS '#]],species[],MATCH("Substance", species[#Headers], 0),FALSE),"No CAS Number Entered")</f>
        <v>No CAS Number Entered</v>
      </c>
      <c r="C132" s="102"/>
      <c r="D132" s="102" t="s">
        <v>12666</v>
      </c>
      <c r="E132" s="102" t="s">
        <v>12666</v>
      </c>
      <c r="F132" s="102" t="s">
        <v>12666</v>
      </c>
      <c r="G132" s="102" t="s">
        <v>12666</v>
      </c>
      <c r="H132" s="164"/>
      <c r="I132" s="51">
        <f>IF(speciated_chemicals_127[[#This Row],[Inert / Not a Contaminant?]]="Yes", 0, speciated_chemicals_127[[#This Row],[Weight Percent]]*(unique_components_126[[#Totals],[Controlled lb/hr]]+standard_components_125[[#Totals],[Controlled
lb/hr]]))</f>
        <v>0</v>
      </c>
      <c r="J132" s="51">
        <f>IF(speciated_chemicals_127[[#This Row],[Inert / Not a Contaminant?]]="Yes", 0, speciated_chemicals_127[[#This Row],[Weight Percent]]*(unique_components_126[[#Totals],[Controlled
tpy]]+standard_components_125[[#Totals],[Controlled
tpy]]))</f>
        <v>0</v>
      </c>
    </row>
    <row r="133" spans="1:10" x14ac:dyDescent="0.2">
      <c r="A133" s="103"/>
      <c r="B133" s="51" t="str">
        <f>IFERROR(VLOOKUP(speciated_chemicals_127[[#This Row],[CAS '#]],species[],MATCH("Substance", species[#Headers], 0),FALSE),"No CAS Number Entered")</f>
        <v>No CAS Number Entered</v>
      </c>
      <c r="C133" s="102"/>
      <c r="D133" s="102" t="s">
        <v>12666</v>
      </c>
      <c r="E133" s="102" t="s">
        <v>12666</v>
      </c>
      <c r="F133" s="102" t="s">
        <v>12666</v>
      </c>
      <c r="G133" s="102" t="s">
        <v>12666</v>
      </c>
      <c r="H133" s="164"/>
      <c r="I133" s="51">
        <f>IF(speciated_chemicals_127[[#This Row],[Inert / Not a Contaminant?]]="Yes", 0, speciated_chemicals_127[[#This Row],[Weight Percent]]*(unique_components_126[[#Totals],[Controlled lb/hr]]+standard_components_125[[#Totals],[Controlled
lb/hr]]))</f>
        <v>0</v>
      </c>
      <c r="J133" s="51">
        <f>IF(speciated_chemicals_127[[#This Row],[Inert / Not a Contaminant?]]="Yes", 0, speciated_chemicals_127[[#This Row],[Weight Percent]]*(unique_components_126[[#Totals],[Controlled
tpy]]+standard_components_125[[#Totals],[Controlled
tpy]]))</f>
        <v>0</v>
      </c>
    </row>
    <row r="134" spans="1:10" x14ac:dyDescent="0.2">
      <c r="A134" s="103"/>
      <c r="B134" s="51" t="str">
        <f>IFERROR(VLOOKUP(speciated_chemicals_127[[#This Row],[CAS '#]],species[],MATCH("Substance", species[#Headers], 0),FALSE),"No CAS Number Entered")</f>
        <v>No CAS Number Entered</v>
      </c>
      <c r="C134" s="102"/>
      <c r="D134" s="102" t="s">
        <v>12666</v>
      </c>
      <c r="E134" s="102" t="s">
        <v>12666</v>
      </c>
      <c r="F134" s="102" t="s">
        <v>12666</v>
      </c>
      <c r="G134" s="102" t="s">
        <v>12666</v>
      </c>
      <c r="H134" s="164"/>
      <c r="I134" s="51">
        <f>IF(speciated_chemicals_127[[#This Row],[Inert / Not a Contaminant?]]="Yes", 0, speciated_chemicals_127[[#This Row],[Weight Percent]]*(unique_components_126[[#Totals],[Controlled lb/hr]]+standard_components_125[[#Totals],[Controlled
lb/hr]]))</f>
        <v>0</v>
      </c>
      <c r="J134" s="51">
        <f>IF(speciated_chemicals_127[[#This Row],[Inert / Not a Contaminant?]]="Yes", 0, speciated_chemicals_127[[#This Row],[Weight Percent]]*(unique_components_126[[#Totals],[Controlled
tpy]]+standard_components_125[[#Totals],[Controlled
tpy]]))</f>
        <v>0</v>
      </c>
    </row>
    <row r="135" spans="1:10" x14ac:dyDescent="0.2">
      <c r="A135" s="103"/>
      <c r="B135" s="51" t="str">
        <f>IFERROR(VLOOKUP(speciated_chemicals_127[[#This Row],[CAS '#]],species[],MATCH("Substance", species[#Headers], 0),FALSE),"No CAS Number Entered")</f>
        <v>No CAS Number Entered</v>
      </c>
      <c r="C135" s="102"/>
      <c r="D135" s="102" t="s">
        <v>12666</v>
      </c>
      <c r="E135" s="102" t="s">
        <v>12666</v>
      </c>
      <c r="F135" s="102" t="s">
        <v>12666</v>
      </c>
      <c r="G135" s="102" t="s">
        <v>12666</v>
      </c>
      <c r="H135" s="164"/>
      <c r="I135" s="51">
        <f>IF(speciated_chemicals_127[[#This Row],[Inert / Not a Contaminant?]]="Yes", 0, speciated_chemicals_127[[#This Row],[Weight Percent]]*(unique_components_126[[#Totals],[Controlled lb/hr]]+standard_components_125[[#Totals],[Controlled
lb/hr]]))</f>
        <v>0</v>
      </c>
      <c r="J135" s="51">
        <f>IF(speciated_chemicals_127[[#This Row],[Inert / Not a Contaminant?]]="Yes", 0, speciated_chemicals_127[[#This Row],[Weight Percent]]*(unique_components_126[[#Totals],[Controlled
tpy]]+standard_components_125[[#Totals],[Controlled
tpy]]))</f>
        <v>0</v>
      </c>
    </row>
    <row r="136" spans="1:10" x14ac:dyDescent="0.2">
      <c r="A136" s="103"/>
      <c r="B136" s="51" t="str">
        <f>IFERROR(VLOOKUP(speciated_chemicals_127[[#This Row],[CAS '#]],species[],MATCH("Substance", species[#Headers], 0),FALSE),"No CAS Number Entered")</f>
        <v>No CAS Number Entered</v>
      </c>
      <c r="C136" s="102"/>
      <c r="D136" s="102" t="s">
        <v>12666</v>
      </c>
      <c r="E136" s="102" t="s">
        <v>12666</v>
      </c>
      <c r="F136" s="102" t="s">
        <v>12666</v>
      </c>
      <c r="G136" s="102" t="s">
        <v>12666</v>
      </c>
      <c r="H136" s="164"/>
      <c r="I136" s="51">
        <f>IF(speciated_chemicals_127[[#This Row],[Inert / Not a Contaminant?]]="Yes", 0, speciated_chemicals_127[[#This Row],[Weight Percent]]*(unique_components_126[[#Totals],[Controlled lb/hr]]+standard_components_125[[#Totals],[Controlled
lb/hr]]))</f>
        <v>0</v>
      </c>
      <c r="J136" s="51">
        <f>IF(speciated_chemicals_127[[#This Row],[Inert / Not a Contaminant?]]="Yes", 0, speciated_chemicals_127[[#This Row],[Weight Percent]]*(unique_components_126[[#Totals],[Controlled
tpy]]+standard_components_125[[#Totals],[Controlled
tpy]]))</f>
        <v>0</v>
      </c>
    </row>
    <row r="137" spans="1:10" x14ac:dyDescent="0.2">
      <c r="A137" s="103"/>
      <c r="B137" s="51" t="str">
        <f>IFERROR(VLOOKUP(speciated_chemicals_127[[#This Row],[CAS '#]],species[],MATCH("Substance", species[#Headers], 0),FALSE),"No CAS Number Entered")</f>
        <v>No CAS Number Entered</v>
      </c>
      <c r="C137" s="102"/>
      <c r="D137" s="102" t="s">
        <v>12666</v>
      </c>
      <c r="E137" s="102" t="s">
        <v>12666</v>
      </c>
      <c r="F137" s="102" t="s">
        <v>12666</v>
      </c>
      <c r="G137" s="102" t="s">
        <v>12666</v>
      </c>
      <c r="H137" s="164"/>
      <c r="I137" s="51">
        <f>IF(speciated_chemicals_127[[#This Row],[Inert / Not a Contaminant?]]="Yes", 0, speciated_chemicals_127[[#This Row],[Weight Percent]]*(unique_components_126[[#Totals],[Controlled lb/hr]]+standard_components_125[[#Totals],[Controlled
lb/hr]]))</f>
        <v>0</v>
      </c>
      <c r="J137" s="51">
        <f>IF(speciated_chemicals_127[[#This Row],[Inert / Not a Contaminant?]]="Yes", 0, speciated_chemicals_127[[#This Row],[Weight Percent]]*(unique_components_126[[#Totals],[Controlled
tpy]]+standard_components_125[[#Totals],[Controlled
tpy]]))</f>
        <v>0</v>
      </c>
    </row>
    <row r="138" spans="1:10" x14ac:dyDescent="0.2">
      <c r="A138" s="103"/>
      <c r="B138" s="51" t="str">
        <f>IFERROR(VLOOKUP(speciated_chemicals_127[[#This Row],[CAS '#]],species[],MATCH("Substance", species[#Headers], 0),FALSE),"No CAS Number Entered")</f>
        <v>No CAS Number Entered</v>
      </c>
      <c r="C138" s="102"/>
      <c r="D138" s="102" t="s">
        <v>12666</v>
      </c>
      <c r="E138" s="102" t="s">
        <v>12666</v>
      </c>
      <c r="F138" s="102" t="s">
        <v>12666</v>
      </c>
      <c r="G138" s="102" t="s">
        <v>12666</v>
      </c>
      <c r="H138" s="164"/>
      <c r="I138" s="51">
        <f>IF(speciated_chemicals_127[[#This Row],[Inert / Not a Contaminant?]]="Yes", 0, speciated_chemicals_127[[#This Row],[Weight Percent]]*(unique_components_126[[#Totals],[Controlled lb/hr]]+standard_components_125[[#Totals],[Controlled
lb/hr]]))</f>
        <v>0</v>
      </c>
      <c r="J138" s="51">
        <f>IF(speciated_chemicals_127[[#This Row],[Inert / Not a Contaminant?]]="Yes", 0, speciated_chemicals_127[[#This Row],[Weight Percent]]*(unique_components_126[[#Totals],[Controlled
tpy]]+standard_components_125[[#Totals],[Controlled
tpy]]))</f>
        <v>0</v>
      </c>
    </row>
    <row r="139" spans="1:10" x14ac:dyDescent="0.2">
      <c r="A139" s="103"/>
      <c r="B139" s="51" t="str">
        <f>IFERROR(VLOOKUP(speciated_chemicals_127[[#This Row],[CAS '#]],species[],MATCH("Substance", species[#Headers], 0),FALSE),"No CAS Number Entered")</f>
        <v>No CAS Number Entered</v>
      </c>
      <c r="C139" s="102"/>
      <c r="D139" s="102" t="s">
        <v>12666</v>
      </c>
      <c r="E139" s="102" t="s">
        <v>12666</v>
      </c>
      <c r="F139" s="102" t="s">
        <v>12666</v>
      </c>
      <c r="G139" s="102" t="s">
        <v>12666</v>
      </c>
      <c r="H139" s="164"/>
      <c r="I139" s="51">
        <f>IF(speciated_chemicals_127[[#This Row],[Inert / Not a Contaminant?]]="Yes", 0, speciated_chemicals_127[[#This Row],[Weight Percent]]*(unique_components_126[[#Totals],[Controlled lb/hr]]+standard_components_125[[#Totals],[Controlled
lb/hr]]))</f>
        <v>0</v>
      </c>
      <c r="J139" s="51">
        <f>IF(speciated_chemicals_127[[#This Row],[Inert / Not a Contaminant?]]="Yes", 0, speciated_chemicals_127[[#This Row],[Weight Percent]]*(unique_components_126[[#Totals],[Controlled
tpy]]+standard_components_125[[#Totals],[Controlled
tpy]]))</f>
        <v>0</v>
      </c>
    </row>
    <row r="140" spans="1:10" x14ac:dyDescent="0.2">
      <c r="A140" s="103"/>
      <c r="B140" s="51" t="str">
        <f>IFERROR(VLOOKUP(speciated_chemicals_127[[#This Row],[CAS '#]],species[],MATCH("Substance", species[#Headers], 0),FALSE),"No CAS Number Entered")</f>
        <v>No CAS Number Entered</v>
      </c>
      <c r="C140" s="102"/>
      <c r="D140" s="102" t="s">
        <v>12666</v>
      </c>
      <c r="E140" s="102" t="s">
        <v>12666</v>
      </c>
      <c r="F140" s="102" t="s">
        <v>12666</v>
      </c>
      <c r="G140" s="102" t="s">
        <v>12666</v>
      </c>
      <c r="H140" s="164"/>
      <c r="I140" s="51">
        <f>IF(speciated_chemicals_127[[#This Row],[Inert / Not a Contaminant?]]="Yes", 0, speciated_chemicals_127[[#This Row],[Weight Percent]]*(unique_components_126[[#Totals],[Controlled lb/hr]]+standard_components_125[[#Totals],[Controlled
lb/hr]]))</f>
        <v>0</v>
      </c>
      <c r="J140" s="51">
        <f>IF(speciated_chemicals_127[[#This Row],[Inert / Not a Contaminant?]]="Yes", 0, speciated_chemicals_127[[#This Row],[Weight Percent]]*(unique_components_126[[#Totals],[Controlled
tpy]]+standard_components_125[[#Totals],[Controlled
tpy]]))</f>
        <v>0</v>
      </c>
    </row>
    <row r="141" spans="1:10" x14ac:dyDescent="0.2">
      <c r="A141" s="103"/>
      <c r="B141" s="51" t="str">
        <f>IFERROR(VLOOKUP(speciated_chemicals_127[[#This Row],[CAS '#]],species[],MATCH("Substance", species[#Headers], 0),FALSE),"No CAS Number Entered")</f>
        <v>No CAS Number Entered</v>
      </c>
      <c r="C141" s="102"/>
      <c r="D141" s="102" t="s">
        <v>12666</v>
      </c>
      <c r="E141" s="102" t="s">
        <v>12666</v>
      </c>
      <c r="F141" s="102" t="s">
        <v>12666</v>
      </c>
      <c r="G141" s="102" t="s">
        <v>12666</v>
      </c>
      <c r="H141" s="164"/>
      <c r="I141" s="51">
        <f>IF(speciated_chemicals_127[[#This Row],[Inert / Not a Contaminant?]]="Yes", 0, speciated_chemicals_127[[#This Row],[Weight Percent]]*(unique_components_126[[#Totals],[Controlled lb/hr]]+standard_components_125[[#Totals],[Controlled
lb/hr]]))</f>
        <v>0</v>
      </c>
      <c r="J141" s="51">
        <f>IF(speciated_chemicals_127[[#This Row],[Inert / Not a Contaminant?]]="Yes", 0, speciated_chemicals_127[[#This Row],[Weight Percent]]*(unique_components_126[[#Totals],[Controlled
tpy]]+standard_components_125[[#Totals],[Controlled
tpy]]))</f>
        <v>0</v>
      </c>
    </row>
    <row r="142" spans="1:10" x14ac:dyDescent="0.2">
      <c r="A142" s="103"/>
      <c r="B142" s="51" t="str">
        <f>IFERROR(VLOOKUP(speciated_chemicals_127[[#This Row],[CAS '#]],species[],MATCH("Substance", species[#Headers], 0),FALSE),"No CAS Number Entered")</f>
        <v>No CAS Number Entered</v>
      </c>
      <c r="C142" s="102"/>
      <c r="D142" s="102" t="s">
        <v>12666</v>
      </c>
      <c r="E142" s="102" t="s">
        <v>12666</v>
      </c>
      <c r="F142" s="102" t="s">
        <v>12666</v>
      </c>
      <c r="G142" s="102" t="s">
        <v>12666</v>
      </c>
      <c r="H142" s="164"/>
      <c r="I142" s="51">
        <f>IF(speciated_chemicals_127[[#This Row],[Inert / Not a Contaminant?]]="Yes", 0, speciated_chemicals_127[[#This Row],[Weight Percent]]*(unique_components_126[[#Totals],[Controlled lb/hr]]+standard_components_125[[#Totals],[Controlled
lb/hr]]))</f>
        <v>0</v>
      </c>
      <c r="J142" s="51">
        <f>IF(speciated_chemicals_127[[#This Row],[Inert / Not a Contaminant?]]="Yes", 0, speciated_chemicals_127[[#This Row],[Weight Percent]]*(unique_components_126[[#Totals],[Controlled
tpy]]+standard_components_125[[#Totals],[Controlled
tpy]]))</f>
        <v>0</v>
      </c>
    </row>
    <row r="143" spans="1:10" x14ac:dyDescent="0.2">
      <c r="A143" s="103"/>
      <c r="B143" s="51" t="str">
        <f>IFERROR(VLOOKUP(speciated_chemicals_127[[#This Row],[CAS '#]],species[],MATCH("Substance", species[#Headers], 0),FALSE),"No CAS Number Entered")</f>
        <v>No CAS Number Entered</v>
      </c>
      <c r="C143" s="102"/>
      <c r="D143" s="102" t="s">
        <v>12666</v>
      </c>
      <c r="E143" s="102" t="s">
        <v>12666</v>
      </c>
      <c r="F143" s="102" t="s">
        <v>12666</v>
      </c>
      <c r="G143" s="102" t="s">
        <v>12666</v>
      </c>
      <c r="H143" s="164"/>
      <c r="I143" s="51">
        <f>IF(speciated_chemicals_127[[#This Row],[Inert / Not a Contaminant?]]="Yes", 0, speciated_chemicals_127[[#This Row],[Weight Percent]]*(unique_components_126[[#Totals],[Controlled lb/hr]]+standard_components_125[[#Totals],[Controlled
lb/hr]]))</f>
        <v>0</v>
      </c>
      <c r="J143" s="51">
        <f>IF(speciated_chemicals_127[[#This Row],[Inert / Not a Contaminant?]]="Yes", 0, speciated_chemicals_127[[#This Row],[Weight Percent]]*(unique_components_126[[#Totals],[Controlled
tpy]]+standard_components_125[[#Totals],[Controlled
tpy]]))</f>
        <v>0</v>
      </c>
    </row>
    <row r="144" spans="1:10" x14ac:dyDescent="0.2">
      <c r="A144" s="103"/>
      <c r="B144" s="51" t="str">
        <f>IFERROR(VLOOKUP(speciated_chemicals_127[[#This Row],[CAS '#]],species[],MATCH("Substance", species[#Headers], 0),FALSE),"No CAS Number Entered")</f>
        <v>No CAS Number Entered</v>
      </c>
      <c r="C144" s="102"/>
      <c r="D144" s="102" t="s">
        <v>12666</v>
      </c>
      <c r="E144" s="102" t="s">
        <v>12666</v>
      </c>
      <c r="F144" s="102" t="s">
        <v>12666</v>
      </c>
      <c r="G144" s="102" t="s">
        <v>12666</v>
      </c>
      <c r="H144" s="164"/>
      <c r="I144" s="51">
        <f>IF(speciated_chemicals_127[[#This Row],[Inert / Not a Contaminant?]]="Yes", 0, speciated_chemicals_127[[#This Row],[Weight Percent]]*(unique_components_126[[#Totals],[Controlled lb/hr]]+standard_components_125[[#Totals],[Controlled
lb/hr]]))</f>
        <v>0</v>
      </c>
      <c r="J144" s="51">
        <f>IF(speciated_chemicals_127[[#This Row],[Inert / Not a Contaminant?]]="Yes", 0, speciated_chemicals_127[[#This Row],[Weight Percent]]*(unique_components_126[[#Totals],[Controlled
tpy]]+standard_components_125[[#Totals],[Controlled
tpy]]))</f>
        <v>0</v>
      </c>
    </row>
    <row r="145" spans="1:10" x14ac:dyDescent="0.2">
      <c r="A145" s="103"/>
      <c r="B145" s="51" t="str">
        <f>IFERROR(VLOOKUP(speciated_chemicals_127[[#This Row],[CAS '#]],species[],MATCH("Substance", species[#Headers], 0),FALSE),"No CAS Number Entered")</f>
        <v>No CAS Number Entered</v>
      </c>
      <c r="C145" s="102"/>
      <c r="D145" s="102" t="s">
        <v>12666</v>
      </c>
      <c r="E145" s="102" t="s">
        <v>12666</v>
      </c>
      <c r="F145" s="102" t="s">
        <v>12666</v>
      </c>
      <c r="G145" s="102" t="s">
        <v>12666</v>
      </c>
      <c r="H145" s="164"/>
      <c r="I145" s="51">
        <f>IF(speciated_chemicals_127[[#This Row],[Inert / Not a Contaminant?]]="Yes", 0, speciated_chemicals_127[[#This Row],[Weight Percent]]*(unique_components_126[[#Totals],[Controlled lb/hr]]+standard_components_125[[#Totals],[Controlled
lb/hr]]))</f>
        <v>0</v>
      </c>
      <c r="J145" s="51">
        <f>IF(speciated_chemicals_127[[#This Row],[Inert / Not a Contaminant?]]="Yes", 0, speciated_chemicals_127[[#This Row],[Weight Percent]]*(unique_components_126[[#Totals],[Controlled
tpy]]+standard_components_125[[#Totals],[Controlled
tpy]]))</f>
        <v>0</v>
      </c>
    </row>
    <row r="146" spans="1:10" x14ac:dyDescent="0.2">
      <c r="A146" s="103"/>
      <c r="B146" s="51" t="str">
        <f>IFERROR(VLOOKUP(speciated_chemicals_127[[#This Row],[CAS '#]],species[],MATCH("Substance", species[#Headers], 0),FALSE),"No CAS Number Entered")</f>
        <v>No CAS Number Entered</v>
      </c>
      <c r="C146" s="102"/>
      <c r="D146" s="102" t="s">
        <v>12666</v>
      </c>
      <c r="E146" s="102" t="s">
        <v>12666</v>
      </c>
      <c r="F146" s="102" t="s">
        <v>12666</v>
      </c>
      <c r="G146" s="102" t="s">
        <v>12666</v>
      </c>
      <c r="H146" s="164"/>
      <c r="I146" s="51">
        <f>IF(speciated_chemicals_127[[#This Row],[Inert / Not a Contaminant?]]="Yes", 0, speciated_chemicals_127[[#This Row],[Weight Percent]]*(unique_components_126[[#Totals],[Controlled lb/hr]]+standard_components_125[[#Totals],[Controlled
lb/hr]]))</f>
        <v>0</v>
      </c>
      <c r="J146" s="51">
        <f>IF(speciated_chemicals_127[[#This Row],[Inert / Not a Contaminant?]]="Yes", 0, speciated_chemicals_127[[#This Row],[Weight Percent]]*(unique_components_126[[#Totals],[Controlled
tpy]]+standard_components_125[[#Totals],[Controlled
tpy]]))</f>
        <v>0</v>
      </c>
    </row>
    <row r="147" spans="1:10" x14ac:dyDescent="0.2">
      <c r="A147" s="103"/>
      <c r="B147" s="51" t="str">
        <f>IFERROR(VLOOKUP(speciated_chemicals_127[[#This Row],[CAS '#]],species[],MATCH("Substance", species[#Headers], 0),FALSE),"No CAS Number Entered")</f>
        <v>No CAS Number Entered</v>
      </c>
      <c r="C147" s="102"/>
      <c r="D147" s="102" t="s">
        <v>12666</v>
      </c>
      <c r="E147" s="102" t="s">
        <v>12666</v>
      </c>
      <c r="F147" s="102" t="s">
        <v>12666</v>
      </c>
      <c r="G147" s="102" t="s">
        <v>12666</v>
      </c>
      <c r="H147" s="164"/>
      <c r="I147" s="51">
        <f>IF(speciated_chemicals_127[[#This Row],[Inert / Not a Contaminant?]]="Yes", 0, speciated_chemicals_127[[#This Row],[Weight Percent]]*(unique_components_126[[#Totals],[Controlled lb/hr]]+standard_components_125[[#Totals],[Controlled
lb/hr]]))</f>
        <v>0</v>
      </c>
      <c r="J147" s="51">
        <f>IF(speciated_chemicals_127[[#This Row],[Inert / Not a Contaminant?]]="Yes", 0, speciated_chemicals_127[[#This Row],[Weight Percent]]*(unique_components_126[[#Totals],[Controlled
tpy]]+standard_components_125[[#Totals],[Controlled
tpy]]))</f>
        <v>0</v>
      </c>
    </row>
    <row r="148" spans="1:10" x14ac:dyDescent="0.2">
      <c r="A148" s="103"/>
      <c r="B148" s="51" t="str">
        <f>IFERROR(VLOOKUP(speciated_chemicals_127[[#This Row],[CAS '#]],species[],MATCH("Substance", species[#Headers], 0),FALSE),"No CAS Number Entered")</f>
        <v>No CAS Number Entered</v>
      </c>
      <c r="C148" s="102"/>
      <c r="D148" s="102" t="s">
        <v>12666</v>
      </c>
      <c r="E148" s="102" t="s">
        <v>12666</v>
      </c>
      <c r="F148" s="102" t="s">
        <v>12666</v>
      </c>
      <c r="G148" s="102" t="s">
        <v>12666</v>
      </c>
      <c r="H148" s="164"/>
      <c r="I148" s="51">
        <f>IF(speciated_chemicals_127[[#This Row],[Inert / Not a Contaminant?]]="Yes", 0, speciated_chemicals_127[[#This Row],[Weight Percent]]*(unique_components_126[[#Totals],[Controlled lb/hr]]+standard_components_125[[#Totals],[Controlled
lb/hr]]))</f>
        <v>0</v>
      </c>
      <c r="J148" s="51">
        <f>IF(speciated_chemicals_127[[#This Row],[Inert / Not a Contaminant?]]="Yes", 0, speciated_chemicals_127[[#This Row],[Weight Percent]]*(unique_components_126[[#Totals],[Controlled
tpy]]+standard_components_125[[#Totals],[Controlled
tpy]]))</f>
        <v>0</v>
      </c>
    </row>
    <row r="149" spans="1:10" x14ac:dyDescent="0.2">
      <c r="A149" s="103"/>
      <c r="B149" s="51" t="str">
        <f>IFERROR(VLOOKUP(speciated_chemicals_127[[#This Row],[CAS '#]],species[],MATCH("Substance", species[#Headers], 0),FALSE),"No CAS Number Entered")</f>
        <v>No CAS Number Entered</v>
      </c>
      <c r="C149" s="102"/>
      <c r="D149" s="102" t="s">
        <v>12666</v>
      </c>
      <c r="E149" s="102" t="s">
        <v>12666</v>
      </c>
      <c r="F149" s="102" t="s">
        <v>12666</v>
      </c>
      <c r="G149" s="102" t="s">
        <v>12666</v>
      </c>
      <c r="H149" s="164"/>
      <c r="I149" s="51">
        <f>IF(speciated_chemicals_127[[#This Row],[Inert / Not a Contaminant?]]="Yes", 0, speciated_chemicals_127[[#This Row],[Weight Percent]]*(unique_components_126[[#Totals],[Controlled lb/hr]]+standard_components_125[[#Totals],[Controlled
lb/hr]]))</f>
        <v>0</v>
      </c>
      <c r="J149" s="51">
        <f>IF(speciated_chemicals_127[[#This Row],[Inert / Not a Contaminant?]]="Yes", 0, speciated_chemicals_127[[#This Row],[Weight Percent]]*(unique_components_126[[#Totals],[Controlled
tpy]]+standard_components_125[[#Totals],[Controlled
tpy]]))</f>
        <v>0</v>
      </c>
    </row>
    <row r="150" spans="1:10" x14ac:dyDescent="0.2">
      <c r="A150" s="103"/>
      <c r="B150" s="51" t="str">
        <f>IFERROR(VLOOKUP(speciated_chemicals_127[[#This Row],[CAS '#]],species[],MATCH("Substance", species[#Headers], 0),FALSE),"No CAS Number Entered")</f>
        <v>No CAS Number Entered</v>
      </c>
      <c r="C150" s="102"/>
      <c r="D150" s="102" t="s">
        <v>12666</v>
      </c>
      <c r="E150" s="102" t="s">
        <v>12666</v>
      </c>
      <c r="F150" s="102" t="s">
        <v>12666</v>
      </c>
      <c r="G150" s="102" t="s">
        <v>12666</v>
      </c>
      <c r="H150" s="164"/>
      <c r="I150" s="51">
        <f>IF(speciated_chemicals_127[[#This Row],[Inert / Not a Contaminant?]]="Yes", 0, speciated_chemicals_127[[#This Row],[Weight Percent]]*(unique_components_126[[#Totals],[Controlled lb/hr]]+standard_components_125[[#Totals],[Controlled
lb/hr]]))</f>
        <v>0</v>
      </c>
      <c r="J150" s="51">
        <f>IF(speciated_chemicals_127[[#This Row],[Inert / Not a Contaminant?]]="Yes", 0, speciated_chemicals_127[[#This Row],[Weight Percent]]*(unique_components_126[[#Totals],[Controlled
tpy]]+standard_components_125[[#Totals],[Controlled
tpy]]))</f>
        <v>0</v>
      </c>
    </row>
    <row r="151" spans="1:10" x14ac:dyDescent="0.2">
      <c r="A151" s="103"/>
      <c r="B151" s="51" t="str">
        <f>IFERROR(VLOOKUP(speciated_chemicals_127[[#This Row],[CAS '#]],species[],MATCH("Substance", species[#Headers], 0),FALSE),"No CAS Number Entered")</f>
        <v>No CAS Number Entered</v>
      </c>
      <c r="C151" s="102"/>
      <c r="D151" s="102" t="s">
        <v>12666</v>
      </c>
      <c r="E151" s="102" t="s">
        <v>12666</v>
      </c>
      <c r="F151" s="102" t="s">
        <v>12666</v>
      </c>
      <c r="G151" s="102" t="s">
        <v>12666</v>
      </c>
      <c r="H151" s="164"/>
      <c r="I151" s="51">
        <f>IF(speciated_chemicals_127[[#This Row],[Inert / Not a Contaminant?]]="Yes", 0, speciated_chemicals_127[[#This Row],[Weight Percent]]*(unique_components_126[[#Totals],[Controlled lb/hr]]+standard_components_125[[#Totals],[Controlled
lb/hr]]))</f>
        <v>0</v>
      </c>
      <c r="J151" s="51">
        <f>IF(speciated_chemicals_127[[#This Row],[Inert / Not a Contaminant?]]="Yes", 0, speciated_chemicals_127[[#This Row],[Weight Percent]]*(unique_components_126[[#Totals],[Controlled
tpy]]+standard_components_125[[#Totals],[Controlled
tpy]]))</f>
        <v>0</v>
      </c>
    </row>
    <row r="152" spans="1:10" x14ac:dyDescent="0.2">
      <c r="A152" s="103"/>
      <c r="B152" s="51" t="str">
        <f>IFERROR(VLOOKUP(speciated_chemicals_127[[#This Row],[CAS '#]],species[],MATCH("Substance", species[#Headers], 0),FALSE),"No CAS Number Entered")</f>
        <v>No CAS Number Entered</v>
      </c>
      <c r="C152" s="102"/>
      <c r="D152" s="102" t="s">
        <v>12666</v>
      </c>
      <c r="E152" s="102" t="s">
        <v>12666</v>
      </c>
      <c r="F152" s="102" t="s">
        <v>12666</v>
      </c>
      <c r="G152" s="102" t="s">
        <v>12666</v>
      </c>
      <c r="H152" s="164"/>
      <c r="I152" s="51">
        <f>IF(speciated_chemicals_127[[#This Row],[Inert / Not a Contaminant?]]="Yes", 0, speciated_chemicals_127[[#This Row],[Weight Percent]]*(unique_components_126[[#Totals],[Controlled lb/hr]]+standard_components_125[[#Totals],[Controlled
lb/hr]]))</f>
        <v>0</v>
      </c>
      <c r="J152" s="51">
        <f>IF(speciated_chemicals_127[[#This Row],[Inert / Not a Contaminant?]]="Yes", 0, speciated_chemicals_127[[#This Row],[Weight Percent]]*(unique_components_126[[#Totals],[Controlled
tpy]]+standard_components_125[[#Totals],[Controlled
tpy]]))</f>
        <v>0</v>
      </c>
    </row>
    <row r="153" spans="1:10" x14ac:dyDescent="0.2">
      <c r="A153" s="103"/>
      <c r="B153" s="51" t="str">
        <f>IFERROR(VLOOKUP(speciated_chemicals_127[[#This Row],[CAS '#]],species[],MATCH("Substance", species[#Headers], 0),FALSE),"No CAS Number Entered")</f>
        <v>No CAS Number Entered</v>
      </c>
      <c r="C153" s="102"/>
      <c r="D153" s="102" t="s">
        <v>12666</v>
      </c>
      <c r="E153" s="102" t="s">
        <v>12666</v>
      </c>
      <c r="F153" s="102" t="s">
        <v>12666</v>
      </c>
      <c r="G153" s="102" t="s">
        <v>12666</v>
      </c>
      <c r="H153" s="164"/>
      <c r="I153" s="51">
        <f>IF(speciated_chemicals_127[[#This Row],[Inert / Not a Contaminant?]]="Yes", 0, speciated_chemicals_127[[#This Row],[Weight Percent]]*(unique_components_126[[#Totals],[Controlled lb/hr]]+standard_components_125[[#Totals],[Controlled
lb/hr]]))</f>
        <v>0</v>
      </c>
      <c r="J153" s="51">
        <f>IF(speciated_chemicals_127[[#This Row],[Inert / Not a Contaminant?]]="Yes", 0, speciated_chemicals_127[[#This Row],[Weight Percent]]*(unique_components_126[[#Totals],[Controlled
tpy]]+standard_components_125[[#Totals],[Controlled
tpy]]))</f>
        <v>0</v>
      </c>
    </row>
    <row r="154" spans="1:10" x14ac:dyDescent="0.2">
      <c r="A154" s="103"/>
      <c r="B154" s="51" t="str">
        <f>IFERROR(VLOOKUP(speciated_chemicals_127[[#This Row],[CAS '#]],species[],MATCH("Substance", species[#Headers], 0),FALSE),"No CAS Number Entered")</f>
        <v>No CAS Number Entered</v>
      </c>
      <c r="C154" s="102"/>
      <c r="D154" s="102" t="s">
        <v>12666</v>
      </c>
      <c r="E154" s="102" t="s">
        <v>12666</v>
      </c>
      <c r="F154" s="102" t="s">
        <v>12666</v>
      </c>
      <c r="G154" s="102" t="s">
        <v>12666</v>
      </c>
      <c r="H154" s="164"/>
      <c r="I154" s="51">
        <f>IF(speciated_chemicals_127[[#This Row],[Inert / Not a Contaminant?]]="Yes", 0, speciated_chemicals_127[[#This Row],[Weight Percent]]*(unique_components_126[[#Totals],[Controlled lb/hr]]+standard_components_125[[#Totals],[Controlled
lb/hr]]))</f>
        <v>0</v>
      </c>
      <c r="J154" s="51">
        <f>IF(speciated_chemicals_127[[#This Row],[Inert / Not a Contaminant?]]="Yes", 0, speciated_chemicals_127[[#This Row],[Weight Percent]]*(unique_components_126[[#Totals],[Controlled
tpy]]+standard_components_125[[#Totals],[Controlled
tpy]]))</f>
        <v>0</v>
      </c>
    </row>
    <row r="155" spans="1:10" x14ac:dyDescent="0.2">
      <c r="A155" s="103"/>
      <c r="B155" s="51" t="str">
        <f>IFERROR(VLOOKUP(speciated_chemicals_127[[#This Row],[CAS '#]],species[],MATCH("Substance", species[#Headers], 0),FALSE),"No CAS Number Entered")</f>
        <v>No CAS Number Entered</v>
      </c>
      <c r="C155" s="102"/>
      <c r="D155" s="102" t="s">
        <v>12666</v>
      </c>
      <c r="E155" s="102" t="s">
        <v>12666</v>
      </c>
      <c r="F155" s="102" t="s">
        <v>12666</v>
      </c>
      <c r="G155" s="102" t="s">
        <v>12666</v>
      </c>
      <c r="H155" s="164"/>
      <c r="I155" s="51">
        <f>IF(speciated_chemicals_127[[#This Row],[Inert / Not a Contaminant?]]="Yes", 0, speciated_chemicals_127[[#This Row],[Weight Percent]]*(unique_components_126[[#Totals],[Controlled lb/hr]]+standard_components_125[[#Totals],[Controlled
lb/hr]]))</f>
        <v>0</v>
      </c>
      <c r="J155" s="51">
        <f>IF(speciated_chemicals_127[[#This Row],[Inert / Not a Contaminant?]]="Yes", 0, speciated_chemicals_127[[#This Row],[Weight Percent]]*(unique_components_126[[#Totals],[Controlled
tpy]]+standard_components_125[[#Totals],[Controlled
tpy]]))</f>
        <v>0</v>
      </c>
    </row>
    <row r="156" spans="1:10" x14ac:dyDescent="0.2">
      <c r="A156" s="103"/>
      <c r="B156" s="51" t="str">
        <f>IFERROR(VLOOKUP(speciated_chemicals_127[[#This Row],[CAS '#]],species[],MATCH("Substance", species[#Headers], 0),FALSE),"No CAS Number Entered")</f>
        <v>No CAS Number Entered</v>
      </c>
      <c r="C156" s="102"/>
      <c r="D156" s="102" t="s">
        <v>12666</v>
      </c>
      <c r="E156" s="102" t="s">
        <v>12666</v>
      </c>
      <c r="F156" s="102" t="s">
        <v>12666</v>
      </c>
      <c r="G156" s="102" t="s">
        <v>12666</v>
      </c>
      <c r="H156" s="164"/>
      <c r="I156" s="51">
        <f>IF(speciated_chemicals_127[[#This Row],[Inert / Not a Contaminant?]]="Yes", 0, speciated_chemicals_127[[#This Row],[Weight Percent]]*(unique_components_126[[#Totals],[Controlled lb/hr]]+standard_components_125[[#Totals],[Controlled
lb/hr]]))</f>
        <v>0</v>
      </c>
      <c r="J156" s="51">
        <f>IF(speciated_chemicals_127[[#This Row],[Inert / Not a Contaminant?]]="Yes", 0, speciated_chemicals_127[[#This Row],[Weight Percent]]*(unique_components_126[[#Totals],[Controlled
tpy]]+standard_components_125[[#Totals],[Controlled
tpy]]))</f>
        <v>0</v>
      </c>
    </row>
    <row r="157" spans="1:10" x14ac:dyDescent="0.2">
      <c r="A157" s="103"/>
      <c r="B157" s="51" t="str">
        <f>IFERROR(VLOOKUP(speciated_chemicals_127[[#This Row],[CAS '#]],species[],MATCH("Substance", species[#Headers], 0),FALSE),"No CAS Number Entered")</f>
        <v>No CAS Number Entered</v>
      </c>
      <c r="C157" s="102"/>
      <c r="D157" s="102" t="s">
        <v>12666</v>
      </c>
      <c r="E157" s="102" t="s">
        <v>12666</v>
      </c>
      <c r="F157" s="102" t="s">
        <v>12666</v>
      </c>
      <c r="G157" s="102" t="s">
        <v>12666</v>
      </c>
      <c r="H157" s="164"/>
      <c r="I157" s="51">
        <f>IF(speciated_chemicals_127[[#This Row],[Inert / Not a Contaminant?]]="Yes", 0, speciated_chemicals_127[[#This Row],[Weight Percent]]*(unique_components_126[[#Totals],[Controlled lb/hr]]+standard_components_125[[#Totals],[Controlled
lb/hr]]))</f>
        <v>0</v>
      </c>
      <c r="J157" s="51">
        <f>IF(speciated_chemicals_127[[#This Row],[Inert / Not a Contaminant?]]="Yes", 0, speciated_chemicals_127[[#This Row],[Weight Percent]]*(unique_components_126[[#Totals],[Controlled
tpy]]+standard_components_125[[#Totals],[Controlled
tpy]]))</f>
        <v>0</v>
      </c>
    </row>
    <row r="158" spans="1:10" x14ac:dyDescent="0.2">
      <c r="A158" s="103"/>
      <c r="B158" s="51" t="str">
        <f>IFERROR(VLOOKUP(speciated_chemicals_127[[#This Row],[CAS '#]],species[],MATCH("Substance", species[#Headers], 0),FALSE),"No CAS Number Entered")</f>
        <v>No CAS Number Entered</v>
      </c>
      <c r="C158" s="102"/>
      <c r="D158" s="102" t="s">
        <v>12666</v>
      </c>
      <c r="E158" s="102" t="s">
        <v>12666</v>
      </c>
      <c r="F158" s="102" t="s">
        <v>12666</v>
      </c>
      <c r="G158" s="102" t="s">
        <v>12666</v>
      </c>
      <c r="H158" s="164"/>
      <c r="I158" s="51">
        <f>IF(speciated_chemicals_127[[#This Row],[Inert / Not a Contaminant?]]="Yes", 0, speciated_chemicals_127[[#This Row],[Weight Percent]]*(unique_components_126[[#Totals],[Controlled lb/hr]]+standard_components_125[[#Totals],[Controlled
lb/hr]]))</f>
        <v>0</v>
      </c>
      <c r="J158" s="51">
        <f>IF(speciated_chemicals_127[[#This Row],[Inert / Not a Contaminant?]]="Yes", 0, speciated_chemicals_127[[#This Row],[Weight Percent]]*(unique_components_126[[#Totals],[Controlled
tpy]]+standard_components_125[[#Totals],[Controlled
tpy]]))</f>
        <v>0</v>
      </c>
    </row>
    <row r="159" spans="1:10" x14ac:dyDescent="0.2">
      <c r="A159" s="103"/>
      <c r="B159" s="51" t="str">
        <f>IFERROR(VLOOKUP(speciated_chemicals_127[[#This Row],[CAS '#]],species[],MATCH("Substance", species[#Headers], 0),FALSE),"No CAS Number Entered")</f>
        <v>No CAS Number Entered</v>
      </c>
      <c r="C159" s="102"/>
      <c r="D159" s="102" t="s">
        <v>12666</v>
      </c>
      <c r="E159" s="102" t="s">
        <v>12666</v>
      </c>
      <c r="F159" s="102" t="s">
        <v>12666</v>
      </c>
      <c r="G159" s="102" t="s">
        <v>12666</v>
      </c>
      <c r="H159" s="164"/>
      <c r="I159" s="51">
        <f>IF(speciated_chemicals_127[[#This Row],[Inert / Not a Contaminant?]]="Yes", 0, speciated_chemicals_127[[#This Row],[Weight Percent]]*(unique_components_126[[#Totals],[Controlled lb/hr]]+standard_components_125[[#Totals],[Controlled
lb/hr]]))</f>
        <v>0</v>
      </c>
      <c r="J159" s="51">
        <f>IF(speciated_chemicals_127[[#This Row],[Inert / Not a Contaminant?]]="Yes", 0, speciated_chemicals_127[[#This Row],[Weight Percent]]*(unique_components_126[[#Totals],[Controlled
tpy]]+standard_components_125[[#Totals],[Controlled
tpy]]))</f>
        <v>0</v>
      </c>
    </row>
    <row r="160" spans="1:10" x14ac:dyDescent="0.2">
      <c r="A160" s="103"/>
      <c r="B160" s="51" t="str">
        <f>IFERROR(VLOOKUP(speciated_chemicals_127[[#This Row],[CAS '#]],species[],MATCH("Substance", species[#Headers], 0),FALSE),"No CAS Number Entered")</f>
        <v>No CAS Number Entered</v>
      </c>
      <c r="C160" s="102"/>
      <c r="D160" s="102" t="s">
        <v>12666</v>
      </c>
      <c r="E160" s="102" t="s">
        <v>12666</v>
      </c>
      <c r="F160" s="102" t="s">
        <v>12666</v>
      </c>
      <c r="G160" s="102" t="s">
        <v>12666</v>
      </c>
      <c r="H160" s="164"/>
      <c r="I160" s="51">
        <f>IF(speciated_chemicals_127[[#This Row],[Inert / Not a Contaminant?]]="Yes", 0, speciated_chemicals_127[[#This Row],[Weight Percent]]*(unique_components_126[[#Totals],[Controlled lb/hr]]+standard_components_125[[#Totals],[Controlled
lb/hr]]))</f>
        <v>0</v>
      </c>
      <c r="J160" s="51">
        <f>IF(speciated_chemicals_127[[#This Row],[Inert / Not a Contaminant?]]="Yes", 0, speciated_chemicals_127[[#This Row],[Weight Percent]]*(unique_components_126[[#Totals],[Controlled
tpy]]+standard_components_125[[#Totals],[Controlled
tpy]]))</f>
        <v>0</v>
      </c>
    </row>
    <row r="161" spans="1:10" x14ac:dyDescent="0.2">
      <c r="A161" s="103"/>
      <c r="B161" s="51" t="str">
        <f>IFERROR(VLOOKUP(speciated_chemicals_127[[#This Row],[CAS '#]],species[],MATCH("Substance", species[#Headers], 0),FALSE),"No CAS Number Entered")</f>
        <v>No CAS Number Entered</v>
      </c>
      <c r="C161" s="102"/>
      <c r="D161" s="102" t="s">
        <v>12666</v>
      </c>
      <c r="E161" s="102" t="s">
        <v>12666</v>
      </c>
      <c r="F161" s="102" t="s">
        <v>12666</v>
      </c>
      <c r="G161" s="102" t="s">
        <v>12666</v>
      </c>
      <c r="H161" s="164"/>
      <c r="I161" s="51">
        <f>IF(speciated_chemicals_127[[#This Row],[Inert / Not a Contaminant?]]="Yes", 0, speciated_chemicals_127[[#This Row],[Weight Percent]]*(unique_components_126[[#Totals],[Controlled lb/hr]]+standard_components_125[[#Totals],[Controlled
lb/hr]]))</f>
        <v>0</v>
      </c>
      <c r="J161" s="51">
        <f>IF(speciated_chemicals_127[[#This Row],[Inert / Not a Contaminant?]]="Yes", 0, speciated_chemicals_127[[#This Row],[Weight Percent]]*(unique_components_126[[#Totals],[Controlled
tpy]]+standard_components_125[[#Totals],[Controlled
tpy]]))</f>
        <v>0</v>
      </c>
    </row>
    <row r="162" spans="1:10" x14ac:dyDescent="0.2">
      <c r="A162" s="103"/>
      <c r="B162" s="51" t="str">
        <f>IFERROR(VLOOKUP(speciated_chemicals_127[[#This Row],[CAS '#]],species[],MATCH("Substance", species[#Headers], 0),FALSE),"No CAS Number Entered")</f>
        <v>No CAS Number Entered</v>
      </c>
      <c r="C162" s="102"/>
      <c r="D162" s="102" t="s">
        <v>12666</v>
      </c>
      <c r="E162" s="102" t="s">
        <v>12666</v>
      </c>
      <c r="F162" s="102" t="s">
        <v>12666</v>
      </c>
      <c r="G162" s="102" t="s">
        <v>12666</v>
      </c>
      <c r="H162" s="164"/>
      <c r="I162" s="51">
        <f>IF(speciated_chemicals_127[[#This Row],[Inert / Not a Contaminant?]]="Yes", 0, speciated_chemicals_127[[#This Row],[Weight Percent]]*(unique_components_126[[#Totals],[Controlled lb/hr]]+standard_components_125[[#Totals],[Controlled
lb/hr]]))</f>
        <v>0</v>
      </c>
      <c r="J162" s="51">
        <f>IF(speciated_chemicals_127[[#This Row],[Inert / Not a Contaminant?]]="Yes", 0, speciated_chemicals_127[[#This Row],[Weight Percent]]*(unique_components_126[[#Totals],[Controlled
tpy]]+standard_components_125[[#Totals],[Controlled
tpy]]))</f>
        <v>0</v>
      </c>
    </row>
    <row r="163" spans="1:10" x14ac:dyDescent="0.2">
      <c r="A163" s="103"/>
      <c r="B163" s="51" t="str">
        <f>IFERROR(VLOOKUP(speciated_chemicals_127[[#This Row],[CAS '#]],species[],MATCH("Substance", species[#Headers], 0),FALSE),"No CAS Number Entered")</f>
        <v>No CAS Number Entered</v>
      </c>
      <c r="C163" s="102"/>
      <c r="D163" s="102" t="s">
        <v>12666</v>
      </c>
      <c r="E163" s="102" t="s">
        <v>12666</v>
      </c>
      <c r="F163" s="102" t="s">
        <v>12666</v>
      </c>
      <c r="G163" s="102" t="s">
        <v>12666</v>
      </c>
      <c r="H163" s="164"/>
      <c r="I163" s="51">
        <f>IF(speciated_chemicals_127[[#This Row],[Inert / Not a Contaminant?]]="Yes", 0, speciated_chemicals_127[[#This Row],[Weight Percent]]*(unique_components_126[[#Totals],[Controlled lb/hr]]+standard_components_125[[#Totals],[Controlled
lb/hr]]))</f>
        <v>0</v>
      </c>
      <c r="J163" s="51">
        <f>IF(speciated_chemicals_127[[#This Row],[Inert / Not a Contaminant?]]="Yes", 0, speciated_chemicals_127[[#This Row],[Weight Percent]]*(unique_components_126[[#Totals],[Controlled
tpy]]+standard_components_125[[#Totals],[Controlled
tpy]]))</f>
        <v>0</v>
      </c>
    </row>
    <row r="164" spans="1:10" x14ac:dyDescent="0.2">
      <c r="A164" s="103"/>
      <c r="B164" s="51" t="str">
        <f>IFERROR(VLOOKUP(speciated_chemicals_127[[#This Row],[CAS '#]],species[],MATCH("Substance", species[#Headers], 0),FALSE),"No CAS Number Entered")</f>
        <v>No CAS Number Entered</v>
      </c>
      <c r="C164" s="102"/>
      <c r="D164" s="102" t="s">
        <v>12666</v>
      </c>
      <c r="E164" s="102" t="s">
        <v>12666</v>
      </c>
      <c r="F164" s="102" t="s">
        <v>12666</v>
      </c>
      <c r="G164" s="102" t="s">
        <v>12666</v>
      </c>
      <c r="H164" s="164"/>
      <c r="I164" s="51">
        <f>IF(speciated_chemicals_127[[#This Row],[Inert / Not a Contaminant?]]="Yes", 0, speciated_chemicals_127[[#This Row],[Weight Percent]]*(unique_components_126[[#Totals],[Controlled lb/hr]]+standard_components_125[[#Totals],[Controlled
lb/hr]]))</f>
        <v>0</v>
      </c>
      <c r="J164" s="51">
        <f>IF(speciated_chemicals_127[[#This Row],[Inert / Not a Contaminant?]]="Yes", 0, speciated_chemicals_127[[#This Row],[Weight Percent]]*(unique_components_126[[#Totals],[Controlled
tpy]]+standard_components_125[[#Totals],[Controlled
tpy]]))</f>
        <v>0</v>
      </c>
    </row>
    <row r="165" spans="1:10" x14ac:dyDescent="0.2">
      <c r="A165" s="103"/>
      <c r="B165" s="51" t="str">
        <f>IFERROR(VLOOKUP(speciated_chemicals_127[[#This Row],[CAS '#]],species[],MATCH("Substance", species[#Headers], 0),FALSE),"No CAS Number Entered")</f>
        <v>No CAS Number Entered</v>
      </c>
      <c r="C165" s="102"/>
      <c r="D165" s="102" t="s">
        <v>12666</v>
      </c>
      <c r="E165" s="102" t="s">
        <v>12666</v>
      </c>
      <c r="F165" s="102" t="s">
        <v>12666</v>
      </c>
      <c r="G165" s="102" t="s">
        <v>12666</v>
      </c>
      <c r="H165" s="164"/>
      <c r="I165" s="51">
        <f>IF(speciated_chemicals_127[[#This Row],[Inert / Not a Contaminant?]]="Yes", 0, speciated_chemicals_127[[#This Row],[Weight Percent]]*(unique_components_126[[#Totals],[Controlled lb/hr]]+standard_components_125[[#Totals],[Controlled
lb/hr]]))</f>
        <v>0</v>
      </c>
      <c r="J165" s="51">
        <f>IF(speciated_chemicals_127[[#This Row],[Inert / Not a Contaminant?]]="Yes", 0, speciated_chemicals_127[[#This Row],[Weight Percent]]*(unique_components_126[[#Totals],[Controlled
tpy]]+standard_components_125[[#Totals],[Controlled
tpy]]))</f>
        <v>0</v>
      </c>
    </row>
    <row r="166" spans="1:10" x14ac:dyDescent="0.2">
      <c r="A166" s="103"/>
      <c r="B166" s="51" t="str">
        <f>IFERROR(VLOOKUP(speciated_chemicals_127[[#This Row],[CAS '#]],species[],MATCH("Substance", species[#Headers], 0),FALSE),"No CAS Number Entered")</f>
        <v>No CAS Number Entered</v>
      </c>
      <c r="C166" s="102"/>
      <c r="D166" s="102" t="s">
        <v>12666</v>
      </c>
      <c r="E166" s="102" t="s">
        <v>12666</v>
      </c>
      <c r="F166" s="102" t="s">
        <v>12666</v>
      </c>
      <c r="G166" s="102" t="s">
        <v>12666</v>
      </c>
      <c r="H166" s="164"/>
      <c r="I166" s="51">
        <f>IF(speciated_chemicals_127[[#This Row],[Inert / Not a Contaminant?]]="Yes", 0, speciated_chemicals_127[[#This Row],[Weight Percent]]*(unique_components_126[[#Totals],[Controlled lb/hr]]+standard_components_125[[#Totals],[Controlled
lb/hr]]))</f>
        <v>0</v>
      </c>
      <c r="J166" s="51">
        <f>IF(speciated_chemicals_127[[#This Row],[Inert / Not a Contaminant?]]="Yes", 0, speciated_chemicals_127[[#This Row],[Weight Percent]]*(unique_components_126[[#Totals],[Controlled
tpy]]+standard_components_125[[#Totals],[Controlled
tpy]]))</f>
        <v>0</v>
      </c>
    </row>
    <row r="167" spans="1:10" x14ac:dyDescent="0.2">
      <c r="A167" s="103"/>
      <c r="B167" s="51" t="str">
        <f>IFERROR(VLOOKUP(speciated_chemicals_127[[#This Row],[CAS '#]],species[],MATCH("Substance", species[#Headers], 0),FALSE),"No CAS Number Entered")</f>
        <v>No CAS Number Entered</v>
      </c>
      <c r="C167" s="102"/>
      <c r="D167" s="102" t="s">
        <v>12666</v>
      </c>
      <c r="E167" s="102" t="s">
        <v>12666</v>
      </c>
      <c r="F167" s="102" t="s">
        <v>12666</v>
      </c>
      <c r="G167" s="102" t="s">
        <v>12666</v>
      </c>
      <c r="H167" s="164"/>
      <c r="I167" s="51">
        <f>IF(speciated_chemicals_127[[#This Row],[Inert / Not a Contaminant?]]="Yes", 0, speciated_chemicals_127[[#This Row],[Weight Percent]]*(unique_components_126[[#Totals],[Controlled lb/hr]]+standard_components_125[[#Totals],[Controlled
lb/hr]]))</f>
        <v>0</v>
      </c>
      <c r="J167" s="51">
        <f>IF(speciated_chemicals_127[[#This Row],[Inert / Not a Contaminant?]]="Yes", 0, speciated_chemicals_127[[#This Row],[Weight Percent]]*(unique_components_126[[#Totals],[Controlled
tpy]]+standard_components_125[[#Totals],[Controlled
tpy]]))</f>
        <v>0</v>
      </c>
    </row>
    <row r="168" spans="1:10" x14ac:dyDescent="0.2">
      <c r="A168" s="103"/>
      <c r="B168" s="51" t="str">
        <f>IFERROR(VLOOKUP(speciated_chemicals_127[[#This Row],[CAS '#]],species[],MATCH("Substance", species[#Headers], 0),FALSE),"No CAS Number Entered")</f>
        <v>No CAS Number Entered</v>
      </c>
      <c r="C168" s="102"/>
      <c r="D168" s="102" t="s">
        <v>12666</v>
      </c>
      <c r="E168" s="102" t="s">
        <v>12666</v>
      </c>
      <c r="F168" s="102" t="s">
        <v>12666</v>
      </c>
      <c r="G168" s="102" t="s">
        <v>12666</v>
      </c>
      <c r="H168" s="164"/>
      <c r="I168" s="51">
        <f>IF(speciated_chemicals_127[[#This Row],[Inert / Not a Contaminant?]]="Yes", 0, speciated_chemicals_127[[#This Row],[Weight Percent]]*(unique_components_126[[#Totals],[Controlled lb/hr]]+standard_components_125[[#Totals],[Controlled
lb/hr]]))</f>
        <v>0</v>
      </c>
      <c r="J168" s="51">
        <f>IF(speciated_chemicals_127[[#This Row],[Inert / Not a Contaminant?]]="Yes", 0, speciated_chemicals_127[[#This Row],[Weight Percent]]*(unique_components_126[[#Totals],[Controlled
tpy]]+standard_components_125[[#Totals],[Controlled
tpy]]))</f>
        <v>0</v>
      </c>
    </row>
    <row r="169" spans="1:10" x14ac:dyDescent="0.2">
      <c r="A169" s="103"/>
      <c r="B169" s="51" t="str">
        <f>IFERROR(VLOOKUP(speciated_chemicals_127[[#This Row],[CAS '#]],species[],MATCH("Substance", species[#Headers], 0),FALSE),"No CAS Number Entered")</f>
        <v>No CAS Number Entered</v>
      </c>
      <c r="C169" s="102"/>
      <c r="D169" s="102" t="s">
        <v>12666</v>
      </c>
      <c r="E169" s="102" t="s">
        <v>12666</v>
      </c>
      <c r="F169" s="102" t="s">
        <v>12666</v>
      </c>
      <c r="G169" s="102" t="s">
        <v>12666</v>
      </c>
      <c r="H169" s="164"/>
      <c r="I169" s="51">
        <f>IF(speciated_chemicals_127[[#This Row],[Inert / Not a Contaminant?]]="Yes", 0, speciated_chemicals_127[[#This Row],[Weight Percent]]*(unique_components_126[[#Totals],[Controlled lb/hr]]+standard_components_125[[#Totals],[Controlled
lb/hr]]))</f>
        <v>0</v>
      </c>
      <c r="J169" s="51">
        <f>IF(speciated_chemicals_127[[#This Row],[Inert / Not a Contaminant?]]="Yes", 0, speciated_chemicals_127[[#This Row],[Weight Percent]]*(unique_components_126[[#Totals],[Controlled
tpy]]+standard_components_125[[#Totals],[Controlled
tpy]]))</f>
        <v>0</v>
      </c>
    </row>
    <row r="170" spans="1:10" x14ac:dyDescent="0.2">
      <c r="A170" s="103"/>
      <c r="B170" s="51" t="str">
        <f>IFERROR(VLOOKUP(speciated_chemicals_127[[#This Row],[CAS '#]],species[],MATCH("Substance", species[#Headers], 0),FALSE),"No CAS Number Entered")</f>
        <v>No CAS Number Entered</v>
      </c>
      <c r="C170" s="102"/>
      <c r="D170" s="102" t="s">
        <v>12666</v>
      </c>
      <c r="E170" s="102" t="s">
        <v>12666</v>
      </c>
      <c r="F170" s="102" t="s">
        <v>12666</v>
      </c>
      <c r="G170" s="102" t="s">
        <v>12666</v>
      </c>
      <c r="H170" s="164"/>
      <c r="I170" s="51">
        <f>IF(speciated_chemicals_127[[#This Row],[Inert / Not a Contaminant?]]="Yes", 0, speciated_chemicals_127[[#This Row],[Weight Percent]]*(unique_components_126[[#Totals],[Controlled lb/hr]]+standard_components_125[[#Totals],[Controlled
lb/hr]]))</f>
        <v>0</v>
      </c>
      <c r="J170" s="51">
        <f>IF(speciated_chemicals_127[[#This Row],[Inert / Not a Contaminant?]]="Yes", 0, speciated_chemicals_127[[#This Row],[Weight Percent]]*(unique_components_126[[#Totals],[Controlled
tpy]]+standard_components_125[[#Totals],[Controlled
tpy]]))</f>
        <v>0</v>
      </c>
    </row>
    <row r="171" spans="1:10" x14ac:dyDescent="0.2">
      <c r="A171" s="103"/>
      <c r="B171" s="51" t="str">
        <f>IFERROR(VLOOKUP(speciated_chemicals_127[[#This Row],[CAS '#]],species[],MATCH("Substance", species[#Headers], 0),FALSE),"No CAS Number Entered")</f>
        <v>No CAS Number Entered</v>
      </c>
      <c r="C171" s="102"/>
      <c r="D171" s="102" t="s">
        <v>12666</v>
      </c>
      <c r="E171" s="102" t="s">
        <v>12666</v>
      </c>
      <c r="F171" s="102" t="s">
        <v>12666</v>
      </c>
      <c r="G171" s="102" t="s">
        <v>12666</v>
      </c>
      <c r="H171" s="164"/>
      <c r="I171" s="51">
        <f>IF(speciated_chemicals_127[[#This Row],[Inert / Not a Contaminant?]]="Yes", 0, speciated_chemicals_127[[#This Row],[Weight Percent]]*(unique_components_126[[#Totals],[Controlled lb/hr]]+standard_components_125[[#Totals],[Controlled
lb/hr]]))</f>
        <v>0</v>
      </c>
      <c r="J171" s="51">
        <f>IF(speciated_chemicals_127[[#This Row],[Inert / Not a Contaminant?]]="Yes", 0, speciated_chemicals_127[[#This Row],[Weight Percent]]*(unique_components_126[[#Totals],[Controlled
tpy]]+standard_components_125[[#Totals],[Controlled
tpy]]))</f>
        <v>0</v>
      </c>
    </row>
    <row r="172" spans="1:10" x14ac:dyDescent="0.2">
      <c r="A172" s="103"/>
      <c r="B172" s="51" t="str">
        <f>IFERROR(VLOOKUP(speciated_chemicals_127[[#This Row],[CAS '#]],species[],MATCH("Substance", species[#Headers], 0),FALSE),"No CAS Number Entered")</f>
        <v>No CAS Number Entered</v>
      </c>
      <c r="C172" s="102"/>
      <c r="D172" s="102" t="s">
        <v>12666</v>
      </c>
      <c r="E172" s="102" t="s">
        <v>12666</v>
      </c>
      <c r="F172" s="102" t="s">
        <v>12666</v>
      </c>
      <c r="G172" s="102" t="s">
        <v>12666</v>
      </c>
      <c r="H172" s="164"/>
      <c r="I172" s="51">
        <f>IF(speciated_chemicals_127[[#This Row],[Inert / Not a Contaminant?]]="Yes", 0, speciated_chemicals_127[[#This Row],[Weight Percent]]*(unique_components_126[[#Totals],[Controlled lb/hr]]+standard_components_125[[#Totals],[Controlled
lb/hr]]))</f>
        <v>0</v>
      </c>
      <c r="J172" s="51">
        <f>IF(speciated_chemicals_127[[#This Row],[Inert / Not a Contaminant?]]="Yes", 0, speciated_chemicals_127[[#This Row],[Weight Percent]]*(unique_components_126[[#Totals],[Controlled
tpy]]+standard_components_125[[#Totals],[Controlled
tpy]]))</f>
        <v>0</v>
      </c>
    </row>
    <row r="173" spans="1:10" x14ac:dyDescent="0.2">
      <c r="A173" s="103"/>
      <c r="B173" s="51" t="str">
        <f>IFERROR(VLOOKUP(speciated_chemicals_127[[#This Row],[CAS '#]],species[],MATCH("Substance", species[#Headers], 0),FALSE),"No CAS Number Entered")</f>
        <v>No CAS Number Entered</v>
      </c>
      <c r="C173" s="102"/>
      <c r="D173" s="102" t="s">
        <v>12666</v>
      </c>
      <c r="E173" s="102" t="s">
        <v>12666</v>
      </c>
      <c r="F173" s="102" t="s">
        <v>12666</v>
      </c>
      <c r="G173" s="102" t="s">
        <v>12666</v>
      </c>
      <c r="H173" s="164"/>
      <c r="I173" s="51">
        <f>IF(speciated_chemicals_127[[#This Row],[Inert / Not a Contaminant?]]="Yes", 0, speciated_chemicals_127[[#This Row],[Weight Percent]]*(unique_components_126[[#Totals],[Controlled lb/hr]]+standard_components_125[[#Totals],[Controlled
lb/hr]]))</f>
        <v>0</v>
      </c>
      <c r="J173" s="51">
        <f>IF(speciated_chemicals_127[[#This Row],[Inert / Not a Contaminant?]]="Yes", 0, speciated_chemicals_127[[#This Row],[Weight Percent]]*(unique_components_126[[#Totals],[Controlled
tpy]]+standard_components_125[[#Totals],[Controlled
tpy]]))</f>
        <v>0</v>
      </c>
    </row>
    <row r="174" spans="1:10" x14ac:dyDescent="0.2">
      <c r="A174" s="103"/>
      <c r="B174" s="51" t="str">
        <f>IFERROR(VLOOKUP(speciated_chemicals_127[[#This Row],[CAS '#]],species[],MATCH("Substance", species[#Headers], 0),FALSE),"No CAS Number Entered")</f>
        <v>No CAS Number Entered</v>
      </c>
      <c r="C174" s="102"/>
      <c r="D174" s="102" t="s">
        <v>12666</v>
      </c>
      <c r="E174" s="102" t="s">
        <v>12666</v>
      </c>
      <c r="F174" s="102" t="s">
        <v>12666</v>
      </c>
      <c r="G174" s="102" t="s">
        <v>12666</v>
      </c>
      <c r="H174" s="164"/>
      <c r="I174" s="51">
        <f>IF(speciated_chemicals_127[[#This Row],[Inert / Not a Contaminant?]]="Yes", 0, speciated_chemicals_127[[#This Row],[Weight Percent]]*(unique_components_126[[#Totals],[Controlled lb/hr]]+standard_components_125[[#Totals],[Controlled
lb/hr]]))</f>
        <v>0</v>
      </c>
      <c r="J174" s="51">
        <f>IF(speciated_chemicals_127[[#This Row],[Inert / Not a Contaminant?]]="Yes", 0, speciated_chemicals_127[[#This Row],[Weight Percent]]*(unique_components_126[[#Totals],[Controlled
tpy]]+standard_components_125[[#Totals],[Controlled
tpy]]))</f>
        <v>0</v>
      </c>
    </row>
    <row r="175" spans="1:10" x14ac:dyDescent="0.2">
      <c r="A175" s="103"/>
      <c r="B175" s="51" t="str">
        <f>IFERROR(VLOOKUP(speciated_chemicals_127[[#This Row],[CAS '#]],species[],MATCH("Substance", species[#Headers], 0),FALSE),"No CAS Number Entered")</f>
        <v>No CAS Number Entered</v>
      </c>
      <c r="C175" s="102"/>
      <c r="D175" s="102" t="s">
        <v>12666</v>
      </c>
      <c r="E175" s="102" t="s">
        <v>12666</v>
      </c>
      <c r="F175" s="102" t="s">
        <v>12666</v>
      </c>
      <c r="G175" s="102" t="s">
        <v>12666</v>
      </c>
      <c r="H175" s="164"/>
      <c r="I175" s="51">
        <f>IF(speciated_chemicals_127[[#This Row],[Inert / Not a Contaminant?]]="Yes", 0, speciated_chemicals_127[[#This Row],[Weight Percent]]*(unique_components_126[[#Totals],[Controlled lb/hr]]+standard_components_125[[#Totals],[Controlled
lb/hr]]))</f>
        <v>0</v>
      </c>
      <c r="J175" s="51">
        <f>IF(speciated_chemicals_127[[#This Row],[Inert / Not a Contaminant?]]="Yes", 0, speciated_chemicals_127[[#This Row],[Weight Percent]]*(unique_components_126[[#Totals],[Controlled
tpy]]+standard_components_125[[#Totals],[Controlled
tpy]]))</f>
        <v>0</v>
      </c>
    </row>
    <row r="176" spans="1:10" x14ac:dyDescent="0.2">
      <c r="A176" s="165"/>
      <c r="B176" s="51" t="str">
        <f>IFERROR(VLOOKUP(speciated_chemicals_127[[#This Row],[CAS '#]],species[],MATCH("Substance", species[#Headers], 0),FALSE),"No CAS Number Entered")</f>
        <v>No CAS Number Entered</v>
      </c>
      <c r="C176" s="102"/>
      <c r="D176" s="102" t="s">
        <v>12666</v>
      </c>
      <c r="E176" s="102" t="s">
        <v>12666</v>
      </c>
      <c r="F176" s="102" t="s">
        <v>12666</v>
      </c>
      <c r="G176" s="102" t="s">
        <v>12666</v>
      </c>
      <c r="H176" s="164"/>
      <c r="I176" s="51">
        <f>IF(speciated_chemicals_127[[#This Row],[Inert / Not a Contaminant?]]="Yes", 0, speciated_chemicals_127[[#This Row],[Weight Percent]]*(unique_components_126[[#Totals],[Controlled lb/hr]]+standard_components_125[[#Totals],[Controlled
lb/hr]]))</f>
        <v>0</v>
      </c>
      <c r="J176" s="51">
        <f>IF(speciated_chemicals_127[[#This Row],[Inert / Not a Contaminant?]]="Yes", 0, speciated_chemicals_127[[#This Row],[Weight Percent]]*(unique_components_126[[#Totals],[Controlled
tpy]]+standard_components_125[[#Totals],[Controlled
tpy]]))</f>
        <v>0</v>
      </c>
    </row>
    <row r="177" spans="1:10" x14ac:dyDescent="0.2">
      <c r="A177" s="103"/>
      <c r="B177" s="51" t="str">
        <f>IFERROR(VLOOKUP(speciated_chemicals_127[[#This Row],[CAS '#]],species[],MATCH("Substance", species[#Headers], 0),FALSE),"No CAS Number Entered")</f>
        <v>No CAS Number Entered</v>
      </c>
      <c r="C177" s="102"/>
      <c r="D177" s="102" t="s">
        <v>12666</v>
      </c>
      <c r="E177" s="102" t="s">
        <v>12666</v>
      </c>
      <c r="F177" s="102" t="s">
        <v>12666</v>
      </c>
      <c r="G177" s="102" t="s">
        <v>12666</v>
      </c>
      <c r="H177" s="164"/>
      <c r="I177" s="51">
        <f>IF(speciated_chemicals_127[[#This Row],[Inert / Not a Contaminant?]]="Yes", 0, speciated_chemicals_127[[#This Row],[Weight Percent]]*(unique_components_126[[#Totals],[Controlled lb/hr]]+standard_components_125[[#Totals],[Controlled
lb/hr]]))</f>
        <v>0</v>
      </c>
      <c r="J177" s="51">
        <f>IF(speciated_chemicals_127[[#This Row],[Inert / Not a Contaminant?]]="Yes", 0, speciated_chemicals_127[[#This Row],[Weight Percent]]*(unique_components_126[[#Totals],[Controlled
tpy]]+standard_components_125[[#Totals],[Controlled
tpy]]))</f>
        <v>0</v>
      </c>
    </row>
    <row r="178" spans="1:10" x14ac:dyDescent="0.2">
      <c r="A178" s="103"/>
      <c r="B178" s="51" t="str">
        <f>IFERROR(VLOOKUP(speciated_chemicals_127[[#This Row],[CAS '#]],species[],MATCH("Substance", species[#Headers], 0),FALSE),"No CAS Number Entered")</f>
        <v>No CAS Number Entered</v>
      </c>
      <c r="C178" s="102"/>
      <c r="D178" s="102" t="s">
        <v>12666</v>
      </c>
      <c r="E178" s="102" t="s">
        <v>12666</v>
      </c>
      <c r="F178" s="102" t="s">
        <v>12666</v>
      </c>
      <c r="G178" s="102" t="s">
        <v>12666</v>
      </c>
      <c r="H178" s="164"/>
      <c r="I178" s="51">
        <f>IF(speciated_chemicals_127[[#This Row],[Inert / Not a Contaminant?]]="Yes", 0, speciated_chemicals_127[[#This Row],[Weight Percent]]*(unique_components_126[[#Totals],[Controlled lb/hr]]+standard_components_125[[#Totals],[Controlled
lb/hr]]))</f>
        <v>0</v>
      </c>
      <c r="J178" s="51">
        <f>IF(speciated_chemicals_127[[#This Row],[Inert / Not a Contaminant?]]="Yes", 0, speciated_chemicals_127[[#This Row],[Weight Percent]]*(unique_components_126[[#Totals],[Controlled
tpy]]+standard_components_125[[#Totals],[Controlled
tpy]]))</f>
        <v>0</v>
      </c>
    </row>
    <row r="179" spans="1:10" x14ac:dyDescent="0.2">
      <c r="A179" s="103"/>
      <c r="B179" s="51" t="str">
        <f>IFERROR(VLOOKUP(speciated_chemicals_127[[#This Row],[CAS '#]],species[],MATCH("Substance", species[#Headers], 0),FALSE),"No CAS Number Entered")</f>
        <v>No CAS Number Entered</v>
      </c>
      <c r="C179" s="102"/>
      <c r="D179" s="102" t="s">
        <v>12666</v>
      </c>
      <c r="E179" s="102" t="s">
        <v>12666</v>
      </c>
      <c r="F179" s="102" t="s">
        <v>12666</v>
      </c>
      <c r="G179" s="102" t="s">
        <v>12666</v>
      </c>
      <c r="H179" s="164"/>
      <c r="I179" s="51">
        <f>IF(speciated_chemicals_127[[#This Row],[Inert / Not a Contaminant?]]="Yes", 0, speciated_chemicals_127[[#This Row],[Weight Percent]]*(unique_components_126[[#Totals],[Controlled lb/hr]]+standard_components_125[[#Totals],[Controlled
lb/hr]]))</f>
        <v>0</v>
      </c>
      <c r="J179" s="51">
        <f>IF(speciated_chemicals_127[[#This Row],[Inert / Not a Contaminant?]]="Yes", 0, speciated_chemicals_127[[#This Row],[Weight Percent]]*(unique_components_126[[#Totals],[Controlled
tpy]]+standard_components_125[[#Totals],[Controlled
tpy]]))</f>
        <v>0</v>
      </c>
    </row>
    <row r="180" spans="1:10" x14ac:dyDescent="0.2">
      <c r="A180" s="103"/>
      <c r="B180" s="51" t="str">
        <f>IFERROR(VLOOKUP(speciated_chemicals_127[[#This Row],[CAS '#]],species[],MATCH("Substance", species[#Headers], 0),FALSE),"No CAS Number Entered")</f>
        <v>No CAS Number Entered</v>
      </c>
      <c r="C180" s="102"/>
      <c r="D180" s="102" t="s">
        <v>12666</v>
      </c>
      <c r="E180" s="102" t="s">
        <v>12666</v>
      </c>
      <c r="F180" s="102" t="s">
        <v>12666</v>
      </c>
      <c r="G180" s="102" t="s">
        <v>12666</v>
      </c>
      <c r="H180" s="164"/>
      <c r="I180" s="51">
        <f>IF(speciated_chemicals_127[[#This Row],[Inert / Not a Contaminant?]]="Yes", 0, speciated_chemicals_127[[#This Row],[Weight Percent]]*(unique_components_126[[#Totals],[Controlled lb/hr]]+standard_components_125[[#Totals],[Controlled
lb/hr]]))</f>
        <v>0</v>
      </c>
      <c r="J180" s="51">
        <f>IF(speciated_chemicals_127[[#This Row],[Inert / Not a Contaminant?]]="Yes", 0, speciated_chemicals_127[[#This Row],[Weight Percent]]*(unique_components_126[[#Totals],[Controlled
tpy]]+standard_components_125[[#Totals],[Controlled
tpy]]))</f>
        <v>0</v>
      </c>
    </row>
    <row r="181" spans="1:10" ht="30" x14ac:dyDescent="0.2">
      <c r="A181" s="184" t="s">
        <v>12705</v>
      </c>
      <c r="B181" s="52"/>
      <c r="C181" s="53"/>
      <c r="D181" s="52"/>
      <c r="E181" s="52"/>
      <c r="F181" s="52"/>
      <c r="G181" s="52"/>
      <c r="H181" s="166">
        <f>SUBTOTAL(109,speciated_chemicals_127[Weight Percent])</f>
        <v>0</v>
      </c>
      <c r="I181" s="167">
        <f>SUBTOTAL(109,speciated_chemicals_127[lb/hr])</f>
        <v>0</v>
      </c>
      <c r="J181" s="167">
        <f>SUBTOTAL(109,speciated_chemicals_127[tpy])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MATCH(speciated_ghg_128[[#This Row],[CAS '#]], gwp_table[CAS No.], 0), MATCH("Name", gwp_table[#Headers], 0)),"No CAS Number Entered")</f>
        <v>No CAS Number Entered</v>
      </c>
      <c r="C185" s="79" t="str">
        <f>IFERROR(INDEX(gwp_table[], MATCH(speciated_ghg_128[[#This Row],[CAS '#]], gwp_table[CAS No.], 0), MATCH("Global warming potential", gwp_table[#Headers], 0)),"No CAS Number Entered")</f>
        <v>No CAS Number Entered</v>
      </c>
      <c r="D185" s="219"/>
      <c r="E185" s="79">
        <f>IFERROR(speciated_ghg_128[[#This Row],[Weight Percent]]*(unique_components_126[[#Totals],[Controlled
tpy]]+standard_components_125[[#Totals],[Controlled
tpy]]), "-")</f>
        <v>0</v>
      </c>
      <c r="F185" s="81" t="str">
        <f>IFERROR(speciated_ghg_128[[#This Row],[Mass Emissions (U.S. tons per year)]]*speciated_ghg_128[[#This Row],[Global Warming Potential (GWP)]], "-")</f>
        <v>-</v>
      </c>
      <c r="G185" s="30"/>
      <c r="H185" s="168"/>
      <c r="I185" s="168"/>
    </row>
    <row r="186" spans="1:10" x14ac:dyDescent="0.2">
      <c r="A186" s="210"/>
      <c r="B186" s="79" t="str">
        <f>IFERROR(INDEX(gwp_table[], MATCH(speciated_ghg_128[[#This Row],[CAS '#]], gwp_table[CAS No.], 0), MATCH("Name", gwp_table[#Headers], 0)),"No CAS Number Entered")</f>
        <v>No CAS Number Entered</v>
      </c>
      <c r="C186" s="79" t="str">
        <f>IFERROR(INDEX(gwp_table[], MATCH(speciated_ghg_128[[#This Row],[CAS '#]], gwp_table[CAS No.], 0), MATCH("Global warming potential", gwp_table[#Headers], 0)),"No CAS Number Entered")</f>
        <v>No CAS Number Entered</v>
      </c>
      <c r="D186" s="219"/>
      <c r="E186" s="79">
        <f>IFERROR(speciated_ghg_128[[#This Row],[Weight Percent]]*(unique_components_126[[#Totals],[Controlled
tpy]]+standard_components_125[[#Totals],[Controlled
tpy]]), "-")</f>
        <v>0</v>
      </c>
      <c r="F186" s="81" t="str">
        <f>IFERROR(speciated_ghg_128[[#This Row],[Mass Emissions (U.S. tons per year)]]*speciated_ghg_128[[#This Row],[Global Warming Potential (GWP)]], "-")</f>
        <v>-</v>
      </c>
      <c r="G186" s="30"/>
      <c r="H186" s="168"/>
      <c r="I186" s="168"/>
    </row>
    <row r="187" spans="1:10" x14ac:dyDescent="0.2">
      <c r="A187" s="210"/>
      <c r="B187" s="79" t="str">
        <f>IFERROR(INDEX(gwp_table[], MATCH(speciated_ghg_128[[#This Row],[CAS '#]], gwp_table[CAS No.], 0), MATCH("Name", gwp_table[#Headers], 0)),"No CAS Number Entered")</f>
        <v>No CAS Number Entered</v>
      </c>
      <c r="C187" s="79" t="str">
        <f>IFERROR(INDEX(gwp_table[], MATCH(speciated_ghg_128[[#This Row],[CAS '#]], gwp_table[CAS No.], 0), MATCH("Global warming potential", gwp_table[#Headers], 0)),"No CAS Number Entered")</f>
        <v>No CAS Number Entered</v>
      </c>
      <c r="D187" s="219"/>
      <c r="E187" s="79">
        <f>IFERROR(speciated_ghg_128[[#This Row],[Weight Percent]]*(unique_components_126[[#Totals],[Controlled
tpy]]+standard_components_125[[#Totals],[Controlled
tpy]]), "-")</f>
        <v>0</v>
      </c>
      <c r="F187" s="81" t="str">
        <f>IFERROR(speciated_ghg_128[[#This Row],[Mass Emissions (U.S. tons per year)]]*speciated_ghg_128[[#This Row],[Global Warming Potential (GWP)]], "-")</f>
        <v>-</v>
      </c>
      <c r="G187" s="30"/>
      <c r="H187" s="168"/>
      <c r="I187" s="168"/>
    </row>
    <row r="188" spans="1:10" x14ac:dyDescent="0.2">
      <c r="A188" s="210"/>
      <c r="B188" s="79" t="str">
        <f>IFERROR(INDEX(gwp_table[], MATCH(speciated_ghg_128[[#This Row],[CAS '#]], gwp_table[CAS No.], 0), MATCH("Name", gwp_table[#Headers], 0)),"No CAS Number Entered")</f>
        <v>No CAS Number Entered</v>
      </c>
      <c r="C188" s="79" t="str">
        <f>IFERROR(INDEX(gwp_table[], MATCH(speciated_ghg_128[[#This Row],[CAS '#]], gwp_table[CAS No.], 0), MATCH("Global warming potential", gwp_table[#Headers], 0)),"No CAS Number Entered")</f>
        <v>No CAS Number Entered</v>
      </c>
      <c r="D188" s="219"/>
      <c r="E188" s="79">
        <f>IFERROR(speciated_ghg_128[[#This Row],[Weight Percent]]*(unique_components_126[[#Totals],[Controlled
tpy]]+standard_components_125[[#Totals],[Controlled
tpy]]), "-")</f>
        <v>0</v>
      </c>
      <c r="F188" s="81" t="str">
        <f>IFERROR(speciated_ghg_128[[#This Row],[Mass Emissions (U.S. tons per year)]]*speciated_ghg_128[[#This Row],[Global Warming Potential (GWP)]], "-")</f>
        <v>-</v>
      </c>
      <c r="G188" s="30"/>
      <c r="H188" s="168"/>
      <c r="I188" s="168"/>
    </row>
    <row r="189" spans="1:10" x14ac:dyDescent="0.2">
      <c r="A189" s="210"/>
      <c r="B189" s="79" t="str">
        <f>IFERROR(INDEX(gwp_table[], MATCH(speciated_ghg_128[[#This Row],[CAS '#]], gwp_table[CAS No.], 0), MATCH("Name", gwp_table[#Headers], 0)),"No CAS Number Entered")</f>
        <v>No CAS Number Entered</v>
      </c>
      <c r="C189" s="79" t="str">
        <f>IFERROR(INDEX(gwp_table[], MATCH(speciated_ghg_128[[#This Row],[CAS '#]], gwp_table[CAS No.], 0), MATCH("Global warming potential", gwp_table[#Headers], 0)),"No CAS Number Entered")</f>
        <v>No CAS Number Entered</v>
      </c>
      <c r="D189" s="219"/>
      <c r="E189" s="79">
        <f>IFERROR(speciated_ghg_128[[#This Row],[Weight Percent]]*(unique_components_126[[#Totals],[Controlled
tpy]]+standard_components_125[[#Totals],[Controlled
tpy]]), "-")</f>
        <v>0</v>
      </c>
      <c r="F189" s="81" t="str">
        <f>IFERROR(speciated_ghg_128[[#This Row],[Mass Emissions (U.S. tons per year)]]*speciated_ghg_128[[#This Row],[Global Warming Potential (GWP)]], "-")</f>
        <v>-</v>
      </c>
      <c r="G189" s="30"/>
      <c r="H189" s="168"/>
      <c r="I189" s="168"/>
    </row>
    <row r="190" spans="1:10" x14ac:dyDescent="0.2">
      <c r="A190" s="210"/>
      <c r="B190" s="79" t="str">
        <f>IFERROR(INDEX(gwp_table[], MATCH(speciated_ghg_128[[#This Row],[CAS '#]], gwp_table[CAS No.], 0), MATCH("Name", gwp_table[#Headers], 0)),"No CAS Number Entered")</f>
        <v>No CAS Number Entered</v>
      </c>
      <c r="C190" s="79" t="str">
        <f>IFERROR(INDEX(gwp_table[], MATCH(speciated_ghg_128[[#This Row],[CAS '#]], gwp_table[CAS No.], 0), MATCH("Global warming potential", gwp_table[#Headers], 0)),"No CAS Number Entered")</f>
        <v>No CAS Number Entered</v>
      </c>
      <c r="D190" s="219"/>
      <c r="E190" s="79">
        <f>IFERROR(speciated_ghg_128[[#This Row],[Weight Percent]]*(unique_components_126[[#Totals],[Controlled
tpy]]+standard_components_125[[#Totals],[Controlled
tpy]]), "-")</f>
        <v>0</v>
      </c>
      <c r="F190" s="81" t="str">
        <f>IFERROR(speciated_ghg_128[[#This Row],[Mass Emissions (U.S. tons per year)]]*speciated_ghg_128[[#This Row],[Global Warming Potential (GWP)]], "-")</f>
        <v>-</v>
      </c>
      <c r="G190" s="30"/>
      <c r="H190" s="168"/>
      <c r="I190" s="168"/>
    </row>
    <row r="191" spans="1:10" x14ac:dyDescent="0.2">
      <c r="A191" s="210"/>
      <c r="B191" s="79" t="str">
        <f>IFERROR(INDEX(gwp_table[], MATCH(speciated_ghg_128[[#This Row],[CAS '#]], gwp_table[CAS No.], 0), MATCH("Name", gwp_table[#Headers], 0)),"No CAS Number Entered")</f>
        <v>No CAS Number Entered</v>
      </c>
      <c r="C191" s="79" t="str">
        <f>IFERROR(INDEX(gwp_table[], MATCH(speciated_ghg_128[[#This Row],[CAS '#]], gwp_table[CAS No.], 0), MATCH("Global warming potential", gwp_table[#Headers], 0)),"No CAS Number Entered")</f>
        <v>No CAS Number Entered</v>
      </c>
      <c r="D191" s="219"/>
      <c r="E191" s="79">
        <f>IFERROR(speciated_ghg_128[[#This Row],[Weight Percent]]*(unique_components_126[[#Totals],[Controlled
tpy]]+standard_components_125[[#Totals],[Controlled
tpy]]), "-")</f>
        <v>0</v>
      </c>
      <c r="F191" s="81" t="str">
        <f>IFERROR(speciated_ghg_128[[#This Row],[Mass Emissions (U.S. tons per year)]]*speciated_ghg_128[[#This Row],[Global Warming Potential (GWP)]], "-")</f>
        <v>-</v>
      </c>
      <c r="G191" s="17"/>
    </row>
    <row r="192" spans="1:10" ht="15" x14ac:dyDescent="0.25">
      <c r="A192" s="210"/>
      <c r="B192" s="79" t="str">
        <f>IFERROR(INDEX(gwp_table[], MATCH(speciated_ghg_128[[#This Row],[CAS '#]], gwp_table[CAS No.], 0), MATCH("Name", gwp_table[#Headers], 0)),"No CAS Number Entered")</f>
        <v>No CAS Number Entered</v>
      </c>
      <c r="C192" s="79" t="str">
        <f>IFERROR(INDEX(gwp_table[], MATCH(speciated_ghg_128[[#This Row],[CAS '#]], gwp_table[CAS No.], 0), MATCH("Global warming potential", gwp_table[#Headers], 0)),"No CAS Number Entered")</f>
        <v>No CAS Number Entered</v>
      </c>
      <c r="D192" s="219"/>
      <c r="E192" s="79">
        <f>IFERROR(speciated_ghg_128[[#This Row],[Weight Percent]]*(unique_components_126[[#Totals],[Controlled
tpy]]+standard_components_125[[#Totals],[Controlled
tpy]]), "-")</f>
        <v>0</v>
      </c>
      <c r="F192" s="81" t="str">
        <f>IFERROR(speciated_ghg_128[[#This Row],[Mass Emissions (U.S. tons per year)]]*speciated_ghg_128[[#This Row],[Global Warming Potential (GWP)]], "-")</f>
        <v>-</v>
      </c>
      <c r="G192" s="134"/>
      <c r="H192" s="169"/>
    </row>
    <row r="193" spans="1:9" ht="15" x14ac:dyDescent="0.25">
      <c r="A193" s="210"/>
      <c r="B193" s="79" t="str">
        <f>IFERROR(INDEX(gwp_table[], MATCH(speciated_ghg_128[[#This Row],[CAS '#]], gwp_table[CAS No.], 0), MATCH("Name", gwp_table[#Headers], 0)),"No CAS Number Entered")</f>
        <v>No CAS Number Entered</v>
      </c>
      <c r="C193" s="79" t="str">
        <f>IFERROR(INDEX(gwp_table[], MATCH(speciated_ghg_128[[#This Row],[CAS '#]], gwp_table[CAS No.], 0), MATCH("Global warming potential", gwp_table[#Headers], 0)),"No CAS Number Entered")</f>
        <v>No CAS Number Entered</v>
      </c>
      <c r="D193" s="219"/>
      <c r="E193" s="79">
        <f>IFERROR(speciated_ghg_128[[#This Row],[Weight Percent]]*(unique_components_126[[#Totals],[Controlled
tpy]]+standard_components_125[[#Totals],[Controlled
tpy]]), "-")</f>
        <v>0</v>
      </c>
      <c r="F193" s="81" t="str">
        <f>IFERROR(speciated_ghg_128[[#This Row],[Mass Emissions (U.S. tons per year)]]*speciated_ghg_128[[#This Row],[Global Warming Potential (GWP)]], "-")</f>
        <v>-</v>
      </c>
      <c r="G193" s="134"/>
      <c r="H193" s="169"/>
    </row>
    <row r="194" spans="1:9" ht="15" x14ac:dyDescent="0.25">
      <c r="A194" s="210"/>
      <c r="B194" s="79" t="str">
        <f>IFERROR(INDEX(gwp_table[], MATCH(speciated_ghg_128[[#This Row],[CAS '#]], gwp_table[CAS No.], 0), MATCH("Name", gwp_table[#Headers], 0)),"No CAS Number Entered")</f>
        <v>No CAS Number Entered</v>
      </c>
      <c r="C194" s="79" t="str">
        <f>IFERROR(INDEX(gwp_table[], MATCH(speciated_ghg_128[[#This Row],[CAS '#]], gwp_table[CAS No.], 0), MATCH("Global warming potential", gwp_table[#Headers], 0)),"No CAS Number Entered")</f>
        <v>No CAS Number Entered</v>
      </c>
      <c r="D194" s="219"/>
      <c r="E194" s="79">
        <f>IFERROR(speciated_ghg_128[[#This Row],[Weight Percent]]*(unique_components_126[[#Totals],[Controlled
tpy]]+standard_components_125[[#Totals],[Controlled
tpy]]), "-")</f>
        <v>0</v>
      </c>
      <c r="F194" s="81" t="str">
        <f>IFERROR(speciated_ghg_128[[#This Row],[Mass Emissions (U.S. tons per year)]]*speciated_ghg_128[[#This Row],[Global Warming Potential (GWP)]], "-")</f>
        <v>-</v>
      </c>
      <c r="G194" s="134"/>
      <c r="H194" s="169"/>
    </row>
    <row r="195" spans="1:9" x14ac:dyDescent="0.2">
      <c r="A195" s="210"/>
      <c r="B195" s="79" t="str">
        <f>IFERROR(INDEX(gwp_table[], MATCH(speciated_ghg_128[[#This Row],[CAS '#]], gwp_table[CAS No.], 0), MATCH("Name", gwp_table[#Headers], 0)),"No CAS Number Entered")</f>
        <v>No CAS Number Entered</v>
      </c>
      <c r="C195" s="79" t="str">
        <f>IFERROR(INDEX(gwp_table[], MATCH(speciated_ghg_128[[#This Row],[CAS '#]], gwp_table[CAS No.], 0), MATCH("Global warming potential", gwp_table[#Headers], 0)),"No CAS Number Entered")</f>
        <v>No CAS Number Entered</v>
      </c>
      <c r="D195" s="219"/>
      <c r="E195" s="79">
        <f>IFERROR(speciated_ghg_128[[#This Row],[Weight Percent]]*(unique_components_126[[#Totals],[Controlled
tpy]]+standard_components_125[[#Totals],[Controlled
tpy]]), "-")</f>
        <v>0</v>
      </c>
      <c r="F195" s="81" t="str">
        <f>IFERROR(speciated_ghg_128[[#This Row],[Mass Emissions (U.S. tons per year)]]*speciated_ghg_128[[#This Row],[Global Warming Potential (GWP)]], "-")</f>
        <v>-</v>
      </c>
      <c r="G195" s="69"/>
      <c r="H195" s="169"/>
    </row>
    <row r="196" spans="1:9" x14ac:dyDescent="0.2">
      <c r="A196" s="210"/>
      <c r="B196" s="79" t="str">
        <f>IFERROR(INDEX(gwp_table[], MATCH(speciated_ghg_128[[#This Row],[CAS '#]], gwp_table[CAS No.], 0), MATCH("Name", gwp_table[#Headers], 0)),"No CAS Number Entered")</f>
        <v>No CAS Number Entered</v>
      </c>
      <c r="C196" s="79" t="str">
        <f>IFERROR(INDEX(gwp_table[], MATCH(speciated_ghg_128[[#This Row],[CAS '#]], gwp_table[CAS No.], 0), MATCH("Global warming potential", gwp_table[#Headers], 0)),"No CAS Number Entered")</f>
        <v>No CAS Number Entered</v>
      </c>
      <c r="D196" s="219"/>
      <c r="E196" s="79">
        <f>IFERROR(speciated_ghg_128[[#This Row],[Weight Percent]]*(unique_components_126[[#Totals],[Controlled
tpy]]+standard_components_125[[#Totals],[Controlled
tpy]]), "-")</f>
        <v>0</v>
      </c>
      <c r="F196" s="81" t="str">
        <f>IFERROR(speciated_ghg_128[[#This Row],[Mass Emissions (U.S. tons per year)]]*speciated_ghg_128[[#This Row],[Global Warming Potential (GWP)]], "-")</f>
        <v>-</v>
      </c>
      <c r="G196" s="29"/>
      <c r="H196" s="169"/>
    </row>
    <row r="197" spans="1:9" x14ac:dyDescent="0.2">
      <c r="A197" s="210"/>
      <c r="B197" s="79" t="str">
        <f>IFERROR(INDEX(gwp_table[], MATCH(speciated_ghg_128[[#This Row],[CAS '#]], gwp_table[CAS No.], 0), MATCH("Name", gwp_table[#Headers], 0)),"No CAS Number Entered")</f>
        <v>No CAS Number Entered</v>
      </c>
      <c r="C197" s="79" t="str">
        <f>IFERROR(INDEX(gwp_table[], MATCH(speciated_ghg_128[[#This Row],[CAS '#]], gwp_table[CAS No.], 0), MATCH("Global warming potential", gwp_table[#Headers], 0)),"No CAS Number Entered")</f>
        <v>No CAS Number Entered</v>
      </c>
      <c r="D197" s="219"/>
      <c r="E197" s="79">
        <f>IFERROR(speciated_ghg_128[[#This Row],[Weight Percent]]*(unique_components_126[[#Totals],[Controlled
tpy]]+standard_components_125[[#Totals],[Controlled
tpy]]), "-")</f>
        <v>0</v>
      </c>
      <c r="F197" s="81" t="str">
        <f>IFERROR(speciated_ghg_128[[#This Row],[Mass Emissions (U.S. tons per year)]]*speciated_ghg_128[[#This Row],[Global Warming Potential (GWP)]], "-")</f>
        <v>-</v>
      </c>
      <c r="G197" s="29"/>
      <c r="H197" s="29"/>
      <c r="I197" s="169"/>
    </row>
    <row r="198" spans="1:9" x14ac:dyDescent="0.2">
      <c r="A198" s="210"/>
      <c r="B198" s="79" t="str">
        <f>IFERROR(INDEX(gwp_table[], MATCH(speciated_ghg_128[[#This Row],[CAS '#]], gwp_table[CAS No.], 0), MATCH("Name", gwp_table[#Headers], 0)),"No CAS Number Entered")</f>
        <v>No CAS Number Entered</v>
      </c>
      <c r="C198" s="79" t="str">
        <f>IFERROR(INDEX(gwp_table[], MATCH(speciated_ghg_128[[#This Row],[CAS '#]], gwp_table[CAS No.], 0), MATCH("Global warming potential", gwp_table[#Headers], 0)),"No CAS Number Entered")</f>
        <v>No CAS Number Entered</v>
      </c>
      <c r="D198" s="219"/>
      <c r="E198" s="79">
        <f>IFERROR(speciated_ghg_128[[#This Row],[Weight Percent]]*(unique_components_126[[#Totals],[Controlled
tpy]]+standard_components_125[[#Totals],[Controlled
tpy]]), "-")</f>
        <v>0</v>
      </c>
      <c r="F198" s="81" t="str">
        <f>IFERROR(speciated_ghg_128[[#This Row],[Mass Emissions (U.S. tons per year)]]*speciated_ghg_128[[#This Row],[Global Warming Potential (GWP)]], "-")</f>
        <v>-</v>
      </c>
      <c r="G198" s="29"/>
      <c r="H198" s="29"/>
      <c r="I198" s="169"/>
    </row>
    <row r="199" spans="1:9" x14ac:dyDescent="0.2">
      <c r="A199" s="210"/>
      <c r="B199" s="79" t="str">
        <f>IFERROR(INDEX(gwp_table[], MATCH(speciated_ghg_128[[#This Row],[CAS '#]], gwp_table[CAS No.], 0), MATCH("Name", gwp_table[#Headers], 0)),"No CAS Number Entered")</f>
        <v>No CAS Number Entered</v>
      </c>
      <c r="C199" s="79" t="str">
        <f>IFERROR(INDEX(gwp_table[], MATCH(speciated_ghg_128[[#This Row],[CAS '#]], gwp_table[CAS No.], 0), MATCH("Global warming potential", gwp_table[#Headers], 0)),"No CAS Number Entered")</f>
        <v>No CAS Number Entered</v>
      </c>
      <c r="D199" s="219"/>
      <c r="E199" s="79">
        <f>IFERROR(speciated_ghg_128[[#This Row],[Weight Percent]]*(unique_components_126[[#Totals],[Controlled
tpy]]+standard_components_125[[#Totals],[Controlled
tpy]]), "-")</f>
        <v>0</v>
      </c>
      <c r="F199" s="81" t="str">
        <f>IFERROR(speciated_ghg_128[[#This Row],[Mass Emissions (U.S. tons per year)]]*speciated_ghg_128[[#This Row],[Global Warming Potential (GWP)]], "-")</f>
        <v>-</v>
      </c>
      <c r="G199" s="29"/>
      <c r="H199" s="29"/>
      <c r="I199" s="169"/>
    </row>
    <row r="200" spans="1:9" x14ac:dyDescent="0.2">
      <c r="A200" s="210"/>
      <c r="B200" s="79" t="str">
        <f>IFERROR(INDEX(gwp_table[], MATCH(speciated_ghg_128[[#This Row],[CAS '#]], gwp_table[CAS No.], 0), MATCH("Name", gwp_table[#Headers], 0)),"No CAS Number Entered")</f>
        <v>No CAS Number Entered</v>
      </c>
      <c r="C200" s="79" t="str">
        <f>IFERROR(INDEX(gwp_table[], MATCH(speciated_ghg_128[[#This Row],[CAS '#]], gwp_table[CAS No.], 0), MATCH("Global warming potential", gwp_table[#Headers], 0)),"No CAS Number Entered")</f>
        <v>No CAS Number Entered</v>
      </c>
      <c r="D200" s="219"/>
      <c r="E200" s="79">
        <f>IFERROR(speciated_ghg_128[[#This Row],[Weight Percent]]*(unique_components_126[[#Totals],[Controlled
tpy]]+standard_components_125[[#Totals],[Controlled
tpy]]), "-")</f>
        <v>0</v>
      </c>
      <c r="F200" s="81" t="str">
        <f>IFERROR(speciated_ghg_128[[#This Row],[Mass Emissions (U.S. tons per year)]]*speciated_ghg_128[[#This Row],[Global Warming Potential (GWP)]], "-")</f>
        <v>-</v>
      </c>
      <c r="G200" s="29"/>
      <c r="H200" s="29"/>
      <c r="I200" s="169"/>
    </row>
    <row r="201" spans="1:9" x14ac:dyDescent="0.2">
      <c r="A201" s="210"/>
      <c r="B201" s="79" t="str">
        <f>IFERROR(INDEX(gwp_table[], MATCH(speciated_ghg_128[[#This Row],[CAS '#]], gwp_table[CAS No.], 0), MATCH("Name", gwp_table[#Headers], 0)),"No CAS Number Entered")</f>
        <v>No CAS Number Entered</v>
      </c>
      <c r="C201" s="79" t="str">
        <f>IFERROR(INDEX(gwp_table[], MATCH(speciated_ghg_128[[#This Row],[CAS '#]], gwp_table[CAS No.], 0), MATCH("Global warming potential", gwp_table[#Headers], 0)),"No CAS Number Entered")</f>
        <v>No CAS Number Entered</v>
      </c>
      <c r="D201" s="219"/>
      <c r="E201" s="79">
        <f>IFERROR(speciated_ghg_128[[#This Row],[Weight Percent]]*(unique_components_126[[#Totals],[Controlled
tpy]]+standard_components_125[[#Totals],[Controlled
tpy]]), "-")</f>
        <v>0</v>
      </c>
      <c r="F201" s="81" t="str">
        <f>IFERROR(speciated_ghg_128[[#This Row],[Mass Emissions (U.S. tons per year)]]*speciated_ghg_128[[#This Row],[Global Warming Potential (GWP)]], "-")</f>
        <v>-</v>
      </c>
      <c r="G201" s="169"/>
      <c r="H201" s="169"/>
      <c r="I201" s="169"/>
    </row>
    <row r="202" spans="1:9" x14ac:dyDescent="0.2">
      <c r="A202" s="210"/>
      <c r="B202" s="79" t="str">
        <f>IFERROR(INDEX(gwp_table[], MATCH(speciated_ghg_128[[#This Row],[CAS '#]], gwp_table[CAS No.], 0), MATCH("Name", gwp_table[#Headers], 0)),"No CAS Number Entered")</f>
        <v>No CAS Number Entered</v>
      </c>
      <c r="C202" s="79" t="str">
        <f>IFERROR(INDEX(gwp_table[], MATCH(speciated_ghg_128[[#This Row],[CAS '#]], gwp_table[CAS No.], 0), MATCH("Global warming potential", gwp_table[#Headers], 0)),"No CAS Number Entered")</f>
        <v>No CAS Number Entered</v>
      </c>
      <c r="D202" s="219"/>
      <c r="E202" s="79">
        <f>IFERROR(speciated_ghg_128[[#This Row],[Weight Percent]]*(unique_components_126[[#Totals],[Controlled
tpy]]+standard_components_125[[#Totals],[Controlled
tpy]]), "-")</f>
        <v>0</v>
      </c>
      <c r="F202" s="81" t="str">
        <f>IFERROR(speciated_ghg_128[[#This Row],[Mass Emissions (U.S. tons per year)]]*speciated_ghg_128[[#This Row],[Global Warming Potential (GWP)]], "-")</f>
        <v>-</v>
      </c>
      <c r="G202" s="169"/>
      <c r="H202" s="169"/>
      <c r="I202" s="169"/>
    </row>
    <row r="203" spans="1:9" x14ac:dyDescent="0.2">
      <c r="A203" s="210"/>
      <c r="B203" s="79" t="str">
        <f>IFERROR(INDEX(gwp_table[], MATCH(speciated_ghg_128[[#This Row],[CAS '#]], gwp_table[CAS No.], 0), MATCH("Name", gwp_table[#Headers], 0)),"No CAS Number Entered")</f>
        <v>No CAS Number Entered</v>
      </c>
      <c r="C203" s="79" t="str">
        <f>IFERROR(INDEX(gwp_table[], MATCH(speciated_ghg_128[[#This Row],[CAS '#]], gwp_table[CAS No.], 0), MATCH("Global warming potential", gwp_table[#Headers], 0)),"No CAS Number Entered")</f>
        <v>No CAS Number Entered</v>
      </c>
      <c r="D203" s="219"/>
      <c r="E203" s="79">
        <f>IFERROR(speciated_ghg_128[[#This Row],[Weight Percent]]*(unique_components_126[[#Totals],[Controlled
tpy]]+standard_components_125[[#Totals],[Controlled
tpy]]), "-")</f>
        <v>0</v>
      </c>
      <c r="F203" s="81" t="str">
        <f>IFERROR(speciated_ghg_128[[#This Row],[Mass Emissions (U.S. tons per year)]]*speciated_ghg_128[[#This Row],[Global Warming Potential (GWP)]], "-")</f>
        <v>-</v>
      </c>
      <c r="G203" s="169"/>
      <c r="H203" s="169"/>
      <c r="I203" s="169"/>
    </row>
    <row r="204" spans="1:9" ht="30" x14ac:dyDescent="0.25">
      <c r="A204" s="185" t="s">
        <v>13321</v>
      </c>
      <c r="B204" s="77"/>
      <c r="C204" s="77"/>
      <c r="D204" s="77"/>
      <c r="E204" s="80">
        <f>SUBTOTAL(109,speciated_ghg_128[Mass Emissions (U.S. tons per year)])</f>
        <v>0</v>
      </c>
      <c r="F204" s="82">
        <f>SUBTOTAL(109,speciated_ghg_128[CO2e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speciated_chemicals_127[[#Totals],[lb/hr]]</f>
        <v>0</v>
      </c>
      <c r="C207" s="134"/>
      <c r="D207" s="134"/>
      <c r="E207" s="134"/>
      <c r="F207" s="134"/>
      <c r="G207" s="169"/>
      <c r="H207" s="169"/>
    </row>
    <row r="208" spans="1:9" ht="29.25" x14ac:dyDescent="0.25">
      <c r="A208" s="174" t="s">
        <v>13320</v>
      </c>
      <c r="B208" s="175">
        <f>speciated_chemicals_127[[#Totals],[tpy]]</f>
        <v>0</v>
      </c>
      <c r="C208" s="134"/>
      <c r="D208" s="134"/>
      <c r="E208" s="134"/>
      <c r="F208" s="134"/>
      <c r="G208" s="169"/>
      <c r="H208" s="169"/>
    </row>
    <row r="209" spans="1:8" ht="15" x14ac:dyDescent="0.25">
      <c r="A209" s="126" t="s">
        <v>13277</v>
      </c>
      <c r="B209" s="128">
        <f>SUMIF(speciated_chemicals_127[VOC?],"Yes",speciated_chemicals_127[lb/hr])</f>
        <v>0</v>
      </c>
      <c r="C209" s="134"/>
      <c r="D209" s="29"/>
      <c r="E209" s="29"/>
      <c r="F209" s="29"/>
      <c r="G209" s="169"/>
      <c r="H209" s="169"/>
    </row>
    <row r="210" spans="1:8" ht="15" x14ac:dyDescent="0.25">
      <c r="A210" s="126" t="s">
        <v>12669</v>
      </c>
      <c r="B210" s="128">
        <f>SUMIF(speciated_chemicals_127[VOC?],"Yes",speciated_chemicals_127[tpy])</f>
        <v>0</v>
      </c>
      <c r="C210" s="134"/>
      <c r="D210" s="29"/>
      <c r="E210" s="29"/>
      <c r="F210" s="29"/>
      <c r="G210" s="169"/>
      <c r="H210" s="169"/>
    </row>
    <row r="211" spans="1:8" ht="15" x14ac:dyDescent="0.25">
      <c r="A211" s="126" t="s">
        <v>12775</v>
      </c>
      <c r="B211" s="128">
        <f>SUMIF(speciated_chemicals_127[Inorganic?],"Yes",speciated_chemicals_127[lb/hr])</f>
        <v>0</v>
      </c>
      <c r="C211" s="134"/>
      <c r="D211" s="29"/>
      <c r="E211" s="29"/>
      <c r="F211" s="29"/>
      <c r="G211" s="169"/>
      <c r="H211" s="169"/>
    </row>
    <row r="212" spans="1:8" ht="15" x14ac:dyDescent="0.25">
      <c r="A212" s="126" t="s">
        <v>12770</v>
      </c>
      <c r="B212" s="128">
        <f>SUMIF(speciated_chemicals_127[Inorganic?],"Yes",speciated_chemicals_127[tpy])</f>
        <v>0</v>
      </c>
      <c r="C212" s="134"/>
      <c r="D212" s="29"/>
      <c r="E212" s="29"/>
      <c r="F212" s="29"/>
      <c r="G212" s="169"/>
      <c r="H212" s="169"/>
    </row>
    <row r="213" spans="1:8" ht="15" x14ac:dyDescent="0.25">
      <c r="A213" s="126" t="s">
        <v>13276</v>
      </c>
      <c r="B213" s="128">
        <f>SUMIF(speciated_chemicals_127[VOC-Exempt Solvent?],"Yes",speciated_chemicals_127[lb/hr])</f>
        <v>0</v>
      </c>
      <c r="C213" s="134"/>
      <c r="D213" s="29"/>
      <c r="E213" s="29"/>
      <c r="F213" s="29"/>
      <c r="G213" s="169"/>
      <c r="H213" s="169"/>
    </row>
    <row r="214" spans="1:8" ht="15" x14ac:dyDescent="0.25">
      <c r="A214" s="126" t="s">
        <v>13278</v>
      </c>
      <c r="B214" s="128">
        <f>SUMIF(speciated_chemicals_127[VOC-Exempt Solvent?],"Yes",speciated_chemicals_127[tpy])</f>
        <v>0</v>
      </c>
      <c r="C214" s="134"/>
      <c r="D214" s="29"/>
      <c r="E214" s="29"/>
      <c r="F214" s="29"/>
      <c r="G214" s="169"/>
      <c r="H214" s="169"/>
    </row>
    <row r="215" spans="1:8" ht="15" x14ac:dyDescent="0.25">
      <c r="A215" s="127" t="s">
        <v>13280</v>
      </c>
      <c r="B215" s="176">
        <f>speciated_ghg_128[[#Totals],[Mass Emissions (U.S. tons per year)]]</f>
        <v>0</v>
      </c>
      <c r="C215" s="134"/>
      <c r="D215" s="29"/>
      <c r="E215" s="29"/>
      <c r="F215" s="29"/>
      <c r="G215" s="169"/>
      <c r="H215" s="169"/>
    </row>
    <row r="216" spans="1:8" ht="18.75" x14ac:dyDescent="0.35">
      <c r="A216" s="127" t="s">
        <v>13281</v>
      </c>
      <c r="B216" s="176">
        <f>speciated_ghg_128[[#Totals],[CO2e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iwklqJ8E0Pz8DoWm2CuJtIMJGio4MOZOCJAz+zjVj6v9odmMn7A14dqc4pZQ1rykKNEPWYA6SuVW8ZZBbKsD/w==" saltValue="do7G+e8YOV3h+r1bvKBnhg==" spinCount="100000" sheet="1" objects="1" scenarios="1" formatColumns="0" formatRows="0" autoFilter="0"/>
  <conditionalFormatting sqref="A21:H21">
    <cfRule type="expression" dxfId="2164" priority="5">
      <formula>$F$19="No"</formula>
    </cfRule>
  </conditionalFormatting>
  <conditionalFormatting sqref="A105:E106 F106:G126">
    <cfRule type="expression" dxfId="2163" priority="4">
      <formula>$E$104="no"</formula>
    </cfRule>
  </conditionalFormatting>
  <conditionalFormatting sqref="C131:C180">
    <cfRule type="expression" dxfId="2162" priority="3">
      <formula>NOT(B131="Other (Please specify):")</formula>
    </cfRule>
  </conditionalFormatting>
  <conditionalFormatting sqref="A107:E126">
    <cfRule type="expression" dxfId="2161" priority="2">
      <formula>$A$58="No"</formula>
    </cfRule>
  </conditionalFormatting>
  <conditionalFormatting sqref="A107:E126 A206:B214 A215:A216">
    <cfRule type="expression" dxfId="2160"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AE1EEA90-29AC-4A13-A7B6-811E19C76E58}"/>
    <dataValidation type="list" allowBlank="1" showInputMessage="1" showErrorMessage="1" sqref="E104:H104 B10" xr:uid="{BF712990-2951-45EE-BFA5-23536456627F}">
      <formula1>"Yes,No"</formula1>
    </dataValidation>
    <dataValidation type="list" allowBlank="1" showInputMessage="1" showErrorMessage="1" sqref="F19:H20" xr:uid="{4DB46902-F27B-4617-A1A2-41D9D9D11C52}">
      <formula1>"No,Yes - 75%,Yes - 95%"</formula1>
    </dataValidation>
    <dataValidation type="list" allowBlank="1" showInputMessage="1" showErrorMessage="1" sqref="F18" xr:uid="{BEBD77F7-A589-458F-B2B7-D06AB5B60E9D}">
      <formula1>IF(#REF!="SOCMI Non-leaker",ListNone,ListInspection)</formula1>
    </dataValidation>
    <dataValidation type="list" allowBlank="1" showInputMessage="1" showErrorMessage="1" sqref="F16:F17" xr:uid="{C0AB76B5-EEF2-464C-96BE-D4D85248DE6C}">
      <formula1>IF(#REF!="SOCMI Non-Leaker",ListNone,ListInstrument)</formula1>
    </dataValidation>
    <dataValidation type="list" allowBlank="1" showInputMessage="1" prompt="Please specify whether the substance is a volatile organic compound (VOC); methane and ethane are not classifed as VOCs" sqref="D132:D180" xr:uid="{81BF1785-CE55-4F61-8262-25C24126B034}">
      <formula1>"Yes,No"</formula1>
    </dataValidation>
    <dataValidation allowBlank="1" showInputMessage="1" showErrorMessage="1" prompt="Enter the weight percent of the substance" sqref="H178:H180 H132:H176" xr:uid="{51146FFC-59B2-4E5C-B43A-F2F126B22CFE}"/>
    <dataValidation type="list" allowBlank="1" showInputMessage="1" showErrorMessage="1" prompt="Enter or select Chemical Abstracts Service number; select &quot;N/A&quot; if a CAS # is not applicable" sqref="A131:A175 A177:A180" xr:uid="{5A60A493-E5D2-43E3-9E37-ED714134665D}">
      <formula1>SpeciesList</formula1>
    </dataValidation>
    <dataValidation type="list" allowBlank="1" showInputMessage="1" prompt="Select other species from dropdown" sqref="C131:C180" xr:uid="{B51D4C12-7A80-43D5-92BB-A7DF1C683EE8}">
      <formula1>NoCASList</formula1>
    </dataValidation>
    <dataValidation allowBlank="1" showInputMessage="1" showErrorMessage="1" prompt="Proposed control efficiency (0-1)" sqref="E107:E126" xr:uid="{22A3F72C-00E2-434A-9185-5BC6692DAF32}"/>
    <dataValidation allowBlank="1" showInputMessage="1" showErrorMessage="1" prompt="Count of unique component" sqref="C107:C126" xr:uid="{0BA14616-B0AB-45BE-A231-7FB7FA9EAB6E}"/>
    <dataValidation allowBlank="1" showInputMessage="1" showErrorMessage="1" prompt="Type of service (e.g. gas, vapor, or liquid)" sqref="B107:B126" xr:uid="{49E786B6-EBEB-4D2C-8C8F-ACE502CEED41}"/>
    <dataValidation allowBlank="1" showInputMessage="1" showErrorMessage="1" prompt="Name of unique component" sqref="A107:A126" xr:uid="{E3402F42-847F-4A9C-A7F1-0F48FB23415A}"/>
    <dataValidation type="list" allowBlank="1" showInputMessage="1" showErrorMessage="1" sqref="B13" xr:uid="{4FC3BADF-D2F0-4CFF-B507-8BE47A572750}">
      <formula1>industry_names</formula1>
    </dataValidation>
    <dataValidation type="list" allowBlank="1" showInputMessage="1" showErrorMessage="1" sqref="B19" xr:uid="{D7525825-2FE9-48FF-A647-9AF8DF569866}">
      <formula1>yes_no_list</formula1>
    </dataValidation>
    <dataValidation type="list" allowBlank="1" showInputMessage="1" showErrorMessage="1" sqref="B20" xr:uid="{5BBA214A-52D9-4201-9977-401866874BE9}">
      <formula1>process_drains_effs</formula1>
    </dataValidation>
    <dataValidation allowBlank="1" showInputMessage="1" showErrorMessage="1" prompt="Proposed emission factor" sqref="D107:D126" xr:uid="{193EF826-F656-4DD7-91E4-BA9024001999}"/>
    <dataValidation type="list" allowBlank="1" showInputMessage="1" prompt="Please specify if the substance is an inert substance or is not considered a contaminant (e.g. steam)" sqref="G131:G180" xr:uid="{6A31421D-B490-4DE9-A984-CD6B4BB97AAF}">
      <formula1>"Yes,No"</formula1>
    </dataValidation>
    <dataValidation type="list" allowBlank="1" showInputMessage="1" showErrorMessage="1" prompt="Please select from the dropdown" sqref="B104" xr:uid="{4C7B3913-3AE8-4850-B2E5-258ABBFF24B4}">
      <formula1>yes_no_list</formula1>
    </dataValidation>
    <dataValidation allowBlank="1" showInputMessage="1" showErrorMessage="1" prompt="Provide justification" sqref="B105" xr:uid="{62628585-1D9E-4EF3-A510-836E428743A3}"/>
    <dataValidation type="list" showInputMessage="1" prompt="Please specify whether the substance is a volatile organic compound (VOC); methane and ethane are not classifed as VOCs" sqref="D131" xr:uid="{DA27CC38-C04F-43B4-BDE9-6EB15F992588}">
      <formula1>"Yes,No"</formula1>
    </dataValidation>
    <dataValidation type="list" showInputMessage="1" prompt="Please specify whether the substance is an inorganic contaminant (e.g. ammonia or chlorine gas)" sqref="E131:E180" xr:uid="{EC47BE76-5B73-49F1-BAEC-C90FE0F38276}">
      <formula1>"Yes,No"</formula1>
    </dataValidation>
    <dataValidation type="list" allowBlank="1" showInputMessage="1" prompt="Please specify whether the substance is an VOC-exempt solvent." sqref="F131:F180" xr:uid="{341061DE-2932-482B-B510-15645B7AE84A}">
      <formula1>"Yes,No"</formula1>
    </dataValidation>
    <dataValidation type="list" allowBlank="1" showInputMessage="1" showErrorMessage="1" prompt="Enter or select Chemical Abstracts Service number; select &quot;N/A&quot; if a CAS # is not applicable" sqref="A185:A203 A176" xr:uid="{05FCC1C5-651F-4545-AE8E-1A6F648E3E5E}">
      <formula1>gwp_table_cas</formula1>
    </dataValidation>
    <dataValidation type="decimal" allowBlank="1" showInputMessage="1" showErrorMessage="1" prompt="Enter the weight percent of the substance" sqref="H177" xr:uid="{D4167685-9A92-4A06-972D-8556F933FA4E}">
      <formula1>0</formula1>
      <formula2>1</formula2>
    </dataValidation>
    <dataValidation type="decimal" operator="greaterThan" allowBlank="1" showInputMessage="1" showErrorMessage="1" prompt="Enter the weight percent of the substance" sqref="H131 D185:D203" xr:uid="{69CB612C-FC96-471D-9DD5-192CAE63BD53}">
      <formula1>0</formula1>
    </dataValidation>
    <dataValidation type="list" allowBlank="1" showInputMessage="1" showErrorMessage="1" sqref="B18" xr:uid="{CED62A44-931E-4F43-95B3-791FAE572061}">
      <formula1>inspection_ldar_list</formula1>
    </dataValidation>
    <dataValidation type="list" allowBlank="1" showInputMessage="1" showErrorMessage="1" sqref="B17" xr:uid="{C25B8FE0-7950-4411-8345-E29A967C2978}">
      <formula1>connector_ldar_list</formula1>
    </dataValidation>
    <dataValidation type="list" allowBlank="1" showInputMessage="1" showErrorMessage="1" sqref="B16" xr:uid="{8A3819FF-0E7A-4552-9A02-4C28751838A7}">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2990-55F2-4D0B-B39A-0494CE74A165}">
  <sheetPr codeName="Sheet10">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INDEX((standard_components_129[[#This Row],[Component]]=factor_eff_table[Component])*(standard_components_129[[#This Row],[Service]]=factor_eff_table[Service]), 0, 1), 0)),
 "-")</f>
        <v>-</v>
      </c>
      <c r="E25" s="145" t="str" cm="1">
        <f t="array" ref="E2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25" s="145" t="str" cm="1">
        <f t="array" ref="F2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25" s="145" t="str" cm="1">
        <f t="array" ref="G2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2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2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INDEX((standard_components_129[[#This Row],[Component]]=factor_eff_table[Component])*(standard_components_129[[#This Row],[Service]]=factor_eff_table[Service]), 0, 1), 0)),
 "-")</f>
        <v>-</v>
      </c>
      <c r="E26" s="145" t="str" cm="1">
        <f t="array" ref="E2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26" s="145" t="str" cm="1">
        <f t="array" ref="F2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26" s="145" t="str" cm="1">
        <f t="array" ref="G2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2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2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INDEX((standard_components_129[[#This Row],[Component]]=factor_eff_table[Component])*(standard_components_129[[#This Row],[Service]]=factor_eff_table[Service]), 0, 1), 0)),
 "-")</f>
        <v>-</v>
      </c>
      <c r="E27" s="145" t="str" cm="1">
        <f t="array" ref="E2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27" s="145" t="str" cm="1">
        <f t="array" ref="F2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27" s="145" t="str" cm="1">
        <f t="array" ref="G2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2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2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INDEX((standard_components_129[[#This Row],[Component]]=factor_eff_table[Component])*(standard_components_129[[#This Row],[Service]]=factor_eff_table[Service]), 0, 1), 0)),
 "-")</f>
        <v>-</v>
      </c>
      <c r="E28" s="145" t="str" cm="1">
        <f t="array" ref="E2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28" s="145" t="str" cm="1">
        <f t="array" ref="F2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28" s="145" t="str" cm="1">
        <f t="array" ref="G2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2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2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INDEX((standard_components_129[[#This Row],[Component]]=factor_eff_table[Component])*(standard_components_129[[#This Row],[Service]]=factor_eff_table[Service]), 0, 1), 0)),
 "-")</f>
        <v>-</v>
      </c>
      <c r="E29" s="145" t="str" cm="1">
        <f t="array" ref="E2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29" s="145" t="str" cm="1">
        <f t="array" ref="F2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29" s="145" t="str" cm="1">
        <f t="array" ref="G2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2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2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INDEX((standard_components_129[[#This Row],[Component]]=factor_eff_table[Component])*(standard_components_129[[#This Row],[Service]]=factor_eff_table[Service]), 0, 1), 0)),
 "-")</f>
        <v>-</v>
      </c>
      <c r="E30" s="145" t="str" cm="1">
        <f t="array" ref="E3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0" s="145" t="str" cm="1">
        <f t="array" ref="F3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0" s="145" t="str" cm="1">
        <f t="array" ref="G3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INDEX((standard_components_129[[#This Row],[Component]]=factor_eff_table[Component])*(standard_components_129[[#This Row],[Service]]=factor_eff_table[Service]), 0, 1), 0)),
 "-")</f>
        <v>-</v>
      </c>
      <c r="E31" s="145" t="str" cm="1">
        <f t="array" ref="E3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1" s="145" t="str" cm="1">
        <f t="array" ref="F3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1" s="145" t="str" cm="1">
        <f t="array" ref="G3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INDEX((standard_components_129[[#This Row],[Component]]=factor_eff_table[Component])*(standard_components_129[[#This Row],[Service]]=factor_eff_table[Service]), 0, 1), 0)),
 "-")</f>
        <v>-</v>
      </c>
      <c r="E32" s="145" t="str" cm="1">
        <f t="array" ref="E3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2" s="145" t="str" cm="1">
        <f t="array" ref="F3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2" s="145" t="str" cm="1">
        <f t="array" ref="G3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INDEX((standard_components_129[[#This Row],[Component]]=factor_eff_table[Component])*(standard_components_129[[#This Row],[Service]]=factor_eff_table[Service]), 0, 1), 0)),
 "-")</f>
        <v>-</v>
      </c>
      <c r="E33" s="145" t="str" cm="1">
        <f t="array" ref="E3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3" s="145" t="str" cm="1">
        <f t="array" ref="F3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3" s="145" t="str" cm="1">
        <f t="array" ref="G3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INDEX((standard_components_129[[#This Row],[Component]]=factor_eff_table[Component])*(standard_components_129[[#This Row],[Service]]=factor_eff_table[Service]), 0, 1), 0)),
 "-")</f>
        <v>-</v>
      </c>
      <c r="E34" s="145" t="str" cm="1">
        <f t="array" ref="E3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4" s="145" t="str" cm="1">
        <f t="array" ref="F3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4" s="145" t="str" cm="1">
        <f t="array" ref="G3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INDEX((standard_components_129[[#This Row],[Component]]=factor_eff_table[Component])*(standard_components_129[[#This Row],[Service]]=factor_eff_table[Service]), 0, 1), 0)),
 "-")</f>
        <v>-</v>
      </c>
      <c r="E35" s="145" t="str" cm="1">
        <f t="array" ref="E3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5" s="145" t="str" cm="1">
        <f t="array" ref="F3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5" s="145" t="str" cm="1">
        <f t="array" ref="G3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INDEX((standard_components_129[[#This Row],[Component]]=factor_eff_table[Component])*(standard_components_129[[#This Row],[Service]]=factor_eff_table[Service]), 0, 1), 0)),
 "-")</f>
        <v>-</v>
      </c>
      <c r="E36" s="145" t="str" cm="1">
        <f t="array" ref="E3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6" s="145" t="str" cm="1">
        <f t="array" ref="F3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6" s="145" t="str" cm="1">
        <f t="array" ref="G3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INDEX((standard_components_129[[#This Row],[Component]]=factor_eff_table[Component])*(standard_components_129[[#This Row],[Service]]=factor_eff_table[Service]), 0, 1), 0)),
 "-")</f>
        <v>-</v>
      </c>
      <c r="E37" s="145" t="str" cm="1">
        <f t="array" ref="E3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7" s="145" t="str" cm="1">
        <f t="array" ref="F3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7" s="145" t="str" cm="1">
        <f t="array" ref="G3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INDEX((standard_components_129[[#This Row],[Component]]=factor_eff_table[Component])*(standard_components_129[[#This Row],[Service]]=factor_eff_table[Service]), 0, 1), 0)),
 "-")</f>
        <v>-</v>
      </c>
      <c r="E38" s="145" t="str" cm="1">
        <f t="array" ref="E3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8" s="145" t="str" cm="1">
        <f t="array" ref="F3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8" s="145" t="str" cm="1">
        <f t="array" ref="G3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INDEX((standard_components_129[[#This Row],[Component]]=factor_eff_table[Component])*(standard_components_129[[#This Row],[Service]]=factor_eff_table[Service]), 0, 1), 0)),
 "-")</f>
        <v>-</v>
      </c>
      <c r="E39" s="145" t="str" cm="1">
        <f t="array" ref="E3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39" s="145" t="str" cm="1">
        <f t="array" ref="F3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39" s="145" t="str" cm="1">
        <f t="array" ref="G3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3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3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INDEX((standard_components_129[[#This Row],[Component]]=factor_eff_table[Component])*(standard_components_129[[#This Row],[Service]]=factor_eff_table[Service]), 0, 1), 0)),
 "-")</f>
        <v>-</v>
      </c>
      <c r="E40" s="145" t="str" cm="1">
        <f t="array" ref="E4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0" s="145" t="str" cm="1">
        <f t="array" ref="F4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0" s="145" t="str" cm="1">
        <f t="array" ref="G4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INDEX((standard_components_129[[#This Row],[Component]]=factor_eff_table[Component])*(standard_components_129[[#This Row],[Service]]=factor_eff_table[Service]), 0, 1), 0)),
 "-")</f>
        <v>-</v>
      </c>
      <c r="E41" s="145" t="str" cm="1">
        <f t="array" ref="E4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1" s="145" t="str" cm="1">
        <f t="array" ref="F4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1" s="145" t="str" cm="1">
        <f t="array" ref="G4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INDEX((standard_components_129[[#This Row],[Component]]=factor_eff_table[Component])*(standard_components_129[[#This Row],[Service]]=factor_eff_table[Service]), 0, 1), 0)),
 "-")</f>
        <v>-</v>
      </c>
      <c r="E42" s="145" t="str" cm="1">
        <f t="array" ref="E4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2" s="145" t="str" cm="1">
        <f t="array" ref="F4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2" s="145" t="str" cm="1">
        <f t="array" ref="G4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INDEX((standard_components_129[[#This Row],[Component]]=factor_eff_table[Component])*(standard_components_129[[#This Row],[Service]]=factor_eff_table[Service]), 0, 1), 0)),
 "-")</f>
        <v>-</v>
      </c>
      <c r="E43" s="145" t="str" cm="1">
        <f t="array" ref="E4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3" s="145" t="str" cm="1">
        <f t="array" ref="F4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3" s="145" t="str" cm="1">
        <f t="array" ref="G4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INDEX((standard_components_129[[#This Row],[Component]]=factor_eff_table[Component])*(standard_components_129[[#This Row],[Service]]=factor_eff_table[Service]), 0, 1), 0)),
 "-")</f>
        <v>-</v>
      </c>
      <c r="E44" s="145" t="str" cm="1">
        <f t="array" ref="E4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4" s="145" t="str" cm="1">
        <f t="array" ref="F4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4" s="145" t="str" cm="1">
        <f t="array" ref="G4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INDEX((standard_components_129[[#This Row],[Component]]=factor_eff_table[Component])*(standard_components_129[[#This Row],[Service]]=factor_eff_table[Service]), 0, 1), 0)),
 "-")</f>
        <v>-</v>
      </c>
      <c r="E45" s="145" t="str" cm="1">
        <f t="array" ref="E4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5" s="145" t="str" cm="1">
        <f t="array" ref="F4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5" s="145" t="str" cm="1">
        <f t="array" ref="G4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INDEX((standard_components_129[[#This Row],[Component]]=factor_eff_table[Component])*(standard_components_129[[#This Row],[Service]]=factor_eff_table[Service]), 0, 1), 0)),
 "-")</f>
        <v>-</v>
      </c>
      <c r="E46" s="145" t="str" cm="1">
        <f t="array" ref="E4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6" s="145" t="str" cm="1">
        <f t="array" ref="F4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6" s="145" t="str" cm="1">
        <f t="array" ref="G4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INDEX((standard_components_129[[#This Row],[Component]]=factor_eff_table[Component])*(standard_components_129[[#This Row],[Service]]=factor_eff_table[Service]), 0, 1), 0)),
 "-")</f>
        <v>-</v>
      </c>
      <c r="E47" s="145" t="str" cm="1">
        <f t="array" ref="E4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7" s="145" t="str" cm="1">
        <f t="array" ref="F4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7" s="145" t="str" cm="1">
        <f t="array" ref="G4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INDEX((standard_components_129[[#This Row],[Component]]=factor_eff_table[Component])*(standard_components_129[[#This Row],[Service]]=factor_eff_table[Service]), 0, 1), 0)),
 "-")</f>
        <v>-</v>
      </c>
      <c r="E48" s="145" t="str" cm="1">
        <f t="array" ref="E4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8" s="145" t="str" cm="1">
        <f t="array" ref="F4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8" s="145" t="str" cm="1">
        <f t="array" ref="G4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INDEX((standard_components_129[[#This Row],[Component]]=factor_eff_table[Component])*(standard_components_129[[#This Row],[Service]]=factor_eff_table[Service]), 0, 1), 0)),
 "-")</f>
        <v>-</v>
      </c>
      <c r="E49" s="145" t="str" cm="1">
        <f t="array" ref="E4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49" s="145" t="str" cm="1">
        <f t="array" ref="F4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49" s="145" t="str" cm="1">
        <f t="array" ref="G4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4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4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INDEX((standard_components_129[[#This Row],[Component]]=factor_eff_table[Component])*(standard_components_129[[#This Row],[Service]]=factor_eff_table[Service]), 0, 1), 0)),
 "-")</f>
        <v>-</v>
      </c>
      <c r="E50" s="145" t="str" cm="1">
        <f t="array" ref="E5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0" s="145" t="str" cm="1">
        <f t="array" ref="F5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0" s="145" t="str" cm="1">
        <f t="array" ref="G5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INDEX((standard_components_129[[#This Row],[Component]]=factor_eff_table[Component])*(standard_components_129[[#This Row],[Service]]=factor_eff_table[Service]), 0, 1), 0)),
 "-")</f>
        <v>-</v>
      </c>
      <c r="E51" s="145" t="str" cm="1">
        <f t="array" ref="E5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1" s="145" t="str" cm="1">
        <f t="array" ref="F5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1" s="145" t="str" cm="1">
        <f t="array" ref="G5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INDEX((standard_components_129[[#This Row],[Component]]=factor_eff_table[Component])*(standard_components_129[[#This Row],[Service]]=factor_eff_table[Service]), 0, 1), 0)),
 "-")</f>
        <v>-</v>
      </c>
      <c r="E52" s="145" t="str" cm="1">
        <f t="array" ref="E5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2" s="145" t="str" cm="1">
        <f t="array" ref="F5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2" s="145" t="str" cm="1">
        <f t="array" ref="G5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INDEX((standard_components_129[[#This Row],[Component]]=factor_eff_table[Component])*(standard_components_129[[#This Row],[Service]]=factor_eff_table[Service]), 0, 1), 0)),
 "-")</f>
        <v>-</v>
      </c>
      <c r="E53" s="145" t="str" cm="1">
        <f t="array" ref="E5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3" s="145" t="str" cm="1">
        <f t="array" ref="F5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3" s="145" t="str" cm="1">
        <f t="array" ref="G5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INDEX((standard_components_129[[#This Row],[Component]]=factor_eff_table[Component])*(standard_components_129[[#This Row],[Service]]=factor_eff_table[Service]), 0, 1), 0)),
 "-")</f>
        <v>-</v>
      </c>
      <c r="E54" s="145" t="str" cm="1">
        <f t="array" ref="E5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4" s="145" t="str" cm="1">
        <f t="array" ref="F5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4" s="145" t="str" cm="1">
        <f t="array" ref="G5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INDEX((standard_components_129[[#This Row],[Component]]=factor_eff_table[Component])*(standard_components_129[[#This Row],[Service]]=factor_eff_table[Service]), 0, 1), 0)),
 "-")</f>
        <v>-</v>
      </c>
      <c r="E55" s="145" t="str" cm="1">
        <f t="array" ref="E5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5" s="145" t="str" cm="1">
        <f t="array" ref="F5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5" s="145" t="str" cm="1">
        <f t="array" ref="G5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INDEX((standard_components_129[[#This Row],[Component]]=factor_eff_table[Component])*(standard_components_129[[#This Row],[Service]]=factor_eff_table[Service]), 0, 1), 0)),
 "-")</f>
        <v>-</v>
      </c>
      <c r="E56" s="145" t="str" cm="1">
        <f t="array" ref="E5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6" s="145" t="str" cm="1">
        <f t="array" ref="F5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6" s="145" t="str" cm="1">
        <f t="array" ref="G5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INDEX((standard_components_129[[#This Row],[Component]]=factor_eff_table[Component])*(standard_components_129[[#This Row],[Service]]=factor_eff_table[Service]), 0, 1), 0)),
 "-")</f>
        <v>-</v>
      </c>
      <c r="E57" s="145" t="str" cm="1">
        <f t="array" ref="E5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7" s="145" t="str" cm="1">
        <f t="array" ref="F5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7" s="145" t="str" cm="1">
        <f t="array" ref="G5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INDEX((standard_components_129[[#This Row],[Component]]=factor_eff_table[Component])*(standard_components_129[[#This Row],[Service]]=factor_eff_table[Service]), 0, 1), 0)),
 "-")</f>
        <v>-</v>
      </c>
      <c r="E58" s="145" t="str" cm="1">
        <f t="array" ref="E5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8" s="145" t="str" cm="1">
        <f t="array" ref="F5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8" s="145" t="str" cm="1">
        <f t="array" ref="G5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INDEX((standard_components_129[[#This Row],[Component]]=factor_eff_table[Component])*(standard_components_129[[#This Row],[Service]]=factor_eff_table[Service]), 0, 1), 0)),
 "-")</f>
        <v>-</v>
      </c>
      <c r="E59" s="145" t="str" cm="1">
        <f t="array" ref="E5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59" s="145" t="str" cm="1">
        <f t="array" ref="F5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59" s="145" t="str" cm="1">
        <f t="array" ref="G5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5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5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INDEX((standard_components_129[[#This Row],[Component]]=factor_eff_table[Component])*(standard_components_129[[#This Row],[Service]]=factor_eff_table[Service]), 0, 1), 0)),
 "-")</f>
        <v>-</v>
      </c>
      <c r="E60" s="145" t="str" cm="1">
        <f t="array" ref="E6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0" s="145" t="str" cm="1">
        <f t="array" ref="F6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0" s="145" t="str" cm="1">
        <f t="array" ref="G6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INDEX((standard_components_129[[#This Row],[Component]]=factor_eff_table[Component])*(standard_components_129[[#This Row],[Service]]=factor_eff_table[Service]), 0, 1), 0)),
 "-")</f>
        <v>-</v>
      </c>
      <c r="E61" s="145" t="str" cm="1">
        <f t="array" ref="E6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1" s="145" t="str" cm="1">
        <f t="array" ref="F6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1" s="145" t="str" cm="1">
        <f t="array" ref="G6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INDEX((standard_components_129[[#This Row],[Component]]=factor_eff_table[Component])*(standard_components_129[[#This Row],[Service]]=factor_eff_table[Service]), 0, 1), 0)),
 "-")</f>
        <v>-</v>
      </c>
      <c r="E62" s="145" t="str" cm="1">
        <f t="array" ref="E6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2" s="145" t="str" cm="1">
        <f t="array" ref="F6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2" s="145" t="str" cm="1">
        <f t="array" ref="G6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INDEX((standard_components_129[[#This Row],[Component]]=factor_eff_table[Component])*(standard_components_129[[#This Row],[Service]]=factor_eff_table[Service]), 0, 1), 0)),
 "-")</f>
        <v>-</v>
      </c>
      <c r="E63" s="145" t="str" cm="1">
        <f t="array" ref="E6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3" s="145" t="str" cm="1">
        <f t="array" ref="F6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3" s="145" t="str" cm="1">
        <f t="array" ref="G6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INDEX((standard_components_129[[#This Row],[Component]]=factor_eff_table[Component])*(standard_components_129[[#This Row],[Service]]=factor_eff_table[Service]), 0, 1), 0)),
 "-")</f>
        <v>-</v>
      </c>
      <c r="E64" s="145" t="str" cm="1">
        <f t="array" ref="E6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4" s="145" t="str" cm="1">
        <f t="array" ref="F6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4" s="145" t="str" cm="1">
        <f t="array" ref="G6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INDEX((standard_components_129[[#This Row],[Component]]=factor_eff_table[Component])*(standard_components_129[[#This Row],[Service]]=factor_eff_table[Service]), 0, 1), 0)),
 "-")</f>
        <v>-</v>
      </c>
      <c r="E65" s="145" t="str" cm="1">
        <f t="array" ref="E6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5" s="145" t="str" cm="1">
        <f t="array" ref="F6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5" s="145" t="str" cm="1">
        <f t="array" ref="G6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INDEX((standard_components_129[[#This Row],[Component]]=factor_eff_table[Component])*(standard_components_129[[#This Row],[Service]]=factor_eff_table[Service]), 0, 1), 0)),
 "-")</f>
        <v>-</v>
      </c>
      <c r="E66" s="145" t="str" cm="1">
        <f t="array" ref="E6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6" s="145" t="str" cm="1">
        <f t="array" ref="F6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6" s="145" t="str" cm="1">
        <f t="array" ref="G6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INDEX((standard_components_129[[#This Row],[Component]]=factor_eff_table[Component])*(standard_components_129[[#This Row],[Service]]=factor_eff_table[Service]), 0, 1), 0)),
 "-")</f>
        <v>-</v>
      </c>
      <c r="E67" s="145" t="str" cm="1">
        <f t="array" ref="E6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7" s="145" t="str" cm="1">
        <f t="array" ref="F6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7" s="145" t="str" cm="1">
        <f t="array" ref="G6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INDEX((standard_components_129[[#This Row],[Component]]=factor_eff_table[Component])*(standard_components_129[[#This Row],[Service]]=factor_eff_table[Service]), 0, 1), 0)),
 "-")</f>
        <v>-</v>
      </c>
      <c r="E68" s="145" t="str" cm="1">
        <f t="array" ref="E6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8" s="145" t="str" cm="1">
        <f t="array" ref="F6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8" s="145" t="str" cm="1">
        <f t="array" ref="G6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INDEX((standard_components_129[[#This Row],[Component]]=factor_eff_table[Component])*(standard_components_129[[#This Row],[Service]]=factor_eff_table[Service]), 0, 1), 0)),
 "-")</f>
        <v>-</v>
      </c>
      <c r="E69" s="145" t="str" cm="1">
        <f t="array" ref="E6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69" s="145" t="str" cm="1">
        <f t="array" ref="F6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69" s="145" t="str" cm="1">
        <f t="array" ref="G6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6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6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INDEX((standard_components_129[[#This Row],[Component]]=factor_eff_table[Component])*(standard_components_129[[#This Row],[Service]]=factor_eff_table[Service]), 0, 1), 0)),
 "-")</f>
        <v>-</v>
      </c>
      <c r="E70" s="145" t="str" cm="1">
        <f t="array" ref="E7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0" s="145" t="str" cm="1">
        <f t="array" ref="F7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0" s="145" t="str" cm="1">
        <f t="array" ref="G7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INDEX((standard_components_129[[#This Row],[Component]]=factor_eff_table[Component])*(standard_components_129[[#This Row],[Service]]=factor_eff_table[Service]), 0, 1), 0)),
 "-")</f>
        <v>-</v>
      </c>
      <c r="E71" s="145" t="str" cm="1">
        <f t="array" ref="E7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1" s="145" t="str" cm="1">
        <f t="array" ref="F7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1" s="145" t="str" cm="1">
        <f t="array" ref="G7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INDEX((standard_components_129[[#This Row],[Component]]=factor_eff_table[Component])*(standard_components_129[[#This Row],[Service]]=factor_eff_table[Service]), 0, 1), 0)),
 "-")</f>
        <v>-</v>
      </c>
      <c r="E72" s="145" t="str" cm="1">
        <f t="array" ref="E7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2" s="145" t="str" cm="1">
        <f t="array" ref="F7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2" s="145" t="str" cm="1">
        <f t="array" ref="G7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INDEX((standard_components_129[[#This Row],[Component]]=factor_eff_table[Component])*(standard_components_129[[#This Row],[Service]]=factor_eff_table[Service]), 0, 1), 0)),
 "-")</f>
        <v>-</v>
      </c>
      <c r="E73" s="145" t="str" cm="1">
        <f t="array" ref="E7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3" s="145" t="str" cm="1">
        <f t="array" ref="F7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3" s="145" t="str" cm="1">
        <f t="array" ref="G7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INDEX((standard_components_129[[#This Row],[Component]]=factor_eff_table[Component])*(standard_components_129[[#This Row],[Service]]=factor_eff_table[Service]), 0, 1), 0)),
 "-")</f>
        <v>-</v>
      </c>
      <c r="E74" s="145" t="str" cm="1">
        <f t="array" ref="E7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4" s="145" t="str" cm="1">
        <f t="array" ref="F7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4" s="145" t="str" cm="1">
        <f t="array" ref="G7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INDEX((standard_components_129[[#This Row],[Component]]=factor_eff_table[Component])*(standard_components_129[[#This Row],[Service]]=factor_eff_table[Service]), 0, 1), 0)),
 "-")</f>
        <v>-</v>
      </c>
      <c r="E75" s="145" t="str" cm="1">
        <f t="array" ref="E7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5" s="145" t="str" cm="1">
        <f t="array" ref="F7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5" s="145" t="str" cm="1">
        <f t="array" ref="G7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INDEX((standard_components_129[[#This Row],[Component]]=factor_eff_table[Component])*(standard_components_129[[#This Row],[Service]]=factor_eff_table[Service]), 0, 1), 0)),
 "-")</f>
        <v>-</v>
      </c>
      <c r="E76" s="145" t="str" cm="1">
        <f t="array" ref="E7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6" s="145" t="str" cm="1">
        <f t="array" ref="F7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6" s="145" t="str" cm="1">
        <f t="array" ref="G7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INDEX((standard_components_129[[#This Row],[Component]]=factor_eff_table[Component])*(standard_components_129[[#This Row],[Service]]=factor_eff_table[Service]), 0, 1), 0)),
 "-")</f>
        <v>-</v>
      </c>
      <c r="E77" s="145" t="str" cm="1">
        <f t="array" ref="E7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7" s="145" t="str" cm="1">
        <f t="array" ref="F7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7" s="145" t="str" cm="1">
        <f t="array" ref="G7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INDEX((standard_components_129[[#This Row],[Component]]=factor_eff_table[Component])*(standard_components_129[[#This Row],[Service]]=factor_eff_table[Service]), 0, 1), 0)),
 "-")</f>
        <v>-</v>
      </c>
      <c r="E78" s="145" t="str" cm="1">
        <f t="array" ref="E7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8" s="145" t="str" cm="1">
        <f t="array" ref="F7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8" s="145" t="str" cm="1">
        <f t="array" ref="G7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INDEX((standard_components_129[[#This Row],[Component]]=factor_eff_table[Component])*(standard_components_129[[#This Row],[Service]]=factor_eff_table[Service]), 0, 1), 0)),
 "-")</f>
        <v>-</v>
      </c>
      <c r="E79" s="145" t="str" cm="1">
        <f t="array" ref="E7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79" s="145" t="str" cm="1">
        <f t="array" ref="F7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79" s="145" t="str" cm="1">
        <f t="array" ref="G7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7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7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INDEX((standard_components_129[[#This Row],[Component]]=factor_eff_table[Component])*(standard_components_129[[#This Row],[Service]]=factor_eff_table[Service]), 0, 1), 0)),
 "-")</f>
        <v>-</v>
      </c>
      <c r="E80" s="145" t="str" cm="1">
        <f t="array" ref="E8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0" s="145" t="str" cm="1">
        <f t="array" ref="F8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0" s="145" t="str" cm="1">
        <f t="array" ref="G8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INDEX((standard_components_129[[#This Row],[Component]]=factor_eff_table[Component])*(standard_components_129[[#This Row],[Service]]=factor_eff_table[Service]), 0, 1), 0)),
 "-")</f>
        <v>-</v>
      </c>
      <c r="E81" s="145" t="str" cm="1">
        <f t="array" ref="E8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1" s="145" t="str" cm="1">
        <f t="array" ref="F8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1" s="145" t="str" cm="1">
        <f t="array" ref="G8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INDEX((standard_components_129[[#This Row],[Component]]=factor_eff_table[Component])*(standard_components_129[[#This Row],[Service]]=factor_eff_table[Service]), 0, 1), 0)),
 "-")</f>
        <v>-</v>
      </c>
      <c r="E82" s="145" t="str" cm="1">
        <f t="array" ref="E8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2" s="145" t="str" cm="1">
        <f t="array" ref="F8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2" s="145" t="str" cm="1">
        <f t="array" ref="G8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INDEX((standard_components_129[[#This Row],[Component]]=factor_eff_table[Component])*(standard_components_129[[#This Row],[Service]]=factor_eff_table[Service]), 0, 1), 0)),
 "-")</f>
        <v>-</v>
      </c>
      <c r="E83" s="145" t="str" cm="1">
        <f t="array" ref="E8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3" s="145" t="str" cm="1">
        <f t="array" ref="F8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3" s="145" t="str" cm="1">
        <f t="array" ref="G8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INDEX((standard_components_129[[#This Row],[Component]]=factor_eff_table[Component])*(standard_components_129[[#This Row],[Service]]=factor_eff_table[Service]), 0, 1), 0)),
 "-")</f>
        <v>-</v>
      </c>
      <c r="E84" s="145" t="str" cm="1">
        <f t="array" ref="E8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4" s="145" t="str" cm="1">
        <f t="array" ref="F8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4" s="145" t="str" cm="1">
        <f t="array" ref="G8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INDEX((standard_components_129[[#This Row],[Component]]=factor_eff_table[Component])*(standard_components_129[[#This Row],[Service]]=factor_eff_table[Service]), 0, 1), 0)),
 "-")</f>
        <v>-</v>
      </c>
      <c r="E85" s="145" t="str" cm="1">
        <f t="array" ref="E8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5" s="145" t="str" cm="1">
        <f t="array" ref="F8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5" s="145" t="str" cm="1">
        <f t="array" ref="G8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INDEX((standard_components_129[[#This Row],[Component]]=factor_eff_table[Component])*(standard_components_129[[#This Row],[Service]]=factor_eff_table[Service]), 0, 1), 0)),
 "-")</f>
        <v>-</v>
      </c>
      <c r="E86" s="145" t="str" cm="1">
        <f t="array" ref="E8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6" s="145" t="str" cm="1">
        <f t="array" ref="F8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6" s="145" t="str" cm="1">
        <f t="array" ref="G8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INDEX((standard_components_129[[#This Row],[Component]]=factor_eff_table[Component])*(standard_components_129[[#This Row],[Service]]=factor_eff_table[Service]), 0, 1), 0)),
 "-")</f>
        <v>-</v>
      </c>
      <c r="E87" s="145" t="str" cm="1">
        <f t="array" ref="E8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7" s="145" t="str" cm="1">
        <f t="array" ref="F8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7" s="145" t="str" cm="1">
        <f t="array" ref="G8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INDEX((standard_components_129[[#This Row],[Component]]=factor_eff_table[Component])*(standard_components_129[[#This Row],[Service]]=factor_eff_table[Service]), 0, 1), 0)),
 "-")</f>
        <v>-</v>
      </c>
      <c r="E88" s="145" t="str" cm="1">
        <f t="array" ref="E8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8" s="145" t="str" cm="1">
        <f t="array" ref="F8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8" s="145" t="str" cm="1">
        <f t="array" ref="G8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INDEX((standard_components_129[[#This Row],[Component]]=factor_eff_table[Component])*(standard_components_129[[#This Row],[Service]]=factor_eff_table[Service]), 0, 1), 0)),
 "-")</f>
        <v>-</v>
      </c>
      <c r="E89" s="145" t="str" cm="1">
        <f t="array" ref="E8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89" s="145" t="str" cm="1">
        <f t="array" ref="F8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89" s="145" t="str" cm="1">
        <f t="array" ref="G8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8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8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INDEX((standard_components_129[[#This Row],[Component]]=factor_eff_table[Component])*(standard_components_129[[#This Row],[Service]]=factor_eff_table[Service]), 0, 1), 0)),
 "-")</f>
        <v>-</v>
      </c>
      <c r="E90" s="145" t="str" cm="1">
        <f t="array" ref="E9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0" s="145" t="str" cm="1">
        <f t="array" ref="F9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0" s="145" t="str" cm="1">
        <f t="array" ref="G9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INDEX((standard_components_129[[#This Row],[Component]]=factor_eff_table[Component])*(standard_components_129[[#This Row],[Service]]=factor_eff_table[Service]), 0, 1), 0)),
 "-")</f>
        <v>-</v>
      </c>
      <c r="E91" s="145" t="str" cm="1">
        <f t="array" ref="E91">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1" s="145" t="str" cm="1">
        <f t="array" ref="F91">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1" s="145" t="str" cm="1">
        <f t="array" ref="G91">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1"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1"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INDEX((standard_components_129[[#This Row],[Component]]=factor_eff_table[Component])*(standard_components_129[[#This Row],[Service]]=factor_eff_table[Service]), 0, 1), 0)),
 "-")</f>
        <v>-</v>
      </c>
      <c r="E92" s="145" t="str" cm="1">
        <f t="array" ref="E92">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2" s="145" t="str" cm="1">
        <f t="array" ref="F92">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2" s="145" t="str" cm="1">
        <f t="array" ref="G92">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2"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2"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INDEX((standard_components_129[[#This Row],[Component]]=factor_eff_table[Component])*(standard_components_129[[#This Row],[Service]]=factor_eff_table[Service]), 0, 1), 0)),
 "-")</f>
        <v>-</v>
      </c>
      <c r="E93" s="145" t="str" cm="1">
        <f t="array" ref="E93">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3" s="145" t="str" cm="1">
        <f t="array" ref="F93">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3" s="145" t="str" cm="1">
        <f t="array" ref="G93">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3"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3"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INDEX((standard_components_129[[#This Row],[Component]]=factor_eff_table[Component])*(standard_components_129[[#This Row],[Service]]=factor_eff_table[Service]), 0, 1), 0)),
 "-")</f>
        <v>-</v>
      </c>
      <c r="E94" s="145" t="str" cm="1">
        <f t="array" ref="E94">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4" s="145" t="str" cm="1">
        <f t="array" ref="F94">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4" s="145" t="str" cm="1">
        <f t="array" ref="G94">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4"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4"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INDEX((standard_components_129[[#This Row],[Component]]=factor_eff_table[Component])*(standard_components_129[[#This Row],[Service]]=factor_eff_table[Service]), 0, 1), 0)),
 "-")</f>
        <v>-</v>
      </c>
      <c r="E95" s="145" t="str" cm="1">
        <f t="array" ref="E95">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5" s="145" t="str" cm="1">
        <f t="array" ref="F95">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5" s="145" t="str" cm="1">
        <f t="array" ref="G95">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5"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5"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INDEX((standard_components_129[[#This Row],[Component]]=factor_eff_table[Component])*(standard_components_129[[#This Row],[Service]]=factor_eff_table[Service]), 0, 1), 0)),
 "-")</f>
        <v>-</v>
      </c>
      <c r="E96" s="145" t="str" cm="1">
        <f t="array" ref="E96">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6" s="145" t="str" cm="1">
        <f t="array" ref="F96">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6" s="145" t="str" cm="1">
        <f t="array" ref="G96">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6"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6"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INDEX((standard_components_129[[#This Row],[Component]]=factor_eff_table[Component])*(standard_components_129[[#This Row],[Service]]=factor_eff_table[Service]), 0, 1), 0)),
 "-")</f>
        <v>-</v>
      </c>
      <c r="E97" s="145" t="str" cm="1">
        <f t="array" ref="E97">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7" s="145" t="str" cm="1">
        <f t="array" ref="F97">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7" s="145" t="str" cm="1">
        <f t="array" ref="G97">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7"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7"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INDEX((standard_components_129[[#This Row],[Component]]=factor_eff_table[Component])*(standard_components_129[[#This Row],[Service]]=factor_eff_table[Service]), 0, 1), 0)),
 "-")</f>
        <v>-</v>
      </c>
      <c r="E98" s="145" t="str" cm="1">
        <f t="array" ref="E98">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8" s="145" t="str" cm="1">
        <f t="array" ref="F98">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8" s="145" t="str" cm="1">
        <f t="array" ref="G98">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8"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8"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INDEX((standard_components_129[[#This Row],[Component]]=factor_eff_table[Component])*(standard_components_129[[#This Row],[Service]]=factor_eff_table[Service]), 0, 1), 0)),
 "-")</f>
        <v>-</v>
      </c>
      <c r="E99" s="145" t="str" cm="1">
        <f t="array" ref="E99">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99" s="145" t="str" cm="1">
        <f t="array" ref="F99">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99" s="145" t="str" cm="1">
        <f t="array" ref="G99">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99"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99"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INDEX((standard_components_129[[#This Row],[Component]]=factor_eff_table[Component])*(standard_components_129[[#This Row],[Service]]=factor_eff_table[Service]), 0, 1), 0)),
 "-")</f>
        <v>-</v>
      </c>
      <c r="E100" s="145" t="str" cm="1">
        <f t="array" ref="E100">IF(AND(process_drain_bool="Yes",LEFT(standard_components_129[[#This Row],[Component]], LEN("Process drains"))="Process Drains", ISBLANK(instrument_ldar)=FALSE), process_drain_eff,
IFERROR(
INDEX(
INDEX(factor_eff_table[], , MATCH(instrument_ldar, factor_eff_table[#Headers], 0)),
MATCH(1, INDEX((standard_components_129[[#This Row],[Component]]=factor_eff_table[Component])*(standard_components_129[[#This Row],[Service]]=factor_eff_table[Service]), 0, 1), 0)),
 "-"))</f>
        <v>-</v>
      </c>
      <c r="F100" s="145" t="str" cm="1">
        <f t="array" ref="F100">IF(AND(process_drain_bool="Yes",LEFT(standard_components_129[[#This Row],[Component]], LEN("Process drains"))="Process Drains", ISBLANK(connector_ldar)=FALSE), process_drain_eff,
IFERROR(
INDEX(
INDEX(factor_eff_table[], , MATCH(connector_ldar, factor_eff_table[#Headers], 0)),
MATCH(1, INDEX((standard_components_129[[#This Row],[Component]]=factor_eff_table[Component])*(standard_components_129[[#This Row],[Service]]=factor_eff_table[Service]), 0, 1), 0)),
 "-"))</f>
        <v>-</v>
      </c>
      <c r="G100" s="145" t="str" cm="1">
        <f t="array" ref="G100">IF(AND(process_drain_bool="Yes",LEFT(standard_components_129[[#This Row],[Component]], LEN("Process Drains"))="Process Drains", ISBLANK(inspection_ldar)=FALSE), process_drain_eff,
IFERROR(
INDEX(
INDEX(factor_eff_table[], , MATCH(inspection_ldar, factor_eff_table[#Headers], 0)),
MATCH(1, INDEX((standard_components_129[[#This Row],[Component]]=factor_eff_table[Component])*(standard_components_129[[#This Row],[Service]]=factor_eff_table[Service]), 0, 1), 0)),
 "-"))</f>
        <v>-</v>
      </c>
      <c r="H100" s="146" t="str">
        <f>IF(standard_components_129[[#This Row],[Component]]="Sampling Connections (annual) [2]", "N/A",
 IF(standard_components_129[[#This Row],[Component]]="Sampling Connections (hourly) [1]", standard_components_129[[#This Row],[Count]]*standard_components_129[[#This Row],[Industry Emission Factor]],
IFERROR(standard_components_129[[#This Row],[Count]]*standard_components_129[[#This Row],[Industry Emission Factor]]*MIN(1-standard_components_129[[#This Row],[Instrument Monitoring LDAR Control Efficiency]], 1-standard_components_129[[#This Row],[Physical Inspection LDAR Control Efficiency]], 1-standard_components_129[[#This Row],[Connector Monitoring LDAR Control Efficiency]]), "-")))</f>
        <v>-</v>
      </c>
      <c r="I100" s="146" t="str">
        <f>IF(standard_components_129[[#This Row],[Component]]="Sampling Connections (hourly) [1]", "N/A",
 IF(standard_components_129[[#This Row],[Component]]="Sampling Connections (annual) [2]", standard_components_129[[#This Row],[Count]]*standard_components_129[[#This Row],[Industry Emission Factor]]/stons_to_lbs,
 IFERROR(years_to_hrs/stons_to_lbs*standard_components_129[[#This Row],[Controlled
lb/hr]], "-")))</f>
        <v>-</v>
      </c>
    </row>
    <row r="101" spans="1:9" ht="15" x14ac:dyDescent="0.25">
      <c r="A101" s="147" t="s">
        <v>12776</v>
      </c>
      <c r="B101" s="148"/>
      <c r="C101" s="149">
        <f>SUBTOTAL(109,standard_components_129[Count])</f>
        <v>0</v>
      </c>
      <c r="D101" s="150"/>
      <c r="E101" s="150"/>
      <c r="F101" s="150"/>
      <c r="G101" s="150"/>
      <c r="H101" s="151">
        <f>SUBTOTAL(109,standard_components_129[Controlled
lb/hr])</f>
        <v>0</v>
      </c>
      <c r="I101" s="151">
        <f>SUBTOTAL(109,standard_components_129[Controlled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unique_components_130[[#This Row],[Count]]*unique_components_130[[#This Row],[Proposed Emission Factor]]*(1-unique_components_130[[#This Row],[Proposed Control Efficiency]])</f>
        <v>0</v>
      </c>
      <c r="G107" s="155">
        <f>IFERROR(unique_components_130[[#This Row],[Controlled lb/hr]]*4.38,"")</f>
        <v>0</v>
      </c>
    </row>
    <row r="108" spans="1:9" x14ac:dyDescent="0.2">
      <c r="A108" s="103"/>
      <c r="B108" s="104"/>
      <c r="C108" s="153"/>
      <c r="D108" s="154"/>
      <c r="E108" s="154"/>
      <c r="F108" s="146">
        <f>unique_components_130[[#This Row],[Count]]*unique_components_130[[#This Row],[Proposed Emission Factor]]*(1-unique_components_130[[#This Row],[Proposed Control Efficiency]])</f>
        <v>0</v>
      </c>
      <c r="G108" s="155">
        <f>IFERROR(unique_components_130[[#This Row],[Controlled lb/hr]]*4.38,"")</f>
        <v>0</v>
      </c>
    </row>
    <row r="109" spans="1:9" x14ac:dyDescent="0.2">
      <c r="A109" s="103"/>
      <c r="B109" s="104"/>
      <c r="C109" s="153"/>
      <c r="D109" s="154"/>
      <c r="E109" s="154"/>
      <c r="F109" s="146">
        <f>unique_components_130[[#This Row],[Count]]*unique_components_130[[#This Row],[Proposed Emission Factor]]*(1-unique_components_130[[#This Row],[Proposed Control Efficiency]])</f>
        <v>0</v>
      </c>
      <c r="G109" s="155">
        <f>IFERROR(unique_components_130[[#This Row],[Controlled lb/hr]]*4.38,"")</f>
        <v>0</v>
      </c>
    </row>
    <row r="110" spans="1:9" x14ac:dyDescent="0.2">
      <c r="A110" s="103"/>
      <c r="B110" s="104"/>
      <c r="C110" s="153"/>
      <c r="D110" s="154"/>
      <c r="E110" s="154"/>
      <c r="F110" s="146">
        <f>unique_components_130[[#This Row],[Count]]*unique_components_130[[#This Row],[Proposed Emission Factor]]*(1-unique_components_130[[#This Row],[Proposed Control Efficiency]])</f>
        <v>0</v>
      </c>
      <c r="G110" s="155">
        <f>IFERROR(unique_components_130[[#This Row],[Controlled lb/hr]]*4.38,"")</f>
        <v>0</v>
      </c>
    </row>
    <row r="111" spans="1:9" x14ac:dyDescent="0.2">
      <c r="A111" s="103"/>
      <c r="B111" s="104"/>
      <c r="C111" s="153"/>
      <c r="D111" s="154"/>
      <c r="E111" s="154"/>
      <c r="F111" s="146">
        <f>unique_components_130[[#This Row],[Count]]*unique_components_130[[#This Row],[Proposed Emission Factor]]*(1-unique_components_130[[#This Row],[Proposed Control Efficiency]])</f>
        <v>0</v>
      </c>
      <c r="G111" s="155">
        <f>IFERROR(unique_components_130[[#This Row],[Controlled lb/hr]]*4.38,"")</f>
        <v>0</v>
      </c>
    </row>
    <row r="112" spans="1:9" x14ac:dyDescent="0.2">
      <c r="A112" s="103"/>
      <c r="B112" s="104"/>
      <c r="C112" s="153"/>
      <c r="D112" s="154"/>
      <c r="E112" s="154"/>
      <c r="F112" s="146">
        <f>unique_components_130[[#This Row],[Count]]*unique_components_130[[#This Row],[Proposed Emission Factor]]*(1-unique_components_130[[#This Row],[Proposed Control Efficiency]])</f>
        <v>0</v>
      </c>
      <c r="G112" s="155">
        <f>IFERROR(unique_components_130[[#This Row],[Controlled lb/hr]]*4.38,"")</f>
        <v>0</v>
      </c>
    </row>
    <row r="113" spans="1:8" x14ac:dyDescent="0.2">
      <c r="A113" s="103"/>
      <c r="B113" s="104"/>
      <c r="C113" s="153"/>
      <c r="D113" s="154"/>
      <c r="E113" s="154"/>
      <c r="F113" s="146">
        <f>unique_components_130[[#This Row],[Count]]*unique_components_130[[#This Row],[Proposed Emission Factor]]*(1-unique_components_130[[#This Row],[Proposed Control Efficiency]])</f>
        <v>0</v>
      </c>
      <c r="G113" s="155">
        <f>IFERROR(unique_components_130[[#This Row],[Controlled lb/hr]]*4.38,"")</f>
        <v>0</v>
      </c>
    </row>
    <row r="114" spans="1:8" x14ac:dyDescent="0.2">
      <c r="A114" s="103"/>
      <c r="B114" s="104"/>
      <c r="C114" s="153"/>
      <c r="D114" s="154"/>
      <c r="E114" s="154"/>
      <c r="F114" s="146">
        <f>unique_components_130[[#This Row],[Count]]*unique_components_130[[#This Row],[Proposed Emission Factor]]*(1-unique_components_130[[#This Row],[Proposed Control Efficiency]])</f>
        <v>0</v>
      </c>
      <c r="G114" s="155">
        <f>IFERROR(unique_components_130[[#This Row],[Controlled lb/hr]]*4.38,"")</f>
        <v>0</v>
      </c>
    </row>
    <row r="115" spans="1:8" x14ac:dyDescent="0.2">
      <c r="A115" s="103"/>
      <c r="B115" s="104"/>
      <c r="C115" s="153"/>
      <c r="D115" s="154"/>
      <c r="E115" s="154"/>
      <c r="F115" s="146">
        <f>unique_components_130[[#This Row],[Count]]*unique_components_130[[#This Row],[Proposed Emission Factor]]*(1-unique_components_130[[#This Row],[Proposed Control Efficiency]])</f>
        <v>0</v>
      </c>
      <c r="G115" s="155">
        <f>IFERROR(unique_components_130[[#This Row],[Controlled lb/hr]]*4.38,"")</f>
        <v>0</v>
      </c>
    </row>
    <row r="116" spans="1:8" x14ac:dyDescent="0.2">
      <c r="A116" s="103"/>
      <c r="B116" s="104"/>
      <c r="C116" s="153"/>
      <c r="D116" s="154"/>
      <c r="E116" s="154"/>
      <c r="F116" s="146">
        <f>unique_components_130[[#This Row],[Count]]*unique_components_130[[#This Row],[Proposed Emission Factor]]*(1-unique_components_130[[#This Row],[Proposed Control Efficiency]])</f>
        <v>0</v>
      </c>
      <c r="G116" s="155">
        <f>IFERROR(unique_components_130[[#This Row],[Controlled lb/hr]]*4.38,"")</f>
        <v>0</v>
      </c>
    </row>
    <row r="117" spans="1:8" x14ac:dyDescent="0.2">
      <c r="A117" s="103"/>
      <c r="B117" s="104"/>
      <c r="C117" s="153"/>
      <c r="D117" s="154"/>
      <c r="E117" s="154"/>
      <c r="F117" s="146">
        <f>unique_components_130[[#This Row],[Count]]*unique_components_130[[#This Row],[Proposed Emission Factor]]*(1-unique_components_130[[#This Row],[Proposed Control Efficiency]])</f>
        <v>0</v>
      </c>
      <c r="G117" s="155">
        <f>IFERROR(unique_components_130[[#This Row],[Controlled lb/hr]]*4.38,"")</f>
        <v>0</v>
      </c>
    </row>
    <row r="118" spans="1:8" x14ac:dyDescent="0.2">
      <c r="A118" s="103"/>
      <c r="B118" s="104"/>
      <c r="C118" s="153"/>
      <c r="D118" s="154"/>
      <c r="E118" s="154"/>
      <c r="F118" s="146">
        <f>unique_components_130[[#This Row],[Count]]*unique_components_130[[#This Row],[Proposed Emission Factor]]*(1-unique_components_130[[#This Row],[Proposed Control Efficiency]])</f>
        <v>0</v>
      </c>
      <c r="G118" s="155">
        <f>IFERROR(unique_components_130[[#This Row],[Controlled lb/hr]]*4.38,"")</f>
        <v>0</v>
      </c>
    </row>
    <row r="119" spans="1:8" x14ac:dyDescent="0.2">
      <c r="A119" s="103"/>
      <c r="B119" s="104"/>
      <c r="C119" s="153"/>
      <c r="D119" s="154"/>
      <c r="E119" s="154"/>
      <c r="F119" s="146">
        <f>unique_components_130[[#This Row],[Count]]*unique_components_130[[#This Row],[Proposed Emission Factor]]*(1-unique_components_130[[#This Row],[Proposed Control Efficiency]])</f>
        <v>0</v>
      </c>
      <c r="G119" s="155">
        <f>IFERROR(unique_components_130[[#This Row],[Controlled lb/hr]]*4.38,"")</f>
        <v>0</v>
      </c>
    </row>
    <row r="120" spans="1:8" x14ac:dyDescent="0.2">
      <c r="A120" s="103"/>
      <c r="B120" s="104"/>
      <c r="C120" s="153"/>
      <c r="D120" s="154"/>
      <c r="E120" s="154"/>
      <c r="F120" s="146">
        <f>unique_components_130[[#This Row],[Count]]*unique_components_130[[#This Row],[Proposed Emission Factor]]*(1-unique_components_130[[#This Row],[Proposed Control Efficiency]])</f>
        <v>0</v>
      </c>
      <c r="G120" s="155">
        <f>IFERROR(unique_components_130[[#This Row],[Controlled lb/hr]]*4.38,"")</f>
        <v>0</v>
      </c>
    </row>
    <row r="121" spans="1:8" x14ac:dyDescent="0.2">
      <c r="A121" s="103"/>
      <c r="B121" s="104"/>
      <c r="C121" s="153"/>
      <c r="D121" s="154"/>
      <c r="E121" s="154"/>
      <c r="F121" s="146">
        <f>unique_components_130[[#This Row],[Count]]*unique_components_130[[#This Row],[Proposed Emission Factor]]*(1-unique_components_130[[#This Row],[Proposed Control Efficiency]])</f>
        <v>0</v>
      </c>
      <c r="G121" s="155">
        <f>IFERROR(unique_components_130[[#This Row],[Controlled lb/hr]]*4.38,"")</f>
        <v>0</v>
      </c>
    </row>
    <row r="122" spans="1:8" x14ac:dyDescent="0.2">
      <c r="A122" s="103"/>
      <c r="B122" s="104"/>
      <c r="C122" s="153"/>
      <c r="D122" s="154"/>
      <c r="E122" s="154"/>
      <c r="F122" s="146">
        <f>unique_components_130[[#This Row],[Count]]*unique_components_130[[#This Row],[Proposed Emission Factor]]*(1-unique_components_130[[#This Row],[Proposed Control Efficiency]])</f>
        <v>0</v>
      </c>
      <c r="G122" s="155">
        <f>IFERROR(unique_components_130[[#This Row],[Controlled lb/hr]]*4.38,"")</f>
        <v>0</v>
      </c>
    </row>
    <row r="123" spans="1:8" x14ac:dyDescent="0.2">
      <c r="A123" s="103"/>
      <c r="B123" s="104"/>
      <c r="C123" s="153"/>
      <c r="D123" s="154"/>
      <c r="E123" s="154"/>
      <c r="F123" s="146">
        <f>unique_components_130[[#This Row],[Count]]*unique_components_130[[#This Row],[Proposed Emission Factor]]*(1-unique_components_130[[#This Row],[Proposed Control Efficiency]])</f>
        <v>0</v>
      </c>
      <c r="G123" s="155">
        <f>IFERROR(unique_components_130[[#This Row],[Controlled lb/hr]]*4.38,"")</f>
        <v>0</v>
      </c>
    </row>
    <row r="124" spans="1:8" x14ac:dyDescent="0.2">
      <c r="A124" s="103"/>
      <c r="B124" s="104"/>
      <c r="C124" s="153"/>
      <c r="D124" s="154"/>
      <c r="E124" s="154"/>
      <c r="F124" s="146">
        <f>unique_components_130[[#This Row],[Count]]*unique_components_130[[#This Row],[Proposed Emission Factor]]*(1-unique_components_130[[#This Row],[Proposed Control Efficiency]])</f>
        <v>0</v>
      </c>
      <c r="G124" s="155">
        <f>IFERROR(unique_components_130[[#This Row],[Controlled lb/hr]]*4.38,"")</f>
        <v>0</v>
      </c>
    </row>
    <row r="125" spans="1:8" x14ac:dyDescent="0.2">
      <c r="A125" s="103"/>
      <c r="B125" s="104"/>
      <c r="C125" s="153"/>
      <c r="D125" s="154"/>
      <c r="E125" s="154"/>
      <c r="F125" s="146">
        <f>unique_components_130[[#This Row],[Count]]*unique_components_130[[#This Row],[Proposed Emission Factor]]*(1-unique_components_130[[#This Row],[Proposed Control Efficiency]])</f>
        <v>0</v>
      </c>
      <c r="G125" s="155">
        <f>IFERROR(unique_components_130[[#This Row],[Controlled lb/hr]]*4.38,"")</f>
        <v>0</v>
      </c>
    </row>
    <row r="126" spans="1:8" x14ac:dyDescent="0.2">
      <c r="A126" s="105"/>
      <c r="B126" s="106"/>
      <c r="C126" s="156"/>
      <c r="D126" s="154"/>
      <c r="E126" s="157"/>
      <c r="F126" s="158">
        <f>unique_components_130[[#This Row],[Count]]*unique_components_130[[#This Row],[Proposed Emission Factor]]*(1-unique_components_130[[#This Row],[Proposed Control Efficiency]])</f>
        <v>0</v>
      </c>
      <c r="G126" s="159">
        <f>IFERROR(unique_components_130[[#This Row],[Controlled lb/hr]]*4.38,"")</f>
        <v>0</v>
      </c>
    </row>
    <row r="127" spans="1:8" ht="30" x14ac:dyDescent="0.2">
      <c r="A127" s="57" t="s">
        <v>13297</v>
      </c>
      <c r="B127" s="54"/>
      <c r="C127" s="160">
        <f>SUBTOTAL(109,unique_components_130[Count])</f>
        <v>0</v>
      </c>
      <c r="D127" s="161"/>
      <c r="E127" s="161"/>
      <c r="F127" s="162">
        <f>SUBTOTAL(109,unique_components_130[Controlled lb/hr])</f>
        <v>0</v>
      </c>
      <c r="G127" s="162">
        <f>SUBTOTAL(109,unique_components_130[Controlled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IFERROR(VLOOKUP(speciated_chemicals_131[[#This Row],[CAS '#]],species[],MATCH("Substance", species[#Headers], 0),FALSE),"No CAS Number Entered")</f>
        <v>No CAS Number Entered</v>
      </c>
      <c r="C131" s="102"/>
      <c r="D131" s="102" t="s">
        <v>12666</v>
      </c>
      <c r="E131" s="102" t="s">
        <v>12666</v>
      </c>
      <c r="F131" s="102" t="s">
        <v>12666</v>
      </c>
      <c r="G131" s="102" t="s">
        <v>12666</v>
      </c>
      <c r="H131" s="164"/>
      <c r="I131" s="51">
        <f>IF(speciated_chemicals_131[[#This Row],[Inert / Not a Contaminant?]]="Yes", 0, speciated_chemicals_131[[#This Row],[Weight Percent]]*(unique_components_130[[#Totals],[Controlled lb/hr]]+standard_components_129[[#Totals],[Controlled
lb/hr]]))</f>
        <v>0</v>
      </c>
      <c r="J131" s="51">
        <f>IF(speciated_chemicals_131[[#This Row],[Inert / Not a Contaminant?]]="Yes", 0, speciated_chemicals_131[[#This Row],[Weight Percent]]*(unique_components_130[[#Totals],[Controlled
tpy]]+standard_components_129[[#Totals],[Controlled
tpy]]))</f>
        <v>0</v>
      </c>
    </row>
    <row r="132" spans="1:10" x14ac:dyDescent="0.2">
      <c r="A132" s="103"/>
      <c r="B132" s="51" t="str">
        <f>IFERROR(VLOOKUP(speciated_chemicals_131[[#This Row],[CAS '#]],species[],MATCH("Substance", species[#Headers], 0),FALSE),"No CAS Number Entered")</f>
        <v>No CAS Number Entered</v>
      </c>
      <c r="C132" s="102"/>
      <c r="D132" s="102" t="s">
        <v>12666</v>
      </c>
      <c r="E132" s="102" t="s">
        <v>12666</v>
      </c>
      <c r="F132" s="102" t="s">
        <v>12666</v>
      </c>
      <c r="G132" s="102" t="s">
        <v>12666</v>
      </c>
      <c r="H132" s="164"/>
      <c r="I132" s="51">
        <f>IF(speciated_chemicals_131[[#This Row],[Inert / Not a Contaminant?]]="Yes", 0, speciated_chemicals_131[[#This Row],[Weight Percent]]*(unique_components_130[[#Totals],[Controlled lb/hr]]+standard_components_129[[#Totals],[Controlled
lb/hr]]))</f>
        <v>0</v>
      </c>
      <c r="J132" s="51">
        <f>IF(speciated_chemicals_131[[#This Row],[Inert / Not a Contaminant?]]="Yes", 0, speciated_chemicals_131[[#This Row],[Weight Percent]]*(unique_components_130[[#Totals],[Controlled
tpy]]+standard_components_129[[#Totals],[Controlled
tpy]]))</f>
        <v>0</v>
      </c>
    </row>
    <row r="133" spans="1:10" x14ac:dyDescent="0.2">
      <c r="A133" s="103"/>
      <c r="B133" s="51" t="str">
        <f>IFERROR(VLOOKUP(speciated_chemicals_131[[#This Row],[CAS '#]],species[],MATCH("Substance", species[#Headers], 0),FALSE),"No CAS Number Entered")</f>
        <v>No CAS Number Entered</v>
      </c>
      <c r="C133" s="102"/>
      <c r="D133" s="102" t="s">
        <v>12666</v>
      </c>
      <c r="E133" s="102" t="s">
        <v>12666</v>
      </c>
      <c r="F133" s="102" t="s">
        <v>12666</v>
      </c>
      <c r="G133" s="102" t="s">
        <v>12666</v>
      </c>
      <c r="H133" s="164"/>
      <c r="I133" s="51">
        <f>IF(speciated_chemicals_131[[#This Row],[Inert / Not a Contaminant?]]="Yes", 0, speciated_chemicals_131[[#This Row],[Weight Percent]]*(unique_components_130[[#Totals],[Controlled lb/hr]]+standard_components_129[[#Totals],[Controlled
lb/hr]]))</f>
        <v>0</v>
      </c>
      <c r="J133" s="51">
        <f>IF(speciated_chemicals_131[[#This Row],[Inert / Not a Contaminant?]]="Yes", 0, speciated_chemicals_131[[#This Row],[Weight Percent]]*(unique_components_130[[#Totals],[Controlled
tpy]]+standard_components_129[[#Totals],[Controlled
tpy]]))</f>
        <v>0</v>
      </c>
    </row>
    <row r="134" spans="1:10" x14ac:dyDescent="0.2">
      <c r="A134" s="103"/>
      <c r="B134" s="51" t="str">
        <f>IFERROR(VLOOKUP(speciated_chemicals_131[[#This Row],[CAS '#]],species[],MATCH("Substance", species[#Headers], 0),FALSE),"No CAS Number Entered")</f>
        <v>No CAS Number Entered</v>
      </c>
      <c r="C134" s="102"/>
      <c r="D134" s="102" t="s">
        <v>12666</v>
      </c>
      <c r="E134" s="102" t="s">
        <v>12666</v>
      </c>
      <c r="F134" s="102" t="s">
        <v>12666</v>
      </c>
      <c r="G134" s="102" t="s">
        <v>12666</v>
      </c>
      <c r="H134" s="164"/>
      <c r="I134" s="51">
        <f>IF(speciated_chemicals_131[[#This Row],[Inert / Not a Contaminant?]]="Yes", 0, speciated_chemicals_131[[#This Row],[Weight Percent]]*(unique_components_130[[#Totals],[Controlled lb/hr]]+standard_components_129[[#Totals],[Controlled
lb/hr]]))</f>
        <v>0</v>
      </c>
      <c r="J134" s="51">
        <f>IF(speciated_chemicals_131[[#This Row],[Inert / Not a Contaminant?]]="Yes", 0, speciated_chemicals_131[[#This Row],[Weight Percent]]*(unique_components_130[[#Totals],[Controlled
tpy]]+standard_components_129[[#Totals],[Controlled
tpy]]))</f>
        <v>0</v>
      </c>
    </row>
    <row r="135" spans="1:10" x14ac:dyDescent="0.2">
      <c r="A135" s="103"/>
      <c r="B135" s="51" t="str">
        <f>IFERROR(VLOOKUP(speciated_chemicals_131[[#This Row],[CAS '#]],species[],MATCH("Substance", species[#Headers], 0),FALSE),"No CAS Number Entered")</f>
        <v>No CAS Number Entered</v>
      </c>
      <c r="C135" s="102"/>
      <c r="D135" s="102" t="s">
        <v>12666</v>
      </c>
      <c r="E135" s="102" t="s">
        <v>12666</v>
      </c>
      <c r="F135" s="102" t="s">
        <v>12666</v>
      </c>
      <c r="G135" s="102" t="s">
        <v>12666</v>
      </c>
      <c r="H135" s="164"/>
      <c r="I135" s="51">
        <f>IF(speciated_chemicals_131[[#This Row],[Inert / Not a Contaminant?]]="Yes", 0, speciated_chemicals_131[[#This Row],[Weight Percent]]*(unique_components_130[[#Totals],[Controlled lb/hr]]+standard_components_129[[#Totals],[Controlled
lb/hr]]))</f>
        <v>0</v>
      </c>
      <c r="J135" s="51">
        <f>IF(speciated_chemicals_131[[#This Row],[Inert / Not a Contaminant?]]="Yes", 0, speciated_chemicals_131[[#This Row],[Weight Percent]]*(unique_components_130[[#Totals],[Controlled
tpy]]+standard_components_129[[#Totals],[Controlled
tpy]]))</f>
        <v>0</v>
      </c>
    </row>
    <row r="136" spans="1:10" x14ac:dyDescent="0.2">
      <c r="A136" s="103"/>
      <c r="B136" s="51" t="str">
        <f>IFERROR(VLOOKUP(speciated_chemicals_131[[#This Row],[CAS '#]],species[],MATCH("Substance", species[#Headers], 0),FALSE),"No CAS Number Entered")</f>
        <v>No CAS Number Entered</v>
      </c>
      <c r="C136" s="102"/>
      <c r="D136" s="102" t="s">
        <v>12666</v>
      </c>
      <c r="E136" s="102" t="s">
        <v>12666</v>
      </c>
      <c r="F136" s="102" t="s">
        <v>12666</v>
      </c>
      <c r="G136" s="102" t="s">
        <v>12666</v>
      </c>
      <c r="H136" s="164"/>
      <c r="I136" s="51">
        <f>IF(speciated_chemicals_131[[#This Row],[Inert / Not a Contaminant?]]="Yes", 0, speciated_chemicals_131[[#This Row],[Weight Percent]]*(unique_components_130[[#Totals],[Controlled lb/hr]]+standard_components_129[[#Totals],[Controlled
lb/hr]]))</f>
        <v>0</v>
      </c>
      <c r="J136" s="51">
        <f>IF(speciated_chemicals_131[[#This Row],[Inert / Not a Contaminant?]]="Yes", 0, speciated_chemicals_131[[#This Row],[Weight Percent]]*(unique_components_130[[#Totals],[Controlled
tpy]]+standard_components_129[[#Totals],[Controlled
tpy]]))</f>
        <v>0</v>
      </c>
    </row>
    <row r="137" spans="1:10" x14ac:dyDescent="0.2">
      <c r="A137" s="103"/>
      <c r="B137" s="51" t="str">
        <f>IFERROR(VLOOKUP(speciated_chemicals_131[[#This Row],[CAS '#]],species[],MATCH("Substance", species[#Headers], 0),FALSE),"No CAS Number Entered")</f>
        <v>No CAS Number Entered</v>
      </c>
      <c r="C137" s="102"/>
      <c r="D137" s="102" t="s">
        <v>12666</v>
      </c>
      <c r="E137" s="102" t="s">
        <v>12666</v>
      </c>
      <c r="F137" s="102" t="s">
        <v>12666</v>
      </c>
      <c r="G137" s="102" t="s">
        <v>12666</v>
      </c>
      <c r="H137" s="164"/>
      <c r="I137" s="51">
        <f>IF(speciated_chemicals_131[[#This Row],[Inert / Not a Contaminant?]]="Yes", 0, speciated_chemicals_131[[#This Row],[Weight Percent]]*(unique_components_130[[#Totals],[Controlled lb/hr]]+standard_components_129[[#Totals],[Controlled
lb/hr]]))</f>
        <v>0</v>
      </c>
      <c r="J137" s="51">
        <f>IF(speciated_chemicals_131[[#This Row],[Inert / Not a Contaminant?]]="Yes", 0, speciated_chemicals_131[[#This Row],[Weight Percent]]*(unique_components_130[[#Totals],[Controlled
tpy]]+standard_components_129[[#Totals],[Controlled
tpy]]))</f>
        <v>0</v>
      </c>
    </row>
    <row r="138" spans="1:10" x14ac:dyDescent="0.2">
      <c r="A138" s="103"/>
      <c r="B138" s="51" t="str">
        <f>IFERROR(VLOOKUP(speciated_chemicals_131[[#This Row],[CAS '#]],species[],MATCH("Substance", species[#Headers], 0),FALSE),"No CAS Number Entered")</f>
        <v>No CAS Number Entered</v>
      </c>
      <c r="C138" s="102"/>
      <c r="D138" s="102" t="s">
        <v>12666</v>
      </c>
      <c r="E138" s="102" t="s">
        <v>12666</v>
      </c>
      <c r="F138" s="102" t="s">
        <v>12666</v>
      </c>
      <c r="G138" s="102" t="s">
        <v>12666</v>
      </c>
      <c r="H138" s="164"/>
      <c r="I138" s="51">
        <f>IF(speciated_chemicals_131[[#This Row],[Inert / Not a Contaminant?]]="Yes", 0, speciated_chemicals_131[[#This Row],[Weight Percent]]*(unique_components_130[[#Totals],[Controlled lb/hr]]+standard_components_129[[#Totals],[Controlled
lb/hr]]))</f>
        <v>0</v>
      </c>
      <c r="J138" s="51">
        <f>IF(speciated_chemicals_131[[#This Row],[Inert / Not a Contaminant?]]="Yes", 0, speciated_chemicals_131[[#This Row],[Weight Percent]]*(unique_components_130[[#Totals],[Controlled
tpy]]+standard_components_129[[#Totals],[Controlled
tpy]]))</f>
        <v>0</v>
      </c>
    </row>
    <row r="139" spans="1:10" x14ac:dyDescent="0.2">
      <c r="A139" s="103"/>
      <c r="B139" s="51" t="str">
        <f>IFERROR(VLOOKUP(speciated_chemicals_131[[#This Row],[CAS '#]],species[],MATCH("Substance", species[#Headers], 0),FALSE),"No CAS Number Entered")</f>
        <v>No CAS Number Entered</v>
      </c>
      <c r="C139" s="102"/>
      <c r="D139" s="102" t="s">
        <v>12666</v>
      </c>
      <c r="E139" s="102" t="s">
        <v>12666</v>
      </c>
      <c r="F139" s="102" t="s">
        <v>12666</v>
      </c>
      <c r="G139" s="102" t="s">
        <v>12666</v>
      </c>
      <c r="H139" s="164"/>
      <c r="I139" s="51">
        <f>IF(speciated_chemicals_131[[#This Row],[Inert / Not a Contaminant?]]="Yes", 0, speciated_chemicals_131[[#This Row],[Weight Percent]]*(unique_components_130[[#Totals],[Controlled lb/hr]]+standard_components_129[[#Totals],[Controlled
lb/hr]]))</f>
        <v>0</v>
      </c>
      <c r="J139" s="51">
        <f>IF(speciated_chemicals_131[[#This Row],[Inert / Not a Contaminant?]]="Yes", 0, speciated_chemicals_131[[#This Row],[Weight Percent]]*(unique_components_130[[#Totals],[Controlled
tpy]]+standard_components_129[[#Totals],[Controlled
tpy]]))</f>
        <v>0</v>
      </c>
    </row>
    <row r="140" spans="1:10" x14ac:dyDescent="0.2">
      <c r="A140" s="103"/>
      <c r="B140" s="51" t="str">
        <f>IFERROR(VLOOKUP(speciated_chemicals_131[[#This Row],[CAS '#]],species[],MATCH("Substance", species[#Headers], 0),FALSE),"No CAS Number Entered")</f>
        <v>No CAS Number Entered</v>
      </c>
      <c r="C140" s="102"/>
      <c r="D140" s="102" t="s">
        <v>12666</v>
      </c>
      <c r="E140" s="102" t="s">
        <v>12666</v>
      </c>
      <c r="F140" s="102" t="s">
        <v>12666</v>
      </c>
      <c r="G140" s="102" t="s">
        <v>12666</v>
      </c>
      <c r="H140" s="164"/>
      <c r="I140" s="51">
        <f>IF(speciated_chemicals_131[[#This Row],[Inert / Not a Contaminant?]]="Yes", 0, speciated_chemicals_131[[#This Row],[Weight Percent]]*(unique_components_130[[#Totals],[Controlled lb/hr]]+standard_components_129[[#Totals],[Controlled
lb/hr]]))</f>
        <v>0</v>
      </c>
      <c r="J140" s="51">
        <f>IF(speciated_chemicals_131[[#This Row],[Inert / Not a Contaminant?]]="Yes", 0, speciated_chemicals_131[[#This Row],[Weight Percent]]*(unique_components_130[[#Totals],[Controlled
tpy]]+standard_components_129[[#Totals],[Controlled
tpy]]))</f>
        <v>0</v>
      </c>
    </row>
    <row r="141" spans="1:10" x14ac:dyDescent="0.2">
      <c r="A141" s="103"/>
      <c r="B141" s="51" t="str">
        <f>IFERROR(VLOOKUP(speciated_chemicals_131[[#This Row],[CAS '#]],species[],MATCH("Substance", species[#Headers], 0),FALSE),"No CAS Number Entered")</f>
        <v>No CAS Number Entered</v>
      </c>
      <c r="C141" s="102"/>
      <c r="D141" s="102" t="s">
        <v>12666</v>
      </c>
      <c r="E141" s="102" t="s">
        <v>12666</v>
      </c>
      <c r="F141" s="102" t="s">
        <v>12666</v>
      </c>
      <c r="G141" s="102" t="s">
        <v>12666</v>
      </c>
      <c r="H141" s="164"/>
      <c r="I141" s="51">
        <f>IF(speciated_chemicals_131[[#This Row],[Inert / Not a Contaminant?]]="Yes", 0, speciated_chemicals_131[[#This Row],[Weight Percent]]*(unique_components_130[[#Totals],[Controlled lb/hr]]+standard_components_129[[#Totals],[Controlled
lb/hr]]))</f>
        <v>0</v>
      </c>
      <c r="J141" s="51">
        <f>IF(speciated_chemicals_131[[#This Row],[Inert / Not a Contaminant?]]="Yes", 0, speciated_chemicals_131[[#This Row],[Weight Percent]]*(unique_components_130[[#Totals],[Controlled
tpy]]+standard_components_129[[#Totals],[Controlled
tpy]]))</f>
        <v>0</v>
      </c>
    </row>
    <row r="142" spans="1:10" x14ac:dyDescent="0.2">
      <c r="A142" s="103"/>
      <c r="B142" s="51" t="str">
        <f>IFERROR(VLOOKUP(speciated_chemicals_131[[#This Row],[CAS '#]],species[],MATCH("Substance", species[#Headers], 0),FALSE),"No CAS Number Entered")</f>
        <v>No CAS Number Entered</v>
      </c>
      <c r="C142" s="102"/>
      <c r="D142" s="102" t="s">
        <v>12666</v>
      </c>
      <c r="E142" s="102" t="s">
        <v>12666</v>
      </c>
      <c r="F142" s="102" t="s">
        <v>12666</v>
      </c>
      <c r="G142" s="102" t="s">
        <v>12666</v>
      </c>
      <c r="H142" s="164"/>
      <c r="I142" s="51">
        <f>IF(speciated_chemicals_131[[#This Row],[Inert / Not a Contaminant?]]="Yes", 0, speciated_chemicals_131[[#This Row],[Weight Percent]]*(unique_components_130[[#Totals],[Controlled lb/hr]]+standard_components_129[[#Totals],[Controlled
lb/hr]]))</f>
        <v>0</v>
      </c>
      <c r="J142" s="51">
        <f>IF(speciated_chemicals_131[[#This Row],[Inert / Not a Contaminant?]]="Yes", 0, speciated_chemicals_131[[#This Row],[Weight Percent]]*(unique_components_130[[#Totals],[Controlled
tpy]]+standard_components_129[[#Totals],[Controlled
tpy]]))</f>
        <v>0</v>
      </c>
    </row>
    <row r="143" spans="1:10" x14ac:dyDescent="0.2">
      <c r="A143" s="103"/>
      <c r="B143" s="51" t="str">
        <f>IFERROR(VLOOKUP(speciated_chemicals_131[[#This Row],[CAS '#]],species[],MATCH("Substance", species[#Headers], 0),FALSE),"No CAS Number Entered")</f>
        <v>No CAS Number Entered</v>
      </c>
      <c r="C143" s="102"/>
      <c r="D143" s="102" t="s">
        <v>12666</v>
      </c>
      <c r="E143" s="102" t="s">
        <v>12666</v>
      </c>
      <c r="F143" s="102" t="s">
        <v>12666</v>
      </c>
      <c r="G143" s="102" t="s">
        <v>12666</v>
      </c>
      <c r="H143" s="164"/>
      <c r="I143" s="51">
        <f>IF(speciated_chemicals_131[[#This Row],[Inert / Not a Contaminant?]]="Yes", 0, speciated_chemicals_131[[#This Row],[Weight Percent]]*(unique_components_130[[#Totals],[Controlled lb/hr]]+standard_components_129[[#Totals],[Controlled
lb/hr]]))</f>
        <v>0</v>
      </c>
      <c r="J143" s="51">
        <f>IF(speciated_chemicals_131[[#This Row],[Inert / Not a Contaminant?]]="Yes", 0, speciated_chemicals_131[[#This Row],[Weight Percent]]*(unique_components_130[[#Totals],[Controlled
tpy]]+standard_components_129[[#Totals],[Controlled
tpy]]))</f>
        <v>0</v>
      </c>
    </row>
    <row r="144" spans="1:10" x14ac:dyDescent="0.2">
      <c r="A144" s="103"/>
      <c r="B144" s="51" t="str">
        <f>IFERROR(VLOOKUP(speciated_chemicals_131[[#This Row],[CAS '#]],species[],MATCH("Substance", species[#Headers], 0),FALSE),"No CAS Number Entered")</f>
        <v>No CAS Number Entered</v>
      </c>
      <c r="C144" s="102"/>
      <c r="D144" s="102" t="s">
        <v>12666</v>
      </c>
      <c r="E144" s="102" t="s">
        <v>12666</v>
      </c>
      <c r="F144" s="102" t="s">
        <v>12666</v>
      </c>
      <c r="G144" s="102" t="s">
        <v>12666</v>
      </c>
      <c r="H144" s="164"/>
      <c r="I144" s="51">
        <f>IF(speciated_chemicals_131[[#This Row],[Inert / Not a Contaminant?]]="Yes", 0, speciated_chemicals_131[[#This Row],[Weight Percent]]*(unique_components_130[[#Totals],[Controlled lb/hr]]+standard_components_129[[#Totals],[Controlled
lb/hr]]))</f>
        <v>0</v>
      </c>
      <c r="J144" s="51">
        <f>IF(speciated_chemicals_131[[#This Row],[Inert / Not a Contaminant?]]="Yes", 0, speciated_chemicals_131[[#This Row],[Weight Percent]]*(unique_components_130[[#Totals],[Controlled
tpy]]+standard_components_129[[#Totals],[Controlled
tpy]]))</f>
        <v>0</v>
      </c>
    </row>
    <row r="145" spans="1:10" x14ac:dyDescent="0.2">
      <c r="A145" s="103"/>
      <c r="B145" s="51" t="str">
        <f>IFERROR(VLOOKUP(speciated_chemicals_131[[#This Row],[CAS '#]],species[],MATCH("Substance", species[#Headers], 0),FALSE),"No CAS Number Entered")</f>
        <v>No CAS Number Entered</v>
      </c>
      <c r="C145" s="102"/>
      <c r="D145" s="102" t="s">
        <v>12666</v>
      </c>
      <c r="E145" s="102" t="s">
        <v>12666</v>
      </c>
      <c r="F145" s="102" t="s">
        <v>12666</v>
      </c>
      <c r="G145" s="102" t="s">
        <v>12666</v>
      </c>
      <c r="H145" s="164"/>
      <c r="I145" s="51">
        <f>IF(speciated_chemicals_131[[#This Row],[Inert / Not a Contaminant?]]="Yes", 0, speciated_chemicals_131[[#This Row],[Weight Percent]]*(unique_components_130[[#Totals],[Controlled lb/hr]]+standard_components_129[[#Totals],[Controlled
lb/hr]]))</f>
        <v>0</v>
      </c>
      <c r="J145" s="51">
        <f>IF(speciated_chemicals_131[[#This Row],[Inert / Not a Contaminant?]]="Yes", 0, speciated_chemicals_131[[#This Row],[Weight Percent]]*(unique_components_130[[#Totals],[Controlled
tpy]]+standard_components_129[[#Totals],[Controlled
tpy]]))</f>
        <v>0</v>
      </c>
    </row>
    <row r="146" spans="1:10" x14ac:dyDescent="0.2">
      <c r="A146" s="103"/>
      <c r="B146" s="51" t="str">
        <f>IFERROR(VLOOKUP(speciated_chemicals_131[[#This Row],[CAS '#]],species[],MATCH("Substance", species[#Headers], 0),FALSE),"No CAS Number Entered")</f>
        <v>No CAS Number Entered</v>
      </c>
      <c r="C146" s="102"/>
      <c r="D146" s="102" t="s">
        <v>12666</v>
      </c>
      <c r="E146" s="102" t="s">
        <v>12666</v>
      </c>
      <c r="F146" s="102" t="s">
        <v>12666</v>
      </c>
      <c r="G146" s="102" t="s">
        <v>12666</v>
      </c>
      <c r="H146" s="164"/>
      <c r="I146" s="51">
        <f>IF(speciated_chemicals_131[[#This Row],[Inert / Not a Contaminant?]]="Yes", 0, speciated_chemicals_131[[#This Row],[Weight Percent]]*(unique_components_130[[#Totals],[Controlled lb/hr]]+standard_components_129[[#Totals],[Controlled
lb/hr]]))</f>
        <v>0</v>
      </c>
      <c r="J146" s="51">
        <f>IF(speciated_chemicals_131[[#This Row],[Inert / Not a Contaminant?]]="Yes", 0, speciated_chemicals_131[[#This Row],[Weight Percent]]*(unique_components_130[[#Totals],[Controlled
tpy]]+standard_components_129[[#Totals],[Controlled
tpy]]))</f>
        <v>0</v>
      </c>
    </row>
    <row r="147" spans="1:10" x14ac:dyDescent="0.2">
      <c r="A147" s="103"/>
      <c r="B147" s="51" t="str">
        <f>IFERROR(VLOOKUP(speciated_chemicals_131[[#This Row],[CAS '#]],species[],MATCH("Substance", species[#Headers], 0),FALSE),"No CAS Number Entered")</f>
        <v>No CAS Number Entered</v>
      </c>
      <c r="C147" s="102"/>
      <c r="D147" s="102" t="s">
        <v>12666</v>
      </c>
      <c r="E147" s="102" t="s">
        <v>12666</v>
      </c>
      <c r="F147" s="102" t="s">
        <v>12666</v>
      </c>
      <c r="G147" s="102" t="s">
        <v>12666</v>
      </c>
      <c r="H147" s="164"/>
      <c r="I147" s="51">
        <f>IF(speciated_chemicals_131[[#This Row],[Inert / Not a Contaminant?]]="Yes", 0, speciated_chemicals_131[[#This Row],[Weight Percent]]*(unique_components_130[[#Totals],[Controlled lb/hr]]+standard_components_129[[#Totals],[Controlled
lb/hr]]))</f>
        <v>0</v>
      </c>
      <c r="J147" s="51">
        <f>IF(speciated_chemicals_131[[#This Row],[Inert / Not a Contaminant?]]="Yes", 0, speciated_chemicals_131[[#This Row],[Weight Percent]]*(unique_components_130[[#Totals],[Controlled
tpy]]+standard_components_129[[#Totals],[Controlled
tpy]]))</f>
        <v>0</v>
      </c>
    </row>
    <row r="148" spans="1:10" x14ac:dyDescent="0.2">
      <c r="A148" s="103"/>
      <c r="B148" s="51" t="str">
        <f>IFERROR(VLOOKUP(speciated_chemicals_131[[#This Row],[CAS '#]],species[],MATCH("Substance", species[#Headers], 0),FALSE),"No CAS Number Entered")</f>
        <v>No CAS Number Entered</v>
      </c>
      <c r="C148" s="102"/>
      <c r="D148" s="102" t="s">
        <v>12666</v>
      </c>
      <c r="E148" s="102" t="s">
        <v>12666</v>
      </c>
      <c r="F148" s="102" t="s">
        <v>12666</v>
      </c>
      <c r="G148" s="102" t="s">
        <v>12666</v>
      </c>
      <c r="H148" s="164"/>
      <c r="I148" s="51">
        <f>IF(speciated_chemicals_131[[#This Row],[Inert / Not a Contaminant?]]="Yes", 0, speciated_chemicals_131[[#This Row],[Weight Percent]]*(unique_components_130[[#Totals],[Controlled lb/hr]]+standard_components_129[[#Totals],[Controlled
lb/hr]]))</f>
        <v>0</v>
      </c>
      <c r="J148" s="51">
        <f>IF(speciated_chemicals_131[[#This Row],[Inert / Not a Contaminant?]]="Yes", 0, speciated_chemicals_131[[#This Row],[Weight Percent]]*(unique_components_130[[#Totals],[Controlled
tpy]]+standard_components_129[[#Totals],[Controlled
tpy]]))</f>
        <v>0</v>
      </c>
    </row>
    <row r="149" spans="1:10" x14ac:dyDescent="0.2">
      <c r="A149" s="103"/>
      <c r="B149" s="51" t="str">
        <f>IFERROR(VLOOKUP(speciated_chemicals_131[[#This Row],[CAS '#]],species[],MATCH("Substance", species[#Headers], 0),FALSE),"No CAS Number Entered")</f>
        <v>No CAS Number Entered</v>
      </c>
      <c r="C149" s="102"/>
      <c r="D149" s="102" t="s">
        <v>12666</v>
      </c>
      <c r="E149" s="102" t="s">
        <v>12666</v>
      </c>
      <c r="F149" s="102" t="s">
        <v>12666</v>
      </c>
      <c r="G149" s="102" t="s">
        <v>12666</v>
      </c>
      <c r="H149" s="164"/>
      <c r="I149" s="51">
        <f>IF(speciated_chemicals_131[[#This Row],[Inert / Not a Contaminant?]]="Yes", 0, speciated_chemicals_131[[#This Row],[Weight Percent]]*(unique_components_130[[#Totals],[Controlled lb/hr]]+standard_components_129[[#Totals],[Controlled
lb/hr]]))</f>
        <v>0</v>
      </c>
      <c r="J149" s="51">
        <f>IF(speciated_chemicals_131[[#This Row],[Inert / Not a Contaminant?]]="Yes", 0, speciated_chemicals_131[[#This Row],[Weight Percent]]*(unique_components_130[[#Totals],[Controlled
tpy]]+standard_components_129[[#Totals],[Controlled
tpy]]))</f>
        <v>0</v>
      </c>
    </row>
    <row r="150" spans="1:10" x14ac:dyDescent="0.2">
      <c r="A150" s="103"/>
      <c r="B150" s="51" t="str">
        <f>IFERROR(VLOOKUP(speciated_chemicals_131[[#This Row],[CAS '#]],species[],MATCH("Substance", species[#Headers], 0),FALSE),"No CAS Number Entered")</f>
        <v>No CAS Number Entered</v>
      </c>
      <c r="C150" s="102"/>
      <c r="D150" s="102" t="s">
        <v>12666</v>
      </c>
      <c r="E150" s="102" t="s">
        <v>12666</v>
      </c>
      <c r="F150" s="102" t="s">
        <v>12666</v>
      </c>
      <c r="G150" s="102" t="s">
        <v>12666</v>
      </c>
      <c r="H150" s="164"/>
      <c r="I150" s="51">
        <f>IF(speciated_chemicals_131[[#This Row],[Inert / Not a Contaminant?]]="Yes", 0, speciated_chemicals_131[[#This Row],[Weight Percent]]*(unique_components_130[[#Totals],[Controlled lb/hr]]+standard_components_129[[#Totals],[Controlled
lb/hr]]))</f>
        <v>0</v>
      </c>
      <c r="J150" s="51">
        <f>IF(speciated_chemicals_131[[#This Row],[Inert / Not a Contaminant?]]="Yes", 0, speciated_chemicals_131[[#This Row],[Weight Percent]]*(unique_components_130[[#Totals],[Controlled
tpy]]+standard_components_129[[#Totals],[Controlled
tpy]]))</f>
        <v>0</v>
      </c>
    </row>
    <row r="151" spans="1:10" x14ac:dyDescent="0.2">
      <c r="A151" s="103"/>
      <c r="B151" s="51" t="str">
        <f>IFERROR(VLOOKUP(speciated_chemicals_131[[#This Row],[CAS '#]],species[],MATCH("Substance", species[#Headers], 0),FALSE),"No CAS Number Entered")</f>
        <v>No CAS Number Entered</v>
      </c>
      <c r="C151" s="102"/>
      <c r="D151" s="102" t="s">
        <v>12666</v>
      </c>
      <c r="E151" s="102" t="s">
        <v>12666</v>
      </c>
      <c r="F151" s="102" t="s">
        <v>12666</v>
      </c>
      <c r="G151" s="102" t="s">
        <v>12666</v>
      </c>
      <c r="H151" s="164"/>
      <c r="I151" s="51">
        <f>IF(speciated_chemicals_131[[#This Row],[Inert / Not a Contaminant?]]="Yes", 0, speciated_chemicals_131[[#This Row],[Weight Percent]]*(unique_components_130[[#Totals],[Controlled lb/hr]]+standard_components_129[[#Totals],[Controlled
lb/hr]]))</f>
        <v>0</v>
      </c>
      <c r="J151" s="51">
        <f>IF(speciated_chemicals_131[[#This Row],[Inert / Not a Contaminant?]]="Yes", 0, speciated_chemicals_131[[#This Row],[Weight Percent]]*(unique_components_130[[#Totals],[Controlled
tpy]]+standard_components_129[[#Totals],[Controlled
tpy]]))</f>
        <v>0</v>
      </c>
    </row>
    <row r="152" spans="1:10" x14ac:dyDescent="0.2">
      <c r="A152" s="103"/>
      <c r="B152" s="51" t="str">
        <f>IFERROR(VLOOKUP(speciated_chemicals_131[[#This Row],[CAS '#]],species[],MATCH("Substance", species[#Headers], 0),FALSE),"No CAS Number Entered")</f>
        <v>No CAS Number Entered</v>
      </c>
      <c r="C152" s="102"/>
      <c r="D152" s="102" t="s">
        <v>12666</v>
      </c>
      <c r="E152" s="102" t="s">
        <v>12666</v>
      </c>
      <c r="F152" s="102" t="s">
        <v>12666</v>
      </c>
      <c r="G152" s="102" t="s">
        <v>12666</v>
      </c>
      <c r="H152" s="164"/>
      <c r="I152" s="51">
        <f>IF(speciated_chemicals_131[[#This Row],[Inert / Not a Contaminant?]]="Yes", 0, speciated_chemicals_131[[#This Row],[Weight Percent]]*(unique_components_130[[#Totals],[Controlled lb/hr]]+standard_components_129[[#Totals],[Controlled
lb/hr]]))</f>
        <v>0</v>
      </c>
      <c r="J152" s="51">
        <f>IF(speciated_chemicals_131[[#This Row],[Inert / Not a Contaminant?]]="Yes", 0, speciated_chemicals_131[[#This Row],[Weight Percent]]*(unique_components_130[[#Totals],[Controlled
tpy]]+standard_components_129[[#Totals],[Controlled
tpy]]))</f>
        <v>0</v>
      </c>
    </row>
    <row r="153" spans="1:10" x14ac:dyDescent="0.2">
      <c r="A153" s="103"/>
      <c r="B153" s="51" t="str">
        <f>IFERROR(VLOOKUP(speciated_chemicals_131[[#This Row],[CAS '#]],species[],MATCH("Substance", species[#Headers], 0),FALSE),"No CAS Number Entered")</f>
        <v>No CAS Number Entered</v>
      </c>
      <c r="C153" s="102"/>
      <c r="D153" s="102" t="s">
        <v>12666</v>
      </c>
      <c r="E153" s="102" t="s">
        <v>12666</v>
      </c>
      <c r="F153" s="102" t="s">
        <v>12666</v>
      </c>
      <c r="G153" s="102" t="s">
        <v>12666</v>
      </c>
      <c r="H153" s="164"/>
      <c r="I153" s="51">
        <f>IF(speciated_chemicals_131[[#This Row],[Inert / Not a Contaminant?]]="Yes", 0, speciated_chemicals_131[[#This Row],[Weight Percent]]*(unique_components_130[[#Totals],[Controlled lb/hr]]+standard_components_129[[#Totals],[Controlled
lb/hr]]))</f>
        <v>0</v>
      </c>
      <c r="J153" s="51">
        <f>IF(speciated_chemicals_131[[#This Row],[Inert / Not a Contaminant?]]="Yes", 0, speciated_chemicals_131[[#This Row],[Weight Percent]]*(unique_components_130[[#Totals],[Controlled
tpy]]+standard_components_129[[#Totals],[Controlled
tpy]]))</f>
        <v>0</v>
      </c>
    </row>
    <row r="154" spans="1:10" x14ac:dyDescent="0.2">
      <c r="A154" s="103"/>
      <c r="B154" s="51" t="str">
        <f>IFERROR(VLOOKUP(speciated_chemicals_131[[#This Row],[CAS '#]],species[],MATCH("Substance", species[#Headers], 0),FALSE),"No CAS Number Entered")</f>
        <v>No CAS Number Entered</v>
      </c>
      <c r="C154" s="102"/>
      <c r="D154" s="102" t="s">
        <v>12666</v>
      </c>
      <c r="E154" s="102" t="s">
        <v>12666</v>
      </c>
      <c r="F154" s="102" t="s">
        <v>12666</v>
      </c>
      <c r="G154" s="102" t="s">
        <v>12666</v>
      </c>
      <c r="H154" s="164"/>
      <c r="I154" s="51">
        <f>IF(speciated_chemicals_131[[#This Row],[Inert / Not a Contaminant?]]="Yes", 0, speciated_chemicals_131[[#This Row],[Weight Percent]]*(unique_components_130[[#Totals],[Controlled lb/hr]]+standard_components_129[[#Totals],[Controlled
lb/hr]]))</f>
        <v>0</v>
      </c>
      <c r="J154" s="51">
        <f>IF(speciated_chemicals_131[[#This Row],[Inert / Not a Contaminant?]]="Yes", 0, speciated_chemicals_131[[#This Row],[Weight Percent]]*(unique_components_130[[#Totals],[Controlled
tpy]]+standard_components_129[[#Totals],[Controlled
tpy]]))</f>
        <v>0</v>
      </c>
    </row>
    <row r="155" spans="1:10" x14ac:dyDescent="0.2">
      <c r="A155" s="103"/>
      <c r="B155" s="51" t="str">
        <f>IFERROR(VLOOKUP(speciated_chemicals_131[[#This Row],[CAS '#]],species[],MATCH("Substance", species[#Headers], 0),FALSE),"No CAS Number Entered")</f>
        <v>No CAS Number Entered</v>
      </c>
      <c r="C155" s="102"/>
      <c r="D155" s="102" t="s">
        <v>12666</v>
      </c>
      <c r="E155" s="102" t="s">
        <v>12666</v>
      </c>
      <c r="F155" s="102" t="s">
        <v>12666</v>
      </c>
      <c r="G155" s="102" t="s">
        <v>12666</v>
      </c>
      <c r="H155" s="164"/>
      <c r="I155" s="51">
        <f>IF(speciated_chemicals_131[[#This Row],[Inert / Not a Contaminant?]]="Yes", 0, speciated_chemicals_131[[#This Row],[Weight Percent]]*(unique_components_130[[#Totals],[Controlled lb/hr]]+standard_components_129[[#Totals],[Controlled
lb/hr]]))</f>
        <v>0</v>
      </c>
      <c r="J155" s="51">
        <f>IF(speciated_chemicals_131[[#This Row],[Inert / Not a Contaminant?]]="Yes", 0, speciated_chemicals_131[[#This Row],[Weight Percent]]*(unique_components_130[[#Totals],[Controlled
tpy]]+standard_components_129[[#Totals],[Controlled
tpy]]))</f>
        <v>0</v>
      </c>
    </row>
    <row r="156" spans="1:10" x14ac:dyDescent="0.2">
      <c r="A156" s="103"/>
      <c r="B156" s="51" t="str">
        <f>IFERROR(VLOOKUP(speciated_chemicals_131[[#This Row],[CAS '#]],species[],MATCH("Substance", species[#Headers], 0),FALSE),"No CAS Number Entered")</f>
        <v>No CAS Number Entered</v>
      </c>
      <c r="C156" s="102"/>
      <c r="D156" s="102" t="s">
        <v>12666</v>
      </c>
      <c r="E156" s="102" t="s">
        <v>12666</v>
      </c>
      <c r="F156" s="102" t="s">
        <v>12666</v>
      </c>
      <c r="G156" s="102" t="s">
        <v>12666</v>
      </c>
      <c r="H156" s="164"/>
      <c r="I156" s="51">
        <f>IF(speciated_chemicals_131[[#This Row],[Inert / Not a Contaminant?]]="Yes", 0, speciated_chemicals_131[[#This Row],[Weight Percent]]*(unique_components_130[[#Totals],[Controlled lb/hr]]+standard_components_129[[#Totals],[Controlled
lb/hr]]))</f>
        <v>0</v>
      </c>
      <c r="J156" s="51">
        <f>IF(speciated_chemicals_131[[#This Row],[Inert / Not a Contaminant?]]="Yes", 0, speciated_chemicals_131[[#This Row],[Weight Percent]]*(unique_components_130[[#Totals],[Controlled
tpy]]+standard_components_129[[#Totals],[Controlled
tpy]]))</f>
        <v>0</v>
      </c>
    </row>
    <row r="157" spans="1:10" x14ac:dyDescent="0.2">
      <c r="A157" s="103"/>
      <c r="B157" s="51" t="str">
        <f>IFERROR(VLOOKUP(speciated_chemicals_131[[#This Row],[CAS '#]],species[],MATCH("Substance", species[#Headers], 0),FALSE),"No CAS Number Entered")</f>
        <v>No CAS Number Entered</v>
      </c>
      <c r="C157" s="102"/>
      <c r="D157" s="102" t="s">
        <v>12666</v>
      </c>
      <c r="E157" s="102" t="s">
        <v>12666</v>
      </c>
      <c r="F157" s="102" t="s">
        <v>12666</v>
      </c>
      <c r="G157" s="102" t="s">
        <v>12666</v>
      </c>
      <c r="H157" s="164"/>
      <c r="I157" s="51">
        <f>IF(speciated_chemicals_131[[#This Row],[Inert / Not a Contaminant?]]="Yes", 0, speciated_chemicals_131[[#This Row],[Weight Percent]]*(unique_components_130[[#Totals],[Controlled lb/hr]]+standard_components_129[[#Totals],[Controlled
lb/hr]]))</f>
        <v>0</v>
      </c>
      <c r="J157" s="51">
        <f>IF(speciated_chemicals_131[[#This Row],[Inert / Not a Contaminant?]]="Yes", 0, speciated_chemicals_131[[#This Row],[Weight Percent]]*(unique_components_130[[#Totals],[Controlled
tpy]]+standard_components_129[[#Totals],[Controlled
tpy]]))</f>
        <v>0</v>
      </c>
    </row>
    <row r="158" spans="1:10" x14ac:dyDescent="0.2">
      <c r="A158" s="103"/>
      <c r="B158" s="51" t="str">
        <f>IFERROR(VLOOKUP(speciated_chemicals_131[[#This Row],[CAS '#]],species[],MATCH("Substance", species[#Headers], 0),FALSE),"No CAS Number Entered")</f>
        <v>No CAS Number Entered</v>
      </c>
      <c r="C158" s="102"/>
      <c r="D158" s="102" t="s">
        <v>12666</v>
      </c>
      <c r="E158" s="102" t="s">
        <v>12666</v>
      </c>
      <c r="F158" s="102" t="s">
        <v>12666</v>
      </c>
      <c r="G158" s="102" t="s">
        <v>12666</v>
      </c>
      <c r="H158" s="164"/>
      <c r="I158" s="51">
        <f>IF(speciated_chemicals_131[[#This Row],[Inert / Not a Contaminant?]]="Yes", 0, speciated_chemicals_131[[#This Row],[Weight Percent]]*(unique_components_130[[#Totals],[Controlled lb/hr]]+standard_components_129[[#Totals],[Controlled
lb/hr]]))</f>
        <v>0</v>
      </c>
      <c r="J158" s="51">
        <f>IF(speciated_chemicals_131[[#This Row],[Inert / Not a Contaminant?]]="Yes", 0, speciated_chemicals_131[[#This Row],[Weight Percent]]*(unique_components_130[[#Totals],[Controlled
tpy]]+standard_components_129[[#Totals],[Controlled
tpy]]))</f>
        <v>0</v>
      </c>
    </row>
    <row r="159" spans="1:10" x14ac:dyDescent="0.2">
      <c r="A159" s="103"/>
      <c r="B159" s="51" t="str">
        <f>IFERROR(VLOOKUP(speciated_chemicals_131[[#This Row],[CAS '#]],species[],MATCH("Substance", species[#Headers], 0),FALSE),"No CAS Number Entered")</f>
        <v>No CAS Number Entered</v>
      </c>
      <c r="C159" s="102"/>
      <c r="D159" s="102" t="s">
        <v>12666</v>
      </c>
      <c r="E159" s="102" t="s">
        <v>12666</v>
      </c>
      <c r="F159" s="102" t="s">
        <v>12666</v>
      </c>
      <c r="G159" s="102" t="s">
        <v>12666</v>
      </c>
      <c r="H159" s="164"/>
      <c r="I159" s="51">
        <f>IF(speciated_chemicals_131[[#This Row],[Inert / Not a Contaminant?]]="Yes", 0, speciated_chemicals_131[[#This Row],[Weight Percent]]*(unique_components_130[[#Totals],[Controlled lb/hr]]+standard_components_129[[#Totals],[Controlled
lb/hr]]))</f>
        <v>0</v>
      </c>
      <c r="J159" s="51">
        <f>IF(speciated_chemicals_131[[#This Row],[Inert / Not a Contaminant?]]="Yes", 0, speciated_chemicals_131[[#This Row],[Weight Percent]]*(unique_components_130[[#Totals],[Controlled
tpy]]+standard_components_129[[#Totals],[Controlled
tpy]]))</f>
        <v>0</v>
      </c>
    </row>
    <row r="160" spans="1:10" x14ac:dyDescent="0.2">
      <c r="A160" s="103"/>
      <c r="B160" s="51" t="str">
        <f>IFERROR(VLOOKUP(speciated_chemicals_131[[#This Row],[CAS '#]],species[],MATCH("Substance", species[#Headers], 0),FALSE),"No CAS Number Entered")</f>
        <v>No CAS Number Entered</v>
      </c>
      <c r="C160" s="102"/>
      <c r="D160" s="102" t="s">
        <v>12666</v>
      </c>
      <c r="E160" s="102" t="s">
        <v>12666</v>
      </c>
      <c r="F160" s="102" t="s">
        <v>12666</v>
      </c>
      <c r="G160" s="102" t="s">
        <v>12666</v>
      </c>
      <c r="H160" s="164"/>
      <c r="I160" s="51">
        <f>IF(speciated_chemicals_131[[#This Row],[Inert / Not a Contaminant?]]="Yes", 0, speciated_chemicals_131[[#This Row],[Weight Percent]]*(unique_components_130[[#Totals],[Controlled lb/hr]]+standard_components_129[[#Totals],[Controlled
lb/hr]]))</f>
        <v>0</v>
      </c>
      <c r="J160" s="51">
        <f>IF(speciated_chemicals_131[[#This Row],[Inert / Not a Contaminant?]]="Yes", 0, speciated_chemicals_131[[#This Row],[Weight Percent]]*(unique_components_130[[#Totals],[Controlled
tpy]]+standard_components_129[[#Totals],[Controlled
tpy]]))</f>
        <v>0</v>
      </c>
    </row>
    <row r="161" spans="1:10" x14ac:dyDescent="0.2">
      <c r="A161" s="103"/>
      <c r="B161" s="51" t="str">
        <f>IFERROR(VLOOKUP(speciated_chemicals_131[[#This Row],[CAS '#]],species[],MATCH("Substance", species[#Headers], 0),FALSE),"No CAS Number Entered")</f>
        <v>No CAS Number Entered</v>
      </c>
      <c r="C161" s="102"/>
      <c r="D161" s="102" t="s">
        <v>12666</v>
      </c>
      <c r="E161" s="102" t="s">
        <v>12666</v>
      </c>
      <c r="F161" s="102" t="s">
        <v>12666</v>
      </c>
      <c r="G161" s="102" t="s">
        <v>12666</v>
      </c>
      <c r="H161" s="164"/>
      <c r="I161" s="51">
        <f>IF(speciated_chemicals_131[[#This Row],[Inert / Not a Contaminant?]]="Yes", 0, speciated_chemicals_131[[#This Row],[Weight Percent]]*(unique_components_130[[#Totals],[Controlled lb/hr]]+standard_components_129[[#Totals],[Controlled
lb/hr]]))</f>
        <v>0</v>
      </c>
      <c r="J161" s="51">
        <f>IF(speciated_chemicals_131[[#This Row],[Inert / Not a Contaminant?]]="Yes", 0, speciated_chemicals_131[[#This Row],[Weight Percent]]*(unique_components_130[[#Totals],[Controlled
tpy]]+standard_components_129[[#Totals],[Controlled
tpy]]))</f>
        <v>0</v>
      </c>
    </row>
    <row r="162" spans="1:10" x14ac:dyDescent="0.2">
      <c r="A162" s="103"/>
      <c r="B162" s="51" t="str">
        <f>IFERROR(VLOOKUP(speciated_chemicals_131[[#This Row],[CAS '#]],species[],MATCH("Substance", species[#Headers], 0),FALSE),"No CAS Number Entered")</f>
        <v>No CAS Number Entered</v>
      </c>
      <c r="C162" s="102"/>
      <c r="D162" s="102" t="s">
        <v>12666</v>
      </c>
      <c r="E162" s="102" t="s">
        <v>12666</v>
      </c>
      <c r="F162" s="102" t="s">
        <v>12666</v>
      </c>
      <c r="G162" s="102" t="s">
        <v>12666</v>
      </c>
      <c r="H162" s="164"/>
      <c r="I162" s="51">
        <f>IF(speciated_chemicals_131[[#This Row],[Inert / Not a Contaminant?]]="Yes", 0, speciated_chemicals_131[[#This Row],[Weight Percent]]*(unique_components_130[[#Totals],[Controlled lb/hr]]+standard_components_129[[#Totals],[Controlled
lb/hr]]))</f>
        <v>0</v>
      </c>
      <c r="J162" s="51">
        <f>IF(speciated_chemicals_131[[#This Row],[Inert / Not a Contaminant?]]="Yes", 0, speciated_chemicals_131[[#This Row],[Weight Percent]]*(unique_components_130[[#Totals],[Controlled
tpy]]+standard_components_129[[#Totals],[Controlled
tpy]]))</f>
        <v>0</v>
      </c>
    </row>
    <row r="163" spans="1:10" x14ac:dyDescent="0.2">
      <c r="A163" s="103"/>
      <c r="B163" s="51" t="str">
        <f>IFERROR(VLOOKUP(speciated_chemicals_131[[#This Row],[CAS '#]],species[],MATCH("Substance", species[#Headers], 0),FALSE),"No CAS Number Entered")</f>
        <v>No CAS Number Entered</v>
      </c>
      <c r="C163" s="102"/>
      <c r="D163" s="102" t="s">
        <v>12666</v>
      </c>
      <c r="E163" s="102" t="s">
        <v>12666</v>
      </c>
      <c r="F163" s="102" t="s">
        <v>12666</v>
      </c>
      <c r="G163" s="102" t="s">
        <v>12666</v>
      </c>
      <c r="H163" s="164"/>
      <c r="I163" s="51">
        <f>IF(speciated_chemicals_131[[#This Row],[Inert / Not a Contaminant?]]="Yes", 0, speciated_chemicals_131[[#This Row],[Weight Percent]]*(unique_components_130[[#Totals],[Controlled lb/hr]]+standard_components_129[[#Totals],[Controlled
lb/hr]]))</f>
        <v>0</v>
      </c>
      <c r="J163" s="51">
        <f>IF(speciated_chemicals_131[[#This Row],[Inert / Not a Contaminant?]]="Yes", 0, speciated_chemicals_131[[#This Row],[Weight Percent]]*(unique_components_130[[#Totals],[Controlled
tpy]]+standard_components_129[[#Totals],[Controlled
tpy]]))</f>
        <v>0</v>
      </c>
    </row>
    <row r="164" spans="1:10" x14ac:dyDescent="0.2">
      <c r="A164" s="103"/>
      <c r="B164" s="51" t="str">
        <f>IFERROR(VLOOKUP(speciated_chemicals_131[[#This Row],[CAS '#]],species[],MATCH("Substance", species[#Headers], 0),FALSE),"No CAS Number Entered")</f>
        <v>No CAS Number Entered</v>
      </c>
      <c r="C164" s="102"/>
      <c r="D164" s="102" t="s">
        <v>12666</v>
      </c>
      <c r="E164" s="102" t="s">
        <v>12666</v>
      </c>
      <c r="F164" s="102" t="s">
        <v>12666</v>
      </c>
      <c r="G164" s="102" t="s">
        <v>12666</v>
      </c>
      <c r="H164" s="164"/>
      <c r="I164" s="51">
        <f>IF(speciated_chemicals_131[[#This Row],[Inert / Not a Contaminant?]]="Yes", 0, speciated_chemicals_131[[#This Row],[Weight Percent]]*(unique_components_130[[#Totals],[Controlled lb/hr]]+standard_components_129[[#Totals],[Controlled
lb/hr]]))</f>
        <v>0</v>
      </c>
      <c r="J164" s="51">
        <f>IF(speciated_chemicals_131[[#This Row],[Inert / Not a Contaminant?]]="Yes", 0, speciated_chemicals_131[[#This Row],[Weight Percent]]*(unique_components_130[[#Totals],[Controlled
tpy]]+standard_components_129[[#Totals],[Controlled
tpy]]))</f>
        <v>0</v>
      </c>
    </row>
    <row r="165" spans="1:10" x14ac:dyDescent="0.2">
      <c r="A165" s="103"/>
      <c r="B165" s="51" t="str">
        <f>IFERROR(VLOOKUP(speciated_chemicals_131[[#This Row],[CAS '#]],species[],MATCH("Substance", species[#Headers], 0),FALSE),"No CAS Number Entered")</f>
        <v>No CAS Number Entered</v>
      </c>
      <c r="C165" s="102"/>
      <c r="D165" s="102" t="s">
        <v>12666</v>
      </c>
      <c r="E165" s="102" t="s">
        <v>12666</v>
      </c>
      <c r="F165" s="102" t="s">
        <v>12666</v>
      </c>
      <c r="G165" s="102" t="s">
        <v>12666</v>
      </c>
      <c r="H165" s="164"/>
      <c r="I165" s="51">
        <f>IF(speciated_chemicals_131[[#This Row],[Inert / Not a Contaminant?]]="Yes", 0, speciated_chemicals_131[[#This Row],[Weight Percent]]*(unique_components_130[[#Totals],[Controlled lb/hr]]+standard_components_129[[#Totals],[Controlled
lb/hr]]))</f>
        <v>0</v>
      </c>
      <c r="J165" s="51">
        <f>IF(speciated_chemicals_131[[#This Row],[Inert / Not a Contaminant?]]="Yes", 0, speciated_chemicals_131[[#This Row],[Weight Percent]]*(unique_components_130[[#Totals],[Controlled
tpy]]+standard_components_129[[#Totals],[Controlled
tpy]]))</f>
        <v>0</v>
      </c>
    </row>
    <row r="166" spans="1:10" x14ac:dyDescent="0.2">
      <c r="A166" s="103"/>
      <c r="B166" s="51" t="str">
        <f>IFERROR(VLOOKUP(speciated_chemicals_131[[#This Row],[CAS '#]],species[],MATCH("Substance", species[#Headers], 0),FALSE),"No CAS Number Entered")</f>
        <v>No CAS Number Entered</v>
      </c>
      <c r="C166" s="102"/>
      <c r="D166" s="102" t="s">
        <v>12666</v>
      </c>
      <c r="E166" s="102" t="s">
        <v>12666</v>
      </c>
      <c r="F166" s="102" t="s">
        <v>12666</v>
      </c>
      <c r="G166" s="102" t="s">
        <v>12666</v>
      </c>
      <c r="H166" s="164"/>
      <c r="I166" s="51">
        <f>IF(speciated_chemicals_131[[#This Row],[Inert / Not a Contaminant?]]="Yes", 0, speciated_chemicals_131[[#This Row],[Weight Percent]]*(unique_components_130[[#Totals],[Controlled lb/hr]]+standard_components_129[[#Totals],[Controlled
lb/hr]]))</f>
        <v>0</v>
      </c>
      <c r="J166" s="51">
        <f>IF(speciated_chemicals_131[[#This Row],[Inert / Not a Contaminant?]]="Yes", 0, speciated_chemicals_131[[#This Row],[Weight Percent]]*(unique_components_130[[#Totals],[Controlled
tpy]]+standard_components_129[[#Totals],[Controlled
tpy]]))</f>
        <v>0</v>
      </c>
    </row>
    <row r="167" spans="1:10" x14ac:dyDescent="0.2">
      <c r="A167" s="103"/>
      <c r="B167" s="51" t="str">
        <f>IFERROR(VLOOKUP(speciated_chemicals_131[[#This Row],[CAS '#]],species[],MATCH("Substance", species[#Headers], 0),FALSE),"No CAS Number Entered")</f>
        <v>No CAS Number Entered</v>
      </c>
      <c r="C167" s="102"/>
      <c r="D167" s="102" t="s">
        <v>12666</v>
      </c>
      <c r="E167" s="102" t="s">
        <v>12666</v>
      </c>
      <c r="F167" s="102" t="s">
        <v>12666</v>
      </c>
      <c r="G167" s="102" t="s">
        <v>12666</v>
      </c>
      <c r="H167" s="164"/>
      <c r="I167" s="51">
        <f>IF(speciated_chemicals_131[[#This Row],[Inert / Not a Contaminant?]]="Yes", 0, speciated_chemicals_131[[#This Row],[Weight Percent]]*(unique_components_130[[#Totals],[Controlled lb/hr]]+standard_components_129[[#Totals],[Controlled
lb/hr]]))</f>
        <v>0</v>
      </c>
      <c r="J167" s="51">
        <f>IF(speciated_chemicals_131[[#This Row],[Inert / Not a Contaminant?]]="Yes", 0, speciated_chemicals_131[[#This Row],[Weight Percent]]*(unique_components_130[[#Totals],[Controlled
tpy]]+standard_components_129[[#Totals],[Controlled
tpy]]))</f>
        <v>0</v>
      </c>
    </row>
    <row r="168" spans="1:10" x14ac:dyDescent="0.2">
      <c r="A168" s="103"/>
      <c r="B168" s="51" t="str">
        <f>IFERROR(VLOOKUP(speciated_chemicals_131[[#This Row],[CAS '#]],species[],MATCH("Substance", species[#Headers], 0),FALSE),"No CAS Number Entered")</f>
        <v>No CAS Number Entered</v>
      </c>
      <c r="C168" s="102"/>
      <c r="D168" s="102" t="s">
        <v>12666</v>
      </c>
      <c r="E168" s="102" t="s">
        <v>12666</v>
      </c>
      <c r="F168" s="102" t="s">
        <v>12666</v>
      </c>
      <c r="G168" s="102" t="s">
        <v>12666</v>
      </c>
      <c r="H168" s="164"/>
      <c r="I168" s="51">
        <f>IF(speciated_chemicals_131[[#This Row],[Inert / Not a Contaminant?]]="Yes", 0, speciated_chemicals_131[[#This Row],[Weight Percent]]*(unique_components_130[[#Totals],[Controlled lb/hr]]+standard_components_129[[#Totals],[Controlled
lb/hr]]))</f>
        <v>0</v>
      </c>
      <c r="J168" s="51">
        <f>IF(speciated_chemicals_131[[#This Row],[Inert / Not a Contaminant?]]="Yes", 0, speciated_chemicals_131[[#This Row],[Weight Percent]]*(unique_components_130[[#Totals],[Controlled
tpy]]+standard_components_129[[#Totals],[Controlled
tpy]]))</f>
        <v>0</v>
      </c>
    </row>
    <row r="169" spans="1:10" x14ac:dyDescent="0.2">
      <c r="A169" s="103"/>
      <c r="B169" s="51" t="str">
        <f>IFERROR(VLOOKUP(speciated_chemicals_131[[#This Row],[CAS '#]],species[],MATCH("Substance", species[#Headers], 0),FALSE),"No CAS Number Entered")</f>
        <v>No CAS Number Entered</v>
      </c>
      <c r="C169" s="102"/>
      <c r="D169" s="102" t="s">
        <v>12666</v>
      </c>
      <c r="E169" s="102" t="s">
        <v>12666</v>
      </c>
      <c r="F169" s="102" t="s">
        <v>12666</v>
      </c>
      <c r="G169" s="102" t="s">
        <v>12666</v>
      </c>
      <c r="H169" s="164"/>
      <c r="I169" s="51">
        <f>IF(speciated_chemicals_131[[#This Row],[Inert / Not a Contaminant?]]="Yes", 0, speciated_chemicals_131[[#This Row],[Weight Percent]]*(unique_components_130[[#Totals],[Controlled lb/hr]]+standard_components_129[[#Totals],[Controlled
lb/hr]]))</f>
        <v>0</v>
      </c>
      <c r="J169" s="51">
        <f>IF(speciated_chemicals_131[[#This Row],[Inert / Not a Contaminant?]]="Yes", 0, speciated_chemicals_131[[#This Row],[Weight Percent]]*(unique_components_130[[#Totals],[Controlled
tpy]]+standard_components_129[[#Totals],[Controlled
tpy]]))</f>
        <v>0</v>
      </c>
    </row>
    <row r="170" spans="1:10" x14ac:dyDescent="0.2">
      <c r="A170" s="103"/>
      <c r="B170" s="51" t="str">
        <f>IFERROR(VLOOKUP(speciated_chemicals_131[[#This Row],[CAS '#]],species[],MATCH("Substance", species[#Headers], 0),FALSE),"No CAS Number Entered")</f>
        <v>No CAS Number Entered</v>
      </c>
      <c r="C170" s="102"/>
      <c r="D170" s="102" t="s">
        <v>12666</v>
      </c>
      <c r="E170" s="102" t="s">
        <v>12666</v>
      </c>
      <c r="F170" s="102" t="s">
        <v>12666</v>
      </c>
      <c r="G170" s="102" t="s">
        <v>12666</v>
      </c>
      <c r="H170" s="164"/>
      <c r="I170" s="51">
        <f>IF(speciated_chemicals_131[[#This Row],[Inert / Not a Contaminant?]]="Yes", 0, speciated_chemicals_131[[#This Row],[Weight Percent]]*(unique_components_130[[#Totals],[Controlled lb/hr]]+standard_components_129[[#Totals],[Controlled
lb/hr]]))</f>
        <v>0</v>
      </c>
      <c r="J170" s="51">
        <f>IF(speciated_chemicals_131[[#This Row],[Inert / Not a Contaminant?]]="Yes", 0, speciated_chemicals_131[[#This Row],[Weight Percent]]*(unique_components_130[[#Totals],[Controlled
tpy]]+standard_components_129[[#Totals],[Controlled
tpy]]))</f>
        <v>0</v>
      </c>
    </row>
    <row r="171" spans="1:10" x14ac:dyDescent="0.2">
      <c r="A171" s="103"/>
      <c r="B171" s="51" t="str">
        <f>IFERROR(VLOOKUP(speciated_chemicals_131[[#This Row],[CAS '#]],species[],MATCH("Substance", species[#Headers], 0),FALSE),"No CAS Number Entered")</f>
        <v>No CAS Number Entered</v>
      </c>
      <c r="C171" s="102"/>
      <c r="D171" s="102" t="s">
        <v>12666</v>
      </c>
      <c r="E171" s="102" t="s">
        <v>12666</v>
      </c>
      <c r="F171" s="102" t="s">
        <v>12666</v>
      </c>
      <c r="G171" s="102" t="s">
        <v>12666</v>
      </c>
      <c r="H171" s="164"/>
      <c r="I171" s="51">
        <f>IF(speciated_chemicals_131[[#This Row],[Inert / Not a Contaminant?]]="Yes", 0, speciated_chemicals_131[[#This Row],[Weight Percent]]*(unique_components_130[[#Totals],[Controlled lb/hr]]+standard_components_129[[#Totals],[Controlled
lb/hr]]))</f>
        <v>0</v>
      </c>
      <c r="J171" s="51">
        <f>IF(speciated_chemicals_131[[#This Row],[Inert / Not a Contaminant?]]="Yes", 0, speciated_chemicals_131[[#This Row],[Weight Percent]]*(unique_components_130[[#Totals],[Controlled
tpy]]+standard_components_129[[#Totals],[Controlled
tpy]]))</f>
        <v>0</v>
      </c>
    </row>
    <row r="172" spans="1:10" x14ac:dyDescent="0.2">
      <c r="A172" s="103"/>
      <c r="B172" s="51" t="str">
        <f>IFERROR(VLOOKUP(speciated_chemicals_131[[#This Row],[CAS '#]],species[],MATCH("Substance", species[#Headers], 0),FALSE),"No CAS Number Entered")</f>
        <v>No CAS Number Entered</v>
      </c>
      <c r="C172" s="102"/>
      <c r="D172" s="102" t="s">
        <v>12666</v>
      </c>
      <c r="E172" s="102" t="s">
        <v>12666</v>
      </c>
      <c r="F172" s="102" t="s">
        <v>12666</v>
      </c>
      <c r="G172" s="102" t="s">
        <v>12666</v>
      </c>
      <c r="H172" s="164"/>
      <c r="I172" s="51">
        <f>IF(speciated_chemicals_131[[#This Row],[Inert / Not a Contaminant?]]="Yes", 0, speciated_chemicals_131[[#This Row],[Weight Percent]]*(unique_components_130[[#Totals],[Controlled lb/hr]]+standard_components_129[[#Totals],[Controlled
lb/hr]]))</f>
        <v>0</v>
      </c>
      <c r="J172" s="51">
        <f>IF(speciated_chemicals_131[[#This Row],[Inert / Not a Contaminant?]]="Yes", 0, speciated_chemicals_131[[#This Row],[Weight Percent]]*(unique_components_130[[#Totals],[Controlled
tpy]]+standard_components_129[[#Totals],[Controlled
tpy]]))</f>
        <v>0</v>
      </c>
    </row>
    <row r="173" spans="1:10" x14ac:dyDescent="0.2">
      <c r="A173" s="103"/>
      <c r="B173" s="51" t="str">
        <f>IFERROR(VLOOKUP(speciated_chemicals_131[[#This Row],[CAS '#]],species[],MATCH("Substance", species[#Headers], 0),FALSE),"No CAS Number Entered")</f>
        <v>No CAS Number Entered</v>
      </c>
      <c r="C173" s="102"/>
      <c r="D173" s="102" t="s">
        <v>12666</v>
      </c>
      <c r="E173" s="102" t="s">
        <v>12666</v>
      </c>
      <c r="F173" s="102" t="s">
        <v>12666</v>
      </c>
      <c r="G173" s="102" t="s">
        <v>12666</v>
      </c>
      <c r="H173" s="164"/>
      <c r="I173" s="51">
        <f>IF(speciated_chemicals_131[[#This Row],[Inert / Not a Contaminant?]]="Yes", 0, speciated_chemicals_131[[#This Row],[Weight Percent]]*(unique_components_130[[#Totals],[Controlled lb/hr]]+standard_components_129[[#Totals],[Controlled
lb/hr]]))</f>
        <v>0</v>
      </c>
      <c r="J173" s="51">
        <f>IF(speciated_chemicals_131[[#This Row],[Inert / Not a Contaminant?]]="Yes", 0, speciated_chemicals_131[[#This Row],[Weight Percent]]*(unique_components_130[[#Totals],[Controlled
tpy]]+standard_components_129[[#Totals],[Controlled
tpy]]))</f>
        <v>0</v>
      </c>
    </row>
    <row r="174" spans="1:10" x14ac:dyDescent="0.2">
      <c r="A174" s="103"/>
      <c r="B174" s="51" t="str">
        <f>IFERROR(VLOOKUP(speciated_chemicals_131[[#This Row],[CAS '#]],species[],MATCH("Substance", species[#Headers], 0),FALSE),"No CAS Number Entered")</f>
        <v>No CAS Number Entered</v>
      </c>
      <c r="C174" s="102"/>
      <c r="D174" s="102" t="s">
        <v>12666</v>
      </c>
      <c r="E174" s="102" t="s">
        <v>12666</v>
      </c>
      <c r="F174" s="102" t="s">
        <v>12666</v>
      </c>
      <c r="G174" s="102" t="s">
        <v>12666</v>
      </c>
      <c r="H174" s="164"/>
      <c r="I174" s="51">
        <f>IF(speciated_chemicals_131[[#This Row],[Inert / Not a Contaminant?]]="Yes", 0, speciated_chemicals_131[[#This Row],[Weight Percent]]*(unique_components_130[[#Totals],[Controlled lb/hr]]+standard_components_129[[#Totals],[Controlled
lb/hr]]))</f>
        <v>0</v>
      </c>
      <c r="J174" s="51">
        <f>IF(speciated_chemicals_131[[#This Row],[Inert / Not a Contaminant?]]="Yes", 0, speciated_chemicals_131[[#This Row],[Weight Percent]]*(unique_components_130[[#Totals],[Controlled
tpy]]+standard_components_129[[#Totals],[Controlled
tpy]]))</f>
        <v>0</v>
      </c>
    </row>
    <row r="175" spans="1:10" x14ac:dyDescent="0.2">
      <c r="A175" s="103"/>
      <c r="B175" s="51" t="str">
        <f>IFERROR(VLOOKUP(speciated_chemicals_131[[#This Row],[CAS '#]],species[],MATCH("Substance", species[#Headers], 0),FALSE),"No CAS Number Entered")</f>
        <v>No CAS Number Entered</v>
      </c>
      <c r="C175" s="102"/>
      <c r="D175" s="102" t="s">
        <v>12666</v>
      </c>
      <c r="E175" s="102" t="s">
        <v>12666</v>
      </c>
      <c r="F175" s="102" t="s">
        <v>12666</v>
      </c>
      <c r="G175" s="102" t="s">
        <v>12666</v>
      </c>
      <c r="H175" s="164"/>
      <c r="I175" s="51">
        <f>IF(speciated_chemicals_131[[#This Row],[Inert / Not a Contaminant?]]="Yes", 0, speciated_chemicals_131[[#This Row],[Weight Percent]]*(unique_components_130[[#Totals],[Controlled lb/hr]]+standard_components_129[[#Totals],[Controlled
lb/hr]]))</f>
        <v>0</v>
      </c>
      <c r="J175" s="51">
        <f>IF(speciated_chemicals_131[[#This Row],[Inert / Not a Contaminant?]]="Yes", 0, speciated_chemicals_131[[#This Row],[Weight Percent]]*(unique_components_130[[#Totals],[Controlled
tpy]]+standard_components_129[[#Totals],[Controlled
tpy]]))</f>
        <v>0</v>
      </c>
    </row>
    <row r="176" spans="1:10" x14ac:dyDescent="0.2">
      <c r="A176" s="165"/>
      <c r="B176" s="51" t="str">
        <f>IFERROR(VLOOKUP(speciated_chemicals_131[[#This Row],[CAS '#]],species[],MATCH("Substance", species[#Headers], 0),FALSE),"No CAS Number Entered")</f>
        <v>No CAS Number Entered</v>
      </c>
      <c r="C176" s="102"/>
      <c r="D176" s="102" t="s">
        <v>12666</v>
      </c>
      <c r="E176" s="102" t="s">
        <v>12666</v>
      </c>
      <c r="F176" s="102" t="s">
        <v>12666</v>
      </c>
      <c r="G176" s="102" t="s">
        <v>12666</v>
      </c>
      <c r="H176" s="164"/>
      <c r="I176" s="51">
        <f>IF(speciated_chemicals_131[[#This Row],[Inert / Not a Contaminant?]]="Yes", 0, speciated_chemicals_131[[#This Row],[Weight Percent]]*(unique_components_130[[#Totals],[Controlled lb/hr]]+standard_components_129[[#Totals],[Controlled
lb/hr]]))</f>
        <v>0</v>
      </c>
      <c r="J176" s="51">
        <f>IF(speciated_chemicals_131[[#This Row],[Inert / Not a Contaminant?]]="Yes", 0, speciated_chemicals_131[[#This Row],[Weight Percent]]*(unique_components_130[[#Totals],[Controlled
tpy]]+standard_components_129[[#Totals],[Controlled
tpy]]))</f>
        <v>0</v>
      </c>
    </row>
    <row r="177" spans="1:10" x14ac:dyDescent="0.2">
      <c r="A177" s="103"/>
      <c r="B177" s="51" t="str">
        <f>IFERROR(VLOOKUP(speciated_chemicals_131[[#This Row],[CAS '#]],species[],MATCH("Substance", species[#Headers], 0),FALSE),"No CAS Number Entered")</f>
        <v>No CAS Number Entered</v>
      </c>
      <c r="C177" s="102"/>
      <c r="D177" s="102" t="s">
        <v>12666</v>
      </c>
      <c r="E177" s="102" t="s">
        <v>12666</v>
      </c>
      <c r="F177" s="102" t="s">
        <v>12666</v>
      </c>
      <c r="G177" s="102" t="s">
        <v>12666</v>
      </c>
      <c r="H177" s="164"/>
      <c r="I177" s="51">
        <f>IF(speciated_chemicals_131[[#This Row],[Inert / Not a Contaminant?]]="Yes", 0, speciated_chemicals_131[[#This Row],[Weight Percent]]*(unique_components_130[[#Totals],[Controlled lb/hr]]+standard_components_129[[#Totals],[Controlled
lb/hr]]))</f>
        <v>0</v>
      </c>
      <c r="J177" s="51">
        <f>IF(speciated_chemicals_131[[#This Row],[Inert / Not a Contaminant?]]="Yes", 0, speciated_chemicals_131[[#This Row],[Weight Percent]]*(unique_components_130[[#Totals],[Controlled
tpy]]+standard_components_129[[#Totals],[Controlled
tpy]]))</f>
        <v>0</v>
      </c>
    </row>
    <row r="178" spans="1:10" x14ac:dyDescent="0.2">
      <c r="A178" s="103"/>
      <c r="B178" s="51" t="str">
        <f>IFERROR(VLOOKUP(speciated_chemicals_131[[#This Row],[CAS '#]],species[],MATCH("Substance", species[#Headers], 0),FALSE),"No CAS Number Entered")</f>
        <v>No CAS Number Entered</v>
      </c>
      <c r="C178" s="102"/>
      <c r="D178" s="102" t="s">
        <v>12666</v>
      </c>
      <c r="E178" s="102" t="s">
        <v>12666</v>
      </c>
      <c r="F178" s="102" t="s">
        <v>12666</v>
      </c>
      <c r="G178" s="102" t="s">
        <v>12666</v>
      </c>
      <c r="H178" s="164"/>
      <c r="I178" s="51">
        <f>IF(speciated_chemicals_131[[#This Row],[Inert / Not a Contaminant?]]="Yes", 0, speciated_chemicals_131[[#This Row],[Weight Percent]]*(unique_components_130[[#Totals],[Controlled lb/hr]]+standard_components_129[[#Totals],[Controlled
lb/hr]]))</f>
        <v>0</v>
      </c>
      <c r="J178" s="51">
        <f>IF(speciated_chemicals_131[[#This Row],[Inert / Not a Contaminant?]]="Yes", 0, speciated_chemicals_131[[#This Row],[Weight Percent]]*(unique_components_130[[#Totals],[Controlled
tpy]]+standard_components_129[[#Totals],[Controlled
tpy]]))</f>
        <v>0</v>
      </c>
    </row>
    <row r="179" spans="1:10" x14ac:dyDescent="0.2">
      <c r="A179" s="103"/>
      <c r="B179" s="51" t="str">
        <f>IFERROR(VLOOKUP(speciated_chemicals_131[[#This Row],[CAS '#]],species[],MATCH("Substance", species[#Headers], 0),FALSE),"No CAS Number Entered")</f>
        <v>No CAS Number Entered</v>
      </c>
      <c r="C179" s="102"/>
      <c r="D179" s="102" t="s">
        <v>12666</v>
      </c>
      <c r="E179" s="102" t="s">
        <v>12666</v>
      </c>
      <c r="F179" s="102" t="s">
        <v>12666</v>
      </c>
      <c r="G179" s="102" t="s">
        <v>12666</v>
      </c>
      <c r="H179" s="164"/>
      <c r="I179" s="51">
        <f>IF(speciated_chemicals_131[[#This Row],[Inert / Not a Contaminant?]]="Yes", 0, speciated_chemicals_131[[#This Row],[Weight Percent]]*(unique_components_130[[#Totals],[Controlled lb/hr]]+standard_components_129[[#Totals],[Controlled
lb/hr]]))</f>
        <v>0</v>
      </c>
      <c r="J179" s="51">
        <f>IF(speciated_chemicals_131[[#This Row],[Inert / Not a Contaminant?]]="Yes", 0, speciated_chemicals_131[[#This Row],[Weight Percent]]*(unique_components_130[[#Totals],[Controlled
tpy]]+standard_components_129[[#Totals],[Controlled
tpy]]))</f>
        <v>0</v>
      </c>
    </row>
    <row r="180" spans="1:10" x14ac:dyDescent="0.2">
      <c r="A180" s="103"/>
      <c r="B180" s="51" t="str">
        <f>IFERROR(VLOOKUP(speciated_chemicals_131[[#This Row],[CAS '#]],species[],MATCH("Substance", species[#Headers], 0),FALSE),"No CAS Number Entered")</f>
        <v>No CAS Number Entered</v>
      </c>
      <c r="C180" s="102"/>
      <c r="D180" s="102" t="s">
        <v>12666</v>
      </c>
      <c r="E180" s="102" t="s">
        <v>12666</v>
      </c>
      <c r="F180" s="102" t="s">
        <v>12666</v>
      </c>
      <c r="G180" s="102" t="s">
        <v>12666</v>
      </c>
      <c r="H180" s="164"/>
      <c r="I180" s="51">
        <f>IF(speciated_chemicals_131[[#This Row],[Inert / Not a Contaminant?]]="Yes", 0, speciated_chemicals_131[[#This Row],[Weight Percent]]*(unique_components_130[[#Totals],[Controlled lb/hr]]+standard_components_129[[#Totals],[Controlled
lb/hr]]))</f>
        <v>0</v>
      </c>
      <c r="J180" s="51">
        <f>IF(speciated_chemicals_131[[#This Row],[Inert / Not a Contaminant?]]="Yes", 0, speciated_chemicals_131[[#This Row],[Weight Percent]]*(unique_components_130[[#Totals],[Controlled
tpy]]+standard_components_129[[#Totals],[Controlled
tpy]]))</f>
        <v>0</v>
      </c>
    </row>
    <row r="181" spans="1:10" ht="30" x14ac:dyDescent="0.2">
      <c r="A181" s="184" t="s">
        <v>12705</v>
      </c>
      <c r="B181" s="52"/>
      <c r="C181" s="53"/>
      <c r="D181" s="52"/>
      <c r="E181" s="52"/>
      <c r="F181" s="52"/>
      <c r="G181" s="52"/>
      <c r="H181" s="166">
        <f>SUBTOTAL(109,speciated_chemicals_131[Weight Percent])</f>
        <v>0</v>
      </c>
      <c r="I181" s="167">
        <f>SUBTOTAL(109,speciated_chemicals_131[lb/hr])</f>
        <v>0</v>
      </c>
      <c r="J181" s="167">
        <f>SUBTOTAL(109,speciated_chemicals_131[tpy])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MATCH(speciated_ghg_132[[#This Row],[CAS '#]], gwp_table[CAS No.], 0), MATCH("Name", gwp_table[#Headers], 0)),"No CAS Number Entered")</f>
        <v>No CAS Number Entered</v>
      </c>
      <c r="C185" s="79" t="str">
        <f>IFERROR(INDEX(gwp_table[], MATCH(speciated_ghg_132[[#This Row],[CAS '#]], gwp_table[CAS No.], 0), MATCH("Global warming potential", gwp_table[#Headers], 0)),"No CAS Number Entered")</f>
        <v>No CAS Number Entered</v>
      </c>
      <c r="D185" s="219"/>
      <c r="E185" s="79">
        <f>IFERROR(speciated_ghg_132[[#This Row],[Weight Percent]]*(unique_components_130[[#Totals],[Controlled
tpy]]+standard_components_129[[#Totals],[Controlled
tpy]]), "-")</f>
        <v>0</v>
      </c>
      <c r="F185" s="81" t="str">
        <f>IFERROR(speciated_ghg_132[[#This Row],[Mass Emissions (U.S. tons per year)]]*speciated_ghg_132[[#This Row],[Global Warming Potential (GWP)]], "-")</f>
        <v>-</v>
      </c>
      <c r="G185" s="30"/>
      <c r="H185" s="168"/>
      <c r="I185" s="168"/>
    </row>
    <row r="186" spans="1:10" x14ac:dyDescent="0.2">
      <c r="A186" s="210"/>
      <c r="B186" s="79" t="str">
        <f>IFERROR(INDEX(gwp_table[], MATCH(speciated_ghg_132[[#This Row],[CAS '#]], gwp_table[CAS No.], 0), MATCH("Name", gwp_table[#Headers], 0)),"No CAS Number Entered")</f>
        <v>No CAS Number Entered</v>
      </c>
      <c r="C186" s="79" t="str">
        <f>IFERROR(INDEX(gwp_table[], MATCH(speciated_ghg_132[[#This Row],[CAS '#]], gwp_table[CAS No.], 0), MATCH("Global warming potential", gwp_table[#Headers], 0)),"No CAS Number Entered")</f>
        <v>No CAS Number Entered</v>
      </c>
      <c r="D186" s="219"/>
      <c r="E186" s="79">
        <f>IFERROR(speciated_ghg_132[[#This Row],[Weight Percent]]*(unique_components_130[[#Totals],[Controlled
tpy]]+standard_components_129[[#Totals],[Controlled
tpy]]), "-")</f>
        <v>0</v>
      </c>
      <c r="F186" s="81" t="str">
        <f>IFERROR(speciated_ghg_132[[#This Row],[Mass Emissions (U.S. tons per year)]]*speciated_ghg_132[[#This Row],[Global Warming Potential (GWP)]], "-")</f>
        <v>-</v>
      </c>
      <c r="G186" s="30"/>
      <c r="H186" s="168"/>
      <c r="I186" s="168"/>
    </row>
    <row r="187" spans="1:10" x14ac:dyDescent="0.2">
      <c r="A187" s="210"/>
      <c r="B187" s="79" t="str">
        <f>IFERROR(INDEX(gwp_table[], MATCH(speciated_ghg_132[[#This Row],[CAS '#]], gwp_table[CAS No.], 0), MATCH("Name", gwp_table[#Headers], 0)),"No CAS Number Entered")</f>
        <v>No CAS Number Entered</v>
      </c>
      <c r="C187" s="79" t="str">
        <f>IFERROR(INDEX(gwp_table[], MATCH(speciated_ghg_132[[#This Row],[CAS '#]], gwp_table[CAS No.], 0), MATCH("Global warming potential", gwp_table[#Headers], 0)),"No CAS Number Entered")</f>
        <v>No CAS Number Entered</v>
      </c>
      <c r="D187" s="219"/>
      <c r="E187" s="79">
        <f>IFERROR(speciated_ghg_132[[#This Row],[Weight Percent]]*(unique_components_130[[#Totals],[Controlled
tpy]]+standard_components_129[[#Totals],[Controlled
tpy]]), "-")</f>
        <v>0</v>
      </c>
      <c r="F187" s="81" t="str">
        <f>IFERROR(speciated_ghg_132[[#This Row],[Mass Emissions (U.S. tons per year)]]*speciated_ghg_132[[#This Row],[Global Warming Potential (GWP)]], "-")</f>
        <v>-</v>
      </c>
      <c r="G187" s="30"/>
      <c r="H187" s="168"/>
      <c r="I187" s="168"/>
    </row>
    <row r="188" spans="1:10" x14ac:dyDescent="0.2">
      <c r="A188" s="210"/>
      <c r="B188" s="79" t="str">
        <f>IFERROR(INDEX(gwp_table[], MATCH(speciated_ghg_132[[#This Row],[CAS '#]], gwp_table[CAS No.], 0), MATCH("Name", gwp_table[#Headers], 0)),"No CAS Number Entered")</f>
        <v>No CAS Number Entered</v>
      </c>
      <c r="C188" s="79" t="str">
        <f>IFERROR(INDEX(gwp_table[], MATCH(speciated_ghg_132[[#This Row],[CAS '#]], gwp_table[CAS No.], 0), MATCH("Global warming potential", gwp_table[#Headers], 0)),"No CAS Number Entered")</f>
        <v>No CAS Number Entered</v>
      </c>
      <c r="D188" s="219"/>
      <c r="E188" s="79">
        <f>IFERROR(speciated_ghg_132[[#This Row],[Weight Percent]]*(unique_components_130[[#Totals],[Controlled
tpy]]+standard_components_129[[#Totals],[Controlled
tpy]]), "-")</f>
        <v>0</v>
      </c>
      <c r="F188" s="81" t="str">
        <f>IFERROR(speciated_ghg_132[[#This Row],[Mass Emissions (U.S. tons per year)]]*speciated_ghg_132[[#This Row],[Global Warming Potential (GWP)]], "-")</f>
        <v>-</v>
      </c>
      <c r="G188" s="30"/>
      <c r="H188" s="168"/>
      <c r="I188" s="168"/>
    </row>
    <row r="189" spans="1:10" x14ac:dyDescent="0.2">
      <c r="A189" s="210"/>
      <c r="B189" s="79" t="str">
        <f>IFERROR(INDEX(gwp_table[], MATCH(speciated_ghg_132[[#This Row],[CAS '#]], gwp_table[CAS No.], 0), MATCH("Name", gwp_table[#Headers], 0)),"No CAS Number Entered")</f>
        <v>No CAS Number Entered</v>
      </c>
      <c r="C189" s="79" t="str">
        <f>IFERROR(INDEX(gwp_table[], MATCH(speciated_ghg_132[[#This Row],[CAS '#]], gwp_table[CAS No.], 0), MATCH("Global warming potential", gwp_table[#Headers], 0)),"No CAS Number Entered")</f>
        <v>No CAS Number Entered</v>
      </c>
      <c r="D189" s="219"/>
      <c r="E189" s="79">
        <f>IFERROR(speciated_ghg_132[[#This Row],[Weight Percent]]*(unique_components_130[[#Totals],[Controlled
tpy]]+standard_components_129[[#Totals],[Controlled
tpy]]), "-")</f>
        <v>0</v>
      </c>
      <c r="F189" s="81" t="str">
        <f>IFERROR(speciated_ghg_132[[#This Row],[Mass Emissions (U.S. tons per year)]]*speciated_ghg_132[[#This Row],[Global Warming Potential (GWP)]], "-")</f>
        <v>-</v>
      </c>
      <c r="G189" s="30"/>
      <c r="H189" s="168"/>
      <c r="I189" s="168"/>
    </row>
    <row r="190" spans="1:10" x14ac:dyDescent="0.2">
      <c r="A190" s="210"/>
      <c r="B190" s="79" t="str">
        <f>IFERROR(INDEX(gwp_table[], MATCH(speciated_ghg_132[[#This Row],[CAS '#]], gwp_table[CAS No.], 0), MATCH("Name", gwp_table[#Headers], 0)),"No CAS Number Entered")</f>
        <v>No CAS Number Entered</v>
      </c>
      <c r="C190" s="79" t="str">
        <f>IFERROR(INDEX(gwp_table[], MATCH(speciated_ghg_132[[#This Row],[CAS '#]], gwp_table[CAS No.], 0), MATCH("Global warming potential", gwp_table[#Headers], 0)),"No CAS Number Entered")</f>
        <v>No CAS Number Entered</v>
      </c>
      <c r="D190" s="219"/>
      <c r="E190" s="79">
        <f>IFERROR(speciated_ghg_132[[#This Row],[Weight Percent]]*(unique_components_130[[#Totals],[Controlled
tpy]]+standard_components_129[[#Totals],[Controlled
tpy]]), "-")</f>
        <v>0</v>
      </c>
      <c r="F190" s="81" t="str">
        <f>IFERROR(speciated_ghg_132[[#This Row],[Mass Emissions (U.S. tons per year)]]*speciated_ghg_132[[#This Row],[Global Warming Potential (GWP)]], "-")</f>
        <v>-</v>
      </c>
      <c r="G190" s="30"/>
      <c r="H190" s="168"/>
      <c r="I190" s="168"/>
    </row>
    <row r="191" spans="1:10" x14ac:dyDescent="0.2">
      <c r="A191" s="210"/>
      <c r="B191" s="79" t="str">
        <f>IFERROR(INDEX(gwp_table[], MATCH(speciated_ghg_132[[#This Row],[CAS '#]], gwp_table[CAS No.], 0), MATCH("Name", gwp_table[#Headers], 0)),"No CAS Number Entered")</f>
        <v>No CAS Number Entered</v>
      </c>
      <c r="C191" s="79" t="str">
        <f>IFERROR(INDEX(gwp_table[], MATCH(speciated_ghg_132[[#This Row],[CAS '#]], gwp_table[CAS No.], 0), MATCH("Global warming potential", gwp_table[#Headers], 0)),"No CAS Number Entered")</f>
        <v>No CAS Number Entered</v>
      </c>
      <c r="D191" s="219"/>
      <c r="E191" s="79">
        <f>IFERROR(speciated_ghg_132[[#This Row],[Weight Percent]]*(unique_components_130[[#Totals],[Controlled
tpy]]+standard_components_129[[#Totals],[Controlled
tpy]]), "-")</f>
        <v>0</v>
      </c>
      <c r="F191" s="81" t="str">
        <f>IFERROR(speciated_ghg_132[[#This Row],[Mass Emissions (U.S. tons per year)]]*speciated_ghg_132[[#This Row],[Global Warming Potential (GWP)]], "-")</f>
        <v>-</v>
      </c>
      <c r="G191" s="17"/>
    </row>
    <row r="192" spans="1:10" ht="15" x14ac:dyDescent="0.25">
      <c r="A192" s="210"/>
      <c r="B192" s="79" t="str">
        <f>IFERROR(INDEX(gwp_table[], MATCH(speciated_ghg_132[[#This Row],[CAS '#]], gwp_table[CAS No.], 0), MATCH("Name", gwp_table[#Headers], 0)),"No CAS Number Entered")</f>
        <v>No CAS Number Entered</v>
      </c>
      <c r="C192" s="79" t="str">
        <f>IFERROR(INDEX(gwp_table[], MATCH(speciated_ghg_132[[#This Row],[CAS '#]], gwp_table[CAS No.], 0), MATCH("Global warming potential", gwp_table[#Headers], 0)),"No CAS Number Entered")</f>
        <v>No CAS Number Entered</v>
      </c>
      <c r="D192" s="219"/>
      <c r="E192" s="79">
        <f>IFERROR(speciated_ghg_132[[#This Row],[Weight Percent]]*(unique_components_130[[#Totals],[Controlled
tpy]]+standard_components_129[[#Totals],[Controlled
tpy]]), "-")</f>
        <v>0</v>
      </c>
      <c r="F192" s="81" t="str">
        <f>IFERROR(speciated_ghg_132[[#This Row],[Mass Emissions (U.S. tons per year)]]*speciated_ghg_132[[#This Row],[Global Warming Potential (GWP)]], "-")</f>
        <v>-</v>
      </c>
      <c r="G192" s="134"/>
      <c r="H192" s="169"/>
    </row>
    <row r="193" spans="1:9" ht="15" x14ac:dyDescent="0.25">
      <c r="A193" s="210"/>
      <c r="B193" s="79" t="str">
        <f>IFERROR(INDEX(gwp_table[], MATCH(speciated_ghg_132[[#This Row],[CAS '#]], gwp_table[CAS No.], 0), MATCH("Name", gwp_table[#Headers], 0)),"No CAS Number Entered")</f>
        <v>No CAS Number Entered</v>
      </c>
      <c r="C193" s="79" t="str">
        <f>IFERROR(INDEX(gwp_table[], MATCH(speciated_ghg_132[[#This Row],[CAS '#]], gwp_table[CAS No.], 0), MATCH("Global warming potential", gwp_table[#Headers], 0)),"No CAS Number Entered")</f>
        <v>No CAS Number Entered</v>
      </c>
      <c r="D193" s="219"/>
      <c r="E193" s="79">
        <f>IFERROR(speciated_ghg_132[[#This Row],[Weight Percent]]*(unique_components_130[[#Totals],[Controlled
tpy]]+standard_components_129[[#Totals],[Controlled
tpy]]), "-")</f>
        <v>0</v>
      </c>
      <c r="F193" s="81" t="str">
        <f>IFERROR(speciated_ghg_132[[#This Row],[Mass Emissions (U.S. tons per year)]]*speciated_ghg_132[[#This Row],[Global Warming Potential (GWP)]], "-")</f>
        <v>-</v>
      </c>
      <c r="G193" s="134"/>
      <c r="H193" s="169"/>
    </row>
    <row r="194" spans="1:9" ht="15" x14ac:dyDescent="0.25">
      <c r="A194" s="210"/>
      <c r="B194" s="79" t="str">
        <f>IFERROR(INDEX(gwp_table[], MATCH(speciated_ghg_132[[#This Row],[CAS '#]], gwp_table[CAS No.], 0), MATCH("Name", gwp_table[#Headers], 0)),"No CAS Number Entered")</f>
        <v>No CAS Number Entered</v>
      </c>
      <c r="C194" s="79" t="str">
        <f>IFERROR(INDEX(gwp_table[], MATCH(speciated_ghg_132[[#This Row],[CAS '#]], gwp_table[CAS No.], 0), MATCH("Global warming potential", gwp_table[#Headers], 0)),"No CAS Number Entered")</f>
        <v>No CAS Number Entered</v>
      </c>
      <c r="D194" s="219"/>
      <c r="E194" s="79">
        <f>IFERROR(speciated_ghg_132[[#This Row],[Weight Percent]]*(unique_components_130[[#Totals],[Controlled
tpy]]+standard_components_129[[#Totals],[Controlled
tpy]]), "-")</f>
        <v>0</v>
      </c>
      <c r="F194" s="81" t="str">
        <f>IFERROR(speciated_ghg_132[[#This Row],[Mass Emissions (U.S. tons per year)]]*speciated_ghg_132[[#This Row],[Global Warming Potential (GWP)]], "-")</f>
        <v>-</v>
      </c>
      <c r="G194" s="134"/>
      <c r="H194" s="169"/>
    </row>
    <row r="195" spans="1:9" x14ac:dyDescent="0.2">
      <c r="A195" s="210"/>
      <c r="B195" s="79" t="str">
        <f>IFERROR(INDEX(gwp_table[], MATCH(speciated_ghg_132[[#This Row],[CAS '#]], gwp_table[CAS No.], 0), MATCH("Name", gwp_table[#Headers], 0)),"No CAS Number Entered")</f>
        <v>No CAS Number Entered</v>
      </c>
      <c r="C195" s="79" t="str">
        <f>IFERROR(INDEX(gwp_table[], MATCH(speciated_ghg_132[[#This Row],[CAS '#]], gwp_table[CAS No.], 0), MATCH("Global warming potential", gwp_table[#Headers], 0)),"No CAS Number Entered")</f>
        <v>No CAS Number Entered</v>
      </c>
      <c r="D195" s="219"/>
      <c r="E195" s="79">
        <f>IFERROR(speciated_ghg_132[[#This Row],[Weight Percent]]*(unique_components_130[[#Totals],[Controlled
tpy]]+standard_components_129[[#Totals],[Controlled
tpy]]), "-")</f>
        <v>0</v>
      </c>
      <c r="F195" s="81" t="str">
        <f>IFERROR(speciated_ghg_132[[#This Row],[Mass Emissions (U.S. tons per year)]]*speciated_ghg_132[[#This Row],[Global Warming Potential (GWP)]], "-")</f>
        <v>-</v>
      </c>
      <c r="G195" s="69"/>
      <c r="H195" s="169"/>
    </row>
    <row r="196" spans="1:9" x14ac:dyDescent="0.2">
      <c r="A196" s="210"/>
      <c r="B196" s="79" t="str">
        <f>IFERROR(INDEX(gwp_table[], MATCH(speciated_ghg_132[[#This Row],[CAS '#]], gwp_table[CAS No.], 0), MATCH("Name", gwp_table[#Headers], 0)),"No CAS Number Entered")</f>
        <v>No CAS Number Entered</v>
      </c>
      <c r="C196" s="79" t="str">
        <f>IFERROR(INDEX(gwp_table[], MATCH(speciated_ghg_132[[#This Row],[CAS '#]], gwp_table[CAS No.], 0), MATCH("Global warming potential", gwp_table[#Headers], 0)),"No CAS Number Entered")</f>
        <v>No CAS Number Entered</v>
      </c>
      <c r="D196" s="219"/>
      <c r="E196" s="79">
        <f>IFERROR(speciated_ghg_132[[#This Row],[Weight Percent]]*(unique_components_130[[#Totals],[Controlled
tpy]]+standard_components_129[[#Totals],[Controlled
tpy]]), "-")</f>
        <v>0</v>
      </c>
      <c r="F196" s="81" t="str">
        <f>IFERROR(speciated_ghg_132[[#This Row],[Mass Emissions (U.S. tons per year)]]*speciated_ghg_132[[#This Row],[Global Warming Potential (GWP)]], "-")</f>
        <v>-</v>
      </c>
      <c r="G196" s="29"/>
      <c r="H196" s="169"/>
    </row>
    <row r="197" spans="1:9" x14ac:dyDescent="0.2">
      <c r="A197" s="210"/>
      <c r="B197" s="79" t="str">
        <f>IFERROR(INDEX(gwp_table[], MATCH(speciated_ghg_132[[#This Row],[CAS '#]], gwp_table[CAS No.], 0), MATCH("Name", gwp_table[#Headers], 0)),"No CAS Number Entered")</f>
        <v>No CAS Number Entered</v>
      </c>
      <c r="C197" s="79" t="str">
        <f>IFERROR(INDEX(gwp_table[], MATCH(speciated_ghg_132[[#This Row],[CAS '#]], gwp_table[CAS No.], 0), MATCH("Global warming potential", gwp_table[#Headers], 0)),"No CAS Number Entered")</f>
        <v>No CAS Number Entered</v>
      </c>
      <c r="D197" s="219"/>
      <c r="E197" s="79">
        <f>IFERROR(speciated_ghg_132[[#This Row],[Weight Percent]]*(unique_components_130[[#Totals],[Controlled
tpy]]+standard_components_129[[#Totals],[Controlled
tpy]]), "-")</f>
        <v>0</v>
      </c>
      <c r="F197" s="81" t="str">
        <f>IFERROR(speciated_ghg_132[[#This Row],[Mass Emissions (U.S. tons per year)]]*speciated_ghg_132[[#This Row],[Global Warming Potential (GWP)]], "-")</f>
        <v>-</v>
      </c>
      <c r="G197" s="29"/>
      <c r="H197" s="29"/>
      <c r="I197" s="169"/>
    </row>
    <row r="198" spans="1:9" x14ac:dyDescent="0.2">
      <c r="A198" s="210"/>
      <c r="B198" s="79" t="str">
        <f>IFERROR(INDEX(gwp_table[], MATCH(speciated_ghg_132[[#This Row],[CAS '#]], gwp_table[CAS No.], 0), MATCH("Name", gwp_table[#Headers], 0)),"No CAS Number Entered")</f>
        <v>No CAS Number Entered</v>
      </c>
      <c r="C198" s="79" t="str">
        <f>IFERROR(INDEX(gwp_table[], MATCH(speciated_ghg_132[[#This Row],[CAS '#]], gwp_table[CAS No.], 0), MATCH("Global warming potential", gwp_table[#Headers], 0)),"No CAS Number Entered")</f>
        <v>No CAS Number Entered</v>
      </c>
      <c r="D198" s="219"/>
      <c r="E198" s="79">
        <f>IFERROR(speciated_ghg_132[[#This Row],[Weight Percent]]*(unique_components_130[[#Totals],[Controlled
tpy]]+standard_components_129[[#Totals],[Controlled
tpy]]), "-")</f>
        <v>0</v>
      </c>
      <c r="F198" s="81" t="str">
        <f>IFERROR(speciated_ghg_132[[#This Row],[Mass Emissions (U.S. tons per year)]]*speciated_ghg_132[[#This Row],[Global Warming Potential (GWP)]], "-")</f>
        <v>-</v>
      </c>
      <c r="G198" s="29"/>
      <c r="H198" s="29"/>
      <c r="I198" s="169"/>
    </row>
    <row r="199" spans="1:9" x14ac:dyDescent="0.2">
      <c r="A199" s="210"/>
      <c r="B199" s="79" t="str">
        <f>IFERROR(INDEX(gwp_table[], MATCH(speciated_ghg_132[[#This Row],[CAS '#]], gwp_table[CAS No.], 0), MATCH("Name", gwp_table[#Headers], 0)),"No CAS Number Entered")</f>
        <v>No CAS Number Entered</v>
      </c>
      <c r="C199" s="79" t="str">
        <f>IFERROR(INDEX(gwp_table[], MATCH(speciated_ghg_132[[#This Row],[CAS '#]], gwp_table[CAS No.], 0), MATCH("Global warming potential", gwp_table[#Headers], 0)),"No CAS Number Entered")</f>
        <v>No CAS Number Entered</v>
      </c>
      <c r="D199" s="219"/>
      <c r="E199" s="79">
        <f>IFERROR(speciated_ghg_132[[#This Row],[Weight Percent]]*(unique_components_130[[#Totals],[Controlled
tpy]]+standard_components_129[[#Totals],[Controlled
tpy]]), "-")</f>
        <v>0</v>
      </c>
      <c r="F199" s="81" t="str">
        <f>IFERROR(speciated_ghg_132[[#This Row],[Mass Emissions (U.S. tons per year)]]*speciated_ghg_132[[#This Row],[Global Warming Potential (GWP)]], "-")</f>
        <v>-</v>
      </c>
      <c r="G199" s="29"/>
      <c r="H199" s="29"/>
      <c r="I199" s="169"/>
    </row>
    <row r="200" spans="1:9" x14ac:dyDescent="0.2">
      <c r="A200" s="210"/>
      <c r="B200" s="79" t="str">
        <f>IFERROR(INDEX(gwp_table[], MATCH(speciated_ghg_132[[#This Row],[CAS '#]], gwp_table[CAS No.], 0), MATCH("Name", gwp_table[#Headers], 0)),"No CAS Number Entered")</f>
        <v>No CAS Number Entered</v>
      </c>
      <c r="C200" s="79" t="str">
        <f>IFERROR(INDEX(gwp_table[], MATCH(speciated_ghg_132[[#This Row],[CAS '#]], gwp_table[CAS No.], 0), MATCH("Global warming potential", gwp_table[#Headers], 0)),"No CAS Number Entered")</f>
        <v>No CAS Number Entered</v>
      </c>
      <c r="D200" s="219"/>
      <c r="E200" s="79">
        <f>IFERROR(speciated_ghg_132[[#This Row],[Weight Percent]]*(unique_components_130[[#Totals],[Controlled
tpy]]+standard_components_129[[#Totals],[Controlled
tpy]]), "-")</f>
        <v>0</v>
      </c>
      <c r="F200" s="81" t="str">
        <f>IFERROR(speciated_ghg_132[[#This Row],[Mass Emissions (U.S. tons per year)]]*speciated_ghg_132[[#This Row],[Global Warming Potential (GWP)]], "-")</f>
        <v>-</v>
      </c>
      <c r="G200" s="29"/>
      <c r="H200" s="29"/>
      <c r="I200" s="169"/>
    </row>
    <row r="201" spans="1:9" x14ac:dyDescent="0.2">
      <c r="A201" s="210"/>
      <c r="B201" s="79" t="str">
        <f>IFERROR(INDEX(gwp_table[], MATCH(speciated_ghg_132[[#This Row],[CAS '#]], gwp_table[CAS No.], 0), MATCH("Name", gwp_table[#Headers], 0)),"No CAS Number Entered")</f>
        <v>No CAS Number Entered</v>
      </c>
      <c r="C201" s="79" t="str">
        <f>IFERROR(INDEX(gwp_table[], MATCH(speciated_ghg_132[[#This Row],[CAS '#]], gwp_table[CAS No.], 0), MATCH("Global warming potential", gwp_table[#Headers], 0)),"No CAS Number Entered")</f>
        <v>No CAS Number Entered</v>
      </c>
      <c r="D201" s="219"/>
      <c r="E201" s="79">
        <f>IFERROR(speciated_ghg_132[[#This Row],[Weight Percent]]*(unique_components_130[[#Totals],[Controlled
tpy]]+standard_components_129[[#Totals],[Controlled
tpy]]), "-")</f>
        <v>0</v>
      </c>
      <c r="F201" s="81" t="str">
        <f>IFERROR(speciated_ghg_132[[#This Row],[Mass Emissions (U.S. tons per year)]]*speciated_ghg_132[[#This Row],[Global Warming Potential (GWP)]], "-")</f>
        <v>-</v>
      </c>
      <c r="G201" s="169"/>
      <c r="H201" s="169"/>
      <c r="I201" s="169"/>
    </row>
    <row r="202" spans="1:9" x14ac:dyDescent="0.2">
      <c r="A202" s="210"/>
      <c r="B202" s="79" t="str">
        <f>IFERROR(INDEX(gwp_table[], MATCH(speciated_ghg_132[[#This Row],[CAS '#]], gwp_table[CAS No.], 0), MATCH("Name", gwp_table[#Headers], 0)),"No CAS Number Entered")</f>
        <v>No CAS Number Entered</v>
      </c>
      <c r="C202" s="79" t="str">
        <f>IFERROR(INDEX(gwp_table[], MATCH(speciated_ghg_132[[#This Row],[CAS '#]], gwp_table[CAS No.], 0), MATCH("Global warming potential", gwp_table[#Headers], 0)),"No CAS Number Entered")</f>
        <v>No CAS Number Entered</v>
      </c>
      <c r="D202" s="219"/>
      <c r="E202" s="79">
        <f>IFERROR(speciated_ghg_132[[#This Row],[Weight Percent]]*(unique_components_130[[#Totals],[Controlled
tpy]]+standard_components_129[[#Totals],[Controlled
tpy]]), "-")</f>
        <v>0</v>
      </c>
      <c r="F202" s="81" t="str">
        <f>IFERROR(speciated_ghg_132[[#This Row],[Mass Emissions (U.S. tons per year)]]*speciated_ghg_132[[#This Row],[Global Warming Potential (GWP)]], "-")</f>
        <v>-</v>
      </c>
      <c r="G202" s="169"/>
      <c r="H202" s="169"/>
      <c r="I202" s="169"/>
    </row>
    <row r="203" spans="1:9" x14ac:dyDescent="0.2">
      <c r="A203" s="210"/>
      <c r="B203" s="79" t="str">
        <f>IFERROR(INDEX(gwp_table[], MATCH(speciated_ghg_132[[#This Row],[CAS '#]], gwp_table[CAS No.], 0), MATCH("Name", gwp_table[#Headers], 0)),"No CAS Number Entered")</f>
        <v>No CAS Number Entered</v>
      </c>
      <c r="C203" s="79" t="str">
        <f>IFERROR(INDEX(gwp_table[], MATCH(speciated_ghg_132[[#This Row],[CAS '#]], gwp_table[CAS No.], 0), MATCH("Global warming potential", gwp_table[#Headers], 0)),"No CAS Number Entered")</f>
        <v>No CAS Number Entered</v>
      </c>
      <c r="D203" s="219"/>
      <c r="E203" s="79">
        <f>IFERROR(speciated_ghg_132[[#This Row],[Weight Percent]]*(unique_components_130[[#Totals],[Controlled
tpy]]+standard_components_129[[#Totals],[Controlled
tpy]]), "-")</f>
        <v>0</v>
      </c>
      <c r="F203" s="81" t="str">
        <f>IFERROR(speciated_ghg_132[[#This Row],[Mass Emissions (U.S. tons per year)]]*speciated_ghg_132[[#This Row],[Global Warming Potential (GWP)]], "-")</f>
        <v>-</v>
      </c>
      <c r="G203" s="169"/>
      <c r="H203" s="169"/>
      <c r="I203" s="169"/>
    </row>
    <row r="204" spans="1:9" ht="30" x14ac:dyDescent="0.25">
      <c r="A204" s="185" t="s">
        <v>13321</v>
      </c>
      <c r="B204" s="77"/>
      <c r="C204" s="77"/>
      <c r="D204" s="77"/>
      <c r="E204" s="80">
        <f>SUBTOTAL(109,speciated_ghg_132[Mass Emissions (U.S. tons per year)])</f>
        <v>0</v>
      </c>
      <c r="F204" s="82">
        <f>SUBTOTAL(109,speciated_ghg_132[CO2e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speciated_chemicals_131[[#Totals],[lb/hr]]</f>
        <v>0</v>
      </c>
      <c r="C207" s="134"/>
      <c r="D207" s="134"/>
      <c r="E207" s="134"/>
      <c r="F207" s="134"/>
      <c r="G207" s="169"/>
      <c r="H207" s="169"/>
    </row>
    <row r="208" spans="1:9" ht="29.25" x14ac:dyDescent="0.25">
      <c r="A208" s="174" t="s">
        <v>13320</v>
      </c>
      <c r="B208" s="175">
        <f>speciated_chemicals_131[[#Totals],[tpy]]</f>
        <v>0</v>
      </c>
      <c r="C208" s="134"/>
      <c r="D208" s="134"/>
      <c r="E208" s="134"/>
      <c r="F208" s="134"/>
      <c r="G208" s="169"/>
      <c r="H208" s="169"/>
    </row>
    <row r="209" spans="1:8" ht="15" x14ac:dyDescent="0.25">
      <c r="A209" s="126" t="s">
        <v>13277</v>
      </c>
      <c r="B209" s="128">
        <f>SUMIF(speciated_chemicals_131[VOC?],"Yes",speciated_chemicals_131[lb/hr])</f>
        <v>0</v>
      </c>
      <c r="C209" s="134"/>
      <c r="D209" s="29"/>
      <c r="E209" s="29"/>
      <c r="F209" s="29"/>
      <c r="G209" s="169"/>
      <c r="H209" s="169"/>
    </row>
    <row r="210" spans="1:8" ht="15" x14ac:dyDescent="0.25">
      <c r="A210" s="126" t="s">
        <v>12669</v>
      </c>
      <c r="B210" s="128">
        <f>SUMIF(speciated_chemicals_131[VOC?],"Yes",speciated_chemicals_131[tpy])</f>
        <v>0</v>
      </c>
      <c r="C210" s="134"/>
      <c r="D210" s="29"/>
      <c r="E210" s="29"/>
      <c r="F210" s="29"/>
      <c r="G210" s="169"/>
      <c r="H210" s="169"/>
    </row>
    <row r="211" spans="1:8" ht="15" x14ac:dyDescent="0.25">
      <c r="A211" s="126" t="s">
        <v>12775</v>
      </c>
      <c r="B211" s="128">
        <f>SUMIF(speciated_chemicals_131[Inorganic?],"Yes",speciated_chemicals_131[lb/hr])</f>
        <v>0</v>
      </c>
      <c r="C211" s="134"/>
      <c r="D211" s="29"/>
      <c r="E211" s="29"/>
      <c r="F211" s="29"/>
      <c r="G211" s="169"/>
      <c r="H211" s="169"/>
    </row>
    <row r="212" spans="1:8" ht="15" x14ac:dyDescent="0.25">
      <c r="A212" s="126" t="s">
        <v>12770</v>
      </c>
      <c r="B212" s="128">
        <f>SUMIF(speciated_chemicals_131[Inorganic?],"Yes",speciated_chemicals_131[tpy])</f>
        <v>0</v>
      </c>
      <c r="C212" s="134"/>
      <c r="D212" s="29"/>
      <c r="E212" s="29"/>
      <c r="F212" s="29"/>
      <c r="G212" s="169"/>
      <c r="H212" s="169"/>
    </row>
    <row r="213" spans="1:8" ht="15" x14ac:dyDescent="0.25">
      <c r="A213" s="126" t="s">
        <v>13276</v>
      </c>
      <c r="B213" s="128">
        <f>SUMIF(speciated_chemicals_131[VOC-Exempt Solvent?],"Yes",speciated_chemicals_131[lb/hr])</f>
        <v>0</v>
      </c>
      <c r="C213" s="134"/>
      <c r="D213" s="29"/>
      <c r="E213" s="29"/>
      <c r="F213" s="29"/>
      <c r="G213" s="169"/>
      <c r="H213" s="169"/>
    </row>
    <row r="214" spans="1:8" ht="15" x14ac:dyDescent="0.25">
      <c r="A214" s="126" t="s">
        <v>13278</v>
      </c>
      <c r="B214" s="128">
        <f>SUMIF(speciated_chemicals_131[VOC-Exempt Solvent?],"Yes",speciated_chemicals_131[tpy])</f>
        <v>0</v>
      </c>
      <c r="C214" s="134"/>
      <c r="D214" s="29"/>
      <c r="E214" s="29"/>
      <c r="F214" s="29"/>
      <c r="G214" s="169"/>
      <c r="H214" s="169"/>
    </row>
    <row r="215" spans="1:8" ht="15" x14ac:dyDescent="0.25">
      <c r="A215" s="127" t="s">
        <v>13280</v>
      </c>
      <c r="B215" s="176">
        <f>speciated_ghg_132[[#Totals],[Mass Emissions (U.S. tons per year)]]</f>
        <v>0</v>
      </c>
      <c r="C215" s="134"/>
      <c r="D215" s="29"/>
      <c r="E215" s="29"/>
      <c r="F215" s="29"/>
      <c r="G215" s="169"/>
      <c r="H215" s="169"/>
    </row>
    <row r="216" spans="1:8" ht="18.75" x14ac:dyDescent="0.35">
      <c r="A216" s="127" t="s">
        <v>13281</v>
      </c>
      <c r="B216" s="176">
        <f>speciated_ghg_132[[#Totals],[CO2e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ZO6UZ2O3qYyu7tUoN4/0drOpGAhXM87n+GOkE9Z6CXkmZrPaN3BAi4ofRaVIkGumbJQoB4e/aWKXYPZFi+siRg==" saltValue="91fXZV6RiFm1UmR7grZdNA==" spinCount="100000" sheet="1" objects="1" scenarios="1" formatColumns="0" formatRows="0" autoFilter="0"/>
  <conditionalFormatting sqref="A21:H21">
    <cfRule type="expression" dxfId="2071" priority="5">
      <formula>$F$19="No"</formula>
    </cfRule>
  </conditionalFormatting>
  <conditionalFormatting sqref="A105:E106 F106:G126">
    <cfRule type="expression" dxfId="2070" priority="4">
      <formula>$E$104="no"</formula>
    </cfRule>
  </conditionalFormatting>
  <conditionalFormatting sqref="C131:C180">
    <cfRule type="expression" dxfId="2069" priority="3">
      <formula>NOT(B131="Other (Please specify):")</formula>
    </cfRule>
  </conditionalFormatting>
  <conditionalFormatting sqref="A107:E126">
    <cfRule type="expression" dxfId="2068" priority="2">
      <formula>$A$58="No"</formula>
    </cfRule>
  </conditionalFormatting>
  <conditionalFormatting sqref="A107:E126 A206:B214 A215:A216">
    <cfRule type="expression" dxfId="2067"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D3B58CDA-2601-45B8-95CC-9A3EE5ECF5E2}"/>
    <dataValidation type="list" allowBlank="1" showInputMessage="1" showErrorMessage="1" sqref="E104:H104 B10" xr:uid="{084CC1DA-045E-4E61-BBBF-344121AB618D}">
      <formula1>"Yes,No"</formula1>
    </dataValidation>
    <dataValidation type="list" allowBlank="1" showInputMessage="1" showErrorMessage="1" sqref="F19:H20" xr:uid="{CA58C932-B503-4FA3-9E87-A93A91DD057B}">
      <formula1>"No,Yes - 75%,Yes - 95%"</formula1>
    </dataValidation>
    <dataValidation type="list" allowBlank="1" showInputMessage="1" showErrorMessage="1" sqref="F18" xr:uid="{A0FAF2F6-3EDF-48F6-9E71-7CFA53C92BAD}">
      <formula1>IF(#REF!="SOCMI Non-leaker",ListNone,ListInspection)</formula1>
    </dataValidation>
    <dataValidation type="list" allowBlank="1" showInputMessage="1" showErrorMessage="1" sqref="F16:F17" xr:uid="{267DA0D7-0061-4E73-9B72-834677A68A06}">
      <formula1>IF(#REF!="SOCMI Non-Leaker",ListNone,ListInstrument)</formula1>
    </dataValidation>
    <dataValidation type="list" allowBlank="1" showInputMessage="1" prompt="Please specify whether the substance is a volatile organic compound (VOC); methane and ethane are not classifed as VOCs" sqref="D132:D180" xr:uid="{67A34F9B-4747-474D-8120-98D73B3ABCF6}">
      <formula1>"Yes,No"</formula1>
    </dataValidation>
    <dataValidation allowBlank="1" showInputMessage="1" showErrorMessage="1" prompt="Enter the weight percent of the substance" sqref="H178:H180 H132:H176" xr:uid="{5F0F2DB2-37C7-4541-A065-D8A4297D023A}"/>
    <dataValidation type="list" allowBlank="1" showInputMessage="1" showErrorMessage="1" prompt="Enter or select Chemical Abstracts Service number; select &quot;N/A&quot; if a CAS # is not applicable" sqref="A131:A175 A177:A180" xr:uid="{3B3F8EBA-09A6-4DA0-9394-A9BFEDAEC206}">
      <formula1>SpeciesList</formula1>
    </dataValidation>
    <dataValidation type="list" allowBlank="1" showInputMessage="1" prompt="Select other species from dropdown" sqref="C131:C180" xr:uid="{1C3F2116-D18B-4DAC-BA26-98884FC2F1CE}">
      <formula1>NoCASList</formula1>
    </dataValidation>
    <dataValidation allowBlank="1" showInputMessage="1" showErrorMessage="1" prompt="Proposed control efficiency (0-1)" sqref="E107:E126" xr:uid="{62589A8A-C4DA-46B8-91DC-D619CA923ECB}"/>
    <dataValidation allowBlank="1" showInputMessage="1" showErrorMessage="1" prompt="Count of unique component" sqref="C107:C126" xr:uid="{48406139-92E8-48CD-86DA-9EEFBA408B8A}"/>
    <dataValidation allowBlank="1" showInputMessage="1" showErrorMessage="1" prompt="Type of service (e.g. gas, vapor, or liquid)" sqref="B107:B126" xr:uid="{BEF07AAA-D72F-4E7C-B9E2-8E79FE7B2431}"/>
    <dataValidation allowBlank="1" showInputMessage="1" showErrorMessage="1" prompt="Name of unique component" sqref="A107:A126" xr:uid="{C669D15A-EEE6-48AA-A56F-5DDA5EB68E4E}"/>
    <dataValidation type="list" allowBlank="1" showInputMessage="1" showErrorMessage="1" sqref="B13" xr:uid="{AED59A32-F21F-44EC-B4B3-0C7ACCFC8790}">
      <formula1>industry_names</formula1>
    </dataValidation>
    <dataValidation type="list" allowBlank="1" showInputMessage="1" showErrorMessage="1" sqref="B19" xr:uid="{3F036A98-2A80-4CDB-ADF0-33CAFFFE737D}">
      <formula1>yes_no_list</formula1>
    </dataValidation>
    <dataValidation type="list" allowBlank="1" showInputMessage="1" showErrorMessage="1" sqref="B20" xr:uid="{4A376AE5-8000-41C0-BBE7-0E24BB26434C}">
      <formula1>process_drains_effs</formula1>
    </dataValidation>
    <dataValidation allowBlank="1" showInputMessage="1" showErrorMessage="1" prompt="Proposed emission factor" sqref="D107:D126" xr:uid="{CCC3F406-B114-46DE-97B5-66223D12D894}"/>
    <dataValidation type="list" allowBlank="1" showInputMessage="1" prompt="Please specify if the substance is an inert substance or is not considered a contaminant (e.g. steam)" sqref="G131:G180" xr:uid="{4E58749F-6052-4B37-B645-FCC46CF0965E}">
      <formula1>"Yes,No"</formula1>
    </dataValidation>
    <dataValidation type="list" allowBlank="1" showInputMessage="1" showErrorMessage="1" prompt="Please select from the dropdown" sqref="B104" xr:uid="{2707EC9D-87A5-45F1-A098-EE7AF7EA013A}">
      <formula1>yes_no_list</formula1>
    </dataValidation>
    <dataValidation allowBlank="1" showInputMessage="1" showErrorMessage="1" prompt="Provide justification" sqref="B105" xr:uid="{F446ACF6-9A2C-45C6-88D1-D5A4C93CD0D4}"/>
    <dataValidation type="list" showInputMessage="1" prompt="Please specify whether the substance is a volatile organic compound (VOC); methane and ethane are not classifed as VOCs" sqref="D131" xr:uid="{A2C0D053-A260-4EAA-B128-B03844676C14}">
      <formula1>"Yes,No"</formula1>
    </dataValidation>
    <dataValidation type="list" showInputMessage="1" prompt="Please specify whether the substance is an inorganic contaminant (e.g. ammonia or chlorine gas)" sqref="E131:E180" xr:uid="{524E5BFD-C552-4AE8-A2DE-9C72D3DDE7BD}">
      <formula1>"Yes,No"</formula1>
    </dataValidation>
    <dataValidation type="list" allowBlank="1" showInputMessage="1" prompt="Please specify whether the substance is an VOC-exempt solvent." sqref="F131:F180" xr:uid="{AEE9DADF-EC4C-4F45-A71E-DE03C39F5996}">
      <formula1>"Yes,No"</formula1>
    </dataValidation>
    <dataValidation type="list" allowBlank="1" showInputMessage="1" showErrorMessage="1" prompt="Enter or select Chemical Abstracts Service number; select &quot;N/A&quot; if a CAS # is not applicable" sqref="A185:A203 A176" xr:uid="{9CA94B77-D80D-4729-B240-6F03B90D2D28}">
      <formula1>gwp_table_cas</formula1>
    </dataValidation>
    <dataValidation type="decimal" allowBlank="1" showInputMessage="1" showErrorMessage="1" prompt="Enter the weight percent of the substance" sqref="H177" xr:uid="{05F65CF9-A8CD-420D-A325-5A86345EBEDE}">
      <formula1>0</formula1>
      <formula2>1</formula2>
    </dataValidation>
    <dataValidation type="decimal" operator="greaterThan" allowBlank="1" showInputMessage="1" showErrorMessage="1" prompt="Enter the weight percent of the substance" sqref="H131 D185:D203" xr:uid="{39AD193C-1092-4177-B935-CE3A6C7BE2F2}">
      <formula1>0</formula1>
    </dataValidation>
    <dataValidation type="list" allowBlank="1" showInputMessage="1" showErrorMessage="1" sqref="B18" xr:uid="{D9A02B70-2BD2-4315-BB41-4DB9CCB5AD6C}">
      <formula1>inspection_ldar_list</formula1>
    </dataValidation>
    <dataValidation type="list" allowBlank="1" showInputMessage="1" showErrorMessage="1" sqref="B17" xr:uid="{31353996-9354-48C5-B1C3-4A3526A17E5E}">
      <formula1>connector_ldar_list</formula1>
    </dataValidation>
    <dataValidation type="list" allowBlank="1" showInputMessage="1" showErrorMessage="1" sqref="B16" xr:uid="{9ED65E34-0FC4-4173-9528-73FC54885F8E}">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A685-3AB0-4272-9BB3-F4E7215CAC7B}">
  <sheetPr codeName="Sheet11">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INDEX((standard_components_133[[#This Row],[Component]]=factor_eff_table[Component])*(standard_components_133[[#This Row],[Service]]=factor_eff_table[Service]), 0, 1), 0)),
 "-")</f>
        <v>-</v>
      </c>
      <c r="E25" s="145" t="str" cm="1">
        <f t="array" ref="E2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25" s="145" t="str" cm="1">
        <f t="array" ref="F2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25" s="145" t="str" cm="1">
        <f t="array" ref="G2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2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2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INDEX((standard_components_133[[#This Row],[Component]]=factor_eff_table[Component])*(standard_components_133[[#This Row],[Service]]=factor_eff_table[Service]), 0, 1), 0)),
 "-")</f>
        <v>-</v>
      </c>
      <c r="E26" s="145" t="str" cm="1">
        <f t="array" ref="E2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26" s="145" t="str" cm="1">
        <f t="array" ref="F2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26" s="145" t="str" cm="1">
        <f t="array" ref="G2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2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2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INDEX((standard_components_133[[#This Row],[Component]]=factor_eff_table[Component])*(standard_components_133[[#This Row],[Service]]=factor_eff_table[Service]), 0, 1), 0)),
 "-")</f>
        <v>-</v>
      </c>
      <c r="E27" s="145" t="str" cm="1">
        <f t="array" ref="E2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27" s="145" t="str" cm="1">
        <f t="array" ref="F2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27" s="145" t="str" cm="1">
        <f t="array" ref="G2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2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2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INDEX((standard_components_133[[#This Row],[Component]]=factor_eff_table[Component])*(standard_components_133[[#This Row],[Service]]=factor_eff_table[Service]), 0, 1), 0)),
 "-")</f>
        <v>-</v>
      </c>
      <c r="E28" s="145" t="str" cm="1">
        <f t="array" ref="E2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28" s="145" t="str" cm="1">
        <f t="array" ref="F2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28" s="145" t="str" cm="1">
        <f t="array" ref="G2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2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2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INDEX((standard_components_133[[#This Row],[Component]]=factor_eff_table[Component])*(standard_components_133[[#This Row],[Service]]=factor_eff_table[Service]), 0, 1), 0)),
 "-")</f>
        <v>-</v>
      </c>
      <c r="E29" s="145" t="str" cm="1">
        <f t="array" ref="E2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29" s="145" t="str" cm="1">
        <f t="array" ref="F2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29" s="145" t="str" cm="1">
        <f t="array" ref="G2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2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2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INDEX((standard_components_133[[#This Row],[Component]]=factor_eff_table[Component])*(standard_components_133[[#This Row],[Service]]=factor_eff_table[Service]), 0, 1), 0)),
 "-")</f>
        <v>-</v>
      </c>
      <c r="E30" s="145" t="str" cm="1">
        <f t="array" ref="E3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0" s="145" t="str" cm="1">
        <f t="array" ref="F3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0" s="145" t="str" cm="1">
        <f t="array" ref="G3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INDEX((standard_components_133[[#This Row],[Component]]=factor_eff_table[Component])*(standard_components_133[[#This Row],[Service]]=factor_eff_table[Service]), 0, 1), 0)),
 "-")</f>
        <v>-</v>
      </c>
      <c r="E31" s="145" t="str" cm="1">
        <f t="array" ref="E3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1" s="145" t="str" cm="1">
        <f t="array" ref="F3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1" s="145" t="str" cm="1">
        <f t="array" ref="G3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INDEX((standard_components_133[[#This Row],[Component]]=factor_eff_table[Component])*(standard_components_133[[#This Row],[Service]]=factor_eff_table[Service]), 0, 1), 0)),
 "-")</f>
        <v>-</v>
      </c>
      <c r="E32" s="145" t="str" cm="1">
        <f t="array" ref="E3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2" s="145" t="str" cm="1">
        <f t="array" ref="F3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2" s="145" t="str" cm="1">
        <f t="array" ref="G3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INDEX((standard_components_133[[#This Row],[Component]]=factor_eff_table[Component])*(standard_components_133[[#This Row],[Service]]=factor_eff_table[Service]), 0, 1), 0)),
 "-")</f>
        <v>-</v>
      </c>
      <c r="E33" s="145" t="str" cm="1">
        <f t="array" ref="E3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3" s="145" t="str" cm="1">
        <f t="array" ref="F3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3" s="145" t="str" cm="1">
        <f t="array" ref="G3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INDEX((standard_components_133[[#This Row],[Component]]=factor_eff_table[Component])*(standard_components_133[[#This Row],[Service]]=factor_eff_table[Service]), 0, 1), 0)),
 "-")</f>
        <v>-</v>
      </c>
      <c r="E34" s="145" t="str" cm="1">
        <f t="array" ref="E3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4" s="145" t="str" cm="1">
        <f t="array" ref="F3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4" s="145" t="str" cm="1">
        <f t="array" ref="G3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INDEX((standard_components_133[[#This Row],[Component]]=factor_eff_table[Component])*(standard_components_133[[#This Row],[Service]]=factor_eff_table[Service]), 0, 1), 0)),
 "-")</f>
        <v>-</v>
      </c>
      <c r="E35" s="145" t="str" cm="1">
        <f t="array" ref="E3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5" s="145" t="str" cm="1">
        <f t="array" ref="F3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5" s="145" t="str" cm="1">
        <f t="array" ref="G3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INDEX((standard_components_133[[#This Row],[Component]]=factor_eff_table[Component])*(standard_components_133[[#This Row],[Service]]=factor_eff_table[Service]), 0, 1), 0)),
 "-")</f>
        <v>-</v>
      </c>
      <c r="E36" s="145" t="str" cm="1">
        <f t="array" ref="E3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6" s="145" t="str" cm="1">
        <f t="array" ref="F3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6" s="145" t="str" cm="1">
        <f t="array" ref="G3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INDEX((standard_components_133[[#This Row],[Component]]=factor_eff_table[Component])*(standard_components_133[[#This Row],[Service]]=factor_eff_table[Service]), 0, 1), 0)),
 "-")</f>
        <v>-</v>
      </c>
      <c r="E37" s="145" t="str" cm="1">
        <f t="array" ref="E3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7" s="145" t="str" cm="1">
        <f t="array" ref="F3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7" s="145" t="str" cm="1">
        <f t="array" ref="G3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INDEX((standard_components_133[[#This Row],[Component]]=factor_eff_table[Component])*(standard_components_133[[#This Row],[Service]]=factor_eff_table[Service]), 0, 1), 0)),
 "-")</f>
        <v>-</v>
      </c>
      <c r="E38" s="145" t="str" cm="1">
        <f t="array" ref="E3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8" s="145" t="str" cm="1">
        <f t="array" ref="F3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8" s="145" t="str" cm="1">
        <f t="array" ref="G3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INDEX((standard_components_133[[#This Row],[Component]]=factor_eff_table[Component])*(standard_components_133[[#This Row],[Service]]=factor_eff_table[Service]), 0, 1), 0)),
 "-")</f>
        <v>-</v>
      </c>
      <c r="E39" s="145" t="str" cm="1">
        <f t="array" ref="E3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39" s="145" t="str" cm="1">
        <f t="array" ref="F3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39" s="145" t="str" cm="1">
        <f t="array" ref="G3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3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3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INDEX((standard_components_133[[#This Row],[Component]]=factor_eff_table[Component])*(standard_components_133[[#This Row],[Service]]=factor_eff_table[Service]), 0, 1), 0)),
 "-")</f>
        <v>-</v>
      </c>
      <c r="E40" s="145" t="str" cm="1">
        <f t="array" ref="E4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0" s="145" t="str" cm="1">
        <f t="array" ref="F4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0" s="145" t="str" cm="1">
        <f t="array" ref="G4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INDEX((standard_components_133[[#This Row],[Component]]=factor_eff_table[Component])*(standard_components_133[[#This Row],[Service]]=factor_eff_table[Service]), 0, 1), 0)),
 "-")</f>
        <v>-</v>
      </c>
      <c r="E41" s="145" t="str" cm="1">
        <f t="array" ref="E4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1" s="145" t="str" cm="1">
        <f t="array" ref="F4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1" s="145" t="str" cm="1">
        <f t="array" ref="G4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INDEX((standard_components_133[[#This Row],[Component]]=factor_eff_table[Component])*(standard_components_133[[#This Row],[Service]]=factor_eff_table[Service]), 0, 1), 0)),
 "-")</f>
        <v>-</v>
      </c>
      <c r="E42" s="145" t="str" cm="1">
        <f t="array" ref="E4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2" s="145" t="str" cm="1">
        <f t="array" ref="F4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2" s="145" t="str" cm="1">
        <f t="array" ref="G4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INDEX((standard_components_133[[#This Row],[Component]]=factor_eff_table[Component])*(standard_components_133[[#This Row],[Service]]=factor_eff_table[Service]), 0, 1), 0)),
 "-")</f>
        <v>-</v>
      </c>
      <c r="E43" s="145" t="str" cm="1">
        <f t="array" ref="E4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3" s="145" t="str" cm="1">
        <f t="array" ref="F4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3" s="145" t="str" cm="1">
        <f t="array" ref="G4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INDEX((standard_components_133[[#This Row],[Component]]=factor_eff_table[Component])*(standard_components_133[[#This Row],[Service]]=factor_eff_table[Service]), 0, 1), 0)),
 "-")</f>
        <v>-</v>
      </c>
      <c r="E44" s="145" t="str" cm="1">
        <f t="array" ref="E4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4" s="145" t="str" cm="1">
        <f t="array" ref="F4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4" s="145" t="str" cm="1">
        <f t="array" ref="G4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INDEX((standard_components_133[[#This Row],[Component]]=factor_eff_table[Component])*(standard_components_133[[#This Row],[Service]]=factor_eff_table[Service]), 0, 1), 0)),
 "-")</f>
        <v>-</v>
      </c>
      <c r="E45" s="145" t="str" cm="1">
        <f t="array" ref="E4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5" s="145" t="str" cm="1">
        <f t="array" ref="F4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5" s="145" t="str" cm="1">
        <f t="array" ref="G4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INDEX((standard_components_133[[#This Row],[Component]]=factor_eff_table[Component])*(standard_components_133[[#This Row],[Service]]=factor_eff_table[Service]), 0, 1), 0)),
 "-")</f>
        <v>-</v>
      </c>
      <c r="E46" s="145" t="str" cm="1">
        <f t="array" ref="E4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6" s="145" t="str" cm="1">
        <f t="array" ref="F4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6" s="145" t="str" cm="1">
        <f t="array" ref="G4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INDEX((standard_components_133[[#This Row],[Component]]=factor_eff_table[Component])*(standard_components_133[[#This Row],[Service]]=factor_eff_table[Service]), 0, 1), 0)),
 "-")</f>
        <v>-</v>
      </c>
      <c r="E47" s="145" t="str" cm="1">
        <f t="array" ref="E4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7" s="145" t="str" cm="1">
        <f t="array" ref="F4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7" s="145" t="str" cm="1">
        <f t="array" ref="G4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INDEX((standard_components_133[[#This Row],[Component]]=factor_eff_table[Component])*(standard_components_133[[#This Row],[Service]]=factor_eff_table[Service]), 0, 1), 0)),
 "-")</f>
        <v>-</v>
      </c>
      <c r="E48" s="145" t="str" cm="1">
        <f t="array" ref="E4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8" s="145" t="str" cm="1">
        <f t="array" ref="F4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8" s="145" t="str" cm="1">
        <f t="array" ref="G4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INDEX((standard_components_133[[#This Row],[Component]]=factor_eff_table[Component])*(standard_components_133[[#This Row],[Service]]=factor_eff_table[Service]), 0, 1), 0)),
 "-")</f>
        <v>-</v>
      </c>
      <c r="E49" s="145" t="str" cm="1">
        <f t="array" ref="E4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49" s="145" t="str" cm="1">
        <f t="array" ref="F4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49" s="145" t="str" cm="1">
        <f t="array" ref="G4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4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4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INDEX((standard_components_133[[#This Row],[Component]]=factor_eff_table[Component])*(standard_components_133[[#This Row],[Service]]=factor_eff_table[Service]), 0, 1), 0)),
 "-")</f>
        <v>-</v>
      </c>
      <c r="E50" s="145" t="str" cm="1">
        <f t="array" ref="E5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0" s="145" t="str" cm="1">
        <f t="array" ref="F5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0" s="145" t="str" cm="1">
        <f t="array" ref="G5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INDEX((standard_components_133[[#This Row],[Component]]=factor_eff_table[Component])*(standard_components_133[[#This Row],[Service]]=factor_eff_table[Service]), 0, 1), 0)),
 "-")</f>
        <v>-</v>
      </c>
      <c r="E51" s="145" t="str" cm="1">
        <f t="array" ref="E5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1" s="145" t="str" cm="1">
        <f t="array" ref="F5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1" s="145" t="str" cm="1">
        <f t="array" ref="G5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INDEX((standard_components_133[[#This Row],[Component]]=factor_eff_table[Component])*(standard_components_133[[#This Row],[Service]]=factor_eff_table[Service]), 0, 1), 0)),
 "-")</f>
        <v>-</v>
      </c>
      <c r="E52" s="145" t="str" cm="1">
        <f t="array" ref="E5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2" s="145" t="str" cm="1">
        <f t="array" ref="F5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2" s="145" t="str" cm="1">
        <f t="array" ref="G5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INDEX((standard_components_133[[#This Row],[Component]]=factor_eff_table[Component])*(standard_components_133[[#This Row],[Service]]=factor_eff_table[Service]), 0, 1), 0)),
 "-")</f>
        <v>-</v>
      </c>
      <c r="E53" s="145" t="str" cm="1">
        <f t="array" ref="E5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3" s="145" t="str" cm="1">
        <f t="array" ref="F5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3" s="145" t="str" cm="1">
        <f t="array" ref="G5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INDEX((standard_components_133[[#This Row],[Component]]=factor_eff_table[Component])*(standard_components_133[[#This Row],[Service]]=factor_eff_table[Service]), 0, 1), 0)),
 "-")</f>
        <v>-</v>
      </c>
      <c r="E54" s="145" t="str" cm="1">
        <f t="array" ref="E5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4" s="145" t="str" cm="1">
        <f t="array" ref="F5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4" s="145" t="str" cm="1">
        <f t="array" ref="G5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INDEX((standard_components_133[[#This Row],[Component]]=factor_eff_table[Component])*(standard_components_133[[#This Row],[Service]]=factor_eff_table[Service]), 0, 1), 0)),
 "-")</f>
        <v>-</v>
      </c>
      <c r="E55" s="145" t="str" cm="1">
        <f t="array" ref="E5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5" s="145" t="str" cm="1">
        <f t="array" ref="F5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5" s="145" t="str" cm="1">
        <f t="array" ref="G5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INDEX((standard_components_133[[#This Row],[Component]]=factor_eff_table[Component])*(standard_components_133[[#This Row],[Service]]=factor_eff_table[Service]), 0, 1), 0)),
 "-")</f>
        <v>-</v>
      </c>
      <c r="E56" s="145" t="str" cm="1">
        <f t="array" ref="E5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6" s="145" t="str" cm="1">
        <f t="array" ref="F5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6" s="145" t="str" cm="1">
        <f t="array" ref="G5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INDEX((standard_components_133[[#This Row],[Component]]=factor_eff_table[Component])*(standard_components_133[[#This Row],[Service]]=factor_eff_table[Service]), 0, 1), 0)),
 "-")</f>
        <v>-</v>
      </c>
      <c r="E57" s="145" t="str" cm="1">
        <f t="array" ref="E5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7" s="145" t="str" cm="1">
        <f t="array" ref="F5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7" s="145" t="str" cm="1">
        <f t="array" ref="G5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INDEX((standard_components_133[[#This Row],[Component]]=factor_eff_table[Component])*(standard_components_133[[#This Row],[Service]]=factor_eff_table[Service]), 0, 1), 0)),
 "-")</f>
        <v>-</v>
      </c>
      <c r="E58" s="145" t="str" cm="1">
        <f t="array" ref="E5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8" s="145" t="str" cm="1">
        <f t="array" ref="F5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8" s="145" t="str" cm="1">
        <f t="array" ref="G5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INDEX((standard_components_133[[#This Row],[Component]]=factor_eff_table[Component])*(standard_components_133[[#This Row],[Service]]=factor_eff_table[Service]), 0, 1), 0)),
 "-")</f>
        <v>-</v>
      </c>
      <c r="E59" s="145" t="str" cm="1">
        <f t="array" ref="E5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59" s="145" t="str" cm="1">
        <f t="array" ref="F5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59" s="145" t="str" cm="1">
        <f t="array" ref="G5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5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5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INDEX((standard_components_133[[#This Row],[Component]]=factor_eff_table[Component])*(standard_components_133[[#This Row],[Service]]=factor_eff_table[Service]), 0, 1), 0)),
 "-")</f>
        <v>-</v>
      </c>
      <c r="E60" s="145" t="str" cm="1">
        <f t="array" ref="E6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0" s="145" t="str" cm="1">
        <f t="array" ref="F6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0" s="145" t="str" cm="1">
        <f t="array" ref="G6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INDEX((standard_components_133[[#This Row],[Component]]=factor_eff_table[Component])*(standard_components_133[[#This Row],[Service]]=factor_eff_table[Service]), 0, 1), 0)),
 "-")</f>
        <v>-</v>
      </c>
      <c r="E61" s="145" t="str" cm="1">
        <f t="array" ref="E6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1" s="145" t="str" cm="1">
        <f t="array" ref="F6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1" s="145" t="str" cm="1">
        <f t="array" ref="G6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INDEX((standard_components_133[[#This Row],[Component]]=factor_eff_table[Component])*(standard_components_133[[#This Row],[Service]]=factor_eff_table[Service]), 0, 1), 0)),
 "-")</f>
        <v>-</v>
      </c>
      <c r="E62" s="145" t="str" cm="1">
        <f t="array" ref="E6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2" s="145" t="str" cm="1">
        <f t="array" ref="F6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2" s="145" t="str" cm="1">
        <f t="array" ref="G6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INDEX((standard_components_133[[#This Row],[Component]]=factor_eff_table[Component])*(standard_components_133[[#This Row],[Service]]=factor_eff_table[Service]), 0, 1), 0)),
 "-")</f>
        <v>-</v>
      </c>
      <c r="E63" s="145" t="str" cm="1">
        <f t="array" ref="E6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3" s="145" t="str" cm="1">
        <f t="array" ref="F6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3" s="145" t="str" cm="1">
        <f t="array" ref="G6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INDEX((standard_components_133[[#This Row],[Component]]=factor_eff_table[Component])*(standard_components_133[[#This Row],[Service]]=factor_eff_table[Service]), 0, 1), 0)),
 "-")</f>
        <v>-</v>
      </c>
      <c r="E64" s="145" t="str" cm="1">
        <f t="array" ref="E6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4" s="145" t="str" cm="1">
        <f t="array" ref="F6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4" s="145" t="str" cm="1">
        <f t="array" ref="G6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INDEX((standard_components_133[[#This Row],[Component]]=factor_eff_table[Component])*(standard_components_133[[#This Row],[Service]]=factor_eff_table[Service]), 0, 1), 0)),
 "-")</f>
        <v>-</v>
      </c>
      <c r="E65" s="145" t="str" cm="1">
        <f t="array" ref="E6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5" s="145" t="str" cm="1">
        <f t="array" ref="F6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5" s="145" t="str" cm="1">
        <f t="array" ref="G6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INDEX((standard_components_133[[#This Row],[Component]]=factor_eff_table[Component])*(standard_components_133[[#This Row],[Service]]=factor_eff_table[Service]), 0, 1), 0)),
 "-")</f>
        <v>-</v>
      </c>
      <c r="E66" s="145" t="str" cm="1">
        <f t="array" ref="E6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6" s="145" t="str" cm="1">
        <f t="array" ref="F6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6" s="145" t="str" cm="1">
        <f t="array" ref="G6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INDEX((standard_components_133[[#This Row],[Component]]=factor_eff_table[Component])*(standard_components_133[[#This Row],[Service]]=factor_eff_table[Service]), 0, 1), 0)),
 "-")</f>
        <v>-</v>
      </c>
      <c r="E67" s="145" t="str" cm="1">
        <f t="array" ref="E6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7" s="145" t="str" cm="1">
        <f t="array" ref="F6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7" s="145" t="str" cm="1">
        <f t="array" ref="G6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INDEX((standard_components_133[[#This Row],[Component]]=factor_eff_table[Component])*(standard_components_133[[#This Row],[Service]]=factor_eff_table[Service]), 0, 1), 0)),
 "-")</f>
        <v>-</v>
      </c>
      <c r="E68" s="145" t="str" cm="1">
        <f t="array" ref="E6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8" s="145" t="str" cm="1">
        <f t="array" ref="F6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8" s="145" t="str" cm="1">
        <f t="array" ref="G6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INDEX((standard_components_133[[#This Row],[Component]]=factor_eff_table[Component])*(standard_components_133[[#This Row],[Service]]=factor_eff_table[Service]), 0, 1), 0)),
 "-")</f>
        <v>-</v>
      </c>
      <c r="E69" s="145" t="str" cm="1">
        <f t="array" ref="E6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69" s="145" t="str" cm="1">
        <f t="array" ref="F6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69" s="145" t="str" cm="1">
        <f t="array" ref="G6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6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6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INDEX((standard_components_133[[#This Row],[Component]]=factor_eff_table[Component])*(standard_components_133[[#This Row],[Service]]=factor_eff_table[Service]), 0, 1), 0)),
 "-")</f>
        <v>-</v>
      </c>
      <c r="E70" s="145" t="str" cm="1">
        <f t="array" ref="E7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0" s="145" t="str" cm="1">
        <f t="array" ref="F7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0" s="145" t="str" cm="1">
        <f t="array" ref="G7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INDEX((standard_components_133[[#This Row],[Component]]=factor_eff_table[Component])*(standard_components_133[[#This Row],[Service]]=factor_eff_table[Service]), 0, 1), 0)),
 "-")</f>
        <v>-</v>
      </c>
      <c r="E71" s="145" t="str" cm="1">
        <f t="array" ref="E7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1" s="145" t="str" cm="1">
        <f t="array" ref="F7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1" s="145" t="str" cm="1">
        <f t="array" ref="G7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INDEX((standard_components_133[[#This Row],[Component]]=factor_eff_table[Component])*(standard_components_133[[#This Row],[Service]]=factor_eff_table[Service]), 0, 1), 0)),
 "-")</f>
        <v>-</v>
      </c>
      <c r="E72" s="145" t="str" cm="1">
        <f t="array" ref="E7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2" s="145" t="str" cm="1">
        <f t="array" ref="F7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2" s="145" t="str" cm="1">
        <f t="array" ref="G7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INDEX((standard_components_133[[#This Row],[Component]]=factor_eff_table[Component])*(standard_components_133[[#This Row],[Service]]=factor_eff_table[Service]), 0, 1), 0)),
 "-")</f>
        <v>-</v>
      </c>
      <c r="E73" s="145" t="str" cm="1">
        <f t="array" ref="E7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3" s="145" t="str" cm="1">
        <f t="array" ref="F7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3" s="145" t="str" cm="1">
        <f t="array" ref="G7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INDEX((standard_components_133[[#This Row],[Component]]=factor_eff_table[Component])*(standard_components_133[[#This Row],[Service]]=factor_eff_table[Service]), 0, 1), 0)),
 "-")</f>
        <v>-</v>
      </c>
      <c r="E74" s="145" t="str" cm="1">
        <f t="array" ref="E7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4" s="145" t="str" cm="1">
        <f t="array" ref="F7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4" s="145" t="str" cm="1">
        <f t="array" ref="G7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INDEX((standard_components_133[[#This Row],[Component]]=factor_eff_table[Component])*(standard_components_133[[#This Row],[Service]]=factor_eff_table[Service]), 0, 1), 0)),
 "-")</f>
        <v>-</v>
      </c>
      <c r="E75" s="145" t="str" cm="1">
        <f t="array" ref="E7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5" s="145" t="str" cm="1">
        <f t="array" ref="F7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5" s="145" t="str" cm="1">
        <f t="array" ref="G7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INDEX((standard_components_133[[#This Row],[Component]]=factor_eff_table[Component])*(standard_components_133[[#This Row],[Service]]=factor_eff_table[Service]), 0, 1), 0)),
 "-")</f>
        <v>-</v>
      </c>
      <c r="E76" s="145" t="str" cm="1">
        <f t="array" ref="E7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6" s="145" t="str" cm="1">
        <f t="array" ref="F7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6" s="145" t="str" cm="1">
        <f t="array" ref="G7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INDEX((standard_components_133[[#This Row],[Component]]=factor_eff_table[Component])*(standard_components_133[[#This Row],[Service]]=factor_eff_table[Service]), 0, 1), 0)),
 "-")</f>
        <v>-</v>
      </c>
      <c r="E77" s="145" t="str" cm="1">
        <f t="array" ref="E7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7" s="145" t="str" cm="1">
        <f t="array" ref="F7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7" s="145" t="str" cm="1">
        <f t="array" ref="G7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INDEX((standard_components_133[[#This Row],[Component]]=factor_eff_table[Component])*(standard_components_133[[#This Row],[Service]]=factor_eff_table[Service]), 0, 1), 0)),
 "-")</f>
        <v>-</v>
      </c>
      <c r="E78" s="145" t="str" cm="1">
        <f t="array" ref="E7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8" s="145" t="str" cm="1">
        <f t="array" ref="F7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8" s="145" t="str" cm="1">
        <f t="array" ref="G7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INDEX((standard_components_133[[#This Row],[Component]]=factor_eff_table[Component])*(standard_components_133[[#This Row],[Service]]=factor_eff_table[Service]), 0, 1), 0)),
 "-")</f>
        <v>-</v>
      </c>
      <c r="E79" s="145" t="str" cm="1">
        <f t="array" ref="E7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79" s="145" t="str" cm="1">
        <f t="array" ref="F7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79" s="145" t="str" cm="1">
        <f t="array" ref="G7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7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7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INDEX((standard_components_133[[#This Row],[Component]]=factor_eff_table[Component])*(standard_components_133[[#This Row],[Service]]=factor_eff_table[Service]), 0, 1), 0)),
 "-")</f>
        <v>-</v>
      </c>
      <c r="E80" s="145" t="str" cm="1">
        <f t="array" ref="E8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0" s="145" t="str" cm="1">
        <f t="array" ref="F8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0" s="145" t="str" cm="1">
        <f t="array" ref="G8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INDEX((standard_components_133[[#This Row],[Component]]=factor_eff_table[Component])*(standard_components_133[[#This Row],[Service]]=factor_eff_table[Service]), 0, 1), 0)),
 "-")</f>
        <v>-</v>
      </c>
      <c r="E81" s="145" t="str" cm="1">
        <f t="array" ref="E8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1" s="145" t="str" cm="1">
        <f t="array" ref="F8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1" s="145" t="str" cm="1">
        <f t="array" ref="G8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INDEX((standard_components_133[[#This Row],[Component]]=factor_eff_table[Component])*(standard_components_133[[#This Row],[Service]]=factor_eff_table[Service]), 0, 1), 0)),
 "-")</f>
        <v>-</v>
      </c>
      <c r="E82" s="145" t="str" cm="1">
        <f t="array" ref="E8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2" s="145" t="str" cm="1">
        <f t="array" ref="F8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2" s="145" t="str" cm="1">
        <f t="array" ref="G8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INDEX((standard_components_133[[#This Row],[Component]]=factor_eff_table[Component])*(standard_components_133[[#This Row],[Service]]=factor_eff_table[Service]), 0, 1), 0)),
 "-")</f>
        <v>-</v>
      </c>
      <c r="E83" s="145" t="str" cm="1">
        <f t="array" ref="E8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3" s="145" t="str" cm="1">
        <f t="array" ref="F8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3" s="145" t="str" cm="1">
        <f t="array" ref="G8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INDEX((standard_components_133[[#This Row],[Component]]=factor_eff_table[Component])*(standard_components_133[[#This Row],[Service]]=factor_eff_table[Service]), 0, 1), 0)),
 "-")</f>
        <v>-</v>
      </c>
      <c r="E84" s="145" t="str" cm="1">
        <f t="array" ref="E8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4" s="145" t="str" cm="1">
        <f t="array" ref="F8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4" s="145" t="str" cm="1">
        <f t="array" ref="G8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INDEX((standard_components_133[[#This Row],[Component]]=factor_eff_table[Component])*(standard_components_133[[#This Row],[Service]]=factor_eff_table[Service]), 0, 1), 0)),
 "-")</f>
        <v>-</v>
      </c>
      <c r="E85" s="145" t="str" cm="1">
        <f t="array" ref="E8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5" s="145" t="str" cm="1">
        <f t="array" ref="F8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5" s="145" t="str" cm="1">
        <f t="array" ref="G8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INDEX((standard_components_133[[#This Row],[Component]]=factor_eff_table[Component])*(standard_components_133[[#This Row],[Service]]=factor_eff_table[Service]), 0, 1), 0)),
 "-")</f>
        <v>-</v>
      </c>
      <c r="E86" s="145" t="str" cm="1">
        <f t="array" ref="E8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6" s="145" t="str" cm="1">
        <f t="array" ref="F8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6" s="145" t="str" cm="1">
        <f t="array" ref="G8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INDEX((standard_components_133[[#This Row],[Component]]=factor_eff_table[Component])*(standard_components_133[[#This Row],[Service]]=factor_eff_table[Service]), 0, 1), 0)),
 "-")</f>
        <v>-</v>
      </c>
      <c r="E87" s="145" t="str" cm="1">
        <f t="array" ref="E8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7" s="145" t="str" cm="1">
        <f t="array" ref="F8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7" s="145" t="str" cm="1">
        <f t="array" ref="G8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INDEX((standard_components_133[[#This Row],[Component]]=factor_eff_table[Component])*(standard_components_133[[#This Row],[Service]]=factor_eff_table[Service]), 0, 1), 0)),
 "-")</f>
        <v>-</v>
      </c>
      <c r="E88" s="145" t="str" cm="1">
        <f t="array" ref="E8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8" s="145" t="str" cm="1">
        <f t="array" ref="F8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8" s="145" t="str" cm="1">
        <f t="array" ref="G8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INDEX((standard_components_133[[#This Row],[Component]]=factor_eff_table[Component])*(standard_components_133[[#This Row],[Service]]=factor_eff_table[Service]), 0, 1), 0)),
 "-")</f>
        <v>-</v>
      </c>
      <c r="E89" s="145" t="str" cm="1">
        <f t="array" ref="E8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89" s="145" t="str" cm="1">
        <f t="array" ref="F8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89" s="145" t="str" cm="1">
        <f t="array" ref="G8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8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8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INDEX((standard_components_133[[#This Row],[Component]]=factor_eff_table[Component])*(standard_components_133[[#This Row],[Service]]=factor_eff_table[Service]), 0, 1), 0)),
 "-")</f>
        <v>-</v>
      </c>
      <c r="E90" s="145" t="str" cm="1">
        <f t="array" ref="E9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0" s="145" t="str" cm="1">
        <f t="array" ref="F9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0" s="145" t="str" cm="1">
        <f t="array" ref="G9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INDEX((standard_components_133[[#This Row],[Component]]=factor_eff_table[Component])*(standard_components_133[[#This Row],[Service]]=factor_eff_table[Service]), 0, 1), 0)),
 "-")</f>
        <v>-</v>
      </c>
      <c r="E91" s="145" t="str" cm="1">
        <f t="array" ref="E91">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1" s="145" t="str" cm="1">
        <f t="array" ref="F91">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1" s="145" t="str" cm="1">
        <f t="array" ref="G91">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1"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1"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INDEX((standard_components_133[[#This Row],[Component]]=factor_eff_table[Component])*(standard_components_133[[#This Row],[Service]]=factor_eff_table[Service]), 0, 1), 0)),
 "-")</f>
        <v>-</v>
      </c>
      <c r="E92" s="145" t="str" cm="1">
        <f t="array" ref="E92">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2" s="145" t="str" cm="1">
        <f t="array" ref="F92">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2" s="145" t="str" cm="1">
        <f t="array" ref="G92">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2"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2"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INDEX((standard_components_133[[#This Row],[Component]]=factor_eff_table[Component])*(standard_components_133[[#This Row],[Service]]=factor_eff_table[Service]), 0, 1), 0)),
 "-")</f>
        <v>-</v>
      </c>
      <c r="E93" s="145" t="str" cm="1">
        <f t="array" ref="E93">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3" s="145" t="str" cm="1">
        <f t="array" ref="F93">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3" s="145" t="str" cm="1">
        <f t="array" ref="G93">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3"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3"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INDEX((standard_components_133[[#This Row],[Component]]=factor_eff_table[Component])*(standard_components_133[[#This Row],[Service]]=factor_eff_table[Service]), 0, 1), 0)),
 "-")</f>
        <v>-</v>
      </c>
      <c r="E94" s="145" t="str" cm="1">
        <f t="array" ref="E94">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4" s="145" t="str" cm="1">
        <f t="array" ref="F94">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4" s="145" t="str" cm="1">
        <f t="array" ref="G94">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4"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4"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INDEX((standard_components_133[[#This Row],[Component]]=factor_eff_table[Component])*(standard_components_133[[#This Row],[Service]]=factor_eff_table[Service]), 0, 1), 0)),
 "-")</f>
        <v>-</v>
      </c>
      <c r="E95" s="145" t="str" cm="1">
        <f t="array" ref="E95">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5" s="145" t="str" cm="1">
        <f t="array" ref="F95">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5" s="145" t="str" cm="1">
        <f t="array" ref="G95">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5"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5"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INDEX((standard_components_133[[#This Row],[Component]]=factor_eff_table[Component])*(standard_components_133[[#This Row],[Service]]=factor_eff_table[Service]), 0, 1), 0)),
 "-")</f>
        <v>-</v>
      </c>
      <c r="E96" s="145" t="str" cm="1">
        <f t="array" ref="E96">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6" s="145" t="str" cm="1">
        <f t="array" ref="F96">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6" s="145" t="str" cm="1">
        <f t="array" ref="G96">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6"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6"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INDEX((standard_components_133[[#This Row],[Component]]=factor_eff_table[Component])*(standard_components_133[[#This Row],[Service]]=factor_eff_table[Service]), 0, 1), 0)),
 "-")</f>
        <v>-</v>
      </c>
      <c r="E97" s="145" t="str" cm="1">
        <f t="array" ref="E97">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7" s="145" t="str" cm="1">
        <f t="array" ref="F97">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7" s="145" t="str" cm="1">
        <f t="array" ref="G97">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7"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7"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INDEX((standard_components_133[[#This Row],[Component]]=factor_eff_table[Component])*(standard_components_133[[#This Row],[Service]]=factor_eff_table[Service]), 0, 1), 0)),
 "-")</f>
        <v>-</v>
      </c>
      <c r="E98" s="145" t="str" cm="1">
        <f t="array" ref="E98">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8" s="145" t="str" cm="1">
        <f t="array" ref="F98">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8" s="145" t="str" cm="1">
        <f t="array" ref="G98">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8"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8"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INDEX((standard_components_133[[#This Row],[Component]]=factor_eff_table[Component])*(standard_components_133[[#This Row],[Service]]=factor_eff_table[Service]), 0, 1), 0)),
 "-")</f>
        <v>-</v>
      </c>
      <c r="E99" s="145" t="str" cm="1">
        <f t="array" ref="E99">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99" s="145" t="str" cm="1">
        <f t="array" ref="F99">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99" s="145" t="str" cm="1">
        <f t="array" ref="G99">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99"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99"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INDEX((standard_components_133[[#This Row],[Component]]=factor_eff_table[Component])*(standard_components_133[[#This Row],[Service]]=factor_eff_table[Service]), 0, 1), 0)),
 "-")</f>
        <v>-</v>
      </c>
      <c r="E100" s="145" t="str" cm="1">
        <f t="array" ref="E100">IF(AND(process_drain_bool="Yes",LEFT(standard_components_133[[#This Row],[Component]], LEN("Process drains"))="Process Drains", ISBLANK(instrument_ldar)=FALSE), process_drain_eff,
IFERROR(
INDEX(
INDEX(factor_eff_table[], , MATCH(instrument_ldar, factor_eff_table[#Headers], 0)),
MATCH(1, INDEX((standard_components_133[[#This Row],[Component]]=factor_eff_table[Component])*(standard_components_133[[#This Row],[Service]]=factor_eff_table[Service]), 0, 1), 0)),
 "-"))</f>
        <v>-</v>
      </c>
      <c r="F100" s="145" t="str" cm="1">
        <f t="array" ref="F100">IF(AND(process_drain_bool="Yes",LEFT(standard_components_133[[#This Row],[Component]], LEN("Process drains"))="Process Drains", ISBLANK(connector_ldar)=FALSE), process_drain_eff,
IFERROR(
INDEX(
INDEX(factor_eff_table[], , MATCH(connector_ldar, factor_eff_table[#Headers], 0)),
MATCH(1, INDEX((standard_components_133[[#This Row],[Component]]=factor_eff_table[Component])*(standard_components_133[[#This Row],[Service]]=factor_eff_table[Service]), 0, 1), 0)),
 "-"))</f>
        <v>-</v>
      </c>
      <c r="G100" s="145" t="str" cm="1">
        <f t="array" ref="G100">IF(AND(process_drain_bool="Yes",LEFT(standard_components_133[[#This Row],[Component]], LEN("Process Drains"))="Process Drains", ISBLANK(inspection_ldar)=FALSE), process_drain_eff,
IFERROR(
INDEX(
INDEX(factor_eff_table[], , MATCH(inspection_ldar, factor_eff_table[#Headers], 0)),
MATCH(1, INDEX((standard_components_133[[#This Row],[Component]]=factor_eff_table[Component])*(standard_components_133[[#This Row],[Service]]=factor_eff_table[Service]), 0, 1), 0)),
 "-"))</f>
        <v>-</v>
      </c>
      <c r="H100" s="146" t="str">
        <f>IF(standard_components_133[[#This Row],[Component]]="Sampling Connections (annual) [2]", "N/A",
 IF(standard_components_133[[#This Row],[Component]]="Sampling Connections (hourly) [1]", standard_components_133[[#This Row],[Count]]*standard_components_133[[#This Row],[Industry Emission Factor]],
IFERROR(standard_components_133[[#This Row],[Count]]*standard_components_133[[#This Row],[Industry Emission Factor]]*MIN(1-standard_components_133[[#This Row],[Instrument Monitoring LDAR Control Efficiency]], 1-standard_components_133[[#This Row],[Physical Inspection LDAR Control Efficiency]], 1-standard_components_133[[#This Row],[Connector Monitoring LDAR Control Efficiency]]), "-")))</f>
        <v>-</v>
      </c>
      <c r="I100" s="146" t="str">
        <f>IF(standard_components_133[[#This Row],[Component]]="Sampling Connections (hourly) [1]", "N/A",
 IF(standard_components_133[[#This Row],[Component]]="Sampling Connections (annual) [2]", standard_components_133[[#This Row],[Count]]*standard_components_133[[#This Row],[Industry Emission Factor]]/stons_to_lbs,
 IFERROR(years_to_hrs/stons_to_lbs*standard_components_133[[#This Row],[Controlled
lb/hr]], "-")))</f>
        <v>-</v>
      </c>
    </row>
    <row r="101" spans="1:9" ht="15" x14ac:dyDescent="0.25">
      <c r="A101" s="147" t="s">
        <v>12776</v>
      </c>
      <c r="B101" s="148"/>
      <c r="C101" s="149">
        <f>SUBTOTAL(109,standard_components_133[Count])</f>
        <v>0</v>
      </c>
      <c r="D101" s="150"/>
      <c r="E101" s="150"/>
      <c r="F101" s="150"/>
      <c r="G101" s="150"/>
      <c r="H101" s="151">
        <f>SUBTOTAL(109,standard_components_133[Controlled
lb/hr])</f>
        <v>0</v>
      </c>
      <c r="I101" s="151">
        <f>SUBTOTAL(109,standard_components_133[Controlled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unique_components_134[[#This Row],[Count]]*unique_components_134[[#This Row],[Proposed Emission Factor]]*(1-unique_components_134[[#This Row],[Proposed Control Efficiency]])</f>
        <v>0</v>
      </c>
      <c r="G107" s="155">
        <f>IFERROR(unique_components_134[[#This Row],[Controlled lb/hr]]*4.38,"")</f>
        <v>0</v>
      </c>
    </row>
    <row r="108" spans="1:9" x14ac:dyDescent="0.2">
      <c r="A108" s="103"/>
      <c r="B108" s="104"/>
      <c r="C108" s="153"/>
      <c r="D108" s="154"/>
      <c r="E108" s="154"/>
      <c r="F108" s="146">
        <f>unique_components_134[[#This Row],[Count]]*unique_components_134[[#This Row],[Proposed Emission Factor]]*(1-unique_components_134[[#This Row],[Proposed Control Efficiency]])</f>
        <v>0</v>
      </c>
      <c r="G108" s="155">
        <f>IFERROR(unique_components_134[[#This Row],[Controlled lb/hr]]*4.38,"")</f>
        <v>0</v>
      </c>
    </row>
    <row r="109" spans="1:9" x14ac:dyDescent="0.2">
      <c r="A109" s="103"/>
      <c r="B109" s="104"/>
      <c r="C109" s="153"/>
      <c r="D109" s="154"/>
      <c r="E109" s="154"/>
      <c r="F109" s="146">
        <f>unique_components_134[[#This Row],[Count]]*unique_components_134[[#This Row],[Proposed Emission Factor]]*(1-unique_components_134[[#This Row],[Proposed Control Efficiency]])</f>
        <v>0</v>
      </c>
      <c r="G109" s="155">
        <f>IFERROR(unique_components_134[[#This Row],[Controlled lb/hr]]*4.38,"")</f>
        <v>0</v>
      </c>
    </row>
    <row r="110" spans="1:9" x14ac:dyDescent="0.2">
      <c r="A110" s="103"/>
      <c r="B110" s="104"/>
      <c r="C110" s="153"/>
      <c r="D110" s="154"/>
      <c r="E110" s="154"/>
      <c r="F110" s="146">
        <f>unique_components_134[[#This Row],[Count]]*unique_components_134[[#This Row],[Proposed Emission Factor]]*(1-unique_components_134[[#This Row],[Proposed Control Efficiency]])</f>
        <v>0</v>
      </c>
      <c r="G110" s="155">
        <f>IFERROR(unique_components_134[[#This Row],[Controlled lb/hr]]*4.38,"")</f>
        <v>0</v>
      </c>
    </row>
    <row r="111" spans="1:9" x14ac:dyDescent="0.2">
      <c r="A111" s="103"/>
      <c r="B111" s="104"/>
      <c r="C111" s="153"/>
      <c r="D111" s="154"/>
      <c r="E111" s="154"/>
      <c r="F111" s="146">
        <f>unique_components_134[[#This Row],[Count]]*unique_components_134[[#This Row],[Proposed Emission Factor]]*(1-unique_components_134[[#This Row],[Proposed Control Efficiency]])</f>
        <v>0</v>
      </c>
      <c r="G111" s="155">
        <f>IFERROR(unique_components_134[[#This Row],[Controlled lb/hr]]*4.38,"")</f>
        <v>0</v>
      </c>
    </row>
    <row r="112" spans="1:9" x14ac:dyDescent="0.2">
      <c r="A112" s="103"/>
      <c r="B112" s="104"/>
      <c r="C112" s="153"/>
      <c r="D112" s="154"/>
      <c r="E112" s="154"/>
      <c r="F112" s="146">
        <f>unique_components_134[[#This Row],[Count]]*unique_components_134[[#This Row],[Proposed Emission Factor]]*(1-unique_components_134[[#This Row],[Proposed Control Efficiency]])</f>
        <v>0</v>
      </c>
      <c r="G112" s="155">
        <f>IFERROR(unique_components_134[[#This Row],[Controlled lb/hr]]*4.38,"")</f>
        <v>0</v>
      </c>
    </row>
    <row r="113" spans="1:8" x14ac:dyDescent="0.2">
      <c r="A113" s="103"/>
      <c r="B113" s="104"/>
      <c r="C113" s="153"/>
      <c r="D113" s="154"/>
      <c r="E113" s="154"/>
      <c r="F113" s="146">
        <f>unique_components_134[[#This Row],[Count]]*unique_components_134[[#This Row],[Proposed Emission Factor]]*(1-unique_components_134[[#This Row],[Proposed Control Efficiency]])</f>
        <v>0</v>
      </c>
      <c r="G113" s="155">
        <f>IFERROR(unique_components_134[[#This Row],[Controlled lb/hr]]*4.38,"")</f>
        <v>0</v>
      </c>
    </row>
    <row r="114" spans="1:8" x14ac:dyDescent="0.2">
      <c r="A114" s="103"/>
      <c r="B114" s="104"/>
      <c r="C114" s="153"/>
      <c r="D114" s="154"/>
      <c r="E114" s="154"/>
      <c r="F114" s="146">
        <f>unique_components_134[[#This Row],[Count]]*unique_components_134[[#This Row],[Proposed Emission Factor]]*(1-unique_components_134[[#This Row],[Proposed Control Efficiency]])</f>
        <v>0</v>
      </c>
      <c r="G114" s="155">
        <f>IFERROR(unique_components_134[[#This Row],[Controlled lb/hr]]*4.38,"")</f>
        <v>0</v>
      </c>
    </row>
    <row r="115" spans="1:8" x14ac:dyDescent="0.2">
      <c r="A115" s="103"/>
      <c r="B115" s="104"/>
      <c r="C115" s="153"/>
      <c r="D115" s="154"/>
      <c r="E115" s="154"/>
      <c r="F115" s="146">
        <f>unique_components_134[[#This Row],[Count]]*unique_components_134[[#This Row],[Proposed Emission Factor]]*(1-unique_components_134[[#This Row],[Proposed Control Efficiency]])</f>
        <v>0</v>
      </c>
      <c r="G115" s="155">
        <f>IFERROR(unique_components_134[[#This Row],[Controlled lb/hr]]*4.38,"")</f>
        <v>0</v>
      </c>
    </row>
    <row r="116" spans="1:8" x14ac:dyDescent="0.2">
      <c r="A116" s="103"/>
      <c r="B116" s="104"/>
      <c r="C116" s="153"/>
      <c r="D116" s="154"/>
      <c r="E116" s="154"/>
      <c r="F116" s="146">
        <f>unique_components_134[[#This Row],[Count]]*unique_components_134[[#This Row],[Proposed Emission Factor]]*(1-unique_components_134[[#This Row],[Proposed Control Efficiency]])</f>
        <v>0</v>
      </c>
      <c r="G116" s="155">
        <f>IFERROR(unique_components_134[[#This Row],[Controlled lb/hr]]*4.38,"")</f>
        <v>0</v>
      </c>
    </row>
    <row r="117" spans="1:8" x14ac:dyDescent="0.2">
      <c r="A117" s="103"/>
      <c r="B117" s="104"/>
      <c r="C117" s="153"/>
      <c r="D117" s="154"/>
      <c r="E117" s="154"/>
      <c r="F117" s="146">
        <f>unique_components_134[[#This Row],[Count]]*unique_components_134[[#This Row],[Proposed Emission Factor]]*(1-unique_components_134[[#This Row],[Proposed Control Efficiency]])</f>
        <v>0</v>
      </c>
      <c r="G117" s="155">
        <f>IFERROR(unique_components_134[[#This Row],[Controlled lb/hr]]*4.38,"")</f>
        <v>0</v>
      </c>
    </row>
    <row r="118" spans="1:8" x14ac:dyDescent="0.2">
      <c r="A118" s="103"/>
      <c r="B118" s="104"/>
      <c r="C118" s="153"/>
      <c r="D118" s="154"/>
      <c r="E118" s="154"/>
      <c r="F118" s="146">
        <f>unique_components_134[[#This Row],[Count]]*unique_components_134[[#This Row],[Proposed Emission Factor]]*(1-unique_components_134[[#This Row],[Proposed Control Efficiency]])</f>
        <v>0</v>
      </c>
      <c r="G118" s="155">
        <f>IFERROR(unique_components_134[[#This Row],[Controlled lb/hr]]*4.38,"")</f>
        <v>0</v>
      </c>
    </row>
    <row r="119" spans="1:8" x14ac:dyDescent="0.2">
      <c r="A119" s="103"/>
      <c r="B119" s="104"/>
      <c r="C119" s="153"/>
      <c r="D119" s="154"/>
      <c r="E119" s="154"/>
      <c r="F119" s="146">
        <f>unique_components_134[[#This Row],[Count]]*unique_components_134[[#This Row],[Proposed Emission Factor]]*(1-unique_components_134[[#This Row],[Proposed Control Efficiency]])</f>
        <v>0</v>
      </c>
      <c r="G119" s="155">
        <f>IFERROR(unique_components_134[[#This Row],[Controlled lb/hr]]*4.38,"")</f>
        <v>0</v>
      </c>
    </row>
    <row r="120" spans="1:8" x14ac:dyDescent="0.2">
      <c r="A120" s="103"/>
      <c r="B120" s="104"/>
      <c r="C120" s="153"/>
      <c r="D120" s="154"/>
      <c r="E120" s="154"/>
      <c r="F120" s="146">
        <f>unique_components_134[[#This Row],[Count]]*unique_components_134[[#This Row],[Proposed Emission Factor]]*(1-unique_components_134[[#This Row],[Proposed Control Efficiency]])</f>
        <v>0</v>
      </c>
      <c r="G120" s="155">
        <f>IFERROR(unique_components_134[[#This Row],[Controlled lb/hr]]*4.38,"")</f>
        <v>0</v>
      </c>
    </row>
    <row r="121" spans="1:8" x14ac:dyDescent="0.2">
      <c r="A121" s="103"/>
      <c r="B121" s="104"/>
      <c r="C121" s="153"/>
      <c r="D121" s="154"/>
      <c r="E121" s="154"/>
      <c r="F121" s="146">
        <f>unique_components_134[[#This Row],[Count]]*unique_components_134[[#This Row],[Proposed Emission Factor]]*(1-unique_components_134[[#This Row],[Proposed Control Efficiency]])</f>
        <v>0</v>
      </c>
      <c r="G121" s="155">
        <f>IFERROR(unique_components_134[[#This Row],[Controlled lb/hr]]*4.38,"")</f>
        <v>0</v>
      </c>
    </row>
    <row r="122" spans="1:8" x14ac:dyDescent="0.2">
      <c r="A122" s="103"/>
      <c r="B122" s="104"/>
      <c r="C122" s="153"/>
      <c r="D122" s="154"/>
      <c r="E122" s="154"/>
      <c r="F122" s="146">
        <f>unique_components_134[[#This Row],[Count]]*unique_components_134[[#This Row],[Proposed Emission Factor]]*(1-unique_components_134[[#This Row],[Proposed Control Efficiency]])</f>
        <v>0</v>
      </c>
      <c r="G122" s="155">
        <f>IFERROR(unique_components_134[[#This Row],[Controlled lb/hr]]*4.38,"")</f>
        <v>0</v>
      </c>
    </row>
    <row r="123" spans="1:8" x14ac:dyDescent="0.2">
      <c r="A123" s="103"/>
      <c r="B123" s="104"/>
      <c r="C123" s="153"/>
      <c r="D123" s="154"/>
      <c r="E123" s="154"/>
      <c r="F123" s="146">
        <f>unique_components_134[[#This Row],[Count]]*unique_components_134[[#This Row],[Proposed Emission Factor]]*(1-unique_components_134[[#This Row],[Proposed Control Efficiency]])</f>
        <v>0</v>
      </c>
      <c r="G123" s="155">
        <f>IFERROR(unique_components_134[[#This Row],[Controlled lb/hr]]*4.38,"")</f>
        <v>0</v>
      </c>
    </row>
    <row r="124" spans="1:8" x14ac:dyDescent="0.2">
      <c r="A124" s="103"/>
      <c r="B124" s="104"/>
      <c r="C124" s="153"/>
      <c r="D124" s="154"/>
      <c r="E124" s="154"/>
      <c r="F124" s="146">
        <f>unique_components_134[[#This Row],[Count]]*unique_components_134[[#This Row],[Proposed Emission Factor]]*(1-unique_components_134[[#This Row],[Proposed Control Efficiency]])</f>
        <v>0</v>
      </c>
      <c r="G124" s="155">
        <f>IFERROR(unique_components_134[[#This Row],[Controlled lb/hr]]*4.38,"")</f>
        <v>0</v>
      </c>
    </row>
    <row r="125" spans="1:8" x14ac:dyDescent="0.2">
      <c r="A125" s="103"/>
      <c r="B125" s="104"/>
      <c r="C125" s="153"/>
      <c r="D125" s="154"/>
      <c r="E125" s="154"/>
      <c r="F125" s="146">
        <f>unique_components_134[[#This Row],[Count]]*unique_components_134[[#This Row],[Proposed Emission Factor]]*(1-unique_components_134[[#This Row],[Proposed Control Efficiency]])</f>
        <v>0</v>
      </c>
      <c r="G125" s="155">
        <f>IFERROR(unique_components_134[[#This Row],[Controlled lb/hr]]*4.38,"")</f>
        <v>0</v>
      </c>
    </row>
    <row r="126" spans="1:8" x14ac:dyDescent="0.2">
      <c r="A126" s="105"/>
      <c r="B126" s="106"/>
      <c r="C126" s="156"/>
      <c r="D126" s="154"/>
      <c r="E126" s="157"/>
      <c r="F126" s="158">
        <f>unique_components_134[[#This Row],[Count]]*unique_components_134[[#This Row],[Proposed Emission Factor]]*(1-unique_components_134[[#This Row],[Proposed Control Efficiency]])</f>
        <v>0</v>
      </c>
      <c r="G126" s="159">
        <f>IFERROR(unique_components_134[[#This Row],[Controlled lb/hr]]*4.38,"")</f>
        <v>0</v>
      </c>
    </row>
    <row r="127" spans="1:8" ht="30" x14ac:dyDescent="0.2">
      <c r="A127" s="57" t="s">
        <v>13297</v>
      </c>
      <c r="B127" s="54"/>
      <c r="C127" s="160">
        <f>SUBTOTAL(109,unique_components_134[Count])</f>
        <v>0</v>
      </c>
      <c r="D127" s="161"/>
      <c r="E127" s="161"/>
      <c r="F127" s="162">
        <f>SUBTOTAL(109,unique_components_134[Controlled lb/hr])</f>
        <v>0</v>
      </c>
      <c r="G127" s="162">
        <f>SUBTOTAL(109,unique_components_134[Controlled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IFERROR(VLOOKUP(speciated_chemicals_135[[#This Row],[CAS '#]],species[],MATCH("Substance", species[#Headers], 0),FALSE),"No CAS Number Entered")</f>
        <v>No CAS Number Entered</v>
      </c>
      <c r="C131" s="102"/>
      <c r="D131" s="102" t="s">
        <v>12666</v>
      </c>
      <c r="E131" s="102" t="s">
        <v>12666</v>
      </c>
      <c r="F131" s="102" t="s">
        <v>12666</v>
      </c>
      <c r="G131" s="102" t="s">
        <v>12666</v>
      </c>
      <c r="H131" s="164"/>
      <c r="I131" s="51">
        <f>IF(speciated_chemicals_135[[#This Row],[Inert / Not a Contaminant?]]="Yes", 0, speciated_chemicals_135[[#This Row],[Weight Percent]]*(unique_components_134[[#Totals],[Controlled lb/hr]]+standard_components_133[[#Totals],[Controlled
lb/hr]]))</f>
        <v>0</v>
      </c>
      <c r="J131" s="51">
        <f>IF(speciated_chemicals_135[[#This Row],[Inert / Not a Contaminant?]]="Yes", 0, speciated_chemicals_135[[#This Row],[Weight Percent]]*(unique_components_134[[#Totals],[Controlled
tpy]]+standard_components_133[[#Totals],[Controlled
tpy]]))</f>
        <v>0</v>
      </c>
    </row>
    <row r="132" spans="1:10" x14ac:dyDescent="0.2">
      <c r="A132" s="103"/>
      <c r="B132" s="51" t="str">
        <f>IFERROR(VLOOKUP(speciated_chemicals_135[[#This Row],[CAS '#]],species[],MATCH("Substance", species[#Headers], 0),FALSE),"No CAS Number Entered")</f>
        <v>No CAS Number Entered</v>
      </c>
      <c r="C132" s="102"/>
      <c r="D132" s="102" t="s">
        <v>12666</v>
      </c>
      <c r="E132" s="102" t="s">
        <v>12666</v>
      </c>
      <c r="F132" s="102" t="s">
        <v>12666</v>
      </c>
      <c r="G132" s="102" t="s">
        <v>12666</v>
      </c>
      <c r="H132" s="164"/>
      <c r="I132" s="51">
        <f>IF(speciated_chemicals_135[[#This Row],[Inert / Not a Contaminant?]]="Yes", 0, speciated_chemicals_135[[#This Row],[Weight Percent]]*(unique_components_134[[#Totals],[Controlled lb/hr]]+standard_components_133[[#Totals],[Controlled
lb/hr]]))</f>
        <v>0</v>
      </c>
      <c r="J132" s="51">
        <f>IF(speciated_chemicals_135[[#This Row],[Inert / Not a Contaminant?]]="Yes", 0, speciated_chemicals_135[[#This Row],[Weight Percent]]*(unique_components_134[[#Totals],[Controlled
tpy]]+standard_components_133[[#Totals],[Controlled
tpy]]))</f>
        <v>0</v>
      </c>
    </row>
    <row r="133" spans="1:10" x14ac:dyDescent="0.2">
      <c r="A133" s="103"/>
      <c r="B133" s="51" t="str">
        <f>IFERROR(VLOOKUP(speciated_chemicals_135[[#This Row],[CAS '#]],species[],MATCH("Substance", species[#Headers], 0),FALSE),"No CAS Number Entered")</f>
        <v>No CAS Number Entered</v>
      </c>
      <c r="C133" s="102"/>
      <c r="D133" s="102" t="s">
        <v>12666</v>
      </c>
      <c r="E133" s="102" t="s">
        <v>12666</v>
      </c>
      <c r="F133" s="102" t="s">
        <v>12666</v>
      </c>
      <c r="G133" s="102" t="s">
        <v>12666</v>
      </c>
      <c r="H133" s="164"/>
      <c r="I133" s="51">
        <f>IF(speciated_chemicals_135[[#This Row],[Inert / Not a Contaminant?]]="Yes", 0, speciated_chemicals_135[[#This Row],[Weight Percent]]*(unique_components_134[[#Totals],[Controlled lb/hr]]+standard_components_133[[#Totals],[Controlled
lb/hr]]))</f>
        <v>0</v>
      </c>
      <c r="J133" s="51">
        <f>IF(speciated_chemicals_135[[#This Row],[Inert / Not a Contaminant?]]="Yes", 0, speciated_chemicals_135[[#This Row],[Weight Percent]]*(unique_components_134[[#Totals],[Controlled
tpy]]+standard_components_133[[#Totals],[Controlled
tpy]]))</f>
        <v>0</v>
      </c>
    </row>
    <row r="134" spans="1:10" x14ac:dyDescent="0.2">
      <c r="A134" s="103"/>
      <c r="B134" s="51" t="str">
        <f>IFERROR(VLOOKUP(speciated_chemicals_135[[#This Row],[CAS '#]],species[],MATCH("Substance", species[#Headers], 0),FALSE),"No CAS Number Entered")</f>
        <v>No CAS Number Entered</v>
      </c>
      <c r="C134" s="102"/>
      <c r="D134" s="102" t="s">
        <v>12666</v>
      </c>
      <c r="E134" s="102" t="s">
        <v>12666</v>
      </c>
      <c r="F134" s="102" t="s">
        <v>12666</v>
      </c>
      <c r="G134" s="102" t="s">
        <v>12666</v>
      </c>
      <c r="H134" s="164"/>
      <c r="I134" s="51">
        <f>IF(speciated_chemicals_135[[#This Row],[Inert / Not a Contaminant?]]="Yes", 0, speciated_chemicals_135[[#This Row],[Weight Percent]]*(unique_components_134[[#Totals],[Controlled lb/hr]]+standard_components_133[[#Totals],[Controlled
lb/hr]]))</f>
        <v>0</v>
      </c>
      <c r="J134" s="51">
        <f>IF(speciated_chemicals_135[[#This Row],[Inert / Not a Contaminant?]]="Yes", 0, speciated_chemicals_135[[#This Row],[Weight Percent]]*(unique_components_134[[#Totals],[Controlled
tpy]]+standard_components_133[[#Totals],[Controlled
tpy]]))</f>
        <v>0</v>
      </c>
    </row>
    <row r="135" spans="1:10" x14ac:dyDescent="0.2">
      <c r="A135" s="103"/>
      <c r="B135" s="51" t="str">
        <f>IFERROR(VLOOKUP(speciated_chemicals_135[[#This Row],[CAS '#]],species[],MATCH("Substance", species[#Headers], 0),FALSE),"No CAS Number Entered")</f>
        <v>No CAS Number Entered</v>
      </c>
      <c r="C135" s="102"/>
      <c r="D135" s="102" t="s">
        <v>12666</v>
      </c>
      <c r="E135" s="102" t="s">
        <v>12666</v>
      </c>
      <c r="F135" s="102" t="s">
        <v>12666</v>
      </c>
      <c r="G135" s="102" t="s">
        <v>12666</v>
      </c>
      <c r="H135" s="164"/>
      <c r="I135" s="51">
        <f>IF(speciated_chemicals_135[[#This Row],[Inert / Not a Contaminant?]]="Yes", 0, speciated_chemicals_135[[#This Row],[Weight Percent]]*(unique_components_134[[#Totals],[Controlled lb/hr]]+standard_components_133[[#Totals],[Controlled
lb/hr]]))</f>
        <v>0</v>
      </c>
      <c r="J135" s="51">
        <f>IF(speciated_chemicals_135[[#This Row],[Inert / Not a Contaminant?]]="Yes", 0, speciated_chemicals_135[[#This Row],[Weight Percent]]*(unique_components_134[[#Totals],[Controlled
tpy]]+standard_components_133[[#Totals],[Controlled
tpy]]))</f>
        <v>0</v>
      </c>
    </row>
    <row r="136" spans="1:10" x14ac:dyDescent="0.2">
      <c r="A136" s="103"/>
      <c r="B136" s="51" t="str">
        <f>IFERROR(VLOOKUP(speciated_chemicals_135[[#This Row],[CAS '#]],species[],MATCH("Substance", species[#Headers], 0),FALSE),"No CAS Number Entered")</f>
        <v>No CAS Number Entered</v>
      </c>
      <c r="C136" s="102"/>
      <c r="D136" s="102" t="s">
        <v>12666</v>
      </c>
      <c r="E136" s="102" t="s">
        <v>12666</v>
      </c>
      <c r="F136" s="102" t="s">
        <v>12666</v>
      </c>
      <c r="G136" s="102" t="s">
        <v>12666</v>
      </c>
      <c r="H136" s="164"/>
      <c r="I136" s="51">
        <f>IF(speciated_chemicals_135[[#This Row],[Inert / Not a Contaminant?]]="Yes", 0, speciated_chemicals_135[[#This Row],[Weight Percent]]*(unique_components_134[[#Totals],[Controlled lb/hr]]+standard_components_133[[#Totals],[Controlled
lb/hr]]))</f>
        <v>0</v>
      </c>
      <c r="J136" s="51">
        <f>IF(speciated_chemicals_135[[#This Row],[Inert / Not a Contaminant?]]="Yes", 0, speciated_chemicals_135[[#This Row],[Weight Percent]]*(unique_components_134[[#Totals],[Controlled
tpy]]+standard_components_133[[#Totals],[Controlled
tpy]]))</f>
        <v>0</v>
      </c>
    </row>
    <row r="137" spans="1:10" x14ac:dyDescent="0.2">
      <c r="A137" s="103"/>
      <c r="B137" s="51" t="str">
        <f>IFERROR(VLOOKUP(speciated_chemicals_135[[#This Row],[CAS '#]],species[],MATCH("Substance", species[#Headers], 0),FALSE),"No CAS Number Entered")</f>
        <v>No CAS Number Entered</v>
      </c>
      <c r="C137" s="102"/>
      <c r="D137" s="102" t="s">
        <v>12666</v>
      </c>
      <c r="E137" s="102" t="s">
        <v>12666</v>
      </c>
      <c r="F137" s="102" t="s">
        <v>12666</v>
      </c>
      <c r="G137" s="102" t="s">
        <v>12666</v>
      </c>
      <c r="H137" s="164"/>
      <c r="I137" s="51">
        <f>IF(speciated_chemicals_135[[#This Row],[Inert / Not a Contaminant?]]="Yes", 0, speciated_chemicals_135[[#This Row],[Weight Percent]]*(unique_components_134[[#Totals],[Controlled lb/hr]]+standard_components_133[[#Totals],[Controlled
lb/hr]]))</f>
        <v>0</v>
      </c>
      <c r="J137" s="51">
        <f>IF(speciated_chemicals_135[[#This Row],[Inert / Not a Contaminant?]]="Yes", 0, speciated_chemicals_135[[#This Row],[Weight Percent]]*(unique_components_134[[#Totals],[Controlled
tpy]]+standard_components_133[[#Totals],[Controlled
tpy]]))</f>
        <v>0</v>
      </c>
    </row>
    <row r="138" spans="1:10" x14ac:dyDescent="0.2">
      <c r="A138" s="103"/>
      <c r="B138" s="51" t="str">
        <f>IFERROR(VLOOKUP(speciated_chemicals_135[[#This Row],[CAS '#]],species[],MATCH("Substance", species[#Headers], 0),FALSE),"No CAS Number Entered")</f>
        <v>No CAS Number Entered</v>
      </c>
      <c r="C138" s="102"/>
      <c r="D138" s="102" t="s">
        <v>12666</v>
      </c>
      <c r="E138" s="102" t="s">
        <v>12666</v>
      </c>
      <c r="F138" s="102" t="s">
        <v>12666</v>
      </c>
      <c r="G138" s="102" t="s">
        <v>12666</v>
      </c>
      <c r="H138" s="164"/>
      <c r="I138" s="51">
        <f>IF(speciated_chemicals_135[[#This Row],[Inert / Not a Contaminant?]]="Yes", 0, speciated_chemicals_135[[#This Row],[Weight Percent]]*(unique_components_134[[#Totals],[Controlled lb/hr]]+standard_components_133[[#Totals],[Controlled
lb/hr]]))</f>
        <v>0</v>
      </c>
      <c r="J138" s="51">
        <f>IF(speciated_chemicals_135[[#This Row],[Inert / Not a Contaminant?]]="Yes", 0, speciated_chemicals_135[[#This Row],[Weight Percent]]*(unique_components_134[[#Totals],[Controlled
tpy]]+standard_components_133[[#Totals],[Controlled
tpy]]))</f>
        <v>0</v>
      </c>
    </row>
    <row r="139" spans="1:10" x14ac:dyDescent="0.2">
      <c r="A139" s="103"/>
      <c r="B139" s="51" t="str">
        <f>IFERROR(VLOOKUP(speciated_chemicals_135[[#This Row],[CAS '#]],species[],MATCH("Substance", species[#Headers], 0),FALSE),"No CAS Number Entered")</f>
        <v>No CAS Number Entered</v>
      </c>
      <c r="C139" s="102"/>
      <c r="D139" s="102" t="s">
        <v>12666</v>
      </c>
      <c r="E139" s="102" t="s">
        <v>12666</v>
      </c>
      <c r="F139" s="102" t="s">
        <v>12666</v>
      </c>
      <c r="G139" s="102" t="s">
        <v>12666</v>
      </c>
      <c r="H139" s="164"/>
      <c r="I139" s="51">
        <f>IF(speciated_chemicals_135[[#This Row],[Inert / Not a Contaminant?]]="Yes", 0, speciated_chemicals_135[[#This Row],[Weight Percent]]*(unique_components_134[[#Totals],[Controlled lb/hr]]+standard_components_133[[#Totals],[Controlled
lb/hr]]))</f>
        <v>0</v>
      </c>
      <c r="J139" s="51">
        <f>IF(speciated_chemicals_135[[#This Row],[Inert / Not a Contaminant?]]="Yes", 0, speciated_chemicals_135[[#This Row],[Weight Percent]]*(unique_components_134[[#Totals],[Controlled
tpy]]+standard_components_133[[#Totals],[Controlled
tpy]]))</f>
        <v>0</v>
      </c>
    </row>
    <row r="140" spans="1:10" x14ac:dyDescent="0.2">
      <c r="A140" s="103"/>
      <c r="B140" s="51" t="str">
        <f>IFERROR(VLOOKUP(speciated_chemicals_135[[#This Row],[CAS '#]],species[],MATCH("Substance", species[#Headers], 0),FALSE),"No CAS Number Entered")</f>
        <v>No CAS Number Entered</v>
      </c>
      <c r="C140" s="102"/>
      <c r="D140" s="102" t="s">
        <v>12666</v>
      </c>
      <c r="E140" s="102" t="s">
        <v>12666</v>
      </c>
      <c r="F140" s="102" t="s">
        <v>12666</v>
      </c>
      <c r="G140" s="102" t="s">
        <v>12666</v>
      </c>
      <c r="H140" s="164"/>
      <c r="I140" s="51">
        <f>IF(speciated_chemicals_135[[#This Row],[Inert / Not a Contaminant?]]="Yes", 0, speciated_chemicals_135[[#This Row],[Weight Percent]]*(unique_components_134[[#Totals],[Controlled lb/hr]]+standard_components_133[[#Totals],[Controlled
lb/hr]]))</f>
        <v>0</v>
      </c>
      <c r="J140" s="51">
        <f>IF(speciated_chemicals_135[[#This Row],[Inert / Not a Contaminant?]]="Yes", 0, speciated_chemicals_135[[#This Row],[Weight Percent]]*(unique_components_134[[#Totals],[Controlled
tpy]]+standard_components_133[[#Totals],[Controlled
tpy]]))</f>
        <v>0</v>
      </c>
    </row>
    <row r="141" spans="1:10" x14ac:dyDescent="0.2">
      <c r="A141" s="103"/>
      <c r="B141" s="51" t="str">
        <f>IFERROR(VLOOKUP(speciated_chemicals_135[[#This Row],[CAS '#]],species[],MATCH("Substance", species[#Headers], 0),FALSE),"No CAS Number Entered")</f>
        <v>No CAS Number Entered</v>
      </c>
      <c r="C141" s="102"/>
      <c r="D141" s="102" t="s">
        <v>12666</v>
      </c>
      <c r="E141" s="102" t="s">
        <v>12666</v>
      </c>
      <c r="F141" s="102" t="s">
        <v>12666</v>
      </c>
      <c r="G141" s="102" t="s">
        <v>12666</v>
      </c>
      <c r="H141" s="164"/>
      <c r="I141" s="51">
        <f>IF(speciated_chemicals_135[[#This Row],[Inert / Not a Contaminant?]]="Yes", 0, speciated_chemicals_135[[#This Row],[Weight Percent]]*(unique_components_134[[#Totals],[Controlled lb/hr]]+standard_components_133[[#Totals],[Controlled
lb/hr]]))</f>
        <v>0</v>
      </c>
      <c r="J141" s="51">
        <f>IF(speciated_chemicals_135[[#This Row],[Inert / Not a Contaminant?]]="Yes", 0, speciated_chemicals_135[[#This Row],[Weight Percent]]*(unique_components_134[[#Totals],[Controlled
tpy]]+standard_components_133[[#Totals],[Controlled
tpy]]))</f>
        <v>0</v>
      </c>
    </row>
    <row r="142" spans="1:10" x14ac:dyDescent="0.2">
      <c r="A142" s="103"/>
      <c r="B142" s="51" t="str">
        <f>IFERROR(VLOOKUP(speciated_chemicals_135[[#This Row],[CAS '#]],species[],MATCH("Substance", species[#Headers], 0),FALSE),"No CAS Number Entered")</f>
        <v>No CAS Number Entered</v>
      </c>
      <c r="C142" s="102"/>
      <c r="D142" s="102" t="s">
        <v>12666</v>
      </c>
      <c r="E142" s="102" t="s">
        <v>12666</v>
      </c>
      <c r="F142" s="102" t="s">
        <v>12666</v>
      </c>
      <c r="G142" s="102" t="s">
        <v>12666</v>
      </c>
      <c r="H142" s="164"/>
      <c r="I142" s="51">
        <f>IF(speciated_chemicals_135[[#This Row],[Inert / Not a Contaminant?]]="Yes", 0, speciated_chemicals_135[[#This Row],[Weight Percent]]*(unique_components_134[[#Totals],[Controlled lb/hr]]+standard_components_133[[#Totals],[Controlled
lb/hr]]))</f>
        <v>0</v>
      </c>
      <c r="J142" s="51">
        <f>IF(speciated_chemicals_135[[#This Row],[Inert / Not a Contaminant?]]="Yes", 0, speciated_chemicals_135[[#This Row],[Weight Percent]]*(unique_components_134[[#Totals],[Controlled
tpy]]+standard_components_133[[#Totals],[Controlled
tpy]]))</f>
        <v>0</v>
      </c>
    </row>
    <row r="143" spans="1:10" x14ac:dyDescent="0.2">
      <c r="A143" s="103"/>
      <c r="B143" s="51" t="str">
        <f>IFERROR(VLOOKUP(speciated_chemicals_135[[#This Row],[CAS '#]],species[],MATCH("Substance", species[#Headers], 0),FALSE),"No CAS Number Entered")</f>
        <v>No CAS Number Entered</v>
      </c>
      <c r="C143" s="102"/>
      <c r="D143" s="102" t="s">
        <v>12666</v>
      </c>
      <c r="E143" s="102" t="s">
        <v>12666</v>
      </c>
      <c r="F143" s="102" t="s">
        <v>12666</v>
      </c>
      <c r="G143" s="102" t="s">
        <v>12666</v>
      </c>
      <c r="H143" s="164"/>
      <c r="I143" s="51">
        <f>IF(speciated_chemicals_135[[#This Row],[Inert / Not a Contaminant?]]="Yes", 0, speciated_chemicals_135[[#This Row],[Weight Percent]]*(unique_components_134[[#Totals],[Controlled lb/hr]]+standard_components_133[[#Totals],[Controlled
lb/hr]]))</f>
        <v>0</v>
      </c>
      <c r="J143" s="51">
        <f>IF(speciated_chemicals_135[[#This Row],[Inert / Not a Contaminant?]]="Yes", 0, speciated_chemicals_135[[#This Row],[Weight Percent]]*(unique_components_134[[#Totals],[Controlled
tpy]]+standard_components_133[[#Totals],[Controlled
tpy]]))</f>
        <v>0</v>
      </c>
    </row>
    <row r="144" spans="1:10" x14ac:dyDescent="0.2">
      <c r="A144" s="103"/>
      <c r="B144" s="51" t="str">
        <f>IFERROR(VLOOKUP(speciated_chemicals_135[[#This Row],[CAS '#]],species[],MATCH("Substance", species[#Headers], 0),FALSE),"No CAS Number Entered")</f>
        <v>No CAS Number Entered</v>
      </c>
      <c r="C144" s="102"/>
      <c r="D144" s="102" t="s">
        <v>12666</v>
      </c>
      <c r="E144" s="102" t="s">
        <v>12666</v>
      </c>
      <c r="F144" s="102" t="s">
        <v>12666</v>
      </c>
      <c r="G144" s="102" t="s">
        <v>12666</v>
      </c>
      <c r="H144" s="164"/>
      <c r="I144" s="51">
        <f>IF(speciated_chemicals_135[[#This Row],[Inert / Not a Contaminant?]]="Yes", 0, speciated_chemicals_135[[#This Row],[Weight Percent]]*(unique_components_134[[#Totals],[Controlled lb/hr]]+standard_components_133[[#Totals],[Controlled
lb/hr]]))</f>
        <v>0</v>
      </c>
      <c r="J144" s="51">
        <f>IF(speciated_chemicals_135[[#This Row],[Inert / Not a Contaminant?]]="Yes", 0, speciated_chemicals_135[[#This Row],[Weight Percent]]*(unique_components_134[[#Totals],[Controlled
tpy]]+standard_components_133[[#Totals],[Controlled
tpy]]))</f>
        <v>0</v>
      </c>
    </row>
    <row r="145" spans="1:10" x14ac:dyDescent="0.2">
      <c r="A145" s="103"/>
      <c r="B145" s="51" t="str">
        <f>IFERROR(VLOOKUP(speciated_chemicals_135[[#This Row],[CAS '#]],species[],MATCH("Substance", species[#Headers], 0),FALSE),"No CAS Number Entered")</f>
        <v>No CAS Number Entered</v>
      </c>
      <c r="C145" s="102"/>
      <c r="D145" s="102" t="s">
        <v>12666</v>
      </c>
      <c r="E145" s="102" t="s">
        <v>12666</v>
      </c>
      <c r="F145" s="102" t="s">
        <v>12666</v>
      </c>
      <c r="G145" s="102" t="s">
        <v>12666</v>
      </c>
      <c r="H145" s="164"/>
      <c r="I145" s="51">
        <f>IF(speciated_chemicals_135[[#This Row],[Inert / Not a Contaminant?]]="Yes", 0, speciated_chemicals_135[[#This Row],[Weight Percent]]*(unique_components_134[[#Totals],[Controlled lb/hr]]+standard_components_133[[#Totals],[Controlled
lb/hr]]))</f>
        <v>0</v>
      </c>
      <c r="J145" s="51">
        <f>IF(speciated_chemicals_135[[#This Row],[Inert / Not a Contaminant?]]="Yes", 0, speciated_chemicals_135[[#This Row],[Weight Percent]]*(unique_components_134[[#Totals],[Controlled
tpy]]+standard_components_133[[#Totals],[Controlled
tpy]]))</f>
        <v>0</v>
      </c>
    </row>
    <row r="146" spans="1:10" x14ac:dyDescent="0.2">
      <c r="A146" s="103"/>
      <c r="B146" s="51" t="str">
        <f>IFERROR(VLOOKUP(speciated_chemicals_135[[#This Row],[CAS '#]],species[],MATCH("Substance", species[#Headers], 0),FALSE),"No CAS Number Entered")</f>
        <v>No CAS Number Entered</v>
      </c>
      <c r="C146" s="102"/>
      <c r="D146" s="102" t="s">
        <v>12666</v>
      </c>
      <c r="E146" s="102" t="s">
        <v>12666</v>
      </c>
      <c r="F146" s="102" t="s">
        <v>12666</v>
      </c>
      <c r="G146" s="102" t="s">
        <v>12666</v>
      </c>
      <c r="H146" s="164"/>
      <c r="I146" s="51">
        <f>IF(speciated_chemicals_135[[#This Row],[Inert / Not a Contaminant?]]="Yes", 0, speciated_chemicals_135[[#This Row],[Weight Percent]]*(unique_components_134[[#Totals],[Controlled lb/hr]]+standard_components_133[[#Totals],[Controlled
lb/hr]]))</f>
        <v>0</v>
      </c>
      <c r="J146" s="51">
        <f>IF(speciated_chemicals_135[[#This Row],[Inert / Not a Contaminant?]]="Yes", 0, speciated_chemicals_135[[#This Row],[Weight Percent]]*(unique_components_134[[#Totals],[Controlled
tpy]]+standard_components_133[[#Totals],[Controlled
tpy]]))</f>
        <v>0</v>
      </c>
    </row>
    <row r="147" spans="1:10" x14ac:dyDescent="0.2">
      <c r="A147" s="103"/>
      <c r="B147" s="51" t="str">
        <f>IFERROR(VLOOKUP(speciated_chemicals_135[[#This Row],[CAS '#]],species[],MATCH("Substance", species[#Headers], 0),FALSE),"No CAS Number Entered")</f>
        <v>No CAS Number Entered</v>
      </c>
      <c r="C147" s="102"/>
      <c r="D147" s="102" t="s">
        <v>12666</v>
      </c>
      <c r="E147" s="102" t="s">
        <v>12666</v>
      </c>
      <c r="F147" s="102" t="s">
        <v>12666</v>
      </c>
      <c r="G147" s="102" t="s">
        <v>12666</v>
      </c>
      <c r="H147" s="164"/>
      <c r="I147" s="51">
        <f>IF(speciated_chemicals_135[[#This Row],[Inert / Not a Contaminant?]]="Yes", 0, speciated_chemicals_135[[#This Row],[Weight Percent]]*(unique_components_134[[#Totals],[Controlled lb/hr]]+standard_components_133[[#Totals],[Controlled
lb/hr]]))</f>
        <v>0</v>
      </c>
      <c r="J147" s="51">
        <f>IF(speciated_chemicals_135[[#This Row],[Inert / Not a Contaminant?]]="Yes", 0, speciated_chemicals_135[[#This Row],[Weight Percent]]*(unique_components_134[[#Totals],[Controlled
tpy]]+standard_components_133[[#Totals],[Controlled
tpy]]))</f>
        <v>0</v>
      </c>
    </row>
    <row r="148" spans="1:10" x14ac:dyDescent="0.2">
      <c r="A148" s="103"/>
      <c r="B148" s="51" t="str">
        <f>IFERROR(VLOOKUP(speciated_chemicals_135[[#This Row],[CAS '#]],species[],MATCH("Substance", species[#Headers], 0),FALSE),"No CAS Number Entered")</f>
        <v>No CAS Number Entered</v>
      </c>
      <c r="C148" s="102"/>
      <c r="D148" s="102" t="s">
        <v>12666</v>
      </c>
      <c r="E148" s="102" t="s">
        <v>12666</v>
      </c>
      <c r="F148" s="102" t="s">
        <v>12666</v>
      </c>
      <c r="G148" s="102" t="s">
        <v>12666</v>
      </c>
      <c r="H148" s="164"/>
      <c r="I148" s="51">
        <f>IF(speciated_chemicals_135[[#This Row],[Inert / Not a Contaminant?]]="Yes", 0, speciated_chemicals_135[[#This Row],[Weight Percent]]*(unique_components_134[[#Totals],[Controlled lb/hr]]+standard_components_133[[#Totals],[Controlled
lb/hr]]))</f>
        <v>0</v>
      </c>
      <c r="J148" s="51">
        <f>IF(speciated_chemicals_135[[#This Row],[Inert / Not a Contaminant?]]="Yes", 0, speciated_chemicals_135[[#This Row],[Weight Percent]]*(unique_components_134[[#Totals],[Controlled
tpy]]+standard_components_133[[#Totals],[Controlled
tpy]]))</f>
        <v>0</v>
      </c>
    </row>
    <row r="149" spans="1:10" x14ac:dyDescent="0.2">
      <c r="A149" s="103"/>
      <c r="B149" s="51" t="str">
        <f>IFERROR(VLOOKUP(speciated_chemicals_135[[#This Row],[CAS '#]],species[],MATCH("Substance", species[#Headers], 0),FALSE),"No CAS Number Entered")</f>
        <v>No CAS Number Entered</v>
      </c>
      <c r="C149" s="102"/>
      <c r="D149" s="102" t="s">
        <v>12666</v>
      </c>
      <c r="E149" s="102" t="s">
        <v>12666</v>
      </c>
      <c r="F149" s="102" t="s">
        <v>12666</v>
      </c>
      <c r="G149" s="102" t="s">
        <v>12666</v>
      </c>
      <c r="H149" s="164"/>
      <c r="I149" s="51">
        <f>IF(speciated_chemicals_135[[#This Row],[Inert / Not a Contaminant?]]="Yes", 0, speciated_chemicals_135[[#This Row],[Weight Percent]]*(unique_components_134[[#Totals],[Controlled lb/hr]]+standard_components_133[[#Totals],[Controlled
lb/hr]]))</f>
        <v>0</v>
      </c>
      <c r="J149" s="51">
        <f>IF(speciated_chemicals_135[[#This Row],[Inert / Not a Contaminant?]]="Yes", 0, speciated_chemicals_135[[#This Row],[Weight Percent]]*(unique_components_134[[#Totals],[Controlled
tpy]]+standard_components_133[[#Totals],[Controlled
tpy]]))</f>
        <v>0</v>
      </c>
    </row>
    <row r="150" spans="1:10" x14ac:dyDescent="0.2">
      <c r="A150" s="103"/>
      <c r="B150" s="51" t="str">
        <f>IFERROR(VLOOKUP(speciated_chemicals_135[[#This Row],[CAS '#]],species[],MATCH("Substance", species[#Headers], 0),FALSE),"No CAS Number Entered")</f>
        <v>No CAS Number Entered</v>
      </c>
      <c r="C150" s="102"/>
      <c r="D150" s="102" t="s">
        <v>12666</v>
      </c>
      <c r="E150" s="102" t="s">
        <v>12666</v>
      </c>
      <c r="F150" s="102" t="s">
        <v>12666</v>
      </c>
      <c r="G150" s="102" t="s">
        <v>12666</v>
      </c>
      <c r="H150" s="164"/>
      <c r="I150" s="51">
        <f>IF(speciated_chemicals_135[[#This Row],[Inert / Not a Contaminant?]]="Yes", 0, speciated_chemicals_135[[#This Row],[Weight Percent]]*(unique_components_134[[#Totals],[Controlled lb/hr]]+standard_components_133[[#Totals],[Controlled
lb/hr]]))</f>
        <v>0</v>
      </c>
      <c r="J150" s="51">
        <f>IF(speciated_chemicals_135[[#This Row],[Inert / Not a Contaminant?]]="Yes", 0, speciated_chemicals_135[[#This Row],[Weight Percent]]*(unique_components_134[[#Totals],[Controlled
tpy]]+standard_components_133[[#Totals],[Controlled
tpy]]))</f>
        <v>0</v>
      </c>
    </row>
    <row r="151" spans="1:10" x14ac:dyDescent="0.2">
      <c r="A151" s="103"/>
      <c r="B151" s="51" t="str">
        <f>IFERROR(VLOOKUP(speciated_chemicals_135[[#This Row],[CAS '#]],species[],MATCH("Substance", species[#Headers], 0),FALSE),"No CAS Number Entered")</f>
        <v>No CAS Number Entered</v>
      </c>
      <c r="C151" s="102"/>
      <c r="D151" s="102" t="s">
        <v>12666</v>
      </c>
      <c r="E151" s="102" t="s">
        <v>12666</v>
      </c>
      <c r="F151" s="102" t="s">
        <v>12666</v>
      </c>
      <c r="G151" s="102" t="s">
        <v>12666</v>
      </c>
      <c r="H151" s="164"/>
      <c r="I151" s="51">
        <f>IF(speciated_chemicals_135[[#This Row],[Inert / Not a Contaminant?]]="Yes", 0, speciated_chemicals_135[[#This Row],[Weight Percent]]*(unique_components_134[[#Totals],[Controlled lb/hr]]+standard_components_133[[#Totals],[Controlled
lb/hr]]))</f>
        <v>0</v>
      </c>
      <c r="J151" s="51">
        <f>IF(speciated_chemicals_135[[#This Row],[Inert / Not a Contaminant?]]="Yes", 0, speciated_chemicals_135[[#This Row],[Weight Percent]]*(unique_components_134[[#Totals],[Controlled
tpy]]+standard_components_133[[#Totals],[Controlled
tpy]]))</f>
        <v>0</v>
      </c>
    </row>
    <row r="152" spans="1:10" x14ac:dyDescent="0.2">
      <c r="A152" s="103"/>
      <c r="B152" s="51" t="str">
        <f>IFERROR(VLOOKUP(speciated_chemicals_135[[#This Row],[CAS '#]],species[],MATCH("Substance", species[#Headers], 0),FALSE),"No CAS Number Entered")</f>
        <v>No CAS Number Entered</v>
      </c>
      <c r="C152" s="102"/>
      <c r="D152" s="102" t="s">
        <v>12666</v>
      </c>
      <c r="E152" s="102" t="s">
        <v>12666</v>
      </c>
      <c r="F152" s="102" t="s">
        <v>12666</v>
      </c>
      <c r="G152" s="102" t="s">
        <v>12666</v>
      </c>
      <c r="H152" s="164"/>
      <c r="I152" s="51">
        <f>IF(speciated_chemicals_135[[#This Row],[Inert / Not a Contaminant?]]="Yes", 0, speciated_chemicals_135[[#This Row],[Weight Percent]]*(unique_components_134[[#Totals],[Controlled lb/hr]]+standard_components_133[[#Totals],[Controlled
lb/hr]]))</f>
        <v>0</v>
      </c>
      <c r="J152" s="51">
        <f>IF(speciated_chemicals_135[[#This Row],[Inert / Not a Contaminant?]]="Yes", 0, speciated_chemicals_135[[#This Row],[Weight Percent]]*(unique_components_134[[#Totals],[Controlled
tpy]]+standard_components_133[[#Totals],[Controlled
tpy]]))</f>
        <v>0</v>
      </c>
    </row>
    <row r="153" spans="1:10" x14ac:dyDescent="0.2">
      <c r="A153" s="103"/>
      <c r="B153" s="51" t="str">
        <f>IFERROR(VLOOKUP(speciated_chemicals_135[[#This Row],[CAS '#]],species[],MATCH("Substance", species[#Headers], 0),FALSE),"No CAS Number Entered")</f>
        <v>No CAS Number Entered</v>
      </c>
      <c r="C153" s="102"/>
      <c r="D153" s="102" t="s">
        <v>12666</v>
      </c>
      <c r="E153" s="102" t="s">
        <v>12666</v>
      </c>
      <c r="F153" s="102" t="s">
        <v>12666</v>
      </c>
      <c r="G153" s="102" t="s">
        <v>12666</v>
      </c>
      <c r="H153" s="164"/>
      <c r="I153" s="51">
        <f>IF(speciated_chemicals_135[[#This Row],[Inert / Not a Contaminant?]]="Yes", 0, speciated_chemicals_135[[#This Row],[Weight Percent]]*(unique_components_134[[#Totals],[Controlled lb/hr]]+standard_components_133[[#Totals],[Controlled
lb/hr]]))</f>
        <v>0</v>
      </c>
      <c r="J153" s="51">
        <f>IF(speciated_chemicals_135[[#This Row],[Inert / Not a Contaminant?]]="Yes", 0, speciated_chemicals_135[[#This Row],[Weight Percent]]*(unique_components_134[[#Totals],[Controlled
tpy]]+standard_components_133[[#Totals],[Controlled
tpy]]))</f>
        <v>0</v>
      </c>
    </row>
    <row r="154" spans="1:10" x14ac:dyDescent="0.2">
      <c r="A154" s="103"/>
      <c r="B154" s="51" t="str">
        <f>IFERROR(VLOOKUP(speciated_chemicals_135[[#This Row],[CAS '#]],species[],MATCH("Substance", species[#Headers], 0),FALSE),"No CAS Number Entered")</f>
        <v>No CAS Number Entered</v>
      </c>
      <c r="C154" s="102"/>
      <c r="D154" s="102" t="s">
        <v>12666</v>
      </c>
      <c r="E154" s="102" t="s">
        <v>12666</v>
      </c>
      <c r="F154" s="102" t="s">
        <v>12666</v>
      </c>
      <c r="G154" s="102" t="s">
        <v>12666</v>
      </c>
      <c r="H154" s="164"/>
      <c r="I154" s="51">
        <f>IF(speciated_chemicals_135[[#This Row],[Inert / Not a Contaminant?]]="Yes", 0, speciated_chemicals_135[[#This Row],[Weight Percent]]*(unique_components_134[[#Totals],[Controlled lb/hr]]+standard_components_133[[#Totals],[Controlled
lb/hr]]))</f>
        <v>0</v>
      </c>
      <c r="J154" s="51">
        <f>IF(speciated_chemicals_135[[#This Row],[Inert / Not a Contaminant?]]="Yes", 0, speciated_chemicals_135[[#This Row],[Weight Percent]]*(unique_components_134[[#Totals],[Controlled
tpy]]+standard_components_133[[#Totals],[Controlled
tpy]]))</f>
        <v>0</v>
      </c>
    </row>
    <row r="155" spans="1:10" x14ac:dyDescent="0.2">
      <c r="A155" s="103"/>
      <c r="B155" s="51" t="str">
        <f>IFERROR(VLOOKUP(speciated_chemicals_135[[#This Row],[CAS '#]],species[],MATCH("Substance", species[#Headers], 0),FALSE),"No CAS Number Entered")</f>
        <v>No CAS Number Entered</v>
      </c>
      <c r="C155" s="102"/>
      <c r="D155" s="102" t="s">
        <v>12666</v>
      </c>
      <c r="E155" s="102" t="s">
        <v>12666</v>
      </c>
      <c r="F155" s="102" t="s">
        <v>12666</v>
      </c>
      <c r="G155" s="102" t="s">
        <v>12666</v>
      </c>
      <c r="H155" s="164"/>
      <c r="I155" s="51">
        <f>IF(speciated_chemicals_135[[#This Row],[Inert / Not a Contaminant?]]="Yes", 0, speciated_chemicals_135[[#This Row],[Weight Percent]]*(unique_components_134[[#Totals],[Controlled lb/hr]]+standard_components_133[[#Totals],[Controlled
lb/hr]]))</f>
        <v>0</v>
      </c>
      <c r="J155" s="51">
        <f>IF(speciated_chemicals_135[[#This Row],[Inert / Not a Contaminant?]]="Yes", 0, speciated_chemicals_135[[#This Row],[Weight Percent]]*(unique_components_134[[#Totals],[Controlled
tpy]]+standard_components_133[[#Totals],[Controlled
tpy]]))</f>
        <v>0</v>
      </c>
    </row>
    <row r="156" spans="1:10" x14ac:dyDescent="0.2">
      <c r="A156" s="103"/>
      <c r="B156" s="51" t="str">
        <f>IFERROR(VLOOKUP(speciated_chemicals_135[[#This Row],[CAS '#]],species[],MATCH("Substance", species[#Headers], 0),FALSE),"No CAS Number Entered")</f>
        <v>No CAS Number Entered</v>
      </c>
      <c r="C156" s="102"/>
      <c r="D156" s="102" t="s">
        <v>12666</v>
      </c>
      <c r="E156" s="102" t="s">
        <v>12666</v>
      </c>
      <c r="F156" s="102" t="s">
        <v>12666</v>
      </c>
      <c r="G156" s="102" t="s">
        <v>12666</v>
      </c>
      <c r="H156" s="164"/>
      <c r="I156" s="51">
        <f>IF(speciated_chemicals_135[[#This Row],[Inert / Not a Contaminant?]]="Yes", 0, speciated_chemicals_135[[#This Row],[Weight Percent]]*(unique_components_134[[#Totals],[Controlled lb/hr]]+standard_components_133[[#Totals],[Controlled
lb/hr]]))</f>
        <v>0</v>
      </c>
      <c r="J156" s="51">
        <f>IF(speciated_chemicals_135[[#This Row],[Inert / Not a Contaminant?]]="Yes", 0, speciated_chemicals_135[[#This Row],[Weight Percent]]*(unique_components_134[[#Totals],[Controlled
tpy]]+standard_components_133[[#Totals],[Controlled
tpy]]))</f>
        <v>0</v>
      </c>
    </row>
    <row r="157" spans="1:10" x14ac:dyDescent="0.2">
      <c r="A157" s="103"/>
      <c r="B157" s="51" t="str">
        <f>IFERROR(VLOOKUP(speciated_chemicals_135[[#This Row],[CAS '#]],species[],MATCH("Substance", species[#Headers], 0),FALSE),"No CAS Number Entered")</f>
        <v>No CAS Number Entered</v>
      </c>
      <c r="C157" s="102"/>
      <c r="D157" s="102" t="s">
        <v>12666</v>
      </c>
      <c r="E157" s="102" t="s">
        <v>12666</v>
      </c>
      <c r="F157" s="102" t="s">
        <v>12666</v>
      </c>
      <c r="G157" s="102" t="s">
        <v>12666</v>
      </c>
      <c r="H157" s="164"/>
      <c r="I157" s="51">
        <f>IF(speciated_chemicals_135[[#This Row],[Inert / Not a Contaminant?]]="Yes", 0, speciated_chemicals_135[[#This Row],[Weight Percent]]*(unique_components_134[[#Totals],[Controlled lb/hr]]+standard_components_133[[#Totals],[Controlled
lb/hr]]))</f>
        <v>0</v>
      </c>
      <c r="J157" s="51">
        <f>IF(speciated_chemicals_135[[#This Row],[Inert / Not a Contaminant?]]="Yes", 0, speciated_chemicals_135[[#This Row],[Weight Percent]]*(unique_components_134[[#Totals],[Controlled
tpy]]+standard_components_133[[#Totals],[Controlled
tpy]]))</f>
        <v>0</v>
      </c>
    </row>
    <row r="158" spans="1:10" x14ac:dyDescent="0.2">
      <c r="A158" s="103"/>
      <c r="B158" s="51" t="str">
        <f>IFERROR(VLOOKUP(speciated_chemicals_135[[#This Row],[CAS '#]],species[],MATCH("Substance", species[#Headers], 0),FALSE),"No CAS Number Entered")</f>
        <v>No CAS Number Entered</v>
      </c>
      <c r="C158" s="102"/>
      <c r="D158" s="102" t="s">
        <v>12666</v>
      </c>
      <c r="E158" s="102" t="s">
        <v>12666</v>
      </c>
      <c r="F158" s="102" t="s">
        <v>12666</v>
      </c>
      <c r="G158" s="102" t="s">
        <v>12666</v>
      </c>
      <c r="H158" s="164"/>
      <c r="I158" s="51">
        <f>IF(speciated_chemicals_135[[#This Row],[Inert / Not a Contaminant?]]="Yes", 0, speciated_chemicals_135[[#This Row],[Weight Percent]]*(unique_components_134[[#Totals],[Controlled lb/hr]]+standard_components_133[[#Totals],[Controlled
lb/hr]]))</f>
        <v>0</v>
      </c>
      <c r="J158" s="51">
        <f>IF(speciated_chemicals_135[[#This Row],[Inert / Not a Contaminant?]]="Yes", 0, speciated_chemicals_135[[#This Row],[Weight Percent]]*(unique_components_134[[#Totals],[Controlled
tpy]]+standard_components_133[[#Totals],[Controlled
tpy]]))</f>
        <v>0</v>
      </c>
    </row>
    <row r="159" spans="1:10" x14ac:dyDescent="0.2">
      <c r="A159" s="103"/>
      <c r="B159" s="51" t="str">
        <f>IFERROR(VLOOKUP(speciated_chemicals_135[[#This Row],[CAS '#]],species[],MATCH("Substance", species[#Headers], 0),FALSE),"No CAS Number Entered")</f>
        <v>No CAS Number Entered</v>
      </c>
      <c r="C159" s="102"/>
      <c r="D159" s="102" t="s">
        <v>12666</v>
      </c>
      <c r="E159" s="102" t="s">
        <v>12666</v>
      </c>
      <c r="F159" s="102" t="s">
        <v>12666</v>
      </c>
      <c r="G159" s="102" t="s">
        <v>12666</v>
      </c>
      <c r="H159" s="164"/>
      <c r="I159" s="51">
        <f>IF(speciated_chemicals_135[[#This Row],[Inert / Not a Contaminant?]]="Yes", 0, speciated_chemicals_135[[#This Row],[Weight Percent]]*(unique_components_134[[#Totals],[Controlled lb/hr]]+standard_components_133[[#Totals],[Controlled
lb/hr]]))</f>
        <v>0</v>
      </c>
      <c r="J159" s="51">
        <f>IF(speciated_chemicals_135[[#This Row],[Inert / Not a Contaminant?]]="Yes", 0, speciated_chemicals_135[[#This Row],[Weight Percent]]*(unique_components_134[[#Totals],[Controlled
tpy]]+standard_components_133[[#Totals],[Controlled
tpy]]))</f>
        <v>0</v>
      </c>
    </row>
    <row r="160" spans="1:10" x14ac:dyDescent="0.2">
      <c r="A160" s="103"/>
      <c r="B160" s="51" t="str">
        <f>IFERROR(VLOOKUP(speciated_chemicals_135[[#This Row],[CAS '#]],species[],MATCH("Substance", species[#Headers], 0),FALSE),"No CAS Number Entered")</f>
        <v>No CAS Number Entered</v>
      </c>
      <c r="C160" s="102"/>
      <c r="D160" s="102" t="s">
        <v>12666</v>
      </c>
      <c r="E160" s="102" t="s">
        <v>12666</v>
      </c>
      <c r="F160" s="102" t="s">
        <v>12666</v>
      </c>
      <c r="G160" s="102" t="s">
        <v>12666</v>
      </c>
      <c r="H160" s="164"/>
      <c r="I160" s="51">
        <f>IF(speciated_chemicals_135[[#This Row],[Inert / Not a Contaminant?]]="Yes", 0, speciated_chemicals_135[[#This Row],[Weight Percent]]*(unique_components_134[[#Totals],[Controlled lb/hr]]+standard_components_133[[#Totals],[Controlled
lb/hr]]))</f>
        <v>0</v>
      </c>
      <c r="J160" s="51">
        <f>IF(speciated_chemicals_135[[#This Row],[Inert / Not a Contaminant?]]="Yes", 0, speciated_chemicals_135[[#This Row],[Weight Percent]]*(unique_components_134[[#Totals],[Controlled
tpy]]+standard_components_133[[#Totals],[Controlled
tpy]]))</f>
        <v>0</v>
      </c>
    </row>
    <row r="161" spans="1:10" x14ac:dyDescent="0.2">
      <c r="A161" s="103"/>
      <c r="B161" s="51" t="str">
        <f>IFERROR(VLOOKUP(speciated_chemicals_135[[#This Row],[CAS '#]],species[],MATCH("Substance", species[#Headers], 0),FALSE),"No CAS Number Entered")</f>
        <v>No CAS Number Entered</v>
      </c>
      <c r="C161" s="102"/>
      <c r="D161" s="102" t="s">
        <v>12666</v>
      </c>
      <c r="E161" s="102" t="s">
        <v>12666</v>
      </c>
      <c r="F161" s="102" t="s">
        <v>12666</v>
      </c>
      <c r="G161" s="102" t="s">
        <v>12666</v>
      </c>
      <c r="H161" s="164"/>
      <c r="I161" s="51">
        <f>IF(speciated_chemicals_135[[#This Row],[Inert / Not a Contaminant?]]="Yes", 0, speciated_chemicals_135[[#This Row],[Weight Percent]]*(unique_components_134[[#Totals],[Controlled lb/hr]]+standard_components_133[[#Totals],[Controlled
lb/hr]]))</f>
        <v>0</v>
      </c>
      <c r="J161" s="51">
        <f>IF(speciated_chemicals_135[[#This Row],[Inert / Not a Contaminant?]]="Yes", 0, speciated_chemicals_135[[#This Row],[Weight Percent]]*(unique_components_134[[#Totals],[Controlled
tpy]]+standard_components_133[[#Totals],[Controlled
tpy]]))</f>
        <v>0</v>
      </c>
    </row>
    <row r="162" spans="1:10" x14ac:dyDescent="0.2">
      <c r="A162" s="103"/>
      <c r="B162" s="51" t="str">
        <f>IFERROR(VLOOKUP(speciated_chemicals_135[[#This Row],[CAS '#]],species[],MATCH("Substance", species[#Headers], 0),FALSE),"No CAS Number Entered")</f>
        <v>No CAS Number Entered</v>
      </c>
      <c r="C162" s="102"/>
      <c r="D162" s="102" t="s">
        <v>12666</v>
      </c>
      <c r="E162" s="102" t="s">
        <v>12666</v>
      </c>
      <c r="F162" s="102" t="s">
        <v>12666</v>
      </c>
      <c r="G162" s="102" t="s">
        <v>12666</v>
      </c>
      <c r="H162" s="164"/>
      <c r="I162" s="51">
        <f>IF(speciated_chemicals_135[[#This Row],[Inert / Not a Contaminant?]]="Yes", 0, speciated_chemicals_135[[#This Row],[Weight Percent]]*(unique_components_134[[#Totals],[Controlled lb/hr]]+standard_components_133[[#Totals],[Controlled
lb/hr]]))</f>
        <v>0</v>
      </c>
      <c r="J162" s="51">
        <f>IF(speciated_chemicals_135[[#This Row],[Inert / Not a Contaminant?]]="Yes", 0, speciated_chemicals_135[[#This Row],[Weight Percent]]*(unique_components_134[[#Totals],[Controlled
tpy]]+standard_components_133[[#Totals],[Controlled
tpy]]))</f>
        <v>0</v>
      </c>
    </row>
    <row r="163" spans="1:10" x14ac:dyDescent="0.2">
      <c r="A163" s="103"/>
      <c r="B163" s="51" t="str">
        <f>IFERROR(VLOOKUP(speciated_chemicals_135[[#This Row],[CAS '#]],species[],MATCH("Substance", species[#Headers], 0),FALSE),"No CAS Number Entered")</f>
        <v>No CAS Number Entered</v>
      </c>
      <c r="C163" s="102"/>
      <c r="D163" s="102" t="s">
        <v>12666</v>
      </c>
      <c r="E163" s="102" t="s">
        <v>12666</v>
      </c>
      <c r="F163" s="102" t="s">
        <v>12666</v>
      </c>
      <c r="G163" s="102" t="s">
        <v>12666</v>
      </c>
      <c r="H163" s="164"/>
      <c r="I163" s="51">
        <f>IF(speciated_chemicals_135[[#This Row],[Inert / Not a Contaminant?]]="Yes", 0, speciated_chemicals_135[[#This Row],[Weight Percent]]*(unique_components_134[[#Totals],[Controlled lb/hr]]+standard_components_133[[#Totals],[Controlled
lb/hr]]))</f>
        <v>0</v>
      </c>
      <c r="J163" s="51">
        <f>IF(speciated_chemicals_135[[#This Row],[Inert / Not a Contaminant?]]="Yes", 0, speciated_chemicals_135[[#This Row],[Weight Percent]]*(unique_components_134[[#Totals],[Controlled
tpy]]+standard_components_133[[#Totals],[Controlled
tpy]]))</f>
        <v>0</v>
      </c>
    </row>
    <row r="164" spans="1:10" x14ac:dyDescent="0.2">
      <c r="A164" s="103"/>
      <c r="B164" s="51" t="str">
        <f>IFERROR(VLOOKUP(speciated_chemicals_135[[#This Row],[CAS '#]],species[],MATCH("Substance", species[#Headers], 0),FALSE),"No CAS Number Entered")</f>
        <v>No CAS Number Entered</v>
      </c>
      <c r="C164" s="102"/>
      <c r="D164" s="102" t="s">
        <v>12666</v>
      </c>
      <c r="E164" s="102" t="s">
        <v>12666</v>
      </c>
      <c r="F164" s="102" t="s">
        <v>12666</v>
      </c>
      <c r="G164" s="102" t="s">
        <v>12666</v>
      </c>
      <c r="H164" s="164"/>
      <c r="I164" s="51">
        <f>IF(speciated_chemicals_135[[#This Row],[Inert / Not a Contaminant?]]="Yes", 0, speciated_chemicals_135[[#This Row],[Weight Percent]]*(unique_components_134[[#Totals],[Controlled lb/hr]]+standard_components_133[[#Totals],[Controlled
lb/hr]]))</f>
        <v>0</v>
      </c>
      <c r="J164" s="51">
        <f>IF(speciated_chemicals_135[[#This Row],[Inert / Not a Contaminant?]]="Yes", 0, speciated_chemicals_135[[#This Row],[Weight Percent]]*(unique_components_134[[#Totals],[Controlled
tpy]]+standard_components_133[[#Totals],[Controlled
tpy]]))</f>
        <v>0</v>
      </c>
    </row>
    <row r="165" spans="1:10" x14ac:dyDescent="0.2">
      <c r="A165" s="103"/>
      <c r="B165" s="51" t="str">
        <f>IFERROR(VLOOKUP(speciated_chemicals_135[[#This Row],[CAS '#]],species[],MATCH("Substance", species[#Headers], 0),FALSE),"No CAS Number Entered")</f>
        <v>No CAS Number Entered</v>
      </c>
      <c r="C165" s="102"/>
      <c r="D165" s="102" t="s">
        <v>12666</v>
      </c>
      <c r="E165" s="102" t="s">
        <v>12666</v>
      </c>
      <c r="F165" s="102" t="s">
        <v>12666</v>
      </c>
      <c r="G165" s="102" t="s">
        <v>12666</v>
      </c>
      <c r="H165" s="164"/>
      <c r="I165" s="51">
        <f>IF(speciated_chemicals_135[[#This Row],[Inert / Not a Contaminant?]]="Yes", 0, speciated_chemicals_135[[#This Row],[Weight Percent]]*(unique_components_134[[#Totals],[Controlled lb/hr]]+standard_components_133[[#Totals],[Controlled
lb/hr]]))</f>
        <v>0</v>
      </c>
      <c r="J165" s="51">
        <f>IF(speciated_chemicals_135[[#This Row],[Inert / Not a Contaminant?]]="Yes", 0, speciated_chemicals_135[[#This Row],[Weight Percent]]*(unique_components_134[[#Totals],[Controlled
tpy]]+standard_components_133[[#Totals],[Controlled
tpy]]))</f>
        <v>0</v>
      </c>
    </row>
    <row r="166" spans="1:10" x14ac:dyDescent="0.2">
      <c r="A166" s="103"/>
      <c r="B166" s="51" t="str">
        <f>IFERROR(VLOOKUP(speciated_chemicals_135[[#This Row],[CAS '#]],species[],MATCH("Substance", species[#Headers], 0),FALSE),"No CAS Number Entered")</f>
        <v>No CAS Number Entered</v>
      </c>
      <c r="C166" s="102"/>
      <c r="D166" s="102" t="s">
        <v>12666</v>
      </c>
      <c r="E166" s="102" t="s">
        <v>12666</v>
      </c>
      <c r="F166" s="102" t="s">
        <v>12666</v>
      </c>
      <c r="G166" s="102" t="s">
        <v>12666</v>
      </c>
      <c r="H166" s="164"/>
      <c r="I166" s="51">
        <f>IF(speciated_chemicals_135[[#This Row],[Inert / Not a Contaminant?]]="Yes", 0, speciated_chemicals_135[[#This Row],[Weight Percent]]*(unique_components_134[[#Totals],[Controlled lb/hr]]+standard_components_133[[#Totals],[Controlled
lb/hr]]))</f>
        <v>0</v>
      </c>
      <c r="J166" s="51">
        <f>IF(speciated_chemicals_135[[#This Row],[Inert / Not a Contaminant?]]="Yes", 0, speciated_chemicals_135[[#This Row],[Weight Percent]]*(unique_components_134[[#Totals],[Controlled
tpy]]+standard_components_133[[#Totals],[Controlled
tpy]]))</f>
        <v>0</v>
      </c>
    </row>
    <row r="167" spans="1:10" x14ac:dyDescent="0.2">
      <c r="A167" s="103"/>
      <c r="B167" s="51" t="str">
        <f>IFERROR(VLOOKUP(speciated_chemicals_135[[#This Row],[CAS '#]],species[],MATCH("Substance", species[#Headers], 0),FALSE),"No CAS Number Entered")</f>
        <v>No CAS Number Entered</v>
      </c>
      <c r="C167" s="102"/>
      <c r="D167" s="102" t="s">
        <v>12666</v>
      </c>
      <c r="E167" s="102" t="s">
        <v>12666</v>
      </c>
      <c r="F167" s="102" t="s">
        <v>12666</v>
      </c>
      <c r="G167" s="102" t="s">
        <v>12666</v>
      </c>
      <c r="H167" s="164"/>
      <c r="I167" s="51">
        <f>IF(speciated_chemicals_135[[#This Row],[Inert / Not a Contaminant?]]="Yes", 0, speciated_chemicals_135[[#This Row],[Weight Percent]]*(unique_components_134[[#Totals],[Controlled lb/hr]]+standard_components_133[[#Totals],[Controlled
lb/hr]]))</f>
        <v>0</v>
      </c>
      <c r="J167" s="51">
        <f>IF(speciated_chemicals_135[[#This Row],[Inert / Not a Contaminant?]]="Yes", 0, speciated_chemicals_135[[#This Row],[Weight Percent]]*(unique_components_134[[#Totals],[Controlled
tpy]]+standard_components_133[[#Totals],[Controlled
tpy]]))</f>
        <v>0</v>
      </c>
    </row>
    <row r="168" spans="1:10" x14ac:dyDescent="0.2">
      <c r="A168" s="103"/>
      <c r="B168" s="51" t="str">
        <f>IFERROR(VLOOKUP(speciated_chemicals_135[[#This Row],[CAS '#]],species[],MATCH("Substance", species[#Headers], 0),FALSE),"No CAS Number Entered")</f>
        <v>No CAS Number Entered</v>
      </c>
      <c r="C168" s="102"/>
      <c r="D168" s="102" t="s">
        <v>12666</v>
      </c>
      <c r="E168" s="102" t="s">
        <v>12666</v>
      </c>
      <c r="F168" s="102" t="s">
        <v>12666</v>
      </c>
      <c r="G168" s="102" t="s">
        <v>12666</v>
      </c>
      <c r="H168" s="164"/>
      <c r="I168" s="51">
        <f>IF(speciated_chemicals_135[[#This Row],[Inert / Not a Contaminant?]]="Yes", 0, speciated_chemicals_135[[#This Row],[Weight Percent]]*(unique_components_134[[#Totals],[Controlled lb/hr]]+standard_components_133[[#Totals],[Controlled
lb/hr]]))</f>
        <v>0</v>
      </c>
      <c r="J168" s="51">
        <f>IF(speciated_chemicals_135[[#This Row],[Inert / Not a Contaminant?]]="Yes", 0, speciated_chemicals_135[[#This Row],[Weight Percent]]*(unique_components_134[[#Totals],[Controlled
tpy]]+standard_components_133[[#Totals],[Controlled
tpy]]))</f>
        <v>0</v>
      </c>
    </row>
    <row r="169" spans="1:10" x14ac:dyDescent="0.2">
      <c r="A169" s="103"/>
      <c r="B169" s="51" t="str">
        <f>IFERROR(VLOOKUP(speciated_chemicals_135[[#This Row],[CAS '#]],species[],MATCH("Substance", species[#Headers], 0),FALSE),"No CAS Number Entered")</f>
        <v>No CAS Number Entered</v>
      </c>
      <c r="C169" s="102"/>
      <c r="D169" s="102" t="s">
        <v>12666</v>
      </c>
      <c r="E169" s="102" t="s">
        <v>12666</v>
      </c>
      <c r="F169" s="102" t="s">
        <v>12666</v>
      </c>
      <c r="G169" s="102" t="s">
        <v>12666</v>
      </c>
      <c r="H169" s="164"/>
      <c r="I169" s="51">
        <f>IF(speciated_chemicals_135[[#This Row],[Inert / Not a Contaminant?]]="Yes", 0, speciated_chemicals_135[[#This Row],[Weight Percent]]*(unique_components_134[[#Totals],[Controlled lb/hr]]+standard_components_133[[#Totals],[Controlled
lb/hr]]))</f>
        <v>0</v>
      </c>
      <c r="J169" s="51">
        <f>IF(speciated_chemicals_135[[#This Row],[Inert / Not a Contaminant?]]="Yes", 0, speciated_chemicals_135[[#This Row],[Weight Percent]]*(unique_components_134[[#Totals],[Controlled
tpy]]+standard_components_133[[#Totals],[Controlled
tpy]]))</f>
        <v>0</v>
      </c>
    </row>
    <row r="170" spans="1:10" x14ac:dyDescent="0.2">
      <c r="A170" s="103"/>
      <c r="B170" s="51" t="str">
        <f>IFERROR(VLOOKUP(speciated_chemicals_135[[#This Row],[CAS '#]],species[],MATCH("Substance", species[#Headers], 0),FALSE),"No CAS Number Entered")</f>
        <v>No CAS Number Entered</v>
      </c>
      <c r="C170" s="102"/>
      <c r="D170" s="102" t="s">
        <v>12666</v>
      </c>
      <c r="E170" s="102" t="s">
        <v>12666</v>
      </c>
      <c r="F170" s="102" t="s">
        <v>12666</v>
      </c>
      <c r="G170" s="102" t="s">
        <v>12666</v>
      </c>
      <c r="H170" s="164"/>
      <c r="I170" s="51">
        <f>IF(speciated_chemicals_135[[#This Row],[Inert / Not a Contaminant?]]="Yes", 0, speciated_chemicals_135[[#This Row],[Weight Percent]]*(unique_components_134[[#Totals],[Controlled lb/hr]]+standard_components_133[[#Totals],[Controlled
lb/hr]]))</f>
        <v>0</v>
      </c>
      <c r="J170" s="51">
        <f>IF(speciated_chemicals_135[[#This Row],[Inert / Not a Contaminant?]]="Yes", 0, speciated_chemicals_135[[#This Row],[Weight Percent]]*(unique_components_134[[#Totals],[Controlled
tpy]]+standard_components_133[[#Totals],[Controlled
tpy]]))</f>
        <v>0</v>
      </c>
    </row>
    <row r="171" spans="1:10" x14ac:dyDescent="0.2">
      <c r="A171" s="103"/>
      <c r="B171" s="51" t="str">
        <f>IFERROR(VLOOKUP(speciated_chemicals_135[[#This Row],[CAS '#]],species[],MATCH("Substance", species[#Headers], 0),FALSE),"No CAS Number Entered")</f>
        <v>No CAS Number Entered</v>
      </c>
      <c r="C171" s="102"/>
      <c r="D171" s="102" t="s">
        <v>12666</v>
      </c>
      <c r="E171" s="102" t="s">
        <v>12666</v>
      </c>
      <c r="F171" s="102" t="s">
        <v>12666</v>
      </c>
      <c r="G171" s="102" t="s">
        <v>12666</v>
      </c>
      <c r="H171" s="164"/>
      <c r="I171" s="51">
        <f>IF(speciated_chemicals_135[[#This Row],[Inert / Not a Contaminant?]]="Yes", 0, speciated_chemicals_135[[#This Row],[Weight Percent]]*(unique_components_134[[#Totals],[Controlled lb/hr]]+standard_components_133[[#Totals],[Controlled
lb/hr]]))</f>
        <v>0</v>
      </c>
      <c r="J171" s="51">
        <f>IF(speciated_chemicals_135[[#This Row],[Inert / Not a Contaminant?]]="Yes", 0, speciated_chemicals_135[[#This Row],[Weight Percent]]*(unique_components_134[[#Totals],[Controlled
tpy]]+standard_components_133[[#Totals],[Controlled
tpy]]))</f>
        <v>0</v>
      </c>
    </row>
    <row r="172" spans="1:10" x14ac:dyDescent="0.2">
      <c r="A172" s="103"/>
      <c r="B172" s="51" t="str">
        <f>IFERROR(VLOOKUP(speciated_chemicals_135[[#This Row],[CAS '#]],species[],MATCH("Substance", species[#Headers], 0),FALSE),"No CAS Number Entered")</f>
        <v>No CAS Number Entered</v>
      </c>
      <c r="C172" s="102"/>
      <c r="D172" s="102" t="s">
        <v>12666</v>
      </c>
      <c r="E172" s="102" t="s">
        <v>12666</v>
      </c>
      <c r="F172" s="102" t="s">
        <v>12666</v>
      </c>
      <c r="G172" s="102" t="s">
        <v>12666</v>
      </c>
      <c r="H172" s="164"/>
      <c r="I172" s="51">
        <f>IF(speciated_chemicals_135[[#This Row],[Inert / Not a Contaminant?]]="Yes", 0, speciated_chemicals_135[[#This Row],[Weight Percent]]*(unique_components_134[[#Totals],[Controlled lb/hr]]+standard_components_133[[#Totals],[Controlled
lb/hr]]))</f>
        <v>0</v>
      </c>
      <c r="J172" s="51">
        <f>IF(speciated_chemicals_135[[#This Row],[Inert / Not a Contaminant?]]="Yes", 0, speciated_chemicals_135[[#This Row],[Weight Percent]]*(unique_components_134[[#Totals],[Controlled
tpy]]+standard_components_133[[#Totals],[Controlled
tpy]]))</f>
        <v>0</v>
      </c>
    </row>
    <row r="173" spans="1:10" x14ac:dyDescent="0.2">
      <c r="A173" s="103"/>
      <c r="B173" s="51" t="str">
        <f>IFERROR(VLOOKUP(speciated_chemicals_135[[#This Row],[CAS '#]],species[],MATCH("Substance", species[#Headers], 0),FALSE),"No CAS Number Entered")</f>
        <v>No CAS Number Entered</v>
      </c>
      <c r="C173" s="102"/>
      <c r="D173" s="102" t="s">
        <v>12666</v>
      </c>
      <c r="E173" s="102" t="s">
        <v>12666</v>
      </c>
      <c r="F173" s="102" t="s">
        <v>12666</v>
      </c>
      <c r="G173" s="102" t="s">
        <v>12666</v>
      </c>
      <c r="H173" s="164"/>
      <c r="I173" s="51">
        <f>IF(speciated_chemicals_135[[#This Row],[Inert / Not a Contaminant?]]="Yes", 0, speciated_chemicals_135[[#This Row],[Weight Percent]]*(unique_components_134[[#Totals],[Controlled lb/hr]]+standard_components_133[[#Totals],[Controlled
lb/hr]]))</f>
        <v>0</v>
      </c>
      <c r="J173" s="51">
        <f>IF(speciated_chemicals_135[[#This Row],[Inert / Not a Contaminant?]]="Yes", 0, speciated_chemicals_135[[#This Row],[Weight Percent]]*(unique_components_134[[#Totals],[Controlled
tpy]]+standard_components_133[[#Totals],[Controlled
tpy]]))</f>
        <v>0</v>
      </c>
    </row>
    <row r="174" spans="1:10" x14ac:dyDescent="0.2">
      <c r="A174" s="103"/>
      <c r="B174" s="51" t="str">
        <f>IFERROR(VLOOKUP(speciated_chemicals_135[[#This Row],[CAS '#]],species[],MATCH("Substance", species[#Headers], 0),FALSE),"No CAS Number Entered")</f>
        <v>No CAS Number Entered</v>
      </c>
      <c r="C174" s="102"/>
      <c r="D174" s="102" t="s">
        <v>12666</v>
      </c>
      <c r="E174" s="102" t="s">
        <v>12666</v>
      </c>
      <c r="F174" s="102" t="s">
        <v>12666</v>
      </c>
      <c r="G174" s="102" t="s">
        <v>12666</v>
      </c>
      <c r="H174" s="164"/>
      <c r="I174" s="51">
        <f>IF(speciated_chemicals_135[[#This Row],[Inert / Not a Contaminant?]]="Yes", 0, speciated_chemicals_135[[#This Row],[Weight Percent]]*(unique_components_134[[#Totals],[Controlled lb/hr]]+standard_components_133[[#Totals],[Controlled
lb/hr]]))</f>
        <v>0</v>
      </c>
      <c r="J174" s="51">
        <f>IF(speciated_chemicals_135[[#This Row],[Inert / Not a Contaminant?]]="Yes", 0, speciated_chemicals_135[[#This Row],[Weight Percent]]*(unique_components_134[[#Totals],[Controlled
tpy]]+standard_components_133[[#Totals],[Controlled
tpy]]))</f>
        <v>0</v>
      </c>
    </row>
    <row r="175" spans="1:10" x14ac:dyDescent="0.2">
      <c r="A175" s="103"/>
      <c r="B175" s="51" t="str">
        <f>IFERROR(VLOOKUP(speciated_chemicals_135[[#This Row],[CAS '#]],species[],MATCH("Substance", species[#Headers], 0),FALSE),"No CAS Number Entered")</f>
        <v>No CAS Number Entered</v>
      </c>
      <c r="C175" s="102"/>
      <c r="D175" s="102" t="s">
        <v>12666</v>
      </c>
      <c r="E175" s="102" t="s">
        <v>12666</v>
      </c>
      <c r="F175" s="102" t="s">
        <v>12666</v>
      </c>
      <c r="G175" s="102" t="s">
        <v>12666</v>
      </c>
      <c r="H175" s="164"/>
      <c r="I175" s="51">
        <f>IF(speciated_chemicals_135[[#This Row],[Inert / Not a Contaminant?]]="Yes", 0, speciated_chemicals_135[[#This Row],[Weight Percent]]*(unique_components_134[[#Totals],[Controlled lb/hr]]+standard_components_133[[#Totals],[Controlled
lb/hr]]))</f>
        <v>0</v>
      </c>
      <c r="J175" s="51">
        <f>IF(speciated_chemicals_135[[#This Row],[Inert / Not a Contaminant?]]="Yes", 0, speciated_chemicals_135[[#This Row],[Weight Percent]]*(unique_components_134[[#Totals],[Controlled
tpy]]+standard_components_133[[#Totals],[Controlled
tpy]]))</f>
        <v>0</v>
      </c>
    </row>
    <row r="176" spans="1:10" x14ac:dyDescent="0.2">
      <c r="A176" s="165"/>
      <c r="B176" s="51" t="str">
        <f>IFERROR(VLOOKUP(speciated_chemicals_135[[#This Row],[CAS '#]],species[],MATCH("Substance", species[#Headers], 0),FALSE),"No CAS Number Entered")</f>
        <v>No CAS Number Entered</v>
      </c>
      <c r="C176" s="102"/>
      <c r="D176" s="102" t="s">
        <v>12666</v>
      </c>
      <c r="E176" s="102" t="s">
        <v>12666</v>
      </c>
      <c r="F176" s="102" t="s">
        <v>12666</v>
      </c>
      <c r="G176" s="102" t="s">
        <v>12666</v>
      </c>
      <c r="H176" s="164"/>
      <c r="I176" s="51">
        <f>IF(speciated_chemicals_135[[#This Row],[Inert / Not a Contaminant?]]="Yes", 0, speciated_chemicals_135[[#This Row],[Weight Percent]]*(unique_components_134[[#Totals],[Controlled lb/hr]]+standard_components_133[[#Totals],[Controlled
lb/hr]]))</f>
        <v>0</v>
      </c>
      <c r="J176" s="51">
        <f>IF(speciated_chemicals_135[[#This Row],[Inert / Not a Contaminant?]]="Yes", 0, speciated_chemicals_135[[#This Row],[Weight Percent]]*(unique_components_134[[#Totals],[Controlled
tpy]]+standard_components_133[[#Totals],[Controlled
tpy]]))</f>
        <v>0</v>
      </c>
    </row>
    <row r="177" spans="1:10" x14ac:dyDescent="0.2">
      <c r="A177" s="103"/>
      <c r="B177" s="51" t="str">
        <f>IFERROR(VLOOKUP(speciated_chemicals_135[[#This Row],[CAS '#]],species[],MATCH("Substance", species[#Headers], 0),FALSE),"No CAS Number Entered")</f>
        <v>No CAS Number Entered</v>
      </c>
      <c r="C177" s="102"/>
      <c r="D177" s="102" t="s">
        <v>12666</v>
      </c>
      <c r="E177" s="102" t="s">
        <v>12666</v>
      </c>
      <c r="F177" s="102" t="s">
        <v>12666</v>
      </c>
      <c r="G177" s="102" t="s">
        <v>12666</v>
      </c>
      <c r="H177" s="164"/>
      <c r="I177" s="51">
        <f>IF(speciated_chemicals_135[[#This Row],[Inert / Not a Contaminant?]]="Yes", 0, speciated_chemicals_135[[#This Row],[Weight Percent]]*(unique_components_134[[#Totals],[Controlled lb/hr]]+standard_components_133[[#Totals],[Controlled
lb/hr]]))</f>
        <v>0</v>
      </c>
      <c r="J177" s="51">
        <f>IF(speciated_chemicals_135[[#This Row],[Inert / Not a Contaminant?]]="Yes", 0, speciated_chemicals_135[[#This Row],[Weight Percent]]*(unique_components_134[[#Totals],[Controlled
tpy]]+standard_components_133[[#Totals],[Controlled
tpy]]))</f>
        <v>0</v>
      </c>
    </row>
    <row r="178" spans="1:10" x14ac:dyDescent="0.2">
      <c r="A178" s="103"/>
      <c r="B178" s="51" t="str">
        <f>IFERROR(VLOOKUP(speciated_chemicals_135[[#This Row],[CAS '#]],species[],MATCH("Substance", species[#Headers], 0),FALSE),"No CAS Number Entered")</f>
        <v>No CAS Number Entered</v>
      </c>
      <c r="C178" s="102"/>
      <c r="D178" s="102" t="s">
        <v>12666</v>
      </c>
      <c r="E178" s="102" t="s">
        <v>12666</v>
      </c>
      <c r="F178" s="102" t="s">
        <v>12666</v>
      </c>
      <c r="G178" s="102" t="s">
        <v>12666</v>
      </c>
      <c r="H178" s="164"/>
      <c r="I178" s="51">
        <f>IF(speciated_chemicals_135[[#This Row],[Inert / Not a Contaminant?]]="Yes", 0, speciated_chemicals_135[[#This Row],[Weight Percent]]*(unique_components_134[[#Totals],[Controlled lb/hr]]+standard_components_133[[#Totals],[Controlled
lb/hr]]))</f>
        <v>0</v>
      </c>
      <c r="J178" s="51">
        <f>IF(speciated_chemicals_135[[#This Row],[Inert / Not a Contaminant?]]="Yes", 0, speciated_chemicals_135[[#This Row],[Weight Percent]]*(unique_components_134[[#Totals],[Controlled
tpy]]+standard_components_133[[#Totals],[Controlled
tpy]]))</f>
        <v>0</v>
      </c>
    </row>
    <row r="179" spans="1:10" x14ac:dyDescent="0.2">
      <c r="A179" s="103"/>
      <c r="B179" s="51" t="str">
        <f>IFERROR(VLOOKUP(speciated_chemicals_135[[#This Row],[CAS '#]],species[],MATCH("Substance", species[#Headers], 0),FALSE),"No CAS Number Entered")</f>
        <v>No CAS Number Entered</v>
      </c>
      <c r="C179" s="102"/>
      <c r="D179" s="102" t="s">
        <v>12666</v>
      </c>
      <c r="E179" s="102" t="s">
        <v>12666</v>
      </c>
      <c r="F179" s="102" t="s">
        <v>12666</v>
      </c>
      <c r="G179" s="102" t="s">
        <v>12666</v>
      </c>
      <c r="H179" s="164"/>
      <c r="I179" s="51">
        <f>IF(speciated_chemicals_135[[#This Row],[Inert / Not a Contaminant?]]="Yes", 0, speciated_chemicals_135[[#This Row],[Weight Percent]]*(unique_components_134[[#Totals],[Controlled lb/hr]]+standard_components_133[[#Totals],[Controlled
lb/hr]]))</f>
        <v>0</v>
      </c>
      <c r="J179" s="51">
        <f>IF(speciated_chemicals_135[[#This Row],[Inert / Not a Contaminant?]]="Yes", 0, speciated_chemicals_135[[#This Row],[Weight Percent]]*(unique_components_134[[#Totals],[Controlled
tpy]]+standard_components_133[[#Totals],[Controlled
tpy]]))</f>
        <v>0</v>
      </c>
    </row>
    <row r="180" spans="1:10" x14ac:dyDescent="0.2">
      <c r="A180" s="103"/>
      <c r="B180" s="51" t="str">
        <f>IFERROR(VLOOKUP(speciated_chemicals_135[[#This Row],[CAS '#]],species[],MATCH("Substance", species[#Headers], 0),FALSE),"No CAS Number Entered")</f>
        <v>No CAS Number Entered</v>
      </c>
      <c r="C180" s="102"/>
      <c r="D180" s="102" t="s">
        <v>12666</v>
      </c>
      <c r="E180" s="102" t="s">
        <v>12666</v>
      </c>
      <c r="F180" s="102" t="s">
        <v>12666</v>
      </c>
      <c r="G180" s="102" t="s">
        <v>12666</v>
      </c>
      <c r="H180" s="164"/>
      <c r="I180" s="51">
        <f>IF(speciated_chemicals_135[[#This Row],[Inert / Not a Contaminant?]]="Yes", 0, speciated_chemicals_135[[#This Row],[Weight Percent]]*(unique_components_134[[#Totals],[Controlled lb/hr]]+standard_components_133[[#Totals],[Controlled
lb/hr]]))</f>
        <v>0</v>
      </c>
      <c r="J180" s="51">
        <f>IF(speciated_chemicals_135[[#This Row],[Inert / Not a Contaminant?]]="Yes", 0, speciated_chemicals_135[[#This Row],[Weight Percent]]*(unique_components_134[[#Totals],[Controlled
tpy]]+standard_components_133[[#Totals],[Controlled
tpy]]))</f>
        <v>0</v>
      </c>
    </row>
    <row r="181" spans="1:10" ht="30" x14ac:dyDescent="0.2">
      <c r="A181" s="184" t="s">
        <v>12705</v>
      </c>
      <c r="B181" s="52"/>
      <c r="C181" s="53"/>
      <c r="D181" s="52"/>
      <c r="E181" s="52"/>
      <c r="F181" s="52"/>
      <c r="G181" s="52"/>
      <c r="H181" s="166">
        <f>SUBTOTAL(109,speciated_chemicals_135[Weight Percent])</f>
        <v>0</v>
      </c>
      <c r="I181" s="167">
        <f>SUBTOTAL(109,speciated_chemicals_135[lb/hr])</f>
        <v>0</v>
      </c>
      <c r="J181" s="167">
        <f>SUBTOTAL(109,speciated_chemicals_135[tpy])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MATCH(speciated_ghg_136[[#This Row],[CAS '#]], gwp_table[CAS No.], 0), MATCH("Name", gwp_table[#Headers], 0)),"No CAS Number Entered")</f>
        <v>No CAS Number Entered</v>
      </c>
      <c r="C185" s="79" t="str">
        <f>IFERROR(INDEX(gwp_table[], MATCH(speciated_ghg_136[[#This Row],[CAS '#]], gwp_table[CAS No.], 0), MATCH("Global warming potential", gwp_table[#Headers], 0)),"No CAS Number Entered")</f>
        <v>No CAS Number Entered</v>
      </c>
      <c r="D185" s="219"/>
      <c r="E185" s="79">
        <f>IFERROR(speciated_ghg_136[[#This Row],[Weight Percent]]*(unique_components_134[[#Totals],[Controlled
tpy]]+standard_components_133[[#Totals],[Controlled
tpy]]), "-")</f>
        <v>0</v>
      </c>
      <c r="F185" s="81" t="str">
        <f>IFERROR(speciated_ghg_136[[#This Row],[Mass Emissions (U.S. tons per year)]]*speciated_ghg_136[[#This Row],[Global Warming Potential (GWP)]], "-")</f>
        <v>-</v>
      </c>
      <c r="G185" s="30"/>
      <c r="H185" s="168"/>
      <c r="I185" s="168"/>
    </row>
    <row r="186" spans="1:10" x14ac:dyDescent="0.2">
      <c r="A186" s="210"/>
      <c r="B186" s="79" t="str">
        <f>IFERROR(INDEX(gwp_table[], MATCH(speciated_ghg_136[[#This Row],[CAS '#]], gwp_table[CAS No.], 0), MATCH("Name", gwp_table[#Headers], 0)),"No CAS Number Entered")</f>
        <v>No CAS Number Entered</v>
      </c>
      <c r="C186" s="79" t="str">
        <f>IFERROR(INDEX(gwp_table[], MATCH(speciated_ghg_136[[#This Row],[CAS '#]], gwp_table[CAS No.], 0), MATCH("Global warming potential", gwp_table[#Headers], 0)),"No CAS Number Entered")</f>
        <v>No CAS Number Entered</v>
      </c>
      <c r="D186" s="219"/>
      <c r="E186" s="79">
        <f>IFERROR(speciated_ghg_136[[#This Row],[Weight Percent]]*(unique_components_134[[#Totals],[Controlled
tpy]]+standard_components_133[[#Totals],[Controlled
tpy]]), "-")</f>
        <v>0</v>
      </c>
      <c r="F186" s="81" t="str">
        <f>IFERROR(speciated_ghg_136[[#This Row],[Mass Emissions (U.S. tons per year)]]*speciated_ghg_136[[#This Row],[Global Warming Potential (GWP)]], "-")</f>
        <v>-</v>
      </c>
      <c r="G186" s="30"/>
      <c r="H186" s="168"/>
      <c r="I186" s="168"/>
    </row>
    <row r="187" spans="1:10" x14ac:dyDescent="0.2">
      <c r="A187" s="210"/>
      <c r="B187" s="79" t="str">
        <f>IFERROR(INDEX(gwp_table[], MATCH(speciated_ghg_136[[#This Row],[CAS '#]], gwp_table[CAS No.], 0), MATCH("Name", gwp_table[#Headers], 0)),"No CAS Number Entered")</f>
        <v>No CAS Number Entered</v>
      </c>
      <c r="C187" s="79" t="str">
        <f>IFERROR(INDEX(gwp_table[], MATCH(speciated_ghg_136[[#This Row],[CAS '#]], gwp_table[CAS No.], 0), MATCH("Global warming potential", gwp_table[#Headers], 0)),"No CAS Number Entered")</f>
        <v>No CAS Number Entered</v>
      </c>
      <c r="D187" s="219"/>
      <c r="E187" s="79">
        <f>IFERROR(speciated_ghg_136[[#This Row],[Weight Percent]]*(unique_components_134[[#Totals],[Controlled
tpy]]+standard_components_133[[#Totals],[Controlled
tpy]]), "-")</f>
        <v>0</v>
      </c>
      <c r="F187" s="81" t="str">
        <f>IFERROR(speciated_ghg_136[[#This Row],[Mass Emissions (U.S. tons per year)]]*speciated_ghg_136[[#This Row],[Global Warming Potential (GWP)]], "-")</f>
        <v>-</v>
      </c>
      <c r="G187" s="30"/>
      <c r="H187" s="168"/>
      <c r="I187" s="168"/>
    </row>
    <row r="188" spans="1:10" x14ac:dyDescent="0.2">
      <c r="A188" s="210"/>
      <c r="B188" s="79" t="str">
        <f>IFERROR(INDEX(gwp_table[], MATCH(speciated_ghg_136[[#This Row],[CAS '#]], gwp_table[CAS No.], 0), MATCH("Name", gwp_table[#Headers], 0)),"No CAS Number Entered")</f>
        <v>No CAS Number Entered</v>
      </c>
      <c r="C188" s="79" t="str">
        <f>IFERROR(INDEX(gwp_table[], MATCH(speciated_ghg_136[[#This Row],[CAS '#]], gwp_table[CAS No.], 0), MATCH("Global warming potential", gwp_table[#Headers], 0)),"No CAS Number Entered")</f>
        <v>No CAS Number Entered</v>
      </c>
      <c r="D188" s="219"/>
      <c r="E188" s="79">
        <f>IFERROR(speciated_ghg_136[[#This Row],[Weight Percent]]*(unique_components_134[[#Totals],[Controlled
tpy]]+standard_components_133[[#Totals],[Controlled
tpy]]), "-")</f>
        <v>0</v>
      </c>
      <c r="F188" s="81" t="str">
        <f>IFERROR(speciated_ghg_136[[#This Row],[Mass Emissions (U.S. tons per year)]]*speciated_ghg_136[[#This Row],[Global Warming Potential (GWP)]], "-")</f>
        <v>-</v>
      </c>
      <c r="G188" s="30"/>
      <c r="H188" s="168"/>
      <c r="I188" s="168"/>
    </row>
    <row r="189" spans="1:10" x14ac:dyDescent="0.2">
      <c r="A189" s="210"/>
      <c r="B189" s="79" t="str">
        <f>IFERROR(INDEX(gwp_table[], MATCH(speciated_ghg_136[[#This Row],[CAS '#]], gwp_table[CAS No.], 0), MATCH("Name", gwp_table[#Headers], 0)),"No CAS Number Entered")</f>
        <v>No CAS Number Entered</v>
      </c>
      <c r="C189" s="79" t="str">
        <f>IFERROR(INDEX(gwp_table[], MATCH(speciated_ghg_136[[#This Row],[CAS '#]], gwp_table[CAS No.], 0), MATCH("Global warming potential", gwp_table[#Headers], 0)),"No CAS Number Entered")</f>
        <v>No CAS Number Entered</v>
      </c>
      <c r="D189" s="219"/>
      <c r="E189" s="79">
        <f>IFERROR(speciated_ghg_136[[#This Row],[Weight Percent]]*(unique_components_134[[#Totals],[Controlled
tpy]]+standard_components_133[[#Totals],[Controlled
tpy]]), "-")</f>
        <v>0</v>
      </c>
      <c r="F189" s="81" t="str">
        <f>IFERROR(speciated_ghg_136[[#This Row],[Mass Emissions (U.S. tons per year)]]*speciated_ghg_136[[#This Row],[Global Warming Potential (GWP)]], "-")</f>
        <v>-</v>
      </c>
      <c r="G189" s="30"/>
      <c r="H189" s="168"/>
      <c r="I189" s="168"/>
    </row>
    <row r="190" spans="1:10" x14ac:dyDescent="0.2">
      <c r="A190" s="210"/>
      <c r="B190" s="79" t="str">
        <f>IFERROR(INDEX(gwp_table[], MATCH(speciated_ghg_136[[#This Row],[CAS '#]], gwp_table[CAS No.], 0), MATCH("Name", gwp_table[#Headers], 0)),"No CAS Number Entered")</f>
        <v>No CAS Number Entered</v>
      </c>
      <c r="C190" s="79" t="str">
        <f>IFERROR(INDEX(gwp_table[], MATCH(speciated_ghg_136[[#This Row],[CAS '#]], gwp_table[CAS No.], 0), MATCH("Global warming potential", gwp_table[#Headers], 0)),"No CAS Number Entered")</f>
        <v>No CAS Number Entered</v>
      </c>
      <c r="D190" s="219"/>
      <c r="E190" s="79">
        <f>IFERROR(speciated_ghg_136[[#This Row],[Weight Percent]]*(unique_components_134[[#Totals],[Controlled
tpy]]+standard_components_133[[#Totals],[Controlled
tpy]]), "-")</f>
        <v>0</v>
      </c>
      <c r="F190" s="81" t="str">
        <f>IFERROR(speciated_ghg_136[[#This Row],[Mass Emissions (U.S. tons per year)]]*speciated_ghg_136[[#This Row],[Global Warming Potential (GWP)]], "-")</f>
        <v>-</v>
      </c>
      <c r="G190" s="30"/>
      <c r="H190" s="168"/>
      <c r="I190" s="168"/>
    </row>
    <row r="191" spans="1:10" x14ac:dyDescent="0.2">
      <c r="A191" s="210"/>
      <c r="B191" s="79" t="str">
        <f>IFERROR(INDEX(gwp_table[], MATCH(speciated_ghg_136[[#This Row],[CAS '#]], gwp_table[CAS No.], 0), MATCH("Name", gwp_table[#Headers], 0)),"No CAS Number Entered")</f>
        <v>No CAS Number Entered</v>
      </c>
      <c r="C191" s="79" t="str">
        <f>IFERROR(INDEX(gwp_table[], MATCH(speciated_ghg_136[[#This Row],[CAS '#]], gwp_table[CAS No.], 0), MATCH("Global warming potential", gwp_table[#Headers], 0)),"No CAS Number Entered")</f>
        <v>No CAS Number Entered</v>
      </c>
      <c r="D191" s="219"/>
      <c r="E191" s="79">
        <f>IFERROR(speciated_ghg_136[[#This Row],[Weight Percent]]*(unique_components_134[[#Totals],[Controlled
tpy]]+standard_components_133[[#Totals],[Controlled
tpy]]), "-")</f>
        <v>0</v>
      </c>
      <c r="F191" s="81" t="str">
        <f>IFERROR(speciated_ghg_136[[#This Row],[Mass Emissions (U.S. tons per year)]]*speciated_ghg_136[[#This Row],[Global Warming Potential (GWP)]], "-")</f>
        <v>-</v>
      </c>
      <c r="G191" s="17"/>
    </row>
    <row r="192" spans="1:10" ht="15" x14ac:dyDescent="0.25">
      <c r="A192" s="210"/>
      <c r="B192" s="79" t="str">
        <f>IFERROR(INDEX(gwp_table[], MATCH(speciated_ghg_136[[#This Row],[CAS '#]], gwp_table[CAS No.], 0), MATCH("Name", gwp_table[#Headers], 0)),"No CAS Number Entered")</f>
        <v>No CAS Number Entered</v>
      </c>
      <c r="C192" s="79" t="str">
        <f>IFERROR(INDEX(gwp_table[], MATCH(speciated_ghg_136[[#This Row],[CAS '#]], gwp_table[CAS No.], 0), MATCH("Global warming potential", gwp_table[#Headers], 0)),"No CAS Number Entered")</f>
        <v>No CAS Number Entered</v>
      </c>
      <c r="D192" s="219"/>
      <c r="E192" s="79">
        <f>IFERROR(speciated_ghg_136[[#This Row],[Weight Percent]]*(unique_components_134[[#Totals],[Controlled
tpy]]+standard_components_133[[#Totals],[Controlled
tpy]]), "-")</f>
        <v>0</v>
      </c>
      <c r="F192" s="81" t="str">
        <f>IFERROR(speciated_ghg_136[[#This Row],[Mass Emissions (U.S. tons per year)]]*speciated_ghg_136[[#This Row],[Global Warming Potential (GWP)]], "-")</f>
        <v>-</v>
      </c>
      <c r="G192" s="134"/>
      <c r="H192" s="169"/>
    </row>
    <row r="193" spans="1:9" ht="15" x14ac:dyDescent="0.25">
      <c r="A193" s="210"/>
      <c r="B193" s="79" t="str">
        <f>IFERROR(INDEX(gwp_table[], MATCH(speciated_ghg_136[[#This Row],[CAS '#]], gwp_table[CAS No.], 0), MATCH("Name", gwp_table[#Headers], 0)),"No CAS Number Entered")</f>
        <v>No CAS Number Entered</v>
      </c>
      <c r="C193" s="79" t="str">
        <f>IFERROR(INDEX(gwp_table[], MATCH(speciated_ghg_136[[#This Row],[CAS '#]], gwp_table[CAS No.], 0), MATCH("Global warming potential", gwp_table[#Headers], 0)),"No CAS Number Entered")</f>
        <v>No CAS Number Entered</v>
      </c>
      <c r="D193" s="219"/>
      <c r="E193" s="79">
        <f>IFERROR(speciated_ghg_136[[#This Row],[Weight Percent]]*(unique_components_134[[#Totals],[Controlled
tpy]]+standard_components_133[[#Totals],[Controlled
tpy]]), "-")</f>
        <v>0</v>
      </c>
      <c r="F193" s="81" t="str">
        <f>IFERROR(speciated_ghg_136[[#This Row],[Mass Emissions (U.S. tons per year)]]*speciated_ghg_136[[#This Row],[Global Warming Potential (GWP)]], "-")</f>
        <v>-</v>
      </c>
      <c r="G193" s="134"/>
      <c r="H193" s="169"/>
    </row>
    <row r="194" spans="1:9" ht="15" x14ac:dyDescent="0.25">
      <c r="A194" s="210"/>
      <c r="B194" s="79" t="str">
        <f>IFERROR(INDEX(gwp_table[], MATCH(speciated_ghg_136[[#This Row],[CAS '#]], gwp_table[CAS No.], 0), MATCH("Name", gwp_table[#Headers], 0)),"No CAS Number Entered")</f>
        <v>No CAS Number Entered</v>
      </c>
      <c r="C194" s="79" t="str">
        <f>IFERROR(INDEX(gwp_table[], MATCH(speciated_ghg_136[[#This Row],[CAS '#]], gwp_table[CAS No.], 0), MATCH("Global warming potential", gwp_table[#Headers], 0)),"No CAS Number Entered")</f>
        <v>No CAS Number Entered</v>
      </c>
      <c r="D194" s="219"/>
      <c r="E194" s="79">
        <f>IFERROR(speciated_ghg_136[[#This Row],[Weight Percent]]*(unique_components_134[[#Totals],[Controlled
tpy]]+standard_components_133[[#Totals],[Controlled
tpy]]), "-")</f>
        <v>0</v>
      </c>
      <c r="F194" s="81" t="str">
        <f>IFERROR(speciated_ghg_136[[#This Row],[Mass Emissions (U.S. tons per year)]]*speciated_ghg_136[[#This Row],[Global Warming Potential (GWP)]], "-")</f>
        <v>-</v>
      </c>
      <c r="G194" s="134"/>
      <c r="H194" s="169"/>
    </row>
    <row r="195" spans="1:9" x14ac:dyDescent="0.2">
      <c r="A195" s="210"/>
      <c r="B195" s="79" t="str">
        <f>IFERROR(INDEX(gwp_table[], MATCH(speciated_ghg_136[[#This Row],[CAS '#]], gwp_table[CAS No.], 0), MATCH("Name", gwp_table[#Headers], 0)),"No CAS Number Entered")</f>
        <v>No CAS Number Entered</v>
      </c>
      <c r="C195" s="79" t="str">
        <f>IFERROR(INDEX(gwp_table[], MATCH(speciated_ghg_136[[#This Row],[CAS '#]], gwp_table[CAS No.], 0), MATCH("Global warming potential", gwp_table[#Headers], 0)),"No CAS Number Entered")</f>
        <v>No CAS Number Entered</v>
      </c>
      <c r="D195" s="219"/>
      <c r="E195" s="79">
        <f>IFERROR(speciated_ghg_136[[#This Row],[Weight Percent]]*(unique_components_134[[#Totals],[Controlled
tpy]]+standard_components_133[[#Totals],[Controlled
tpy]]), "-")</f>
        <v>0</v>
      </c>
      <c r="F195" s="81" t="str">
        <f>IFERROR(speciated_ghg_136[[#This Row],[Mass Emissions (U.S. tons per year)]]*speciated_ghg_136[[#This Row],[Global Warming Potential (GWP)]], "-")</f>
        <v>-</v>
      </c>
      <c r="G195" s="69"/>
      <c r="H195" s="169"/>
    </row>
    <row r="196" spans="1:9" x14ac:dyDescent="0.2">
      <c r="A196" s="210"/>
      <c r="B196" s="79" t="str">
        <f>IFERROR(INDEX(gwp_table[], MATCH(speciated_ghg_136[[#This Row],[CAS '#]], gwp_table[CAS No.], 0), MATCH("Name", gwp_table[#Headers], 0)),"No CAS Number Entered")</f>
        <v>No CAS Number Entered</v>
      </c>
      <c r="C196" s="79" t="str">
        <f>IFERROR(INDEX(gwp_table[], MATCH(speciated_ghg_136[[#This Row],[CAS '#]], gwp_table[CAS No.], 0), MATCH("Global warming potential", gwp_table[#Headers], 0)),"No CAS Number Entered")</f>
        <v>No CAS Number Entered</v>
      </c>
      <c r="D196" s="219"/>
      <c r="E196" s="79">
        <f>IFERROR(speciated_ghg_136[[#This Row],[Weight Percent]]*(unique_components_134[[#Totals],[Controlled
tpy]]+standard_components_133[[#Totals],[Controlled
tpy]]), "-")</f>
        <v>0</v>
      </c>
      <c r="F196" s="81" t="str">
        <f>IFERROR(speciated_ghg_136[[#This Row],[Mass Emissions (U.S. tons per year)]]*speciated_ghg_136[[#This Row],[Global Warming Potential (GWP)]], "-")</f>
        <v>-</v>
      </c>
      <c r="G196" s="29"/>
      <c r="H196" s="169"/>
    </row>
    <row r="197" spans="1:9" x14ac:dyDescent="0.2">
      <c r="A197" s="210"/>
      <c r="B197" s="79" t="str">
        <f>IFERROR(INDEX(gwp_table[], MATCH(speciated_ghg_136[[#This Row],[CAS '#]], gwp_table[CAS No.], 0), MATCH("Name", gwp_table[#Headers], 0)),"No CAS Number Entered")</f>
        <v>No CAS Number Entered</v>
      </c>
      <c r="C197" s="79" t="str">
        <f>IFERROR(INDEX(gwp_table[], MATCH(speciated_ghg_136[[#This Row],[CAS '#]], gwp_table[CAS No.], 0), MATCH("Global warming potential", gwp_table[#Headers], 0)),"No CAS Number Entered")</f>
        <v>No CAS Number Entered</v>
      </c>
      <c r="D197" s="219"/>
      <c r="E197" s="79">
        <f>IFERROR(speciated_ghg_136[[#This Row],[Weight Percent]]*(unique_components_134[[#Totals],[Controlled
tpy]]+standard_components_133[[#Totals],[Controlled
tpy]]), "-")</f>
        <v>0</v>
      </c>
      <c r="F197" s="81" t="str">
        <f>IFERROR(speciated_ghg_136[[#This Row],[Mass Emissions (U.S. tons per year)]]*speciated_ghg_136[[#This Row],[Global Warming Potential (GWP)]], "-")</f>
        <v>-</v>
      </c>
      <c r="G197" s="29"/>
      <c r="H197" s="29"/>
      <c r="I197" s="169"/>
    </row>
    <row r="198" spans="1:9" x14ac:dyDescent="0.2">
      <c r="A198" s="210"/>
      <c r="B198" s="79" t="str">
        <f>IFERROR(INDEX(gwp_table[], MATCH(speciated_ghg_136[[#This Row],[CAS '#]], gwp_table[CAS No.], 0), MATCH("Name", gwp_table[#Headers], 0)),"No CAS Number Entered")</f>
        <v>No CAS Number Entered</v>
      </c>
      <c r="C198" s="79" t="str">
        <f>IFERROR(INDEX(gwp_table[], MATCH(speciated_ghg_136[[#This Row],[CAS '#]], gwp_table[CAS No.], 0), MATCH("Global warming potential", gwp_table[#Headers], 0)),"No CAS Number Entered")</f>
        <v>No CAS Number Entered</v>
      </c>
      <c r="D198" s="219"/>
      <c r="E198" s="79">
        <f>IFERROR(speciated_ghg_136[[#This Row],[Weight Percent]]*(unique_components_134[[#Totals],[Controlled
tpy]]+standard_components_133[[#Totals],[Controlled
tpy]]), "-")</f>
        <v>0</v>
      </c>
      <c r="F198" s="81" t="str">
        <f>IFERROR(speciated_ghg_136[[#This Row],[Mass Emissions (U.S. tons per year)]]*speciated_ghg_136[[#This Row],[Global Warming Potential (GWP)]], "-")</f>
        <v>-</v>
      </c>
      <c r="G198" s="29"/>
      <c r="H198" s="29"/>
      <c r="I198" s="169"/>
    </row>
    <row r="199" spans="1:9" x14ac:dyDescent="0.2">
      <c r="A199" s="210"/>
      <c r="B199" s="79" t="str">
        <f>IFERROR(INDEX(gwp_table[], MATCH(speciated_ghg_136[[#This Row],[CAS '#]], gwp_table[CAS No.], 0), MATCH("Name", gwp_table[#Headers], 0)),"No CAS Number Entered")</f>
        <v>No CAS Number Entered</v>
      </c>
      <c r="C199" s="79" t="str">
        <f>IFERROR(INDEX(gwp_table[], MATCH(speciated_ghg_136[[#This Row],[CAS '#]], gwp_table[CAS No.], 0), MATCH("Global warming potential", gwp_table[#Headers], 0)),"No CAS Number Entered")</f>
        <v>No CAS Number Entered</v>
      </c>
      <c r="D199" s="219"/>
      <c r="E199" s="79">
        <f>IFERROR(speciated_ghg_136[[#This Row],[Weight Percent]]*(unique_components_134[[#Totals],[Controlled
tpy]]+standard_components_133[[#Totals],[Controlled
tpy]]), "-")</f>
        <v>0</v>
      </c>
      <c r="F199" s="81" t="str">
        <f>IFERROR(speciated_ghg_136[[#This Row],[Mass Emissions (U.S. tons per year)]]*speciated_ghg_136[[#This Row],[Global Warming Potential (GWP)]], "-")</f>
        <v>-</v>
      </c>
      <c r="G199" s="29"/>
      <c r="H199" s="29"/>
      <c r="I199" s="169"/>
    </row>
    <row r="200" spans="1:9" x14ac:dyDescent="0.2">
      <c r="A200" s="210"/>
      <c r="B200" s="79" t="str">
        <f>IFERROR(INDEX(gwp_table[], MATCH(speciated_ghg_136[[#This Row],[CAS '#]], gwp_table[CAS No.], 0), MATCH("Name", gwp_table[#Headers], 0)),"No CAS Number Entered")</f>
        <v>No CAS Number Entered</v>
      </c>
      <c r="C200" s="79" t="str">
        <f>IFERROR(INDEX(gwp_table[], MATCH(speciated_ghg_136[[#This Row],[CAS '#]], gwp_table[CAS No.], 0), MATCH("Global warming potential", gwp_table[#Headers], 0)),"No CAS Number Entered")</f>
        <v>No CAS Number Entered</v>
      </c>
      <c r="D200" s="219"/>
      <c r="E200" s="79">
        <f>IFERROR(speciated_ghg_136[[#This Row],[Weight Percent]]*(unique_components_134[[#Totals],[Controlled
tpy]]+standard_components_133[[#Totals],[Controlled
tpy]]), "-")</f>
        <v>0</v>
      </c>
      <c r="F200" s="81" t="str">
        <f>IFERROR(speciated_ghg_136[[#This Row],[Mass Emissions (U.S. tons per year)]]*speciated_ghg_136[[#This Row],[Global Warming Potential (GWP)]], "-")</f>
        <v>-</v>
      </c>
      <c r="G200" s="29"/>
      <c r="H200" s="29"/>
      <c r="I200" s="169"/>
    </row>
    <row r="201" spans="1:9" x14ac:dyDescent="0.2">
      <c r="A201" s="210"/>
      <c r="B201" s="79" t="str">
        <f>IFERROR(INDEX(gwp_table[], MATCH(speciated_ghg_136[[#This Row],[CAS '#]], gwp_table[CAS No.], 0), MATCH("Name", gwp_table[#Headers], 0)),"No CAS Number Entered")</f>
        <v>No CAS Number Entered</v>
      </c>
      <c r="C201" s="79" t="str">
        <f>IFERROR(INDEX(gwp_table[], MATCH(speciated_ghg_136[[#This Row],[CAS '#]], gwp_table[CAS No.], 0), MATCH("Global warming potential", gwp_table[#Headers], 0)),"No CAS Number Entered")</f>
        <v>No CAS Number Entered</v>
      </c>
      <c r="D201" s="219"/>
      <c r="E201" s="79">
        <f>IFERROR(speciated_ghg_136[[#This Row],[Weight Percent]]*(unique_components_134[[#Totals],[Controlled
tpy]]+standard_components_133[[#Totals],[Controlled
tpy]]), "-")</f>
        <v>0</v>
      </c>
      <c r="F201" s="81" t="str">
        <f>IFERROR(speciated_ghg_136[[#This Row],[Mass Emissions (U.S. tons per year)]]*speciated_ghg_136[[#This Row],[Global Warming Potential (GWP)]], "-")</f>
        <v>-</v>
      </c>
      <c r="G201" s="169"/>
      <c r="H201" s="169"/>
      <c r="I201" s="169"/>
    </row>
    <row r="202" spans="1:9" x14ac:dyDescent="0.2">
      <c r="A202" s="210"/>
      <c r="B202" s="79" t="str">
        <f>IFERROR(INDEX(gwp_table[], MATCH(speciated_ghg_136[[#This Row],[CAS '#]], gwp_table[CAS No.], 0), MATCH("Name", gwp_table[#Headers], 0)),"No CAS Number Entered")</f>
        <v>No CAS Number Entered</v>
      </c>
      <c r="C202" s="79" t="str">
        <f>IFERROR(INDEX(gwp_table[], MATCH(speciated_ghg_136[[#This Row],[CAS '#]], gwp_table[CAS No.], 0), MATCH("Global warming potential", gwp_table[#Headers], 0)),"No CAS Number Entered")</f>
        <v>No CAS Number Entered</v>
      </c>
      <c r="D202" s="219"/>
      <c r="E202" s="79">
        <f>IFERROR(speciated_ghg_136[[#This Row],[Weight Percent]]*(unique_components_134[[#Totals],[Controlled
tpy]]+standard_components_133[[#Totals],[Controlled
tpy]]), "-")</f>
        <v>0</v>
      </c>
      <c r="F202" s="81" t="str">
        <f>IFERROR(speciated_ghg_136[[#This Row],[Mass Emissions (U.S. tons per year)]]*speciated_ghg_136[[#This Row],[Global Warming Potential (GWP)]], "-")</f>
        <v>-</v>
      </c>
      <c r="G202" s="169"/>
      <c r="H202" s="169"/>
      <c r="I202" s="169"/>
    </row>
    <row r="203" spans="1:9" x14ac:dyDescent="0.2">
      <c r="A203" s="210"/>
      <c r="B203" s="79" t="str">
        <f>IFERROR(INDEX(gwp_table[], MATCH(speciated_ghg_136[[#This Row],[CAS '#]], gwp_table[CAS No.], 0), MATCH("Name", gwp_table[#Headers], 0)),"No CAS Number Entered")</f>
        <v>No CAS Number Entered</v>
      </c>
      <c r="C203" s="79" t="str">
        <f>IFERROR(INDEX(gwp_table[], MATCH(speciated_ghg_136[[#This Row],[CAS '#]], gwp_table[CAS No.], 0), MATCH("Global warming potential", gwp_table[#Headers], 0)),"No CAS Number Entered")</f>
        <v>No CAS Number Entered</v>
      </c>
      <c r="D203" s="219"/>
      <c r="E203" s="79">
        <f>IFERROR(speciated_ghg_136[[#This Row],[Weight Percent]]*(unique_components_134[[#Totals],[Controlled
tpy]]+standard_components_133[[#Totals],[Controlled
tpy]]), "-")</f>
        <v>0</v>
      </c>
      <c r="F203" s="81" t="str">
        <f>IFERROR(speciated_ghg_136[[#This Row],[Mass Emissions (U.S. tons per year)]]*speciated_ghg_136[[#This Row],[Global Warming Potential (GWP)]], "-")</f>
        <v>-</v>
      </c>
      <c r="G203" s="169"/>
      <c r="H203" s="169"/>
      <c r="I203" s="169"/>
    </row>
    <row r="204" spans="1:9" ht="30" x14ac:dyDescent="0.25">
      <c r="A204" s="185" t="s">
        <v>13321</v>
      </c>
      <c r="B204" s="77"/>
      <c r="C204" s="77"/>
      <c r="D204" s="77"/>
      <c r="E204" s="80">
        <f>SUBTOTAL(109,speciated_ghg_136[Mass Emissions (U.S. tons per year)])</f>
        <v>0</v>
      </c>
      <c r="F204" s="82">
        <f>SUBTOTAL(109,speciated_ghg_136[CO2e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speciated_chemicals_135[[#Totals],[lb/hr]]</f>
        <v>0</v>
      </c>
      <c r="C207" s="134"/>
      <c r="D207" s="134"/>
      <c r="E207" s="134"/>
      <c r="F207" s="134"/>
      <c r="G207" s="169"/>
      <c r="H207" s="169"/>
    </row>
    <row r="208" spans="1:9" ht="29.25" x14ac:dyDescent="0.25">
      <c r="A208" s="174" t="s">
        <v>13320</v>
      </c>
      <c r="B208" s="175">
        <f>speciated_chemicals_135[[#Totals],[tpy]]</f>
        <v>0</v>
      </c>
      <c r="C208" s="134"/>
      <c r="D208" s="134"/>
      <c r="E208" s="134"/>
      <c r="F208" s="134"/>
      <c r="G208" s="169"/>
      <c r="H208" s="169"/>
    </row>
    <row r="209" spans="1:8" ht="15" x14ac:dyDescent="0.25">
      <c r="A209" s="126" t="s">
        <v>13277</v>
      </c>
      <c r="B209" s="128">
        <f>SUMIF(speciated_chemicals_135[VOC?],"Yes",speciated_chemicals_135[lb/hr])</f>
        <v>0</v>
      </c>
      <c r="C209" s="134"/>
      <c r="D209" s="29"/>
      <c r="E209" s="29"/>
      <c r="F209" s="29"/>
      <c r="G209" s="169"/>
      <c r="H209" s="169"/>
    </row>
    <row r="210" spans="1:8" ht="15" x14ac:dyDescent="0.25">
      <c r="A210" s="126" t="s">
        <v>12669</v>
      </c>
      <c r="B210" s="128">
        <f>SUMIF(speciated_chemicals_135[VOC?],"Yes",speciated_chemicals_135[tpy])</f>
        <v>0</v>
      </c>
      <c r="C210" s="134"/>
      <c r="D210" s="29"/>
      <c r="E210" s="29"/>
      <c r="F210" s="29"/>
      <c r="G210" s="169"/>
      <c r="H210" s="169"/>
    </row>
    <row r="211" spans="1:8" ht="15" x14ac:dyDescent="0.25">
      <c r="A211" s="126" t="s">
        <v>12775</v>
      </c>
      <c r="B211" s="128">
        <f>SUMIF(speciated_chemicals_135[Inorganic?],"Yes",speciated_chemicals_135[lb/hr])</f>
        <v>0</v>
      </c>
      <c r="C211" s="134"/>
      <c r="D211" s="29"/>
      <c r="E211" s="29"/>
      <c r="F211" s="29"/>
      <c r="G211" s="169"/>
      <c r="H211" s="169"/>
    </row>
    <row r="212" spans="1:8" ht="15" x14ac:dyDescent="0.25">
      <c r="A212" s="126" t="s">
        <v>12770</v>
      </c>
      <c r="B212" s="128">
        <f>SUMIF(speciated_chemicals_135[Inorganic?],"Yes",speciated_chemicals_135[tpy])</f>
        <v>0</v>
      </c>
      <c r="C212" s="134"/>
      <c r="D212" s="29"/>
      <c r="E212" s="29"/>
      <c r="F212" s="29"/>
      <c r="G212" s="169"/>
      <c r="H212" s="169"/>
    </row>
    <row r="213" spans="1:8" ht="15" x14ac:dyDescent="0.25">
      <c r="A213" s="126" t="s">
        <v>13276</v>
      </c>
      <c r="B213" s="128">
        <f>SUMIF(speciated_chemicals_135[VOC-Exempt Solvent?],"Yes",speciated_chemicals_135[lb/hr])</f>
        <v>0</v>
      </c>
      <c r="C213" s="134"/>
      <c r="D213" s="29"/>
      <c r="E213" s="29"/>
      <c r="F213" s="29"/>
      <c r="G213" s="169"/>
      <c r="H213" s="169"/>
    </row>
    <row r="214" spans="1:8" ht="15" x14ac:dyDescent="0.25">
      <c r="A214" s="126" t="s">
        <v>13278</v>
      </c>
      <c r="B214" s="128">
        <f>SUMIF(speciated_chemicals_135[VOC-Exempt Solvent?],"Yes",speciated_chemicals_135[tpy])</f>
        <v>0</v>
      </c>
      <c r="C214" s="134"/>
      <c r="D214" s="29"/>
      <c r="E214" s="29"/>
      <c r="F214" s="29"/>
      <c r="G214" s="169"/>
      <c r="H214" s="169"/>
    </row>
    <row r="215" spans="1:8" ht="15" x14ac:dyDescent="0.25">
      <c r="A215" s="127" t="s">
        <v>13280</v>
      </c>
      <c r="B215" s="176">
        <f>speciated_ghg_136[[#Totals],[Mass Emissions (U.S. tons per year)]]</f>
        <v>0</v>
      </c>
      <c r="C215" s="134"/>
      <c r="D215" s="29"/>
      <c r="E215" s="29"/>
      <c r="F215" s="29"/>
      <c r="G215" s="169"/>
      <c r="H215" s="169"/>
    </row>
    <row r="216" spans="1:8" ht="18.75" x14ac:dyDescent="0.35">
      <c r="A216" s="127" t="s">
        <v>13281</v>
      </c>
      <c r="B216" s="176">
        <f>speciated_ghg_136[[#Totals],[CO2e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DrOs8klHTy6FOkbg6mT8Tl1T5gZDzJv+CBCHRho49NgK54Jm4UWbed2EFPMbjdu1X/Idn+JX5RA1tlMeI8qyBQ==" saltValue="kRy91wClAil6ZpMWBpZp1Q==" spinCount="100000" sheet="1" objects="1" scenarios="1" formatColumns="0" formatRows="0" autoFilter="0"/>
  <conditionalFormatting sqref="A21:H21">
    <cfRule type="expression" dxfId="1978" priority="5">
      <formula>$F$19="No"</formula>
    </cfRule>
  </conditionalFormatting>
  <conditionalFormatting sqref="A105:E106 F106:G126">
    <cfRule type="expression" dxfId="1977" priority="4">
      <formula>$E$104="no"</formula>
    </cfRule>
  </conditionalFormatting>
  <conditionalFormatting sqref="C131:C180">
    <cfRule type="expression" dxfId="1976" priority="3">
      <formula>NOT(B131="Other (Please specify):")</formula>
    </cfRule>
  </conditionalFormatting>
  <conditionalFormatting sqref="A107:E126">
    <cfRule type="expression" dxfId="1975" priority="2">
      <formula>$A$58="No"</formula>
    </cfRule>
  </conditionalFormatting>
  <conditionalFormatting sqref="A107:E126 A206:B214 A215:A216">
    <cfRule type="expression" dxfId="1974"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18336330-AA90-47D5-90D0-298CE1E117D8}"/>
    <dataValidation type="list" allowBlank="1" showInputMessage="1" showErrorMessage="1" sqref="E104:H104 B10" xr:uid="{010B1F19-6FE7-4DCD-8387-FD1E3A879D2F}">
      <formula1>"Yes,No"</formula1>
    </dataValidation>
    <dataValidation type="list" allowBlank="1" showInputMessage="1" showErrorMessage="1" sqref="F19:H20" xr:uid="{08801EA5-A697-473C-9091-5DB579395DD0}">
      <formula1>"No,Yes - 75%,Yes - 95%"</formula1>
    </dataValidation>
    <dataValidation type="list" allowBlank="1" showInputMessage="1" showErrorMessage="1" sqref="F18" xr:uid="{53466100-7EFB-4F3B-B697-025CC2A38C0A}">
      <formula1>IF(#REF!="SOCMI Non-leaker",ListNone,ListInspection)</formula1>
    </dataValidation>
    <dataValidation type="list" allowBlank="1" showInputMessage="1" showErrorMessage="1" sqref="F16:F17" xr:uid="{15015230-BAF9-48E2-A104-713333E5E08B}">
      <formula1>IF(#REF!="SOCMI Non-Leaker",ListNone,ListInstrument)</formula1>
    </dataValidation>
    <dataValidation type="list" allowBlank="1" showInputMessage="1" prompt="Please specify whether the substance is a volatile organic compound (VOC); methane and ethane are not classifed as VOCs" sqref="D132:D180" xr:uid="{75ED9749-0910-4B33-984E-2541D4C2BFBB}">
      <formula1>"Yes,No"</formula1>
    </dataValidation>
    <dataValidation allowBlank="1" showInputMessage="1" showErrorMessage="1" prompt="Enter the weight percent of the substance" sqref="H178:H180 H132:H176" xr:uid="{B6D7B9AC-5F31-441E-AE4A-F9AB1CA248F3}"/>
    <dataValidation type="list" allowBlank="1" showInputMessage="1" showErrorMessage="1" prompt="Enter or select Chemical Abstracts Service number; select &quot;N/A&quot; if a CAS # is not applicable" sqref="A131:A175 A177:A180" xr:uid="{428E93CD-DAA5-454E-85FC-27D619E0E7D8}">
      <formula1>SpeciesList</formula1>
    </dataValidation>
    <dataValidation type="list" allowBlank="1" showInputMessage="1" prompt="Select other species from dropdown" sqref="C131:C180" xr:uid="{C6DEFDE4-2782-4F30-A2D2-F51E2D634C68}">
      <formula1>NoCASList</formula1>
    </dataValidation>
    <dataValidation allowBlank="1" showInputMessage="1" showErrorMessage="1" prompt="Proposed control efficiency (0-1)" sqref="E107:E126" xr:uid="{C2942372-9352-44CC-80BD-68BB9BCD5307}"/>
    <dataValidation allowBlank="1" showInputMessage="1" showErrorMessage="1" prompt="Count of unique component" sqref="C107:C126" xr:uid="{21B0D1C6-6B86-4C64-8140-B5D98C6BFCF8}"/>
    <dataValidation allowBlank="1" showInputMessage="1" showErrorMessage="1" prompt="Type of service (e.g. gas, vapor, or liquid)" sqref="B107:B126" xr:uid="{4F82DDD7-4822-43FE-87E8-686F81E018AA}"/>
    <dataValidation allowBlank="1" showInputMessage="1" showErrorMessage="1" prompt="Name of unique component" sqref="A107:A126" xr:uid="{FF02D0F7-C642-4AE3-9676-2D421C589C78}"/>
    <dataValidation type="list" allowBlank="1" showInputMessage="1" showErrorMessage="1" sqref="B13" xr:uid="{DEB21779-D494-47FA-BD4D-0DEE8669B075}">
      <formula1>industry_names</formula1>
    </dataValidation>
    <dataValidation type="list" allowBlank="1" showInputMessage="1" showErrorMessage="1" sqref="B19" xr:uid="{E95033E7-2097-4869-BE3B-C7ECADA5BE7D}">
      <formula1>yes_no_list</formula1>
    </dataValidation>
    <dataValidation type="list" allowBlank="1" showInputMessage="1" showErrorMessage="1" sqref="B20" xr:uid="{93ECDFF3-2B57-4A6F-947C-03746EB5477F}">
      <formula1>process_drains_effs</formula1>
    </dataValidation>
    <dataValidation allowBlank="1" showInputMessage="1" showErrorMessage="1" prompt="Proposed emission factor" sqref="D107:D126" xr:uid="{EEED1E08-9655-46AE-90D2-31805817E2D4}"/>
    <dataValidation type="list" allowBlank="1" showInputMessage="1" prompt="Please specify if the substance is an inert substance or is not considered a contaminant (e.g. steam)" sqref="G131:G180" xr:uid="{BF621ACB-8860-4C40-B343-8E80643254D9}">
      <formula1>"Yes,No"</formula1>
    </dataValidation>
    <dataValidation type="list" allowBlank="1" showInputMessage="1" showErrorMessage="1" prompt="Please select from the dropdown" sqref="B104" xr:uid="{A3020933-08FB-47CC-BB7E-8584FCF1C9AA}">
      <formula1>yes_no_list</formula1>
    </dataValidation>
    <dataValidation allowBlank="1" showInputMessage="1" showErrorMessage="1" prompt="Provide justification" sqref="B105" xr:uid="{C10BF8E0-6E7D-4705-8B3D-D7D1FBAB232B}"/>
    <dataValidation type="list" showInputMessage="1" prompt="Please specify whether the substance is a volatile organic compound (VOC); methane and ethane are not classifed as VOCs" sqref="D131" xr:uid="{54F1123A-F5DE-4BB2-BCDF-47D2168E992B}">
      <formula1>"Yes,No"</formula1>
    </dataValidation>
    <dataValidation type="list" showInputMessage="1" prompt="Please specify whether the substance is an inorganic contaminant (e.g. ammonia or chlorine gas)" sqref="E131:E180" xr:uid="{40E5183B-6393-40CF-8355-ECDC99BE70F0}">
      <formula1>"Yes,No"</formula1>
    </dataValidation>
    <dataValidation type="list" allowBlank="1" showInputMessage="1" prompt="Please specify whether the substance is an VOC-exempt solvent." sqref="F131:F180" xr:uid="{D51FDEE9-AC68-42C1-9941-547FA307B0FA}">
      <formula1>"Yes,No"</formula1>
    </dataValidation>
    <dataValidation type="list" allowBlank="1" showInputMessage="1" showErrorMessage="1" prompt="Enter or select Chemical Abstracts Service number; select &quot;N/A&quot; if a CAS # is not applicable" sqref="A185:A203 A176" xr:uid="{4A0BBF8E-1B23-4854-BDB5-4BA05993C827}">
      <formula1>gwp_table_cas</formula1>
    </dataValidation>
    <dataValidation type="decimal" allowBlank="1" showInputMessage="1" showErrorMessage="1" prompt="Enter the weight percent of the substance" sqref="H177" xr:uid="{9518B74B-8044-43FD-B72F-66A89E4953B6}">
      <formula1>0</formula1>
      <formula2>1</formula2>
    </dataValidation>
    <dataValidation type="decimal" operator="greaterThan" allowBlank="1" showInputMessage="1" showErrorMessage="1" prompt="Enter the weight percent of the substance" sqref="H131 D185:D203" xr:uid="{21DF3228-D2F5-4146-9AC5-75DB30F058BD}">
      <formula1>0</formula1>
    </dataValidation>
    <dataValidation type="list" allowBlank="1" showInputMessage="1" showErrorMessage="1" sqref="B18" xr:uid="{3B06FA92-920D-4C0C-80A2-60F678C0F36E}">
      <formula1>inspection_ldar_list</formula1>
    </dataValidation>
    <dataValidation type="list" allowBlank="1" showInputMessage="1" showErrorMessage="1" sqref="B17" xr:uid="{30A21970-373E-42E9-8331-4E9B34ED030C}">
      <formula1>connector_ldar_list</formula1>
    </dataValidation>
    <dataValidation type="list" allowBlank="1" showInputMessage="1" showErrorMessage="1" sqref="B16" xr:uid="{5C8FA845-D9C7-4535-BF7A-559AC5CB065D}">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57B30-7510-4AC9-B056-797E562C5CA0}">
  <sheetPr codeName="Sheet12">
    <tabColor rgb="FFFFFFCC"/>
    <pageSetUpPr fitToPage="1"/>
  </sheetPr>
  <dimension ref="A1:XFC254"/>
  <sheetViews>
    <sheetView showGridLines="0" zoomScaleNormal="100" workbookViewId="0"/>
  </sheetViews>
  <sheetFormatPr defaultColWidth="9" defaultRowHeight="14.25" zeroHeight="1" x14ac:dyDescent="0.2"/>
  <cols>
    <col min="1" max="4" width="50.625" style="33" customWidth="1"/>
    <col min="5" max="10" width="35.625" style="33" customWidth="1"/>
    <col min="11" max="16382" width="9" style="33" hidden="1" customWidth="1"/>
    <col min="16383" max="16383" width="3" style="33" hidden="1" customWidth="1"/>
    <col min="16384" max="16384" width="0.125" style="33" customWidth="1"/>
  </cols>
  <sheetData>
    <row r="1" spans="1:8" ht="18.75" thickBot="1" x14ac:dyDescent="0.3">
      <c r="A1" s="131" t="s">
        <v>12733</v>
      </c>
      <c r="B1" s="28"/>
      <c r="C1" s="133"/>
      <c r="D1" s="133"/>
      <c r="E1" s="133"/>
      <c r="F1" s="133"/>
      <c r="G1" s="133"/>
      <c r="H1" s="133"/>
    </row>
    <row r="2" spans="1:8" ht="408.75" customHeight="1" thickBot="1" x14ac:dyDescent="0.25">
      <c r="A2" s="45" t="s">
        <v>13298</v>
      </c>
      <c r="B2" s="132" t="s">
        <v>13299</v>
      </c>
      <c r="C2" s="45" t="s">
        <v>13326</v>
      </c>
      <c r="D2" s="45" t="s">
        <v>13300</v>
      </c>
      <c r="E2" s="24"/>
      <c r="F2" s="24"/>
      <c r="G2" s="24"/>
      <c r="H2" s="24"/>
    </row>
    <row r="3" spans="1:8" ht="15" thickBot="1" x14ac:dyDescent="0.25">
      <c r="A3" s="17"/>
      <c r="B3" s="27"/>
      <c r="C3" s="17"/>
      <c r="D3" s="17"/>
      <c r="E3" s="17"/>
      <c r="F3" s="17"/>
      <c r="G3" s="17"/>
      <c r="H3" s="17"/>
    </row>
    <row r="4" spans="1:8" ht="15.75" thickBot="1" x14ac:dyDescent="0.3">
      <c r="A4" s="38" t="s">
        <v>13324</v>
      </c>
      <c r="B4" s="39"/>
      <c r="C4" s="134"/>
      <c r="D4" s="134"/>
      <c r="E4" s="134"/>
      <c r="F4" s="134"/>
      <c r="G4" s="134"/>
      <c r="H4" s="134"/>
    </row>
    <row r="5" spans="1:8" x14ac:dyDescent="0.2">
      <c r="A5" s="37" t="s">
        <v>47</v>
      </c>
      <c r="B5" s="40"/>
      <c r="C5" s="25"/>
      <c r="D5" s="25"/>
      <c r="E5" s="25"/>
      <c r="F5" s="25"/>
      <c r="G5" s="25"/>
      <c r="H5" s="25"/>
    </row>
    <row r="6" spans="1:8" x14ac:dyDescent="0.2">
      <c r="A6" s="206" t="s">
        <v>12656</v>
      </c>
      <c r="B6" s="41"/>
      <c r="C6" s="25"/>
      <c r="D6" s="25"/>
      <c r="E6" s="25"/>
      <c r="F6" s="25"/>
      <c r="G6" s="25"/>
      <c r="H6" s="25"/>
    </row>
    <row r="7" spans="1:8" x14ac:dyDescent="0.2">
      <c r="A7" s="55" t="s">
        <v>12665</v>
      </c>
      <c r="B7" s="41"/>
      <c r="C7" s="25"/>
      <c r="D7" s="25"/>
      <c r="E7" s="25"/>
      <c r="F7" s="25"/>
      <c r="G7" s="25"/>
      <c r="H7" s="25"/>
    </row>
    <row r="8" spans="1:8" x14ac:dyDescent="0.2">
      <c r="A8" s="55" t="s">
        <v>12663</v>
      </c>
      <c r="B8" s="73"/>
      <c r="C8" s="25"/>
      <c r="D8" s="25"/>
      <c r="E8" s="25"/>
      <c r="F8" s="25"/>
      <c r="G8" s="25"/>
      <c r="H8" s="25"/>
    </row>
    <row r="9" spans="1:8" x14ac:dyDescent="0.2">
      <c r="A9" s="55" t="s">
        <v>46</v>
      </c>
      <c r="B9" s="42"/>
      <c r="C9" s="25"/>
      <c r="D9" s="25"/>
      <c r="E9" s="25"/>
      <c r="F9" s="25"/>
      <c r="G9" s="25"/>
      <c r="H9" s="25"/>
    </row>
    <row r="10" spans="1:8" ht="105" x14ac:dyDescent="0.25">
      <c r="A10" s="207" t="s">
        <v>12661</v>
      </c>
      <c r="B10" s="56"/>
      <c r="C10" s="26"/>
      <c r="D10" s="26"/>
      <c r="E10" s="26"/>
      <c r="F10" s="26"/>
      <c r="G10" s="26"/>
      <c r="H10" s="26"/>
    </row>
    <row r="11" spans="1:8" ht="15" thickBot="1" x14ac:dyDescent="0.25">
      <c r="A11" s="43"/>
      <c r="B11" s="43"/>
      <c r="C11" s="17"/>
      <c r="D11" s="17"/>
      <c r="E11" s="17"/>
      <c r="F11" s="17"/>
      <c r="G11" s="17"/>
      <c r="H11" s="17"/>
    </row>
    <row r="12" spans="1:8" ht="15" x14ac:dyDescent="0.25">
      <c r="A12" s="135" t="s">
        <v>12670</v>
      </c>
      <c r="B12" s="136"/>
      <c r="C12" s="134"/>
      <c r="D12" s="134"/>
      <c r="E12" s="134"/>
      <c r="F12" s="134"/>
      <c r="G12" s="134"/>
      <c r="H12" s="134"/>
    </row>
    <row r="13" spans="1:8" ht="28.5" x14ac:dyDescent="0.25">
      <c r="A13" s="137" t="s">
        <v>12707</v>
      </c>
      <c r="B13" s="216"/>
      <c r="C13" s="134"/>
      <c r="D13" s="134"/>
      <c r="E13" s="134"/>
      <c r="F13" s="134"/>
      <c r="G13" s="134"/>
      <c r="H13" s="134"/>
    </row>
    <row r="14" spans="1:8" ht="15" thickBot="1" x14ac:dyDescent="0.25">
      <c r="A14" s="43"/>
      <c r="B14" s="43"/>
      <c r="C14" s="17"/>
      <c r="D14" s="17"/>
      <c r="E14" s="17"/>
      <c r="F14" s="17"/>
      <c r="G14" s="17"/>
      <c r="H14" s="17"/>
    </row>
    <row r="15" spans="1:8" ht="15.75" thickBot="1" x14ac:dyDescent="0.3">
      <c r="A15" s="38" t="s">
        <v>48</v>
      </c>
      <c r="B15" s="138"/>
      <c r="C15" s="134"/>
      <c r="D15" s="134"/>
      <c r="E15" s="134"/>
      <c r="F15" s="134"/>
      <c r="G15" s="134"/>
      <c r="H15" s="134"/>
    </row>
    <row r="16" spans="1:8" ht="28.5" x14ac:dyDescent="0.2">
      <c r="A16" s="37" t="s">
        <v>12694</v>
      </c>
      <c r="B16" s="212"/>
      <c r="C16" s="29"/>
      <c r="D16" s="29"/>
      <c r="E16" s="29"/>
      <c r="F16" s="25"/>
      <c r="G16" s="25"/>
      <c r="H16" s="25"/>
    </row>
    <row r="17" spans="1:9" ht="28.5" x14ac:dyDescent="0.2">
      <c r="A17" s="55" t="s">
        <v>13271</v>
      </c>
      <c r="B17" s="213"/>
      <c r="C17" s="91"/>
      <c r="D17" s="29"/>
      <c r="E17" s="29"/>
      <c r="F17" s="25"/>
      <c r="G17" s="25"/>
      <c r="H17" s="25"/>
    </row>
    <row r="18" spans="1:9" ht="28.5" x14ac:dyDescent="0.2">
      <c r="A18" s="208" t="s">
        <v>12695</v>
      </c>
      <c r="B18" s="214"/>
      <c r="C18" s="30"/>
      <c r="D18" s="30"/>
      <c r="E18" s="30"/>
      <c r="F18" s="25"/>
      <c r="G18" s="25"/>
      <c r="H18" s="25"/>
    </row>
    <row r="19" spans="1:9" ht="42.75" x14ac:dyDescent="0.2">
      <c r="A19" s="55" t="s">
        <v>12484</v>
      </c>
      <c r="B19" s="215"/>
      <c r="C19" s="29"/>
      <c r="D19" s="29"/>
      <c r="E19" s="29"/>
      <c r="F19" s="25"/>
      <c r="G19" s="25"/>
      <c r="H19" s="25"/>
    </row>
    <row r="20" spans="1:9" x14ac:dyDescent="0.2">
      <c r="A20" s="55" t="s">
        <v>12696</v>
      </c>
      <c r="B20" s="215"/>
      <c r="C20" s="29"/>
      <c r="D20" s="29"/>
      <c r="E20" s="29"/>
      <c r="F20" s="25"/>
      <c r="G20" s="25"/>
      <c r="H20" s="25"/>
    </row>
    <row r="21" spans="1:9" ht="171" x14ac:dyDescent="0.2">
      <c r="A21" s="55" t="s">
        <v>12485</v>
      </c>
      <c r="B21" s="216"/>
      <c r="C21" s="64"/>
      <c r="D21" s="29"/>
      <c r="E21" s="29"/>
      <c r="F21" s="25"/>
      <c r="G21" s="25"/>
      <c r="H21" s="25"/>
    </row>
    <row r="22" spans="1:9" ht="15" thickBot="1" x14ac:dyDescent="0.25">
      <c r="A22" s="17"/>
      <c r="B22" s="17"/>
      <c r="C22" s="17"/>
      <c r="D22" s="17"/>
      <c r="E22" s="17"/>
      <c r="F22" s="17"/>
      <c r="G22" s="17"/>
      <c r="H22" s="17"/>
    </row>
    <row r="23" spans="1:9" ht="15.75" thickBot="1" x14ac:dyDescent="0.3">
      <c r="A23" s="135" t="s">
        <v>52</v>
      </c>
      <c r="B23" s="139"/>
      <c r="C23" s="139"/>
      <c r="D23" s="139"/>
      <c r="E23" s="139"/>
      <c r="F23" s="139"/>
      <c r="G23" s="139"/>
      <c r="H23" s="140"/>
      <c r="I23" s="141"/>
    </row>
    <row r="24" spans="1:9" ht="30" x14ac:dyDescent="0.2">
      <c r="A24" s="142" t="s">
        <v>0</v>
      </c>
      <c r="B24" s="36" t="s">
        <v>35</v>
      </c>
      <c r="C24" s="36" t="s">
        <v>25</v>
      </c>
      <c r="D24" s="46" t="s">
        <v>12734</v>
      </c>
      <c r="E24" s="47" t="s">
        <v>12735</v>
      </c>
      <c r="F24" s="47" t="s">
        <v>13272</v>
      </c>
      <c r="G24" s="47" t="s">
        <v>12736</v>
      </c>
      <c r="H24" s="34" t="s">
        <v>49</v>
      </c>
      <c r="I24" s="34" t="s">
        <v>50</v>
      </c>
    </row>
    <row r="25" spans="1:9" x14ac:dyDescent="0.2">
      <c r="A25" s="143" t="str" cm="1">
        <f t="array" ref="A25">IFERROR(INDEX(INDEX(component_service_names[], , MATCH(VLOOKUP(industry_type, industry_column_names[], 2, FALSE), component_service_names[#Headers], 0)), ROW($A1)), "-")</f>
        <v>-</v>
      </c>
      <c r="B25" s="143" t="str" cm="1">
        <f t="array" ref="B25">IFERROR(INDEX(INDEX(component_service_names[], , MATCH(VLOOKUP(industry_type, industry_column_names[], 3, FALSE), component_service_names[#Headers], 0)), ROW($A1)), "-")</f>
        <v>-</v>
      </c>
      <c r="C25" s="144"/>
      <c r="D25" s="145" t="str" cm="1">
        <f t="array" ref="D25">IFERROR(
INDEX(
INDEX(factor_eff_table[], , MATCH(industry_type, factor_eff_table[#Headers], 0)),
MATCH(1, INDEX((standard_components_137[[#This Row],[Component]]=factor_eff_table[Component])*(standard_components_137[[#This Row],[Service]]=factor_eff_table[Service]), 0, 1), 0)),
 "-")</f>
        <v>-</v>
      </c>
      <c r="E25" s="145" t="str" cm="1">
        <f t="array" ref="E2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25" s="145" t="str" cm="1">
        <f t="array" ref="F2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25" s="145" t="str" cm="1">
        <f t="array" ref="G2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2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2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26" spans="1:9" x14ac:dyDescent="0.2">
      <c r="A26" s="143" t="str" cm="1">
        <f t="array" ref="A26">IFERROR(INDEX(INDEX(component_service_names[], , MATCH(VLOOKUP(industry_type, industry_column_names[], 2, FALSE), component_service_names[#Headers], 0)), ROW($A2)), "-")</f>
        <v>-</v>
      </c>
      <c r="B26" s="143" t="str" cm="1">
        <f t="array" ref="B26">IFERROR(INDEX(INDEX(component_service_names[], , MATCH(VLOOKUP(industry_type, industry_column_names[], 3, FALSE), component_service_names[#Headers], 0)), ROW($A2)), "-")</f>
        <v>-</v>
      </c>
      <c r="C26" s="144"/>
      <c r="D26" s="145" t="str" cm="1">
        <f t="array" ref="D26">IFERROR(
INDEX(
INDEX(factor_eff_table[], , MATCH(industry_type, factor_eff_table[#Headers], 0)),
MATCH(1, INDEX((standard_components_137[[#This Row],[Component]]=factor_eff_table[Component])*(standard_components_137[[#This Row],[Service]]=factor_eff_table[Service]), 0, 1), 0)),
 "-")</f>
        <v>-</v>
      </c>
      <c r="E26" s="145" t="str" cm="1">
        <f t="array" ref="E2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26" s="145" t="str" cm="1">
        <f t="array" ref="F2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26" s="145" t="str" cm="1">
        <f t="array" ref="G2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2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2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27" spans="1:9" x14ac:dyDescent="0.2">
      <c r="A27" s="143" t="str" cm="1">
        <f t="array" ref="A27">IFERROR(INDEX(INDEX(component_service_names[], , MATCH(VLOOKUP(industry_type, industry_column_names[], 2, FALSE), component_service_names[#Headers], 0)), ROW($A3)), "-")</f>
        <v>-</v>
      </c>
      <c r="B27" s="143" t="str" cm="1">
        <f t="array" ref="B27">IFERROR(INDEX(INDEX(component_service_names[], , MATCH(VLOOKUP(industry_type, industry_column_names[], 3, FALSE), component_service_names[#Headers], 0)), ROW($A3)), "-")</f>
        <v>-</v>
      </c>
      <c r="C27" s="144"/>
      <c r="D27" s="145" t="str" cm="1">
        <f t="array" ref="D27">IFERROR(
INDEX(
INDEX(factor_eff_table[], , MATCH(industry_type, factor_eff_table[#Headers], 0)),
MATCH(1, INDEX((standard_components_137[[#This Row],[Component]]=factor_eff_table[Component])*(standard_components_137[[#This Row],[Service]]=factor_eff_table[Service]), 0, 1), 0)),
 "-")</f>
        <v>-</v>
      </c>
      <c r="E27" s="145" t="str" cm="1">
        <f t="array" ref="E2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27" s="145" t="str" cm="1">
        <f t="array" ref="F2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27" s="145" t="str" cm="1">
        <f t="array" ref="G2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2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2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28" spans="1:9" x14ac:dyDescent="0.2">
      <c r="A28" s="143" t="str" cm="1">
        <f t="array" ref="A28">IFERROR(INDEX(INDEX(component_service_names[], , MATCH(VLOOKUP(industry_type, industry_column_names[], 2, FALSE), component_service_names[#Headers], 0)), ROW($A4)), "-")</f>
        <v>-</v>
      </c>
      <c r="B28" s="143" t="str" cm="1">
        <f t="array" ref="B28">IFERROR(INDEX(INDEX(component_service_names[], , MATCH(VLOOKUP(industry_type, industry_column_names[], 3, FALSE), component_service_names[#Headers], 0)), ROW($A4)), "-")</f>
        <v>-</v>
      </c>
      <c r="C28" s="144"/>
      <c r="D28" s="145" t="str" cm="1">
        <f t="array" ref="D28">IFERROR(
INDEX(
INDEX(factor_eff_table[], , MATCH(industry_type, factor_eff_table[#Headers], 0)),
MATCH(1, INDEX((standard_components_137[[#This Row],[Component]]=factor_eff_table[Component])*(standard_components_137[[#This Row],[Service]]=factor_eff_table[Service]), 0, 1), 0)),
 "-")</f>
        <v>-</v>
      </c>
      <c r="E28" s="145" t="str" cm="1">
        <f t="array" ref="E2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28" s="145" t="str" cm="1">
        <f t="array" ref="F2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28" s="145" t="str" cm="1">
        <f t="array" ref="G2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2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2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29" spans="1:9" x14ac:dyDescent="0.2">
      <c r="A29" s="143" t="str" cm="1">
        <f t="array" ref="A29">IFERROR(INDEX(INDEX(component_service_names[], , MATCH(VLOOKUP(industry_type, industry_column_names[], 2, FALSE), component_service_names[#Headers], 0)), ROW($A5)), "-")</f>
        <v>-</v>
      </c>
      <c r="B29" s="143" t="str" cm="1">
        <f t="array" ref="B29">IFERROR(INDEX(INDEX(component_service_names[], , MATCH(VLOOKUP(industry_type, industry_column_names[], 3, FALSE), component_service_names[#Headers], 0)), ROW($A5)), "-")</f>
        <v>-</v>
      </c>
      <c r="C29" s="144"/>
      <c r="D29" s="145" t="str" cm="1">
        <f t="array" ref="D29">IFERROR(
INDEX(
INDEX(factor_eff_table[], , MATCH(industry_type, factor_eff_table[#Headers], 0)),
MATCH(1, INDEX((standard_components_137[[#This Row],[Component]]=factor_eff_table[Component])*(standard_components_137[[#This Row],[Service]]=factor_eff_table[Service]), 0, 1), 0)),
 "-")</f>
        <v>-</v>
      </c>
      <c r="E29" s="145" t="str" cm="1">
        <f t="array" ref="E2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29" s="145" t="str" cm="1">
        <f t="array" ref="F2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29" s="145" t="str" cm="1">
        <f t="array" ref="G2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2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2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0" spans="1:9" x14ac:dyDescent="0.2">
      <c r="A30" s="143" t="str" cm="1">
        <f t="array" ref="A30">IFERROR(INDEX(INDEX(component_service_names[], , MATCH(VLOOKUP(industry_type, industry_column_names[], 2, FALSE), component_service_names[#Headers], 0)), ROW($A6)), "-")</f>
        <v>-</v>
      </c>
      <c r="B30" s="143" t="str" cm="1">
        <f t="array" ref="B30">IFERROR(INDEX(INDEX(component_service_names[], , MATCH(VLOOKUP(industry_type, industry_column_names[], 3, FALSE), component_service_names[#Headers], 0)), ROW($A6)), "-")</f>
        <v>-</v>
      </c>
      <c r="C30" s="144"/>
      <c r="D30" s="145" t="str" cm="1">
        <f t="array" ref="D30">IFERROR(
INDEX(
INDEX(factor_eff_table[], , MATCH(industry_type, factor_eff_table[#Headers], 0)),
MATCH(1, INDEX((standard_components_137[[#This Row],[Component]]=factor_eff_table[Component])*(standard_components_137[[#This Row],[Service]]=factor_eff_table[Service]), 0, 1), 0)),
 "-")</f>
        <v>-</v>
      </c>
      <c r="E30" s="145" t="str" cm="1">
        <f t="array" ref="E3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0" s="145" t="str" cm="1">
        <f t="array" ref="F3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0" s="145" t="str" cm="1">
        <f t="array" ref="G3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1" spans="1:9" x14ac:dyDescent="0.2">
      <c r="A31" s="143" t="str" cm="1">
        <f t="array" ref="A31">IFERROR(INDEX(INDEX(component_service_names[], , MATCH(VLOOKUP(industry_type, industry_column_names[], 2, FALSE), component_service_names[#Headers], 0)), ROW($A7)), "-")</f>
        <v>-</v>
      </c>
      <c r="B31" s="143" t="str" cm="1">
        <f t="array" ref="B31">IFERROR(INDEX(INDEX(component_service_names[], , MATCH(VLOOKUP(industry_type, industry_column_names[], 3, FALSE), component_service_names[#Headers], 0)), ROW($A7)), "-")</f>
        <v>-</v>
      </c>
      <c r="C31" s="144"/>
      <c r="D31" s="145" t="str" cm="1">
        <f t="array" ref="D31">IFERROR(
INDEX(
INDEX(factor_eff_table[], , MATCH(industry_type, factor_eff_table[#Headers], 0)),
MATCH(1, INDEX((standard_components_137[[#This Row],[Component]]=factor_eff_table[Component])*(standard_components_137[[#This Row],[Service]]=factor_eff_table[Service]), 0, 1), 0)),
 "-")</f>
        <v>-</v>
      </c>
      <c r="E31" s="145" t="str" cm="1">
        <f t="array" ref="E3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1" s="145" t="str" cm="1">
        <f t="array" ref="F3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1" s="145" t="str" cm="1">
        <f t="array" ref="G3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2" spans="1:9" x14ac:dyDescent="0.2">
      <c r="A32" s="143" t="str" cm="1">
        <f t="array" ref="A32">IFERROR(INDEX(INDEX(component_service_names[], , MATCH(VLOOKUP(industry_type, industry_column_names[], 2, FALSE), component_service_names[#Headers], 0)), ROW($A8)), "-")</f>
        <v>-</v>
      </c>
      <c r="B32" s="143" t="str" cm="1">
        <f t="array" ref="B32">IFERROR(INDEX(INDEX(component_service_names[], , MATCH(VLOOKUP(industry_type, industry_column_names[], 3, FALSE), component_service_names[#Headers], 0)), ROW($A8)), "-")</f>
        <v>-</v>
      </c>
      <c r="C32" s="144"/>
      <c r="D32" s="145" t="str" cm="1">
        <f t="array" ref="D32">IFERROR(
INDEX(
INDEX(factor_eff_table[], , MATCH(industry_type, factor_eff_table[#Headers], 0)),
MATCH(1, INDEX((standard_components_137[[#This Row],[Component]]=factor_eff_table[Component])*(standard_components_137[[#This Row],[Service]]=factor_eff_table[Service]), 0, 1), 0)),
 "-")</f>
        <v>-</v>
      </c>
      <c r="E32" s="145" t="str" cm="1">
        <f t="array" ref="E3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2" s="145" t="str" cm="1">
        <f t="array" ref="F3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2" s="145" t="str" cm="1">
        <f t="array" ref="G3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3" spans="1:9" x14ac:dyDescent="0.2">
      <c r="A33" s="143" t="str" cm="1">
        <f t="array" ref="A33">IFERROR(INDEX(INDEX(component_service_names[], , MATCH(VLOOKUP(industry_type, industry_column_names[], 2, FALSE), component_service_names[#Headers], 0)), ROW($A9)), "-")</f>
        <v>-</v>
      </c>
      <c r="B33" s="143" t="str" cm="1">
        <f t="array" ref="B33">IFERROR(INDEX(INDEX(component_service_names[], , MATCH(VLOOKUP(industry_type, industry_column_names[], 3, FALSE), component_service_names[#Headers], 0)), ROW($A9)), "-")</f>
        <v>-</v>
      </c>
      <c r="C33" s="144"/>
      <c r="D33" s="145" t="str" cm="1">
        <f t="array" ref="D33">IFERROR(
INDEX(
INDEX(factor_eff_table[], , MATCH(industry_type, factor_eff_table[#Headers], 0)),
MATCH(1, INDEX((standard_components_137[[#This Row],[Component]]=factor_eff_table[Component])*(standard_components_137[[#This Row],[Service]]=factor_eff_table[Service]), 0, 1), 0)),
 "-")</f>
        <v>-</v>
      </c>
      <c r="E33" s="145" t="str" cm="1">
        <f t="array" ref="E3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3" s="145" t="str" cm="1">
        <f t="array" ref="F3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3" s="145" t="str" cm="1">
        <f t="array" ref="G3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4" spans="1:9" x14ac:dyDescent="0.2">
      <c r="A34" s="143" t="str" cm="1">
        <f t="array" ref="A34">IFERROR(INDEX(INDEX(component_service_names[], , MATCH(VLOOKUP(industry_type, industry_column_names[], 2, FALSE), component_service_names[#Headers], 0)), ROW($A10)), "-")</f>
        <v>-</v>
      </c>
      <c r="B34" s="143" t="str" cm="1">
        <f t="array" ref="B34">IFERROR(INDEX(INDEX(component_service_names[], , MATCH(VLOOKUP(industry_type, industry_column_names[], 3, FALSE), component_service_names[#Headers], 0)), ROW($A10)), "-")</f>
        <v>-</v>
      </c>
      <c r="C34" s="144"/>
      <c r="D34" s="145" t="str" cm="1">
        <f t="array" ref="D34">IFERROR(
INDEX(
INDEX(factor_eff_table[], , MATCH(industry_type, factor_eff_table[#Headers], 0)),
MATCH(1, INDEX((standard_components_137[[#This Row],[Component]]=factor_eff_table[Component])*(standard_components_137[[#This Row],[Service]]=factor_eff_table[Service]), 0, 1), 0)),
 "-")</f>
        <v>-</v>
      </c>
      <c r="E34" s="145" t="str" cm="1">
        <f t="array" ref="E3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4" s="145" t="str" cm="1">
        <f t="array" ref="F3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4" s="145" t="str" cm="1">
        <f t="array" ref="G3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5" spans="1:9" x14ac:dyDescent="0.2">
      <c r="A35" s="143" t="str" cm="1">
        <f t="array" ref="A35">IFERROR(INDEX(INDEX(component_service_names[], , MATCH(VLOOKUP(industry_type, industry_column_names[], 2, FALSE), component_service_names[#Headers], 0)), ROW($A11)), "-")</f>
        <v>-</v>
      </c>
      <c r="B35" s="143" t="str" cm="1">
        <f t="array" ref="B35">IFERROR(INDEX(INDEX(component_service_names[], , MATCH(VLOOKUP(industry_type, industry_column_names[], 3, FALSE), component_service_names[#Headers], 0)), ROW($A11)), "-")</f>
        <v>-</v>
      </c>
      <c r="C35" s="144"/>
      <c r="D35" s="145" t="str" cm="1">
        <f t="array" ref="D35">IFERROR(
INDEX(
INDEX(factor_eff_table[], , MATCH(industry_type, factor_eff_table[#Headers], 0)),
MATCH(1, INDEX((standard_components_137[[#This Row],[Component]]=factor_eff_table[Component])*(standard_components_137[[#This Row],[Service]]=factor_eff_table[Service]), 0, 1), 0)),
 "-")</f>
        <v>-</v>
      </c>
      <c r="E35" s="145" t="str" cm="1">
        <f t="array" ref="E3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5" s="145" t="str" cm="1">
        <f t="array" ref="F3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5" s="145" t="str" cm="1">
        <f t="array" ref="G3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6" spans="1:9" x14ac:dyDescent="0.2">
      <c r="A36" s="143" t="str" cm="1">
        <f t="array" ref="A36">IFERROR(INDEX(INDEX(component_service_names[], , MATCH(VLOOKUP(industry_type, industry_column_names[], 2, FALSE), component_service_names[#Headers], 0)), ROW($A12)), "-")</f>
        <v>-</v>
      </c>
      <c r="B36" s="143" t="str" cm="1">
        <f t="array" ref="B36">IFERROR(INDEX(INDEX(component_service_names[], , MATCH(VLOOKUP(industry_type, industry_column_names[], 3, FALSE), component_service_names[#Headers], 0)), ROW($A12)), "-")</f>
        <v>-</v>
      </c>
      <c r="C36" s="144"/>
      <c r="D36" s="145" t="str" cm="1">
        <f t="array" ref="D36">IFERROR(
INDEX(
INDEX(factor_eff_table[], , MATCH(industry_type, factor_eff_table[#Headers], 0)),
MATCH(1, INDEX((standard_components_137[[#This Row],[Component]]=factor_eff_table[Component])*(standard_components_137[[#This Row],[Service]]=factor_eff_table[Service]), 0, 1), 0)),
 "-")</f>
        <v>-</v>
      </c>
      <c r="E36" s="145" t="str" cm="1">
        <f t="array" ref="E3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6" s="145" t="str" cm="1">
        <f t="array" ref="F3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6" s="145" t="str" cm="1">
        <f t="array" ref="G3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7" spans="1:9" x14ac:dyDescent="0.2">
      <c r="A37" s="143" t="str" cm="1">
        <f t="array" ref="A37">IFERROR(INDEX(INDEX(component_service_names[], , MATCH(VLOOKUP(industry_type, industry_column_names[], 2, FALSE), component_service_names[#Headers], 0)), ROW($A13)), "-")</f>
        <v>-</v>
      </c>
      <c r="B37" s="143" t="str" cm="1">
        <f t="array" ref="B37">IFERROR(INDEX(INDEX(component_service_names[], , MATCH(VLOOKUP(industry_type, industry_column_names[], 3, FALSE), component_service_names[#Headers], 0)), ROW($A13)), "-")</f>
        <v>-</v>
      </c>
      <c r="C37" s="144"/>
      <c r="D37" s="145" t="str" cm="1">
        <f t="array" ref="D37">IFERROR(
INDEX(
INDEX(factor_eff_table[], , MATCH(industry_type, factor_eff_table[#Headers], 0)),
MATCH(1, INDEX((standard_components_137[[#This Row],[Component]]=factor_eff_table[Component])*(standard_components_137[[#This Row],[Service]]=factor_eff_table[Service]), 0, 1), 0)),
 "-")</f>
        <v>-</v>
      </c>
      <c r="E37" s="145" t="str" cm="1">
        <f t="array" ref="E3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7" s="145" t="str" cm="1">
        <f t="array" ref="F3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7" s="145" t="str" cm="1">
        <f t="array" ref="G3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8" spans="1:9" x14ac:dyDescent="0.2">
      <c r="A38" s="143" t="str" cm="1">
        <f t="array" ref="A38">IFERROR(INDEX(INDEX(component_service_names[], , MATCH(VLOOKUP(industry_type, industry_column_names[], 2, FALSE), component_service_names[#Headers], 0)), ROW($A14)), "-")</f>
        <v>-</v>
      </c>
      <c r="B38" s="143" t="str" cm="1">
        <f t="array" ref="B38">IFERROR(INDEX(INDEX(component_service_names[], , MATCH(VLOOKUP(industry_type, industry_column_names[], 3, FALSE), component_service_names[#Headers], 0)), ROW($A14)), "-")</f>
        <v>-</v>
      </c>
      <c r="C38" s="144"/>
      <c r="D38" s="145" t="str" cm="1">
        <f t="array" ref="D38">IFERROR(
INDEX(
INDEX(factor_eff_table[], , MATCH(industry_type, factor_eff_table[#Headers], 0)),
MATCH(1, INDEX((standard_components_137[[#This Row],[Component]]=factor_eff_table[Component])*(standard_components_137[[#This Row],[Service]]=factor_eff_table[Service]), 0, 1), 0)),
 "-")</f>
        <v>-</v>
      </c>
      <c r="E38" s="145" t="str" cm="1">
        <f t="array" ref="E3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8" s="145" t="str" cm="1">
        <f t="array" ref="F3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8" s="145" t="str" cm="1">
        <f t="array" ref="G3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39" spans="1:9" x14ac:dyDescent="0.2">
      <c r="A39" s="143" t="str" cm="1">
        <f t="array" ref="A39">IFERROR(INDEX(INDEX(component_service_names[], , MATCH(VLOOKUP(industry_type, industry_column_names[], 2, FALSE), component_service_names[#Headers], 0)), ROW($A15)), "-")</f>
        <v>-</v>
      </c>
      <c r="B39" s="143" t="str" cm="1">
        <f t="array" ref="B39">IFERROR(INDEX(INDEX(component_service_names[], , MATCH(VLOOKUP(industry_type, industry_column_names[], 3, FALSE), component_service_names[#Headers], 0)), ROW($A15)), "-")</f>
        <v>-</v>
      </c>
      <c r="C39" s="144"/>
      <c r="D39" s="145" t="str" cm="1">
        <f t="array" ref="D39">IFERROR(
INDEX(
INDEX(factor_eff_table[], , MATCH(industry_type, factor_eff_table[#Headers], 0)),
MATCH(1, INDEX((standard_components_137[[#This Row],[Component]]=factor_eff_table[Component])*(standard_components_137[[#This Row],[Service]]=factor_eff_table[Service]), 0, 1), 0)),
 "-")</f>
        <v>-</v>
      </c>
      <c r="E39" s="145" t="str" cm="1">
        <f t="array" ref="E3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39" s="145" t="str" cm="1">
        <f t="array" ref="F3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39" s="145" t="str" cm="1">
        <f t="array" ref="G3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3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3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0" spans="1:9" x14ac:dyDescent="0.2">
      <c r="A40" s="143" t="str" cm="1">
        <f t="array" ref="A40">IFERROR(INDEX(INDEX(component_service_names[], , MATCH(VLOOKUP(industry_type, industry_column_names[], 2, FALSE), component_service_names[#Headers], 0)), ROW($A16)), "-")</f>
        <v>-</v>
      </c>
      <c r="B40" s="143" t="str" cm="1">
        <f t="array" ref="B40">IFERROR(INDEX(INDEX(component_service_names[], , MATCH(VLOOKUP(industry_type, industry_column_names[], 3, FALSE), component_service_names[#Headers], 0)), ROW($A16)), "-")</f>
        <v>-</v>
      </c>
      <c r="C40" s="144"/>
      <c r="D40" s="145" t="str" cm="1">
        <f t="array" ref="D40">IFERROR(
INDEX(
INDEX(factor_eff_table[], , MATCH(industry_type, factor_eff_table[#Headers], 0)),
MATCH(1, INDEX((standard_components_137[[#This Row],[Component]]=factor_eff_table[Component])*(standard_components_137[[#This Row],[Service]]=factor_eff_table[Service]), 0, 1), 0)),
 "-")</f>
        <v>-</v>
      </c>
      <c r="E40" s="145" t="str" cm="1">
        <f t="array" ref="E4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0" s="145" t="str" cm="1">
        <f t="array" ref="F4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0" s="145" t="str" cm="1">
        <f t="array" ref="G4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1" spans="1:9" x14ac:dyDescent="0.2">
      <c r="A41" s="143" t="str" cm="1">
        <f t="array" ref="A41">IFERROR(INDEX(INDEX(component_service_names[], , MATCH(VLOOKUP(industry_type, industry_column_names[], 2, FALSE), component_service_names[#Headers], 0)), ROW($A17)), "-")</f>
        <v>-</v>
      </c>
      <c r="B41" s="143" t="str" cm="1">
        <f t="array" ref="B41">IFERROR(INDEX(INDEX(component_service_names[], , MATCH(VLOOKUP(industry_type, industry_column_names[], 3, FALSE), component_service_names[#Headers], 0)), ROW($A17)), "-")</f>
        <v>-</v>
      </c>
      <c r="C41" s="144"/>
      <c r="D41" s="145" t="str" cm="1">
        <f t="array" ref="D41">IFERROR(
INDEX(
INDEX(factor_eff_table[], , MATCH(industry_type, factor_eff_table[#Headers], 0)),
MATCH(1, INDEX((standard_components_137[[#This Row],[Component]]=factor_eff_table[Component])*(standard_components_137[[#This Row],[Service]]=factor_eff_table[Service]), 0, 1), 0)),
 "-")</f>
        <v>-</v>
      </c>
      <c r="E41" s="145" t="str" cm="1">
        <f t="array" ref="E4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1" s="145" t="str" cm="1">
        <f t="array" ref="F4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1" s="145" t="str" cm="1">
        <f t="array" ref="G4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2" spans="1:9" x14ac:dyDescent="0.2">
      <c r="A42" s="143" t="str" cm="1">
        <f t="array" ref="A42">IFERROR(INDEX(INDEX(component_service_names[], , MATCH(VLOOKUP(industry_type, industry_column_names[], 2, FALSE), component_service_names[#Headers], 0)), ROW($A18)), "-")</f>
        <v>-</v>
      </c>
      <c r="B42" s="143" t="str" cm="1">
        <f t="array" ref="B42">IFERROR(INDEX(INDEX(component_service_names[], , MATCH(VLOOKUP(industry_type, industry_column_names[], 3, FALSE), component_service_names[#Headers], 0)), ROW($A18)), "-")</f>
        <v>-</v>
      </c>
      <c r="C42" s="144"/>
      <c r="D42" s="145" t="str" cm="1">
        <f t="array" ref="D42">IFERROR(
INDEX(
INDEX(factor_eff_table[], , MATCH(industry_type, factor_eff_table[#Headers], 0)),
MATCH(1, INDEX((standard_components_137[[#This Row],[Component]]=factor_eff_table[Component])*(standard_components_137[[#This Row],[Service]]=factor_eff_table[Service]), 0, 1), 0)),
 "-")</f>
        <v>-</v>
      </c>
      <c r="E42" s="145" t="str" cm="1">
        <f t="array" ref="E4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2" s="145" t="str" cm="1">
        <f t="array" ref="F4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2" s="145" t="str" cm="1">
        <f t="array" ref="G4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3" spans="1:9" x14ac:dyDescent="0.2">
      <c r="A43" s="143" t="str" cm="1">
        <f t="array" ref="A43">IFERROR(INDEX(INDEX(component_service_names[], , MATCH(VLOOKUP(industry_type, industry_column_names[], 2, FALSE), component_service_names[#Headers], 0)), ROW($A19)), "-")</f>
        <v>-</v>
      </c>
      <c r="B43" s="143" t="str" cm="1">
        <f t="array" ref="B43">IFERROR(INDEX(INDEX(component_service_names[], , MATCH(VLOOKUP(industry_type, industry_column_names[], 3, FALSE), component_service_names[#Headers], 0)), ROW($A19)), "-")</f>
        <v>-</v>
      </c>
      <c r="C43" s="144"/>
      <c r="D43" s="145" t="str" cm="1">
        <f t="array" ref="D43">IFERROR(
INDEX(
INDEX(factor_eff_table[], , MATCH(industry_type, factor_eff_table[#Headers], 0)),
MATCH(1, INDEX((standard_components_137[[#This Row],[Component]]=factor_eff_table[Component])*(standard_components_137[[#This Row],[Service]]=factor_eff_table[Service]), 0, 1), 0)),
 "-")</f>
        <v>-</v>
      </c>
      <c r="E43" s="145" t="str" cm="1">
        <f t="array" ref="E4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3" s="145" t="str" cm="1">
        <f t="array" ref="F4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3" s="145" t="str" cm="1">
        <f t="array" ref="G4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4" spans="1:9" x14ac:dyDescent="0.2">
      <c r="A44" s="143" t="str" cm="1">
        <f t="array" ref="A44">IFERROR(INDEX(INDEX(component_service_names[], , MATCH(VLOOKUP(industry_type, industry_column_names[], 2, FALSE), component_service_names[#Headers], 0)), ROW($A20)), "-")</f>
        <v>-</v>
      </c>
      <c r="B44" s="143" t="str" cm="1">
        <f t="array" ref="B44">IFERROR(INDEX(INDEX(component_service_names[], , MATCH(VLOOKUP(industry_type, industry_column_names[], 3, FALSE), component_service_names[#Headers], 0)), ROW($A20)), "-")</f>
        <v>-</v>
      </c>
      <c r="C44" s="144"/>
      <c r="D44" s="145" t="str" cm="1">
        <f t="array" ref="D44">IFERROR(
INDEX(
INDEX(factor_eff_table[], , MATCH(industry_type, factor_eff_table[#Headers], 0)),
MATCH(1, INDEX((standard_components_137[[#This Row],[Component]]=factor_eff_table[Component])*(standard_components_137[[#This Row],[Service]]=factor_eff_table[Service]), 0, 1), 0)),
 "-")</f>
        <v>-</v>
      </c>
      <c r="E44" s="145" t="str" cm="1">
        <f t="array" ref="E4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4" s="145" t="str" cm="1">
        <f t="array" ref="F4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4" s="145" t="str" cm="1">
        <f t="array" ref="G4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5" spans="1:9" x14ac:dyDescent="0.2">
      <c r="A45" s="143" t="str" cm="1">
        <f t="array" ref="A45">IFERROR(INDEX(INDEX(component_service_names[], , MATCH(VLOOKUP(industry_type, industry_column_names[], 2, FALSE), component_service_names[#Headers], 0)), ROW($A21)), "-")</f>
        <v>-</v>
      </c>
      <c r="B45" s="143" t="str" cm="1">
        <f t="array" ref="B45">IFERROR(INDEX(INDEX(component_service_names[], , MATCH(VLOOKUP(industry_type, industry_column_names[], 3, FALSE), component_service_names[#Headers], 0)), ROW($A21)), "-")</f>
        <v>-</v>
      </c>
      <c r="C45" s="144"/>
      <c r="D45" s="145" t="str" cm="1">
        <f t="array" ref="D45">IFERROR(
INDEX(
INDEX(factor_eff_table[], , MATCH(industry_type, factor_eff_table[#Headers], 0)),
MATCH(1, INDEX((standard_components_137[[#This Row],[Component]]=factor_eff_table[Component])*(standard_components_137[[#This Row],[Service]]=factor_eff_table[Service]), 0, 1), 0)),
 "-")</f>
        <v>-</v>
      </c>
      <c r="E45" s="145" t="str" cm="1">
        <f t="array" ref="E4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5" s="145" t="str" cm="1">
        <f t="array" ref="F4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5" s="145" t="str" cm="1">
        <f t="array" ref="G4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6" spans="1:9" x14ac:dyDescent="0.2">
      <c r="A46" s="143" t="str" cm="1">
        <f t="array" ref="A46">IFERROR(INDEX(INDEX(component_service_names[], , MATCH(VLOOKUP(industry_type, industry_column_names[], 2, FALSE), component_service_names[#Headers], 0)), ROW($A22)), "-")</f>
        <v>-</v>
      </c>
      <c r="B46" s="143" t="str" cm="1">
        <f t="array" ref="B46">IFERROR(INDEX(INDEX(component_service_names[], , MATCH(VLOOKUP(industry_type, industry_column_names[], 3, FALSE), component_service_names[#Headers], 0)), ROW($A22)), "-")</f>
        <v>-</v>
      </c>
      <c r="C46" s="144"/>
      <c r="D46" s="145" t="str" cm="1">
        <f t="array" ref="D46">IFERROR(
INDEX(
INDEX(factor_eff_table[], , MATCH(industry_type, factor_eff_table[#Headers], 0)),
MATCH(1, INDEX((standard_components_137[[#This Row],[Component]]=factor_eff_table[Component])*(standard_components_137[[#This Row],[Service]]=factor_eff_table[Service]), 0, 1), 0)),
 "-")</f>
        <v>-</v>
      </c>
      <c r="E46" s="145" t="str" cm="1">
        <f t="array" ref="E4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6" s="145" t="str" cm="1">
        <f t="array" ref="F4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6" s="145" t="str" cm="1">
        <f t="array" ref="G4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7" spans="1:9" x14ac:dyDescent="0.2">
      <c r="A47" s="143" t="str" cm="1">
        <f t="array" ref="A47">IFERROR(INDEX(INDEX(component_service_names[], , MATCH(VLOOKUP(industry_type, industry_column_names[], 2, FALSE), component_service_names[#Headers], 0)), ROW($A23)), "-")</f>
        <v>-</v>
      </c>
      <c r="B47" s="143" t="str" cm="1">
        <f t="array" ref="B47">IFERROR(INDEX(INDEX(component_service_names[], , MATCH(VLOOKUP(industry_type, industry_column_names[], 3, FALSE), component_service_names[#Headers], 0)), ROW($A23)), "-")</f>
        <v>-</v>
      </c>
      <c r="C47" s="144"/>
      <c r="D47" s="145" t="str" cm="1">
        <f t="array" ref="D47">IFERROR(
INDEX(
INDEX(factor_eff_table[], , MATCH(industry_type, factor_eff_table[#Headers], 0)),
MATCH(1, INDEX((standard_components_137[[#This Row],[Component]]=factor_eff_table[Component])*(standard_components_137[[#This Row],[Service]]=factor_eff_table[Service]), 0, 1), 0)),
 "-")</f>
        <v>-</v>
      </c>
      <c r="E47" s="145" t="str" cm="1">
        <f t="array" ref="E4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7" s="145" t="str" cm="1">
        <f t="array" ref="F4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7" s="145" t="str" cm="1">
        <f t="array" ref="G4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8" spans="1:9" x14ac:dyDescent="0.2">
      <c r="A48" s="143" t="str" cm="1">
        <f t="array" ref="A48">IFERROR(INDEX(INDEX(component_service_names[], , MATCH(VLOOKUP(industry_type, industry_column_names[], 2, FALSE), component_service_names[#Headers], 0)), ROW($A24)), "-")</f>
        <v>-</v>
      </c>
      <c r="B48" s="143" t="str" cm="1">
        <f t="array" ref="B48">IFERROR(INDEX(INDEX(component_service_names[], , MATCH(VLOOKUP(industry_type, industry_column_names[], 3, FALSE), component_service_names[#Headers], 0)), ROW($A24)), "-")</f>
        <v>-</v>
      </c>
      <c r="C48" s="144"/>
      <c r="D48" s="145" t="str" cm="1">
        <f t="array" ref="D48">IFERROR(
INDEX(
INDEX(factor_eff_table[], , MATCH(industry_type, factor_eff_table[#Headers], 0)),
MATCH(1, INDEX((standard_components_137[[#This Row],[Component]]=factor_eff_table[Component])*(standard_components_137[[#This Row],[Service]]=factor_eff_table[Service]), 0, 1), 0)),
 "-")</f>
        <v>-</v>
      </c>
      <c r="E48" s="145" t="str" cm="1">
        <f t="array" ref="E4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8" s="145" t="str" cm="1">
        <f t="array" ref="F4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8" s="145" t="str" cm="1">
        <f t="array" ref="G4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49" spans="1:9" x14ac:dyDescent="0.2">
      <c r="A49" s="143" t="str" cm="1">
        <f t="array" ref="A49">IFERROR(INDEX(INDEX(component_service_names[], , MATCH(VLOOKUP(industry_type, industry_column_names[], 2, FALSE), component_service_names[#Headers], 0)), ROW($A25)), "-")</f>
        <v>-</v>
      </c>
      <c r="B49" s="143" t="str" cm="1">
        <f t="array" ref="B49">IFERROR(INDEX(INDEX(component_service_names[], , MATCH(VLOOKUP(industry_type, industry_column_names[], 3, FALSE), component_service_names[#Headers], 0)), ROW($A25)), "-")</f>
        <v>-</v>
      </c>
      <c r="C49" s="144"/>
      <c r="D49" s="145" t="str" cm="1">
        <f t="array" ref="D49">IFERROR(
INDEX(
INDEX(factor_eff_table[], , MATCH(industry_type, factor_eff_table[#Headers], 0)),
MATCH(1, INDEX((standard_components_137[[#This Row],[Component]]=factor_eff_table[Component])*(standard_components_137[[#This Row],[Service]]=factor_eff_table[Service]), 0, 1), 0)),
 "-")</f>
        <v>-</v>
      </c>
      <c r="E49" s="145" t="str" cm="1">
        <f t="array" ref="E4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49" s="145" t="str" cm="1">
        <f t="array" ref="F4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49" s="145" t="str" cm="1">
        <f t="array" ref="G4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4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4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0" spans="1:9" x14ac:dyDescent="0.2">
      <c r="A50" s="143" t="str" cm="1">
        <f t="array" ref="A50">IFERROR(INDEX(INDEX(component_service_names[], , MATCH(VLOOKUP(industry_type, industry_column_names[], 2, FALSE), component_service_names[#Headers], 0)), ROW($A26)), "-")</f>
        <v>-</v>
      </c>
      <c r="B50" s="143" t="str" cm="1">
        <f t="array" ref="B50">IFERROR(INDEX(INDEX(component_service_names[], , MATCH(VLOOKUP(industry_type, industry_column_names[], 3, FALSE), component_service_names[#Headers], 0)), ROW($A26)), "-")</f>
        <v>-</v>
      </c>
      <c r="C50" s="144"/>
      <c r="D50" s="145" t="str" cm="1">
        <f t="array" ref="D50">IFERROR(
INDEX(
INDEX(factor_eff_table[], , MATCH(industry_type, factor_eff_table[#Headers], 0)),
MATCH(1, INDEX((standard_components_137[[#This Row],[Component]]=factor_eff_table[Component])*(standard_components_137[[#This Row],[Service]]=factor_eff_table[Service]), 0, 1), 0)),
 "-")</f>
        <v>-</v>
      </c>
      <c r="E50" s="145" t="str" cm="1">
        <f t="array" ref="E5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0" s="145" t="str" cm="1">
        <f t="array" ref="F5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0" s="145" t="str" cm="1">
        <f t="array" ref="G5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1" spans="1:9" x14ac:dyDescent="0.2">
      <c r="A51" s="143" t="str" cm="1">
        <f t="array" ref="A51">IFERROR(INDEX(INDEX(component_service_names[], , MATCH(VLOOKUP(industry_type, industry_column_names[], 2, FALSE), component_service_names[#Headers], 0)), ROW($A27)), "-")</f>
        <v>-</v>
      </c>
      <c r="B51" s="143" t="str" cm="1">
        <f t="array" ref="B51">IFERROR(INDEX(INDEX(component_service_names[], , MATCH(VLOOKUP(industry_type, industry_column_names[], 3, FALSE), component_service_names[#Headers], 0)), ROW($A27)), "-")</f>
        <v>-</v>
      </c>
      <c r="C51" s="144"/>
      <c r="D51" s="145" t="str" cm="1">
        <f t="array" ref="D51">IFERROR(
INDEX(
INDEX(factor_eff_table[], , MATCH(industry_type, factor_eff_table[#Headers], 0)),
MATCH(1, INDEX((standard_components_137[[#This Row],[Component]]=factor_eff_table[Component])*(standard_components_137[[#This Row],[Service]]=factor_eff_table[Service]), 0, 1), 0)),
 "-")</f>
        <v>-</v>
      </c>
      <c r="E51" s="145" t="str" cm="1">
        <f t="array" ref="E5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1" s="145" t="str" cm="1">
        <f t="array" ref="F5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1" s="145" t="str" cm="1">
        <f t="array" ref="G5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2" spans="1:9" x14ac:dyDescent="0.2">
      <c r="A52" s="143" t="str" cm="1">
        <f t="array" ref="A52">IFERROR(INDEX(INDEX(component_service_names[], , MATCH(VLOOKUP(industry_type, industry_column_names[], 2, FALSE), component_service_names[#Headers], 0)), ROW($A28)), "-")</f>
        <v>-</v>
      </c>
      <c r="B52" s="143" t="str" cm="1">
        <f t="array" ref="B52">IFERROR(INDEX(INDEX(component_service_names[], , MATCH(VLOOKUP(industry_type, industry_column_names[], 3, FALSE), component_service_names[#Headers], 0)), ROW($A28)), "-")</f>
        <v>-</v>
      </c>
      <c r="C52" s="144"/>
      <c r="D52" s="145" t="str" cm="1">
        <f t="array" ref="D52">IFERROR(
INDEX(
INDEX(factor_eff_table[], , MATCH(industry_type, factor_eff_table[#Headers], 0)),
MATCH(1, INDEX((standard_components_137[[#This Row],[Component]]=factor_eff_table[Component])*(standard_components_137[[#This Row],[Service]]=factor_eff_table[Service]), 0, 1), 0)),
 "-")</f>
        <v>-</v>
      </c>
      <c r="E52" s="145" t="str" cm="1">
        <f t="array" ref="E5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2" s="145" t="str" cm="1">
        <f t="array" ref="F5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2" s="145" t="str" cm="1">
        <f t="array" ref="G5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3" spans="1:9" x14ac:dyDescent="0.2">
      <c r="A53" s="143" t="str" cm="1">
        <f t="array" ref="A53">IFERROR(INDEX(INDEX(component_service_names[], , MATCH(VLOOKUP(industry_type, industry_column_names[], 2, FALSE), component_service_names[#Headers], 0)), ROW($A29)), "-")</f>
        <v>-</v>
      </c>
      <c r="B53" s="143" t="str" cm="1">
        <f t="array" ref="B53">IFERROR(INDEX(INDEX(component_service_names[], , MATCH(VLOOKUP(industry_type, industry_column_names[], 3, FALSE), component_service_names[#Headers], 0)), ROW($A29)), "-")</f>
        <v>-</v>
      </c>
      <c r="C53" s="144"/>
      <c r="D53" s="145" t="str" cm="1">
        <f t="array" ref="D53">IFERROR(
INDEX(
INDEX(factor_eff_table[], , MATCH(industry_type, factor_eff_table[#Headers], 0)),
MATCH(1, INDEX((standard_components_137[[#This Row],[Component]]=factor_eff_table[Component])*(standard_components_137[[#This Row],[Service]]=factor_eff_table[Service]), 0, 1), 0)),
 "-")</f>
        <v>-</v>
      </c>
      <c r="E53" s="145" t="str" cm="1">
        <f t="array" ref="E5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3" s="145" t="str" cm="1">
        <f t="array" ref="F5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3" s="145" t="str" cm="1">
        <f t="array" ref="G5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4" spans="1:9" x14ac:dyDescent="0.2">
      <c r="A54" s="143" t="str" cm="1">
        <f t="array" ref="A54">IFERROR(INDEX(INDEX(component_service_names[], , MATCH(VLOOKUP(industry_type, industry_column_names[], 2, FALSE), component_service_names[#Headers], 0)), ROW($A30)), "-")</f>
        <v>-</v>
      </c>
      <c r="B54" s="143" t="str" cm="1">
        <f t="array" ref="B54">IFERROR(INDEX(INDEX(component_service_names[], , MATCH(VLOOKUP(industry_type, industry_column_names[], 3, FALSE), component_service_names[#Headers], 0)), ROW($A30)), "-")</f>
        <v>-</v>
      </c>
      <c r="C54" s="144"/>
      <c r="D54" s="145" t="str" cm="1">
        <f t="array" ref="D54">IFERROR(
INDEX(
INDEX(factor_eff_table[], , MATCH(industry_type, factor_eff_table[#Headers], 0)),
MATCH(1, INDEX((standard_components_137[[#This Row],[Component]]=factor_eff_table[Component])*(standard_components_137[[#This Row],[Service]]=factor_eff_table[Service]), 0, 1), 0)),
 "-")</f>
        <v>-</v>
      </c>
      <c r="E54" s="145" t="str" cm="1">
        <f t="array" ref="E5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4" s="145" t="str" cm="1">
        <f t="array" ref="F5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4" s="145" t="str" cm="1">
        <f t="array" ref="G5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5" spans="1:9" x14ac:dyDescent="0.2">
      <c r="A55" s="143" t="str" cm="1">
        <f t="array" ref="A55">IFERROR(INDEX(INDEX(component_service_names[], , MATCH(VLOOKUP(industry_type, industry_column_names[], 2, FALSE), component_service_names[#Headers], 0)), ROW($A31)), "-")</f>
        <v>-</v>
      </c>
      <c r="B55" s="143" t="str" cm="1">
        <f t="array" ref="B55">IFERROR(INDEX(INDEX(component_service_names[], , MATCH(VLOOKUP(industry_type, industry_column_names[], 3, FALSE), component_service_names[#Headers], 0)), ROW($A31)), "-")</f>
        <v>-</v>
      </c>
      <c r="C55" s="144"/>
      <c r="D55" s="145" t="str" cm="1">
        <f t="array" ref="D55">IFERROR(
INDEX(
INDEX(factor_eff_table[], , MATCH(industry_type, factor_eff_table[#Headers], 0)),
MATCH(1, INDEX((standard_components_137[[#This Row],[Component]]=factor_eff_table[Component])*(standard_components_137[[#This Row],[Service]]=factor_eff_table[Service]), 0, 1), 0)),
 "-")</f>
        <v>-</v>
      </c>
      <c r="E55" s="145" t="str" cm="1">
        <f t="array" ref="E5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5" s="145" t="str" cm="1">
        <f t="array" ref="F5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5" s="145" t="str" cm="1">
        <f t="array" ref="G5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6" spans="1:9" x14ac:dyDescent="0.2">
      <c r="A56" s="143" t="str" cm="1">
        <f t="array" ref="A56">IFERROR(INDEX(INDEX(component_service_names[], , MATCH(VLOOKUP(industry_type, industry_column_names[], 2, FALSE), component_service_names[#Headers], 0)), ROW($A32)), "-")</f>
        <v>-</v>
      </c>
      <c r="B56" s="143" t="str" cm="1">
        <f t="array" ref="B56">IFERROR(INDEX(INDEX(component_service_names[], , MATCH(VLOOKUP(industry_type, industry_column_names[], 3, FALSE), component_service_names[#Headers], 0)), ROW($A32)), "-")</f>
        <v>-</v>
      </c>
      <c r="C56" s="144"/>
      <c r="D56" s="145" t="str" cm="1">
        <f t="array" ref="D56">IFERROR(
INDEX(
INDEX(factor_eff_table[], , MATCH(industry_type, factor_eff_table[#Headers], 0)),
MATCH(1, INDEX((standard_components_137[[#This Row],[Component]]=factor_eff_table[Component])*(standard_components_137[[#This Row],[Service]]=factor_eff_table[Service]), 0, 1), 0)),
 "-")</f>
        <v>-</v>
      </c>
      <c r="E56" s="145" t="str" cm="1">
        <f t="array" ref="E5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6" s="145" t="str" cm="1">
        <f t="array" ref="F5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6" s="145" t="str" cm="1">
        <f t="array" ref="G5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7" spans="1:9" x14ac:dyDescent="0.2">
      <c r="A57" s="143" t="str" cm="1">
        <f t="array" ref="A57">IFERROR(INDEX(INDEX(component_service_names[], , MATCH(VLOOKUP(industry_type, industry_column_names[], 2, FALSE), component_service_names[#Headers], 0)), ROW($A33)), "-")</f>
        <v>-</v>
      </c>
      <c r="B57" s="143" t="str" cm="1">
        <f t="array" ref="B57">IFERROR(INDEX(INDEX(component_service_names[], , MATCH(VLOOKUP(industry_type, industry_column_names[], 3, FALSE), component_service_names[#Headers], 0)), ROW($A33)), "-")</f>
        <v>-</v>
      </c>
      <c r="C57" s="144"/>
      <c r="D57" s="145" t="str" cm="1">
        <f t="array" ref="D57">IFERROR(
INDEX(
INDEX(factor_eff_table[], , MATCH(industry_type, factor_eff_table[#Headers], 0)),
MATCH(1, INDEX((standard_components_137[[#This Row],[Component]]=factor_eff_table[Component])*(standard_components_137[[#This Row],[Service]]=factor_eff_table[Service]), 0, 1), 0)),
 "-")</f>
        <v>-</v>
      </c>
      <c r="E57" s="145" t="str" cm="1">
        <f t="array" ref="E5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7" s="145" t="str" cm="1">
        <f t="array" ref="F5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7" s="145" t="str" cm="1">
        <f t="array" ref="G5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8" spans="1:9" x14ac:dyDescent="0.2">
      <c r="A58" s="143" t="str" cm="1">
        <f t="array" ref="A58">IFERROR(INDEX(INDEX(component_service_names[], , MATCH(VLOOKUP(industry_type, industry_column_names[], 2, FALSE), component_service_names[#Headers], 0)), ROW($A34)), "-")</f>
        <v>-</v>
      </c>
      <c r="B58" s="143" t="str" cm="1">
        <f t="array" ref="B58">IFERROR(INDEX(INDEX(component_service_names[], , MATCH(VLOOKUP(industry_type, industry_column_names[], 3, FALSE), component_service_names[#Headers], 0)), ROW($A34)), "-")</f>
        <v>-</v>
      </c>
      <c r="C58" s="144"/>
      <c r="D58" s="145" t="str" cm="1">
        <f t="array" ref="D58">IFERROR(
INDEX(
INDEX(factor_eff_table[], , MATCH(industry_type, factor_eff_table[#Headers], 0)),
MATCH(1, INDEX((standard_components_137[[#This Row],[Component]]=factor_eff_table[Component])*(standard_components_137[[#This Row],[Service]]=factor_eff_table[Service]), 0, 1), 0)),
 "-")</f>
        <v>-</v>
      </c>
      <c r="E58" s="145" t="str" cm="1">
        <f t="array" ref="E5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8" s="145" t="str" cm="1">
        <f t="array" ref="F5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8" s="145" t="str" cm="1">
        <f t="array" ref="G5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59" spans="1:9" x14ac:dyDescent="0.2">
      <c r="A59" s="143" t="str" cm="1">
        <f t="array" ref="A59">IFERROR(INDEX(INDEX(component_service_names[], , MATCH(VLOOKUP(industry_type, industry_column_names[], 2, FALSE), component_service_names[#Headers], 0)), ROW($A35)), "-")</f>
        <v>-</v>
      </c>
      <c r="B59" s="143" t="str" cm="1">
        <f t="array" ref="B59">IFERROR(INDEX(INDEX(component_service_names[], , MATCH(VLOOKUP(industry_type, industry_column_names[], 3, FALSE), component_service_names[#Headers], 0)), ROW($A35)), "-")</f>
        <v>-</v>
      </c>
      <c r="C59" s="144"/>
      <c r="D59" s="145" t="str" cm="1">
        <f t="array" ref="D59">IFERROR(
INDEX(
INDEX(factor_eff_table[], , MATCH(industry_type, factor_eff_table[#Headers], 0)),
MATCH(1, INDEX((standard_components_137[[#This Row],[Component]]=factor_eff_table[Component])*(standard_components_137[[#This Row],[Service]]=factor_eff_table[Service]), 0, 1), 0)),
 "-")</f>
        <v>-</v>
      </c>
      <c r="E59" s="145" t="str" cm="1">
        <f t="array" ref="E5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59" s="145" t="str" cm="1">
        <f t="array" ref="F5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59" s="145" t="str" cm="1">
        <f t="array" ref="G5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5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5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0" spans="1:9" x14ac:dyDescent="0.2">
      <c r="A60" s="143" t="str" cm="1">
        <f t="array" ref="A60">IFERROR(INDEX(INDEX(component_service_names[], , MATCH(VLOOKUP(industry_type, industry_column_names[], 2, FALSE), component_service_names[#Headers], 0)), ROW($A36)), "-")</f>
        <v>-</v>
      </c>
      <c r="B60" s="143" t="str" cm="1">
        <f t="array" ref="B60">IFERROR(INDEX(INDEX(component_service_names[], , MATCH(VLOOKUP(industry_type, industry_column_names[], 3, FALSE), component_service_names[#Headers], 0)), ROW($A36)), "-")</f>
        <v>-</v>
      </c>
      <c r="C60" s="144"/>
      <c r="D60" s="145" t="str" cm="1">
        <f t="array" ref="D60">IFERROR(
INDEX(
INDEX(factor_eff_table[], , MATCH(industry_type, factor_eff_table[#Headers], 0)),
MATCH(1, INDEX((standard_components_137[[#This Row],[Component]]=factor_eff_table[Component])*(standard_components_137[[#This Row],[Service]]=factor_eff_table[Service]), 0, 1), 0)),
 "-")</f>
        <v>-</v>
      </c>
      <c r="E60" s="145" t="str" cm="1">
        <f t="array" ref="E6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0" s="145" t="str" cm="1">
        <f t="array" ref="F6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0" s="145" t="str" cm="1">
        <f t="array" ref="G6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1" spans="1:9" x14ac:dyDescent="0.2">
      <c r="A61" s="143" t="str" cm="1">
        <f t="array" ref="A61">IFERROR(INDEX(INDEX(component_service_names[], , MATCH(VLOOKUP(industry_type, industry_column_names[], 2, FALSE), component_service_names[#Headers], 0)), ROW($A37)), "-")</f>
        <v>-</v>
      </c>
      <c r="B61" s="143" t="str" cm="1">
        <f t="array" ref="B61">IFERROR(INDEX(INDEX(component_service_names[], , MATCH(VLOOKUP(industry_type, industry_column_names[], 3, FALSE), component_service_names[#Headers], 0)), ROW($A37)), "-")</f>
        <v>-</v>
      </c>
      <c r="C61" s="144"/>
      <c r="D61" s="145" t="str" cm="1">
        <f t="array" ref="D61">IFERROR(
INDEX(
INDEX(factor_eff_table[], , MATCH(industry_type, factor_eff_table[#Headers], 0)),
MATCH(1, INDEX((standard_components_137[[#This Row],[Component]]=factor_eff_table[Component])*(standard_components_137[[#This Row],[Service]]=factor_eff_table[Service]), 0, 1), 0)),
 "-")</f>
        <v>-</v>
      </c>
      <c r="E61" s="145" t="str" cm="1">
        <f t="array" ref="E6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1" s="145" t="str" cm="1">
        <f t="array" ref="F6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1" s="145" t="str" cm="1">
        <f t="array" ref="G6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2" spans="1:9" x14ac:dyDescent="0.2">
      <c r="A62" s="143" t="str" cm="1">
        <f t="array" ref="A62">IFERROR(INDEX(INDEX(component_service_names[], , MATCH(VLOOKUP(industry_type, industry_column_names[], 2, FALSE), component_service_names[#Headers], 0)), ROW($A38)), "-")</f>
        <v>-</v>
      </c>
      <c r="B62" s="143" t="str" cm="1">
        <f t="array" ref="B62">IFERROR(INDEX(INDEX(component_service_names[], , MATCH(VLOOKUP(industry_type, industry_column_names[], 3, FALSE), component_service_names[#Headers], 0)), ROW($A38)), "-")</f>
        <v>-</v>
      </c>
      <c r="C62" s="144"/>
      <c r="D62" s="145" t="str" cm="1">
        <f t="array" ref="D62">IFERROR(
INDEX(
INDEX(factor_eff_table[], , MATCH(industry_type, factor_eff_table[#Headers], 0)),
MATCH(1, INDEX((standard_components_137[[#This Row],[Component]]=factor_eff_table[Component])*(standard_components_137[[#This Row],[Service]]=factor_eff_table[Service]), 0, 1), 0)),
 "-")</f>
        <v>-</v>
      </c>
      <c r="E62" s="145" t="str" cm="1">
        <f t="array" ref="E6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2" s="145" t="str" cm="1">
        <f t="array" ref="F6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2" s="145" t="str" cm="1">
        <f t="array" ref="G6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3" spans="1:9" x14ac:dyDescent="0.2">
      <c r="A63" s="143" t="str" cm="1">
        <f t="array" ref="A63">IFERROR(INDEX(INDEX(component_service_names[], , MATCH(VLOOKUP(industry_type, industry_column_names[], 2, FALSE), component_service_names[#Headers], 0)), ROW($A39)), "-")</f>
        <v>-</v>
      </c>
      <c r="B63" s="143" t="str" cm="1">
        <f t="array" ref="B63">IFERROR(INDEX(INDEX(component_service_names[], , MATCH(VLOOKUP(industry_type, industry_column_names[], 3, FALSE), component_service_names[#Headers], 0)), ROW($A39)), "-")</f>
        <v>-</v>
      </c>
      <c r="C63" s="144"/>
      <c r="D63" s="145" t="str" cm="1">
        <f t="array" ref="D63">IFERROR(
INDEX(
INDEX(factor_eff_table[], , MATCH(industry_type, factor_eff_table[#Headers], 0)),
MATCH(1, INDEX((standard_components_137[[#This Row],[Component]]=factor_eff_table[Component])*(standard_components_137[[#This Row],[Service]]=factor_eff_table[Service]), 0, 1), 0)),
 "-")</f>
        <v>-</v>
      </c>
      <c r="E63" s="145" t="str" cm="1">
        <f t="array" ref="E6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3" s="145" t="str" cm="1">
        <f t="array" ref="F6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3" s="145" t="str" cm="1">
        <f t="array" ref="G6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4" spans="1:9" x14ac:dyDescent="0.2">
      <c r="A64" s="143" t="str" cm="1">
        <f t="array" ref="A64">IFERROR(INDEX(INDEX(component_service_names[], , MATCH(VLOOKUP(industry_type, industry_column_names[], 2, FALSE), component_service_names[#Headers], 0)), ROW($A40)), "-")</f>
        <v>-</v>
      </c>
      <c r="B64" s="143" t="str" cm="1">
        <f t="array" ref="B64">IFERROR(INDEX(INDEX(component_service_names[], , MATCH(VLOOKUP(industry_type, industry_column_names[], 3, FALSE), component_service_names[#Headers], 0)), ROW($A40)), "-")</f>
        <v>-</v>
      </c>
      <c r="C64" s="144"/>
      <c r="D64" s="145" t="str" cm="1">
        <f t="array" ref="D64">IFERROR(
INDEX(
INDEX(factor_eff_table[], , MATCH(industry_type, factor_eff_table[#Headers], 0)),
MATCH(1, INDEX((standard_components_137[[#This Row],[Component]]=factor_eff_table[Component])*(standard_components_137[[#This Row],[Service]]=factor_eff_table[Service]), 0, 1), 0)),
 "-")</f>
        <v>-</v>
      </c>
      <c r="E64" s="145" t="str" cm="1">
        <f t="array" ref="E6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4" s="145" t="str" cm="1">
        <f t="array" ref="F6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4" s="145" t="str" cm="1">
        <f t="array" ref="G6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5" spans="1:9" x14ac:dyDescent="0.2">
      <c r="A65" s="143" t="str" cm="1">
        <f t="array" ref="A65">IFERROR(INDEX(INDEX(component_service_names[], , MATCH(VLOOKUP(industry_type, industry_column_names[], 2, FALSE), component_service_names[#Headers], 0)), ROW($A41)), "-")</f>
        <v>-</v>
      </c>
      <c r="B65" s="143" t="str" cm="1">
        <f t="array" ref="B65">IFERROR(INDEX(INDEX(component_service_names[], , MATCH(VLOOKUP(industry_type, industry_column_names[], 3, FALSE), component_service_names[#Headers], 0)), ROW($A41)), "-")</f>
        <v>-</v>
      </c>
      <c r="C65" s="144"/>
      <c r="D65" s="145" t="str" cm="1">
        <f t="array" ref="D65">IFERROR(
INDEX(
INDEX(factor_eff_table[], , MATCH(industry_type, factor_eff_table[#Headers], 0)),
MATCH(1, INDEX((standard_components_137[[#This Row],[Component]]=factor_eff_table[Component])*(standard_components_137[[#This Row],[Service]]=factor_eff_table[Service]), 0, 1), 0)),
 "-")</f>
        <v>-</v>
      </c>
      <c r="E65" s="145" t="str" cm="1">
        <f t="array" ref="E6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5" s="145" t="str" cm="1">
        <f t="array" ref="F6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5" s="145" t="str" cm="1">
        <f t="array" ref="G6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6" spans="1:9" x14ac:dyDescent="0.2">
      <c r="A66" s="143" t="str" cm="1">
        <f t="array" ref="A66">IFERROR(INDEX(INDEX(component_service_names[], , MATCH(VLOOKUP(industry_type, industry_column_names[], 2, FALSE), component_service_names[#Headers], 0)), ROW($A42)), "-")</f>
        <v>-</v>
      </c>
      <c r="B66" s="143" t="str" cm="1">
        <f t="array" ref="B66">IFERROR(INDEX(INDEX(component_service_names[], , MATCH(VLOOKUP(industry_type, industry_column_names[], 3, FALSE), component_service_names[#Headers], 0)), ROW($A42)), "-")</f>
        <v>-</v>
      </c>
      <c r="C66" s="144"/>
      <c r="D66" s="145" t="str" cm="1">
        <f t="array" ref="D66">IFERROR(
INDEX(
INDEX(factor_eff_table[], , MATCH(industry_type, factor_eff_table[#Headers], 0)),
MATCH(1, INDEX((standard_components_137[[#This Row],[Component]]=factor_eff_table[Component])*(standard_components_137[[#This Row],[Service]]=factor_eff_table[Service]), 0, 1), 0)),
 "-")</f>
        <v>-</v>
      </c>
      <c r="E66" s="145" t="str" cm="1">
        <f t="array" ref="E6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6" s="145" t="str" cm="1">
        <f t="array" ref="F6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6" s="145" t="str" cm="1">
        <f t="array" ref="G6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7" spans="1:9" x14ac:dyDescent="0.2">
      <c r="A67" s="143" t="str" cm="1">
        <f t="array" ref="A67">IFERROR(INDEX(INDEX(component_service_names[], , MATCH(VLOOKUP(industry_type, industry_column_names[], 2, FALSE), component_service_names[#Headers], 0)), ROW($A43)), "-")</f>
        <v>-</v>
      </c>
      <c r="B67" s="143" t="str" cm="1">
        <f t="array" ref="B67">IFERROR(INDEX(INDEX(component_service_names[], , MATCH(VLOOKUP(industry_type, industry_column_names[], 3, FALSE), component_service_names[#Headers], 0)), ROW($A43)), "-")</f>
        <v>-</v>
      </c>
      <c r="C67" s="144"/>
      <c r="D67" s="145" t="str" cm="1">
        <f t="array" ref="D67">IFERROR(
INDEX(
INDEX(factor_eff_table[], , MATCH(industry_type, factor_eff_table[#Headers], 0)),
MATCH(1, INDEX((standard_components_137[[#This Row],[Component]]=factor_eff_table[Component])*(standard_components_137[[#This Row],[Service]]=factor_eff_table[Service]), 0, 1), 0)),
 "-")</f>
        <v>-</v>
      </c>
      <c r="E67" s="145" t="str" cm="1">
        <f t="array" ref="E6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7" s="145" t="str" cm="1">
        <f t="array" ref="F6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7" s="145" t="str" cm="1">
        <f t="array" ref="G6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8" spans="1:9" x14ac:dyDescent="0.2">
      <c r="A68" s="143" t="str" cm="1">
        <f t="array" ref="A68">IFERROR(INDEX(INDEX(component_service_names[], , MATCH(VLOOKUP(industry_type, industry_column_names[], 2, FALSE), component_service_names[#Headers], 0)), ROW($A44)), "-")</f>
        <v>-</v>
      </c>
      <c r="B68" s="143" t="str" cm="1">
        <f t="array" ref="B68">IFERROR(INDEX(INDEX(component_service_names[], , MATCH(VLOOKUP(industry_type, industry_column_names[], 3, FALSE), component_service_names[#Headers], 0)), ROW($A44)), "-")</f>
        <v>-</v>
      </c>
      <c r="C68" s="144"/>
      <c r="D68" s="145" t="str" cm="1">
        <f t="array" ref="D68">IFERROR(
INDEX(
INDEX(factor_eff_table[], , MATCH(industry_type, factor_eff_table[#Headers], 0)),
MATCH(1, INDEX((standard_components_137[[#This Row],[Component]]=factor_eff_table[Component])*(standard_components_137[[#This Row],[Service]]=factor_eff_table[Service]), 0, 1), 0)),
 "-")</f>
        <v>-</v>
      </c>
      <c r="E68" s="145" t="str" cm="1">
        <f t="array" ref="E6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8" s="145" t="str" cm="1">
        <f t="array" ref="F6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8" s="145" t="str" cm="1">
        <f t="array" ref="G6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69" spans="1:9" x14ac:dyDescent="0.2">
      <c r="A69" s="143" t="str" cm="1">
        <f t="array" ref="A69">IFERROR(INDEX(INDEX(component_service_names[], , MATCH(VLOOKUP(industry_type, industry_column_names[], 2, FALSE), component_service_names[#Headers], 0)), ROW($A45)), "-")</f>
        <v>-</v>
      </c>
      <c r="B69" s="143" t="str" cm="1">
        <f t="array" ref="B69">IFERROR(INDEX(INDEX(component_service_names[], , MATCH(VLOOKUP(industry_type, industry_column_names[], 3, FALSE), component_service_names[#Headers], 0)), ROW($A45)), "-")</f>
        <v>-</v>
      </c>
      <c r="C69" s="144"/>
      <c r="D69" s="145" t="str" cm="1">
        <f t="array" ref="D69">IFERROR(
INDEX(
INDEX(factor_eff_table[], , MATCH(industry_type, factor_eff_table[#Headers], 0)),
MATCH(1, INDEX((standard_components_137[[#This Row],[Component]]=factor_eff_table[Component])*(standard_components_137[[#This Row],[Service]]=factor_eff_table[Service]), 0, 1), 0)),
 "-")</f>
        <v>-</v>
      </c>
      <c r="E69" s="145" t="str" cm="1">
        <f t="array" ref="E6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69" s="145" t="str" cm="1">
        <f t="array" ref="F6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69" s="145" t="str" cm="1">
        <f t="array" ref="G6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6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6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0" spans="1:9" x14ac:dyDescent="0.2">
      <c r="A70" s="143" t="str" cm="1">
        <f t="array" ref="A70">IFERROR(INDEX(INDEX(component_service_names[], , MATCH(VLOOKUP(industry_type, industry_column_names[], 2, FALSE), component_service_names[#Headers], 0)), ROW($A46)), "-")</f>
        <v>-</v>
      </c>
      <c r="B70" s="143" t="str" cm="1">
        <f t="array" ref="B70">IFERROR(INDEX(INDEX(component_service_names[], , MATCH(VLOOKUP(industry_type, industry_column_names[], 3, FALSE), component_service_names[#Headers], 0)), ROW($A46)), "-")</f>
        <v>-</v>
      </c>
      <c r="C70" s="144"/>
      <c r="D70" s="145" t="str" cm="1">
        <f t="array" ref="D70">IFERROR(
INDEX(
INDEX(factor_eff_table[], , MATCH(industry_type, factor_eff_table[#Headers], 0)),
MATCH(1, INDEX((standard_components_137[[#This Row],[Component]]=factor_eff_table[Component])*(standard_components_137[[#This Row],[Service]]=factor_eff_table[Service]), 0, 1), 0)),
 "-")</f>
        <v>-</v>
      </c>
      <c r="E70" s="145" t="str" cm="1">
        <f t="array" ref="E7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0" s="145" t="str" cm="1">
        <f t="array" ref="F7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0" s="145" t="str" cm="1">
        <f t="array" ref="G7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1" spans="1:9" x14ac:dyDescent="0.2">
      <c r="A71" s="143" t="str" cm="1">
        <f t="array" ref="A71">IFERROR(INDEX(INDEX(component_service_names[], , MATCH(VLOOKUP(industry_type, industry_column_names[], 2, FALSE), component_service_names[#Headers], 0)), ROW($A47)), "-")</f>
        <v>-</v>
      </c>
      <c r="B71" s="143" t="str" cm="1">
        <f t="array" ref="B71">IFERROR(INDEX(INDEX(component_service_names[], , MATCH(VLOOKUP(industry_type, industry_column_names[], 3, FALSE), component_service_names[#Headers], 0)), ROW($A47)), "-")</f>
        <v>-</v>
      </c>
      <c r="C71" s="144"/>
      <c r="D71" s="145" t="str" cm="1">
        <f t="array" ref="D71">IFERROR(
INDEX(
INDEX(factor_eff_table[], , MATCH(industry_type, factor_eff_table[#Headers], 0)),
MATCH(1, INDEX((standard_components_137[[#This Row],[Component]]=factor_eff_table[Component])*(standard_components_137[[#This Row],[Service]]=factor_eff_table[Service]), 0, 1), 0)),
 "-")</f>
        <v>-</v>
      </c>
      <c r="E71" s="145" t="str" cm="1">
        <f t="array" ref="E7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1" s="145" t="str" cm="1">
        <f t="array" ref="F7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1" s="145" t="str" cm="1">
        <f t="array" ref="G7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2" spans="1:9" x14ac:dyDescent="0.2">
      <c r="A72" s="143" t="str" cm="1">
        <f t="array" ref="A72">IFERROR(INDEX(INDEX(component_service_names[], , MATCH(VLOOKUP(industry_type, industry_column_names[], 2, FALSE), component_service_names[#Headers], 0)), ROW($A48)), "-")</f>
        <v>-</v>
      </c>
      <c r="B72" s="143" t="str" cm="1">
        <f t="array" ref="B72">IFERROR(INDEX(INDEX(component_service_names[], , MATCH(VLOOKUP(industry_type, industry_column_names[], 3, FALSE), component_service_names[#Headers], 0)), ROW($A48)), "-")</f>
        <v>-</v>
      </c>
      <c r="C72" s="144"/>
      <c r="D72" s="145" t="str" cm="1">
        <f t="array" ref="D72">IFERROR(
INDEX(
INDEX(factor_eff_table[], , MATCH(industry_type, factor_eff_table[#Headers], 0)),
MATCH(1, INDEX((standard_components_137[[#This Row],[Component]]=factor_eff_table[Component])*(standard_components_137[[#This Row],[Service]]=factor_eff_table[Service]), 0, 1), 0)),
 "-")</f>
        <v>-</v>
      </c>
      <c r="E72" s="145" t="str" cm="1">
        <f t="array" ref="E7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2" s="145" t="str" cm="1">
        <f t="array" ref="F7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2" s="145" t="str" cm="1">
        <f t="array" ref="G7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3" spans="1:9" x14ac:dyDescent="0.2">
      <c r="A73" s="143" t="str" cm="1">
        <f t="array" ref="A73">IFERROR(INDEX(INDEX(component_service_names[], , MATCH(VLOOKUP(industry_type, industry_column_names[], 2, FALSE), component_service_names[#Headers], 0)), ROW($A49)), "-")</f>
        <v>-</v>
      </c>
      <c r="B73" s="143" t="str" cm="1">
        <f t="array" ref="B73">IFERROR(INDEX(INDEX(component_service_names[], , MATCH(VLOOKUP(industry_type, industry_column_names[], 3, FALSE), component_service_names[#Headers], 0)), ROW($A49)), "-")</f>
        <v>-</v>
      </c>
      <c r="C73" s="144"/>
      <c r="D73" s="145" t="str" cm="1">
        <f t="array" ref="D73">IFERROR(
INDEX(
INDEX(factor_eff_table[], , MATCH(industry_type, factor_eff_table[#Headers], 0)),
MATCH(1, INDEX((standard_components_137[[#This Row],[Component]]=factor_eff_table[Component])*(standard_components_137[[#This Row],[Service]]=factor_eff_table[Service]), 0, 1), 0)),
 "-")</f>
        <v>-</v>
      </c>
      <c r="E73" s="145" t="str" cm="1">
        <f t="array" ref="E7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3" s="145" t="str" cm="1">
        <f t="array" ref="F7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3" s="145" t="str" cm="1">
        <f t="array" ref="G7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4" spans="1:9" x14ac:dyDescent="0.2">
      <c r="A74" s="143" t="str" cm="1">
        <f t="array" ref="A74">IFERROR(INDEX(INDEX(component_service_names[], , MATCH(VLOOKUP(industry_type, industry_column_names[], 2, FALSE), component_service_names[#Headers], 0)), ROW($A50)), "-")</f>
        <v>-</v>
      </c>
      <c r="B74" s="143" t="str" cm="1">
        <f t="array" ref="B74">IFERROR(INDEX(INDEX(component_service_names[], , MATCH(VLOOKUP(industry_type, industry_column_names[], 3, FALSE), component_service_names[#Headers], 0)), ROW($A50)), "-")</f>
        <v>-</v>
      </c>
      <c r="C74" s="144"/>
      <c r="D74" s="145" t="str" cm="1">
        <f t="array" ref="D74">IFERROR(
INDEX(
INDEX(factor_eff_table[], , MATCH(industry_type, factor_eff_table[#Headers], 0)),
MATCH(1, INDEX((standard_components_137[[#This Row],[Component]]=factor_eff_table[Component])*(standard_components_137[[#This Row],[Service]]=factor_eff_table[Service]), 0, 1), 0)),
 "-")</f>
        <v>-</v>
      </c>
      <c r="E74" s="145" t="str" cm="1">
        <f t="array" ref="E7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4" s="145" t="str" cm="1">
        <f t="array" ref="F7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4" s="145" t="str" cm="1">
        <f t="array" ref="G7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5" spans="1:9" x14ac:dyDescent="0.2">
      <c r="A75" s="143" t="str" cm="1">
        <f t="array" ref="A75">IFERROR(INDEX(INDEX(component_service_names[], , MATCH(VLOOKUP(industry_type, industry_column_names[], 2, FALSE), component_service_names[#Headers], 0)), ROW($A51)), "-")</f>
        <v>-</v>
      </c>
      <c r="B75" s="143" t="str" cm="1">
        <f t="array" ref="B75">IFERROR(INDEX(INDEX(component_service_names[], , MATCH(VLOOKUP(industry_type, industry_column_names[], 3, FALSE), component_service_names[#Headers], 0)), ROW($A51)), "-")</f>
        <v>-</v>
      </c>
      <c r="C75" s="144"/>
      <c r="D75" s="145" t="str" cm="1">
        <f t="array" ref="D75">IFERROR(
INDEX(
INDEX(factor_eff_table[], , MATCH(industry_type, factor_eff_table[#Headers], 0)),
MATCH(1, INDEX((standard_components_137[[#This Row],[Component]]=factor_eff_table[Component])*(standard_components_137[[#This Row],[Service]]=factor_eff_table[Service]), 0, 1), 0)),
 "-")</f>
        <v>-</v>
      </c>
      <c r="E75" s="145" t="str" cm="1">
        <f t="array" ref="E7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5" s="145" t="str" cm="1">
        <f t="array" ref="F7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5" s="145" t="str" cm="1">
        <f t="array" ref="G7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6" spans="1:9" x14ac:dyDescent="0.2">
      <c r="A76" s="143" t="str" cm="1">
        <f t="array" ref="A76">IFERROR(INDEX(INDEX(component_service_names[], , MATCH(VLOOKUP(industry_type, industry_column_names[], 2, FALSE), component_service_names[#Headers], 0)), ROW($A52)), "-")</f>
        <v>-</v>
      </c>
      <c r="B76" s="143" t="str" cm="1">
        <f t="array" ref="B76">IFERROR(INDEX(INDEX(component_service_names[], , MATCH(VLOOKUP(industry_type, industry_column_names[], 3, FALSE), component_service_names[#Headers], 0)), ROW($A52)), "-")</f>
        <v>-</v>
      </c>
      <c r="C76" s="144"/>
      <c r="D76" s="145" t="str" cm="1">
        <f t="array" ref="D76">IFERROR(
INDEX(
INDEX(factor_eff_table[], , MATCH(industry_type, factor_eff_table[#Headers], 0)),
MATCH(1, INDEX((standard_components_137[[#This Row],[Component]]=factor_eff_table[Component])*(standard_components_137[[#This Row],[Service]]=factor_eff_table[Service]), 0, 1), 0)),
 "-")</f>
        <v>-</v>
      </c>
      <c r="E76" s="145" t="str" cm="1">
        <f t="array" ref="E7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6" s="145" t="str" cm="1">
        <f t="array" ref="F7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6" s="145" t="str" cm="1">
        <f t="array" ref="G7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7" spans="1:9" x14ac:dyDescent="0.2">
      <c r="A77" s="143" t="str" cm="1">
        <f t="array" ref="A77">IFERROR(INDEX(INDEX(component_service_names[], , MATCH(VLOOKUP(industry_type, industry_column_names[], 2, FALSE), component_service_names[#Headers], 0)), ROW($A53)), "-")</f>
        <v>-</v>
      </c>
      <c r="B77" s="143" t="str" cm="1">
        <f t="array" ref="B77">IFERROR(INDEX(INDEX(component_service_names[], , MATCH(VLOOKUP(industry_type, industry_column_names[], 3, FALSE), component_service_names[#Headers], 0)), ROW($A53)), "-")</f>
        <v>-</v>
      </c>
      <c r="C77" s="144"/>
      <c r="D77" s="145" t="str" cm="1">
        <f t="array" ref="D77">IFERROR(
INDEX(
INDEX(factor_eff_table[], , MATCH(industry_type, factor_eff_table[#Headers], 0)),
MATCH(1, INDEX((standard_components_137[[#This Row],[Component]]=factor_eff_table[Component])*(standard_components_137[[#This Row],[Service]]=factor_eff_table[Service]), 0, 1), 0)),
 "-")</f>
        <v>-</v>
      </c>
      <c r="E77" s="145" t="str" cm="1">
        <f t="array" ref="E7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7" s="145" t="str" cm="1">
        <f t="array" ref="F7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7" s="145" t="str" cm="1">
        <f t="array" ref="G7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8" spans="1:9" x14ac:dyDescent="0.2">
      <c r="A78" s="143" t="str" cm="1">
        <f t="array" ref="A78">IFERROR(INDEX(INDEX(component_service_names[], , MATCH(VLOOKUP(industry_type, industry_column_names[], 2, FALSE), component_service_names[#Headers], 0)), ROW($A54)), "-")</f>
        <v>-</v>
      </c>
      <c r="B78" s="143" t="str" cm="1">
        <f t="array" ref="B78">IFERROR(INDEX(INDEX(component_service_names[], , MATCH(VLOOKUP(industry_type, industry_column_names[], 3, FALSE), component_service_names[#Headers], 0)), ROW($A54)), "-")</f>
        <v>-</v>
      </c>
      <c r="C78" s="144"/>
      <c r="D78" s="145" t="str" cm="1">
        <f t="array" ref="D78">IFERROR(
INDEX(
INDEX(factor_eff_table[], , MATCH(industry_type, factor_eff_table[#Headers], 0)),
MATCH(1, INDEX((standard_components_137[[#This Row],[Component]]=factor_eff_table[Component])*(standard_components_137[[#This Row],[Service]]=factor_eff_table[Service]), 0, 1), 0)),
 "-")</f>
        <v>-</v>
      </c>
      <c r="E78" s="145" t="str" cm="1">
        <f t="array" ref="E7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8" s="145" t="str" cm="1">
        <f t="array" ref="F7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8" s="145" t="str" cm="1">
        <f t="array" ref="G7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79" spans="1:9" x14ac:dyDescent="0.2">
      <c r="A79" s="143" t="str" cm="1">
        <f t="array" ref="A79">IFERROR(INDEX(INDEX(component_service_names[], , MATCH(VLOOKUP(industry_type, industry_column_names[], 2, FALSE), component_service_names[#Headers], 0)), ROW($A55)), "-")</f>
        <v>-</v>
      </c>
      <c r="B79" s="143" t="str" cm="1">
        <f t="array" ref="B79">IFERROR(INDEX(INDEX(component_service_names[], , MATCH(VLOOKUP(industry_type, industry_column_names[], 3, FALSE), component_service_names[#Headers], 0)), ROW($A55)), "-")</f>
        <v>-</v>
      </c>
      <c r="C79" s="144"/>
      <c r="D79" s="145" t="str" cm="1">
        <f t="array" ref="D79">IFERROR(
INDEX(
INDEX(factor_eff_table[], , MATCH(industry_type, factor_eff_table[#Headers], 0)),
MATCH(1, INDEX((standard_components_137[[#This Row],[Component]]=factor_eff_table[Component])*(standard_components_137[[#This Row],[Service]]=factor_eff_table[Service]), 0, 1), 0)),
 "-")</f>
        <v>-</v>
      </c>
      <c r="E79" s="145" t="str" cm="1">
        <f t="array" ref="E7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79" s="145" t="str" cm="1">
        <f t="array" ref="F7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79" s="145" t="str" cm="1">
        <f t="array" ref="G7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7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7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0" spans="1:9" x14ac:dyDescent="0.2">
      <c r="A80" s="143" t="str" cm="1">
        <f t="array" ref="A80">IFERROR(INDEX(INDEX(component_service_names[], , MATCH(VLOOKUP(industry_type, industry_column_names[], 2, FALSE), component_service_names[#Headers], 0)), ROW($A56)), "-")</f>
        <v>-</v>
      </c>
      <c r="B80" s="143" t="str" cm="1">
        <f t="array" ref="B80">IFERROR(INDEX(INDEX(component_service_names[], , MATCH(VLOOKUP(industry_type, industry_column_names[], 3, FALSE), component_service_names[#Headers], 0)), ROW($A56)), "-")</f>
        <v>-</v>
      </c>
      <c r="C80" s="144"/>
      <c r="D80" s="145" t="str" cm="1">
        <f t="array" ref="D80">IFERROR(
INDEX(
INDEX(factor_eff_table[], , MATCH(industry_type, factor_eff_table[#Headers], 0)),
MATCH(1, INDEX((standard_components_137[[#This Row],[Component]]=factor_eff_table[Component])*(standard_components_137[[#This Row],[Service]]=factor_eff_table[Service]), 0, 1), 0)),
 "-")</f>
        <v>-</v>
      </c>
      <c r="E80" s="145" t="str" cm="1">
        <f t="array" ref="E8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0" s="145" t="str" cm="1">
        <f t="array" ref="F8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0" s="145" t="str" cm="1">
        <f t="array" ref="G8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1" spans="1:9" x14ac:dyDescent="0.2">
      <c r="A81" s="143" t="str" cm="1">
        <f t="array" ref="A81">IFERROR(INDEX(INDEX(component_service_names[], , MATCH(VLOOKUP(industry_type, industry_column_names[], 2, FALSE), component_service_names[#Headers], 0)), ROW($A57)), "-")</f>
        <v>-</v>
      </c>
      <c r="B81" s="143" t="str" cm="1">
        <f t="array" ref="B81">IFERROR(INDEX(INDEX(component_service_names[], , MATCH(VLOOKUP(industry_type, industry_column_names[], 3, FALSE), component_service_names[#Headers], 0)), ROW($A57)), "-")</f>
        <v>-</v>
      </c>
      <c r="C81" s="144"/>
      <c r="D81" s="145" t="str" cm="1">
        <f t="array" ref="D81">IFERROR(
INDEX(
INDEX(factor_eff_table[], , MATCH(industry_type, factor_eff_table[#Headers], 0)),
MATCH(1, INDEX((standard_components_137[[#This Row],[Component]]=factor_eff_table[Component])*(standard_components_137[[#This Row],[Service]]=factor_eff_table[Service]), 0, 1), 0)),
 "-")</f>
        <v>-</v>
      </c>
      <c r="E81" s="145" t="str" cm="1">
        <f t="array" ref="E8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1" s="145" t="str" cm="1">
        <f t="array" ref="F8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1" s="145" t="str" cm="1">
        <f t="array" ref="G8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2" spans="1:9" x14ac:dyDescent="0.2">
      <c r="A82" s="143" t="str" cm="1">
        <f t="array" ref="A82">IFERROR(INDEX(INDEX(component_service_names[], , MATCH(VLOOKUP(industry_type, industry_column_names[], 2, FALSE), component_service_names[#Headers], 0)), ROW($A58)), "-")</f>
        <v>-</v>
      </c>
      <c r="B82" s="143" t="str" cm="1">
        <f t="array" ref="B82">IFERROR(INDEX(INDEX(component_service_names[], , MATCH(VLOOKUP(industry_type, industry_column_names[], 3, FALSE), component_service_names[#Headers], 0)), ROW($A58)), "-")</f>
        <v>-</v>
      </c>
      <c r="C82" s="144"/>
      <c r="D82" s="145" t="str" cm="1">
        <f t="array" ref="D82">IFERROR(
INDEX(
INDEX(factor_eff_table[], , MATCH(industry_type, factor_eff_table[#Headers], 0)),
MATCH(1, INDEX((standard_components_137[[#This Row],[Component]]=factor_eff_table[Component])*(standard_components_137[[#This Row],[Service]]=factor_eff_table[Service]), 0, 1), 0)),
 "-")</f>
        <v>-</v>
      </c>
      <c r="E82" s="145" t="str" cm="1">
        <f t="array" ref="E8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2" s="145" t="str" cm="1">
        <f t="array" ref="F8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2" s="145" t="str" cm="1">
        <f t="array" ref="G8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3" spans="1:9" x14ac:dyDescent="0.2">
      <c r="A83" s="143" t="str" cm="1">
        <f t="array" ref="A83">IFERROR(INDEX(INDEX(component_service_names[], , MATCH(VLOOKUP(industry_type, industry_column_names[], 2, FALSE), component_service_names[#Headers], 0)), ROW($A59)), "-")</f>
        <v>-</v>
      </c>
      <c r="B83" s="143" t="str" cm="1">
        <f t="array" ref="B83">IFERROR(INDEX(INDEX(component_service_names[], , MATCH(VLOOKUP(industry_type, industry_column_names[], 3, FALSE), component_service_names[#Headers], 0)), ROW($A59)), "-")</f>
        <v>-</v>
      </c>
      <c r="C83" s="144"/>
      <c r="D83" s="145" t="str" cm="1">
        <f t="array" ref="D83">IFERROR(
INDEX(
INDEX(factor_eff_table[], , MATCH(industry_type, factor_eff_table[#Headers], 0)),
MATCH(1, INDEX((standard_components_137[[#This Row],[Component]]=factor_eff_table[Component])*(standard_components_137[[#This Row],[Service]]=factor_eff_table[Service]), 0, 1), 0)),
 "-")</f>
        <v>-</v>
      </c>
      <c r="E83" s="145" t="str" cm="1">
        <f t="array" ref="E8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3" s="145" t="str" cm="1">
        <f t="array" ref="F8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3" s="145" t="str" cm="1">
        <f t="array" ref="G8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4" spans="1:9" x14ac:dyDescent="0.2">
      <c r="A84" s="143" t="str" cm="1">
        <f t="array" ref="A84">IFERROR(INDEX(INDEX(component_service_names[], , MATCH(VLOOKUP(industry_type, industry_column_names[], 2, FALSE), component_service_names[#Headers], 0)), ROW($A60)), "-")</f>
        <v>-</v>
      </c>
      <c r="B84" s="143" t="str" cm="1">
        <f t="array" ref="B84">IFERROR(INDEX(INDEX(component_service_names[], , MATCH(VLOOKUP(industry_type, industry_column_names[], 3, FALSE), component_service_names[#Headers], 0)), ROW($A60)), "-")</f>
        <v>-</v>
      </c>
      <c r="C84" s="144"/>
      <c r="D84" s="145" t="str" cm="1">
        <f t="array" ref="D84">IFERROR(
INDEX(
INDEX(factor_eff_table[], , MATCH(industry_type, factor_eff_table[#Headers], 0)),
MATCH(1, INDEX((standard_components_137[[#This Row],[Component]]=factor_eff_table[Component])*(standard_components_137[[#This Row],[Service]]=factor_eff_table[Service]), 0, 1), 0)),
 "-")</f>
        <v>-</v>
      </c>
      <c r="E84" s="145" t="str" cm="1">
        <f t="array" ref="E8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4" s="145" t="str" cm="1">
        <f t="array" ref="F8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4" s="145" t="str" cm="1">
        <f t="array" ref="G8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5" spans="1:9" x14ac:dyDescent="0.2">
      <c r="A85" s="143" t="str" cm="1">
        <f t="array" ref="A85">IFERROR(INDEX(INDEX(component_service_names[], , MATCH(VLOOKUP(industry_type, industry_column_names[], 2, FALSE), component_service_names[#Headers], 0)), ROW($A61)), "-")</f>
        <v>-</v>
      </c>
      <c r="B85" s="143" t="str" cm="1">
        <f t="array" ref="B85">IFERROR(INDEX(INDEX(component_service_names[], , MATCH(VLOOKUP(industry_type, industry_column_names[], 3, FALSE), component_service_names[#Headers], 0)), ROW($A61)), "-")</f>
        <v>-</v>
      </c>
      <c r="C85" s="144"/>
      <c r="D85" s="145" t="str" cm="1">
        <f t="array" ref="D85">IFERROR(
INDEX(
INDEX(factor_eff_table[], , MATCH(industry_type, factor_eff_table[#Headers], 0)),
MATCH(1, INDEX((standard_components_137[[#This Row],[Component]]=factor_eff_table[Component])*(standard_components_137[[#This Row],[Service]]=factor_eff_table[Service]), 0, 1), 0)),
 "-")</f>
        <v>-</v>
      </c>
      <c r="E85" s="145" t="str" cm="1">
        <f t="array" ref="E8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5" s="145" t="str" cm="1">
        <f t="array" ref="F8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5" s="145" t="str" cm="1">
        <f t="array" ref="G8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6" spans="1:9" x14ac:dyDescent="0.2">
      <c r="A86" s="143" t="str" cm="1">
        <f t="array" ref="A86">IFERROR(INDEX(INDEX(component_service_names[], , MATCH(VLOOKUP(industry_type, industry_column_names[], 2, FALSE), component_service_names[#Headers], 0)), ROW($A62)), "-")</f>
        <v>-</v>
      </c>
      <c r="B86" s="143" t="str" cm="1">
        <f t="array" ref="B86">IFERROR(INDEX(INDEX(component_service_names[], , MATCH(VLOOKUP(industry_type, industry_column_names[], 3, FALSE), component_service_names[#Headers], 0)), ROW($A62)), "-")</f>
        <v>-</v>
      </c>
      <c r="C86" s="144"/>
      <c r="D86" s="145" t="str" cm="1">
        <f t="array" ref="D86">IFERROR(
INDEX(
INDEX(factor_eff_table[], , MATCH(industry_type, factor_eff_table[#Headers], 0)),
MATCH(1, INDEX((standard_components_137[[#This Row],[Component]]=factor_eff_table[Component])*(standard_components_137[[#This Row],[Service]]=factor_eff_table[Service]), 0, 1), 0)),
 "-")</f>
        <v>-</v>
      </c>
      <c r="E86" s="145" t="str" cm="1">
        <f t="array" ref="E8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6" s="145" t="str" cm="1">
        <f t="array" ref="F8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6" s="145" t="str" cm="1">
        <f t="array" ref="G8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7" spans="1:9" x14ac:dyDescent="0.2">
      <c r="A87" s="143" t="str" cm="1">
        <f t="array" ref="A87">IFERROR(INDEX(INDEX(component_service_names[], , MATCH(VLOOKUP(industry_type, industry_column_names[], 2, FALSE), component_service_names[#Headers], 0)), ROW($A63)), "-")</f>
        <v>-</v>
      </c>
      <c r="B87" s="143" t="str" cm="1">
        <f t="array" ref="B87">IFERROR(INDEX(INDEX(component_service_names[], , MATCH(VLOOKUP(industry_type, industry_column_names[], 3, FALSE), component_service_names[#Headers], 0)), ROW($A63)), "-")</f>
        <v>-</v>
      </c>
      <c r="C87" s="144"/>
      <c r="D87" s="145" t="str" cm="1">
        <f t="array" ref="D87">IFERROR(
INDEX(
INDEX(factor_eff_table[], , MATCH(industry_type, factor_eff_table[#Headers], 0)),
MATCH(1, INDEX((standard_components_137[[#This Row],[Component]]=factor_eff_table[Component])*(standard_components_137[[#This Row],[Service]]=factor_eff_table[Service]), 0, 1), 0)),
 "-")</f>
        <v>-</v>
      </c>
      <c r="E87" s="145" t="str" cm="1">
        <f t="array" ref="E8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7" s="145" t="str" cm="1">
        <f t="array" ref="F8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7" s="145" t="str" cm="1">
        <f t="array" ref="G8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8" spans="1:9" x14ac:dyDescent="0.2">
      <c r="A88" s="143" t="str" cm="1">
        <f t="array" ref="A88">IFERROR(INDEX(INDEX(component_service_names[], , MATCH(VLOOKUP(industry_type, industry_column_names[], 2, FALSE), component_service_names[#Headers], 0)), ROW($A64)), "-")</f>
        <v>-</v>
      </c>
      <c r="B88" s="143" t="str" cm="1">
        <f t="array" ref="B88">IFERROR(INDEX(INDEX(component_service_names[], , MATCH(VLOOKUP(industry_type, industry_column_names[], 3, FALSE), component_service_names[#Headers], 0)), ROW($A64)), "-")</f>
        <v>-</v>
      </c>
      <c r="C88" s="144"/>
      <c r="D88" s="145" t="str" cm="1">
        <f t="array" ref="D88">IFERROR(
INDEX(
INDEX(factor_eff_table[], , MATCH(industry_type, factor_eff_table[#Headers], 0)),
MATCH(1, INDEX((standard_components_137[[#This Row],[Component]]=factor_eff_table[Component])*(standard_components_137[[#This Row],[Service]]=factor_eff_table[Service]), 0, 1), 0)),
 "-")</f>
        <v>-</v>
      </c>
      <c r="E88" s="145" t="str" cm="1">
        <f t="array" ref="E8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8" s="145" t="str" cm="1">
        <f t="array" ref="F8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8" s="145" t="str" cm="1">
        <f t="array" ref="G8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89" spans="1:9" x14ac:dyDescent="0.2">
      <c r="A89" s="143" t="str" cm="1">
        <f t="array" ref="A89">IFERROR(INDEX(INDEX(component_service_names[], , MATCH(VLOOKUP(industry_type, industry_column_names[], 2, FALSE), component_service_names[#Headers], 0)), ROW($A65)), "-")</f>
        <v>-</v>
      </c>
      <c r="B89" s="143" t="str" cm="1">
        <f t="array" ref="B89">IFERROR(INDEX(INDEX(component_service_names[], , MATCH(VLOOKUP(industry_type, industry_column_names[], 3, FALSE), component_service_names[#Headers], 0)), ROW($A65)), "-")</f>
        <v>-</v>
      </c>
      <c r="C89" s="144"/>
      <c r="D89" s="145" t="str" cm="1">
        <f t="array" ref="D89">IFERROR(
INDEX(
INDEX(factor_eff_table[], , MATCH(industry_type, factor_eff_table[#Headers], 0)),
MATCH(1, INDEX((standard_components_137[[#This Row],[Component]]=factor_eff_table[Component])*(standard_components_137[[#This Row],[Service]]=factor_eff_table[Service]), 0, 1), 0)),
 "-")</f>
        <v>-</v>
      </c>
      <c r="E89" s="145" t="str" cm="1">
        <f t="array" ref="E8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89" s="145" t="str" cm="1">
        <f t="array" ref="F8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89" s="145" t="str" cm="1">
        <f t="array" ref="G8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8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8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0" spans="1:9" x14ac:dyDescent="0.2">
      <c r="A90" s="143" t="str" cm="1">
        <f t="array" ref="A90">IFERROR(INDEX(INDEX(component_service_names[], , MATCH(VLOOKUP(industry_type, industry_column_names[], 2, FALSE), component_service_names[#Headers], 0)), ROW($A66)), "-")</f>
        <v>-</v>
      </c>
      <c r="B90" s="143" t="str" cm="1">
        <f t="array" ref="B90">IFERROR(INDEX(INDEX(component_service_names[], , MATCH(VLOOKUP(industry_type, industry_column_names[], 3, FALSE), component_service_names[#Headers], 0)), ROW($A66)), "-")</f>
        <v>-</v>
      </c>
      <c r="C90" s="144"/>
      <c r="D90" s="145" t="str" cm="1">
        <f t="array" ref="D90">IFERROR(
INDEX(
INDEX(factor_eff_table[], , MATCH(industry_type, factor_eff_table[#Headers], 0)),
MATCH(1, INDEX((standard_components_137[[#This Row],[Component]]=factor_eff_table[Component])*(standard_components_137[[#This Row],[Service]]=factor_eff_table[Service]), 0, 1), 0)),
 "-")</f>
        <v>-</v>
      </c>
      <c r="E90" s="145" t="str" cm="1">
        <f t="array" ref="E9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0" s="145" t="str" cm="1">
        <f t="array" ref="F9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0" s="145" t="str" cm="1">
        <f t="array" ref="G9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1" spans="1:9" x14ac:dyDescent="0.2">
      <c r="A91" s="143" t="str" cm="1">
        <f t="array" ref="A91">IFERROR(INDEX(INDEX(component_service_names[], , MATCH(VLOOKUP(industry_type, industry_column_names[], 2, FALSE), component_service_names[#Headers], 0)), ROW($A67)), "-")</f>
        <v>-</v>
      </c>
      <c r="B91" s="143" t="str" cm="1">
        <f t="array" ref="B91">IFERROR(INDEX(INDEX(component_service_names[], , MATCH(VLOOKUP(industry_type, industry_column_names[], 3, FALSE), component_service_names[#Headers], 0)), ROW($A67)), "-")</f>
        <v>-</v>
      </c>
      <c r="C91" s="144"/>
      <c r="D91" s="145" t="str" cm="1">
        <f t="array" ref="D91">IFERROR(
INDEX(
INDEX(factor_eff_table[], , MATCH(industry_type, factor_eff_table[#Headers], 0)),
MATCH(1, INDEX((standard_components_137[[#This Row],[Component]]=factor_eff_table[Component])*(standard_components_137[[#This Row],[Service]]=factor_eff_table[Service]), 0, 1), 0)),
 "-")</f>
        <v>-</v>
      </c>
      <c r="E91" s="145" t="str" cm="1">
        <f t="array" ref="E91">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1" s="145" t="str" cm="1">
        <f t="array" ref="F91">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1" s="145" t="str" cm="1">
        <f t="array" ref="G91">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1"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1"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2" spans="1:9" x14ac:dyDescent="0.2">
      <c r="A92" s="143" t="str" cm="1">
        <f t="array" ref="A92">IFERROR(INDEX(INDEX(component_service_names[], , MATCH(VLOOKUP(industry_type, industry_column_names[], 2, FALSE), component_service_names[#Headers], 0)), ROW($A68)), "-")</f>
        <v>-</v>
      </c>
      <c r="B92" s="143" t="str" cm="1">
        <f t="array" ref="B92">IFERROR(INDEX(INDEX(component_service_names[], , MATCH(VLOOKUP(industry_type, industry_column_names[], 3, FALSE), component_service_names[#Headers], 0)), ROW($A68)), "-")</f>
        <v>-</v>
      </c>
      <c r="C92" s="144"/>
      <c r="D92" s="145" t="str" cm="1">
        <f t="array" ref="D92">IFERROR(
INDEX(
INDEX(factor_eff_table[], , MATCH(industry_type, factor_eff_table[#Headers], 0)),
MATCH(1, INDEX((standard_components_137[[#This Row],[Component]]=factor_eff_table[Component])*(standard_components_137[[#This Row],[Service]]=factor_eff_table[Service]), 0, 1), 0)),
 "-")</f>
        <v>-</v>
      </c>
      <c r="E92" s="145" t="str" cm="1">
        <f t="array" ref="E92">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2" s="145" t="str" cm="1">
        <f t="array" ref="F92">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2" s="145" t="str" cm="1">
        <f t="array" ref="G92">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2"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2"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3" spans="1:9" x14ac:dyDescent="0.2">
      <c r="A93" s="143" t="str" cm="1">
        <f t="array" ref="A93">IFERROR(INDEX(INDEX(component_service_names[], , MATCH(VLOOKUP(industry_type, industry_column_names[], 2, FALSE), component_service_names[#Headers], 0)), ROW($A69)), "-")</f>
        <v>-</v>
      </c>
      <c r="B93" s="143" t="str" cm="1">
        <f t="array" ref="B93">IFERROR(INDEX(INDEX(component_service_names[], , MATCH(VLOOKUP(industry_type, industry_column_names[], 3, FALSE), component_service_names[#Headers], 0)), ROW($A69)), "-")</f>
        <v>-</v>
      </c>
      <c r="C93" s="144"/>
      <c r="D93" s="145" t="str" cm="1">
        <f t="array" ref="D93">IFERROR(
INDEX(
INDEX(factor_eff_table[], , MATCH(industry_type, factor_eff_table[#Headers], 0)),
MATCH(1, INDEX((standard_components_137[[#This Row],[Component]]=factor_eff_table[Component])*(standard_components_137[[#This Row],[Service]]=factor_eff_table[Service]), 0, 1), 0)),
 "-")</f>
        <v>-</v>
      </c>
      <c r="E93" s="145" t="str" cm="1">
        <f t="array" ref="E93">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3" s="145" t="str" cm="1">
        <f t="array" ref="F93">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3" s="145" t="str" cm="1">
        <f t="array" ref="G93">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3"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3"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4" spans="1:9" x14ac:dyDescent="0.2">
      <c r="A94" s="143" t="str" cm="1">
        <f t="array" ref="A94">IFERROR(INDEX(INDEX(component_service_names[], , MATCH(VLOOKUP(industry_type, industry_column_names[], 2, FALSE), component_service_names[#Headers], 0)), ROW($A70)), "-")</f>
        <v>-</v>
      </c>
      <c r="B94" s="143" t="str" cm="1">
        <f t="array" ref="B94">IFERROR(INDEX(INDEX(component_service_names[], , MATCH(VLOOKUP(industry_type, industry_column_names[], 3, FALSE), component_service_names[#Headers], 0)), ROW($A70)), "-")</f>
        <v>-</v>
      </c>
      <c r="C94" s="144"/>
      <c r="D94" s="145" t="str" cm="1">
        <f t="array" ref="D94">IFERROR(
INDEX(
INDEX(factor_eff_table[], , MATCH(industry_type, factor_eff_table[#Headers], 0)),
MATCH(1, INDEX((standard_components_137[[#This Row],[Component]]=factor_eff_table[Component])*(standard_components_137[[#This Row],[Service]]=factor_eff_table[Service]), 0, 1), 0)),
 "-")</f>
        <v>-</v>
      </c>
      <c r="E94" s="145" t="str" cm="1">
        <f t="array" ref="E94">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4" s="145" t="str" cm="1">
        <f t="array" ref="F94">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4" s="145" t="str" cm="1">
        <f t="array" ref="G94">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4"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4"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5" spans="1:9" x14ac:dyDescent="0.2">
      <c r="A95" s="143" t="str" cm="1">
        <f t="array" ref="A95">IFERROR(INDEX(INDEX(component_service_names[], , MATCH(VLOOKUP(industry_type, industry_column_names[], 2, FALSE), component_service_names[#Headers], 0)), ROW($A71)), "-")</f>
        <v>-</v>
      </c>
      <c r="B95" s="143" t="str" cm="1">
        <f t="array" ref="B95">IFERROR(INDEX(INDEX(component_service_names[], , MATCH(VLOOKUP(industry_type, industry_column_names[], 3, FALSE), component_service_names[#Headers], 0)), ROW($A71)), "-")</f>
        <v>-</v>
      </c>
      <c r="C95" s="144"/>
      <c r="D95" s="145" t="str" cm="1">
        <f t="array" ref="D95">IFERROR(
INDEX(
INDEX(factor_eff_table[], , MATCH(industry_type, factor_eff_table[#Headers], 0)),
MATCH(1, INDEX((standard_components_137[[#This Row],[Component]]=factor_eff_table[Component])*(standard_components_137[[#This Row],[Service]]=factor_eff_table[Service]), 0, 1), 0)),
 "-")</f>
        <v>-</v>
      </c>
      <c r="E95" s="145" t="str" cm="1">
        <f t="array" ref="E95">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5" s="145" t="str" cm="1">
        <f t="array" ref="F95">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5" s="145" t="str" cm="1">
        <f t="array" ref="G95">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5"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5"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6" spans="1:9" x14ac:dyDescent="0.2">
      <c r="A96" s="143" t="str" cm="1">
        <f t="array" ref="A96">IFERROR(INDEX(INDEX(component_service_names[], , MATCH(VLOOKUP(industry_type, industry_column_names[], 2, FALSE), component_service_names[#Headers], 0)), ROW($A72)), "-")</f>
        <v>-</v>
      </c>
      <c r="B96" s="143" t="str" cm="1">
        <f t="array" ref="B96">IFERROR(INDEX(INDEX(component_service_names[], , MATCH(VLOOKUP(industry_type, industry_column_names[], 3, FALSE), component_service_names[#Headers], 0)), ROW($A72)), "-")</f>
        <v>-</v>
      </c>
      <c r="C96" s="144"/>
      <c r="D96" s="145" t="str" cm="1">
        <f t="array" ref="D96">IFERROR(
INDEX(
INDEX(factor_eff_table[], , MATCH(industry_type, factor_eff_table[#Headers], 0)),
MATCH(1, INDEX((standard_components_137[[#This Row],[Component]]=factor_eff_table[Component])*(standard_components_137[[#This Row],[Service]]=factor_eff_table[Service]), 0, 1), 0)),
 "-")</f>
        <v>-</v>
      </c>
      <c r="E96" s="145" t="str" cm="1">
        <f t="array" ref="E96">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6" s="145" t="str" cm="1">
        <f t="array" ref="F96">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6" s="145" t="str" cm="1">
        <f t="array" ref="G96">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6"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6"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7" spans="1:9" x14ac:dyDescent="0.2">
      <c r="A97" s="143" t="str" cm="1">
        <f t="array" ref="A97">IFERROR(INDEX(INDEX(component_service_names[], , MATCH(VLOOKUP(industry_type, industry_column_names[], 2, FALSE), component_service_names[#Headers], 0)), ROW($A73)), "-")</f>
        <v>-</v>
      </c>
      <c r="B97" s="143" t="str" cm="1">
        <f t="array" ref="B97">IFERROR(INDEX(INDEX(component_service_names[], , MATCH(VLOOKUP(industry_type, industry_column_names[], 3, FALSE), component_service_names[#Headers], 0)), ROW($A73)), "-")</f>
        <v>-</v>
      </c>
      <c r="C97" s="144"/>
      <c r="D97" s="145" t="str" cm="1">
        <f t="array" ref="D97">IFERROR(
INDEX(
INDEX(factor_eff_table[], , MATCH(industry_type, factor_eff_table[#Headers], 0)),
MATCH(1, INDEX((standard_components_137[[#This Row],[Component]]=factor_eff_table[Component])*(standard_components_137[[#This Row],[Service]]=factor_eff_table[Service]), 0, 1), 0)),
 "-")</f>
        <v>-</v>
      </c>
      <c r="E97" s="145" t="str" cm="1">
        <f t="array" ref="E97">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7" s="145" t="str" cm="1">
        <f t="array" ref="F97">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7" s="145" t="str" cm="1">
        <f t="array" ref="G97">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7"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7"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8" spans="1:9" x14ac:dyDescent="0.2">
      <c r="A98" s="143" t="str" cm="1">
        <f t="array" ref="A98">IFERROR(INDEX(INDEX(component_service_names[], , MATCH(VLOOKUP(industry_type, industry_column_names[], 2, FALSE), component_service_names[#Headers], 0)), ROW($A74)), "-")</f>
        <v>-</v>
      </c>
      <c r="B98" s="143" t="str" cm="1">
        <f t="array" ref="B98">IFERROR(INDEX(INDEX(component_service_names[], , MATCH(VLOOKUP(industry_type, industry_column_names[], 3, FALSE), component_service_names[#Headers], 0)), ROW($A74)), "-")</f>
        <v>-</v>
      </c>
      <c r="C98" s="144"/>
      <c r="D98" s="145" t="str" cm="1">
        <f t="array" ref="D98">IFERROR(
INDEX(
INDEX(factor_eff_table[], , MATCH(industry_type, factor_eff_table[#Headers], 0)),
MATCH(1, INDEX((standard_components_137[[#This Row],[Component]]=factor_eff_table[Component])*(standard_components_137[[#This Row],[Service]]=factor_eff_table[Service]), 0, 1), 0)),
 "-")</f>
        <v>-</v>
      </c>
      <c r="E98" s="145" t="str" cm="1">
        <f t="array" ref="E98">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8" s="145" t="str" cm="1">
        <f t="array" ref="F98">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8" s="145" t="str" cm="1">
        <f t="array" ref="G98">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8"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8"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99" spans="1:9" x14ac:dyDescent="0.2">
      <c r="A99" s="143" t="str" cm="1">
        <f t="array" ref="A99">IFERROR(INDEX(INDEX(component_service_names[], , MATCH(VLOOKUP(industry_type, industry_column_names[], 2, FALSE), component_service_names[#Headers], 0)), ROW($A75)), "-")</f>
        <v>-</v>
      </c>
      <c r="B99" s="143" t="str" cm="1">
        <f t="array" ref="B99">IFERROR(INDEX(INDEX(component_service_names[], , MATCH(VLOOKUP(industry_type, industry_column_names[], 3, FALSE), component_service_names[#Headers], 0)), ROW($A75)), "-")</f>
        <v>-</v>
      </c>
      <c r="C99" s="144"/>
      <c r="D99" s="145" t="str" cm="1">
        <f t="array" ref="D99">IFERROR(
INDEX(
INDEX(factor_eff_table[], , MATCH(industry_type, factor_eff_table[#Headers], 0)),
MATCH(1, INDEX((standard_components_137[[#This Row],[Component]]=factor_eff_table[Component])*(standard_components_137[[#This Row],[Service]]=factor_eff_table[Service]), 0, 1), 0)),
 "-")</f>
        <v>-</v>
      </c>
      <c r="E99" s="145" t="str" cm="1">
        <f t="array" ref="E99">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99" s="145" t="str" cm="1">
        <f t="array" ref="F99">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99" s="145" t="str" cm="1">
        <f t="array" ref="G99">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99"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99"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100" spans="1:9" x14ac:dyDescent="0.2">
      <c r="A100" s="143" t="str" cm="1">
        <f t="array" ref="A100">IFERROR(INDEX(INDEX(component_service_names[], , MATCH(VLOOKUP(industry_type, industry_column_names[], 2, FALSE), component_service_names[#Headers], 0)), ROW($A76)), "-")</f>
        <v>-</v>
      </c>
      <c r="B100" s="143" t="str" cm="1">
        <f t="array" ref="B100">IFERROR(INDEX(INDEX(component_service_names[], , MATCH(VLOOKUP(industry_type, industry_column_names[], 3, FALSE), component_service_names[#Headers], 0)), ROW($A76)), "-")</f>
        <v>-</v>
      </c>
      <c r="C100" s="144"/>
      <c r="D100" s="145" t="str" cm="1">
        <f t="array" ref="D100">IFERROR(
INDEX(
INDEX(factor_eff_table[], , MATCH(industry_type, factor_eff_table[#Headers], 0)),
MATCH(1, INDEX((standard_components_137[[#This Row],[Component]]=factor_eff_table[Component])*(standard_components_137[[#This Row],[Service]]=factor_eff_table[Service]), 0, 1), 0)),
 "-")</f>
        <v>-</v>
      </c>
      <c r="E100" s="145" t="str" cm="1">
        <f t="array" ref="E100">IF(AND(process_drain_bool="Yes",LEFT(standard_components_137[[#This Row],[Component]], LEN("Process drains"))="Process Drains", ISBLANK(instrument_ldar)=FALSE), process_drain_eff,
IFERROR(
INDEX(
INDEX(factor_eff_table[], , MATCH(instrument_ldar, factor_eff_table[#Headers], 0)),
MATCH(1, INDEX((standard_components_137[[#This Row],[Component]]=factor_eff_table[Component])*(standard_components_137[[#This Row],[Service]]=factor_eff_table[Service]), 0, 1), 0)),
 "-"))</f>
        <v>-</v>
      </c>
      <c r="F100" s="145" t="str" cm="1">
        <f t="array" ref="F100">IF(AND(process_drain_bool="Yes",LEFT(standard_components_137[[#This Row],[Component]], LEN("Process drains"))="Process Drains", ISBLANK(connector_ldar)=FALSE), process_drain_eff,
IFERROR(
INDEX(
INDEX(factor_eff_table[], , MATCH(connector_ldar, factor_eff_table[#Headers], 0)),
MATCH(1, INDEX((standard_components_137[[#This Row],[Component]]=factor_eff_table[Component])*(standard_components_137[[#This Row],[Service]]=factor_eff_table[Service]), 0, 1), 0)),
 "-"))</f>
        <v>-</v>
      </c>
      <c r="G100" s="145" t="str" cm="1">
        <f t="array" ref="G100">IF(AND(process_drain_bool="Yes",LEFT(standard_components_137[[#This Row],[Component]], LEN("Process Drains"))="Process Drains", ISBLANK(inspection_ldar)=FALSE), process_drain_eff,
IFERROR(
INDEX(
INDEX(factor_eff_table[], , MATCH(inspection_ldar, factor_eff_table[#Headers], 0)),
MATCH(1, INDEX((standard_components_137[[#This Row],[Component]]=factor_eff_table[Component])*(standard_components_137[[#This Row],[Service]]=factor_eff_table[Service]), 0, 1), 0)),
 "-"))</f>
        <v>-</v>
      </c>
      <c r="H100" s="146" t="str">
        <f>IF(standard_components_137[[#This Row],[Component]]="Sampling Connections (annual) [2]", "N/A",
 IF(standard_components_137[[#This Row],[Component]]="Sampling Connections (hourly) [1]", standard_components_137[[#This Row],[Count]]*standard_components_137[[#This Row],[Industry Emission Factor]],
IFERROR(standard_components_137[[#This Row],[Count]]*standard_components_137[[#This Row],[Industry Emission Factor]]*MIN(1-standard_components_137[[#This Row],[Instrument Monitoring LDAR Control Efficiency]], 1-standard_components_137[[#This Row],[Physical Inspection LDAR Control Efficiency]], 1-standard_components_137[[#This Row],[Connector Monitoring LDAR Control Efficiency]]), "-")))</f>
        <v>-</v>
      </c>
      <c r="I100" s="146" t="str">
        <f>IF(standard_components_137[[#This Row],[Component]]="Sampling Connections (hourly) [1]", "N/A",
 IF(standard_components_137[[#This Row],[Component]]="Sampling Connections (annual) [2]", standard_components_137[[#This Row],[Count]]*standard_components_137[[#This Row],[Industry Emission Factor]]/stons_to_lbs,
 IFERROR(years_to_hrs/stons_to_lbs*standard_components_137[[#This Row],[Controlled
lb/hr]], "-")))</f>
        <v>-</v>
      </c>
    </row>
    <row r="101" spans="1:9" ht="15" x14ac:dyDescent="0.25">
      <c r="A101" s="147" t="s">
        <v>12776</v>
      </c>
      <c r="B101" s="148"/>
      <c r="C101" s="149">
        <f>SUBTOTAL(109,standard_components_137[Count])</f>
        <v>0</v>
      </c>
      <c r="D101" s="150"/>
      <c r="E101" s="150"/>
      <c r="F101" s="150"/>
      <c r="G101" s="150"/>
      <c r="H101" s="151">
        <f>SUBTOTAL(109,standard_components_137[Controlled
lb/hr])</f>
        <v>0</v>
      </c>
      <c r="I101" s="151">
        <f>SUBTOTAL(109,standard_components_137[Controlled
tpy])</f>
        <v>0</v>
      </c>
    </row>
    <row r="102" spans="1:9" ht="15" thickBot="1" x14ac:dyDescent="0.25"/>
    <row r="103" spans="1:9" ht="15.75" thickBot="1" x14ac:dyDescent="0.3">
      <c r="A103" s="152" t="s">
        <v>12488</v>
      </c>
      <c r="B103" s="141"/>
      <c r="C103" s="134"/>
      <c r="D103" s="134"/>
      <c r="E103" s="134"/>
      <c r="F103" s="134"/>
      <c r="G103" s="134"/>
      <c r="H103" s="134"/>
    </row>
    <row r="104" spans="1:9" ht="28.5" x14ac:dyDescent="0.2">
      <c r="A104" s="48" t="s">
        <v>12486</v>
      </c>
      <c r="B104" s="217"/>
      <c r="C104" s="31"/>
      <c r="D104" s="31"/>
      <c r="E104" s="32"/>
      <c r="F104" s="32"/>
      <c r="G104" s="32"/>
      <c r="H104" s="32"/>
    </row>
    <row r="105" spans="1:9" ht="186.75" customHeight="1" x14ac:dyDescent="0.2">
      <c r="A105" s="49" t="s">
        <v>12487</v>
      </c>
      <c r="B105" s="218"/>
      <c r="C105" s="31"/>
      <c r="D105" s="31"/>
      <c r="E105" s="32"/>
      <c r="F105" s="32"/>
      <c r="G105" s="32"/>
      <c r="H105" s="32"/>
    </row>
    <row r="106" spans="1:9" ht="45" customHeight="1" x14ac:dyDescent="0.2">
      <c r="A106" s="142" t="s">
        <v>0</v>
      </c>
      <c r="B106" s="36" t="s">
        <v>35</v>
      </c>
      <c r="C106" s="36" t="s">
        <v>25</v>
      </c>
      <c r="D106" s="36" t="s">
        <v>51</v>
      </c>
      <c r="E106" s="36" t="s">
        <v>12689</v>
      </c>
      <c r="F106" s="34" t="s">
        <v>12690</v>
      </c>
      <c r="G106" s="35" t="s">
        <v>50</v>
      </c>
    </row>
    <row r="107" spans="1:9" x14ac:dyDescent="0.2">
      <c r="A107" s="103"/>
      <c r="B107" s="104"/>
      <c r="C107" s="153"/>
      <c r="D107" s="154"/>
      <c r="E107" s="154"/>
      <c r="F107" s="146">
        <f>unique_components_138[[#This Row],[Count]]*unique_components_138[[#This Row],[Proposed Emission Factor]]*(1-unique_components_138[[#This Row],[Proposed Control Efficiency]])</f>
        <v>0</v>
      </c>
      <c r="G107" s="155">
        <f>IFERROR(unique_components_138[[#This Row],[Controlled lb/hr]]*4.38,"")</f>
        <v>0</v>
      </c>
    </row>
    <row r="108" spans="1:9" x14ac:dyDescent="0.2">
      <c r="A108" s="103"/>
      <c r="B108" s="104"/>
      <c r="C108" s="153"/>
      <c r="D108" s="154"/>
      <c r="E108" s="154"/>
      <c r="F108" s="146">
        <f>unique_components_138[[#This Row],[Count]]*unique_components_138[[#This Row],[Proposed Emission Factor]]*(1-unique_components_138[[#This Row],[Proposed Control Efficiency]])</f>
        <v>0</v>
      </c>
      <c r="G108" s="155">
        <f>IFERROR(unique_components_138[[#This Row],[Controlled lb/hr]]*4.38,"")</f>
        <v>0</v>
      </c>
    </row>
    <row r="109" spans="1:9" x14ac:dyDescent="0.2">
      <c r="A109" s="103"/>
      <c r="B109" s="104"/>
      <c r="C109" s="153"/>
      <c r="D109" s="154"/>
      <c r="E109" s="154"/>
      <c r="F109" s="146">
        <f>unique_components_138[[#This Row],[Count]]*unique_components_138[[#This Row],[Proposed Emission Factor]]*(1-unique_components_138[[#This Row],[Proposed Control Efficiency]])</f>
        <v>0</v>
      </c>
      <c r="G109" s="155">
        <f>IFERROR(unique_components_138[[#This Row],[Controlled lb/hr]]*4.38,"")</f>
        <v>0</v>
      </c>
    </row>
    <row r="110" spans="1:9" x14ac:dyDescent="0.2">
      <c r="A110" s="103"/>
      <c r="B110" s="104"/>
      <c r="C110" s="153"/>
      <c r="D110" s="154"/>
      <c r="E110" s="154"/>
      <c r="F110" s="146">
        <f>unique_components_138[[#This Row],[Count]]*unique_components_138[[#This Row],[Proposed Emission Factor]]*(1-unique_components_138[[#This Row],[Proposed Control Efficiency]])</f>
        <v>0</v>
      </c>
      <c r="G110" s="155">
        <f>IFERROR(unique_components_138[[#This Row],[Controlled lb/hr]]*4.38,"")</f>
        <v>0</v>
      </c>
    </row>
    <row r="111" spans="1:9" x14ac:dyDescent="0.2">
      <c r="A111" s="103"/>
      <c r="B111" s="104"/>
      <c r="C111" s="153"/>
      <c r="D111" s="154"/>
      <c r="E111" s="154"/>
      <c r="F111" s="146">
        <f>unique_components_138[[#This Row],[Count]]*unique_components_138[[#This Row],[Proposed Emission Factor]]*(1-unique_components_138[[#This Row],[Proposed Control Efficiency]])</f>
        <v>0</v>
      </c>
      <c r="G111" s="155">
        <f>IFERROR(unique_components_138[[#This Row],[Controlled lb/hr]]*4.38,"")</f>
        <v>0</v>
      </c>
    </row>
    <row r="112" spans="1:9" x14ac:dyDescent="0.2">
      <c r="A112" s="103"/>
      <c r="B112" s="104"/>
      <c r="C112" s="153"/>
      <c r="D112" s="154"/>
      <c r="E112" s="154"/>
      <c r="F112" s="146">
        <f>unique_components_138[[#This Row],[Count]]*unique_components_138[[#This Row],[Proposed Emission Factor]]*(1-unique_components_138[[#This Row],[Proposed Control Efficiency]])</f>
        <v>0</v>
      </c>
      <c r="G112" s="155">
        <f>IFERROR(unique_components_138[[#This Row],[Controlled lb/hr]]*4.38,"")</f>
        <v>0</v>
      </c>
    </row>
    <row r="113" spans="1:8" x14ac:dyDescent="0.2">
      <c r="A113" s="103"/>
      <c r="B113" s="104"/>
      <c r="C113" s="153"/>
      <c r="D113" s="154"/>
      <c r="E113" s="154"/>
      <c r="F113" s="146">
        <f>unique_components_138[[#This Row],[Count]]*unique_components_138[[#This Row],[Proposed Emission Factor]]*(1-unique_components_138[[#This Row],[Proposed Control Efficiency]])</f>
        <v>0</v>
      </c>
      <c r="G113" s="155">
        <f>IFERROR(unique_components_138[[#This Row],[Controlled lb/hr]]*4.38,"")</f>
        <v>0</v>
      </c>
    </row>
    <row r="114" spans="1:8" x14ac:dyDescent="0.2">
      <c r="A114" s="103"/>
      <c r="B114" s="104"/>
      <c r="C114" s="153"/>
      <c r="D114" s="154"/>
      <c r="E114" s="154"/>
      <c r="F114" s="146">
        <f>unique_components_138[[#This Row],[Count]]*unique_components_138[[#This Row],[Proposed Emission Factor]]*(1-unique_components_138[[#This Row],[Proposed Control Efficiency]])</f>
        <v>0</v>
      </c>
      <c r="G114" s="155">
        <f>IFERROR(unique_components_138[[#This Row],[Controlled lb/hr]]*4.38,"")</f>
        <v>0</v>
      </c>
    </row>
    <row r="115" spans="1:8" x14ac:dyDescent="0.2">
      <c r="A115" s="103"/>
      <c r="B115" s="104"/>
      <c r="C115" s="153"/>
      <c r="D115" s="154"/>
      <c r="E115" s="154"/>
      <c r="F115" s="146">
        <f>unique_components_138[[#This Row],[Count]]*unique_components_138[[#This Row],[Proposed Emission Factor]]*(1-unique_components_138[[#This Row],[Proposed Control Efficiency]])</f>
        <v>0</v>
      </c>
      <c r="G115" s="155">
        <f>IFERROR(unique_components_138[[#This Row],[Controlled lb/hr]]*4.38,"")</f>
        <v>0</v>
      </c>
    </row>
    <row r="116" spans="1:8" x14ac:dyDescent="0.2">
      <c r="A116" s="103"/>
      <c r="B116" s="104"/>
      <c r="C116" s="153"/>
      <c r="D116" s="154"/>
      <c r="E116" s="154"/>
      <c r="F116" s="146">
        <f>unique_components_138[[#This Row],[Count]]*unique_components_138[[#This Row],[Proposed Emission Factor]]*(1-unique_components_138[[#This Row],[Proposed Control Efficiency]])</f>
        <v>0</v>
      </c>
      <c r="G116" s="155">
        <f>IFERROR(unique_components_138[[#This Row],[Controlled lb/hr]]*4.38,"")</f>
        <v>0</v>
      </c>
    </row>
    <row r="117" spans="1:8" x14ac:dyDescent="0.2">
      <c r="A117" s="103"/>
      <c r="B117" s="104"/>
      <c r="C117" s="153"/>
      <c r="D117" s="154"/>
      <c r="E117" s="154"/>
      <c r="F117" s="146">
        <f>unique_components_138[[#This Row],[Count]]*unique_components_138[[#This Row],[Proposed Emission Factor]]*(1-unique_components_138[[#This Row],[Proposed Control Efficiency]])</f>
        <v>0</v>
      </c>
      <c r="G117" s="155">
        <f>IFERROR(unique_components_138[[#This Row],[Controlled lb/hr]]*4.38,"")</f>
        <v>0</v>
      </c>
    </row>
    <row r="118" spans="1:8" x14ac:dyDescent="0.2">
      <c r="A118" s="103"/>
      <c r="B118" s="104"/>
      <c r="C118" s="153"/>
      <c r="D118" s="154"/>
      <c r="E118" s="154"/>
      <c r="F118" s="146">
        <f>unique_components_138[[#This Row],[Count]]*unique_components_138[[#This Row],[Proposed Emission Factor]]*(1-unique_components_138[[#This Row],[Proposed Control Efficiency]])</f>
        <v>0</v>
      </c>
      <c r="G118" s="155">
        <f>IFERROR(unique_components_138[[#This Row],[Controlled lb/hr]]*4.38,"")</f>
        <v>0</v>
      </c>
    </row>
    <row r="119" spans="1:8" x14ac:dyDescent="0.2">
      <c r="A119" s="103"/>
      <c r="B119" s="104"/>
      <c r="C119" s="153"/>
      <c r="D119" s="154"/>
      <c r="E119" s="154"/>
      <c r="F119" s="146">
        <f>unique_components_138[[#This Row],[Count]]*unique_components_138[[#This Row],[Proposed Emission Factor]]*(1-unique_components_138[[#This Row],[Proposed Control Efficiency]])</f>
        <v>0</v>
      </c>
      <c r="G119" s="155">
        <f>IFERROR(unique_components_138[[#This Row],[Controlled lb/hr]]*4.38,"")</f>
        <v>0</v>
      </c>
    </row>
    <row r="120" spans="1:8" x14ac:dyDescent="0.2">
      <c r="A120" s="103"/>
      <c r="B120" s="104"/>
      <c r="C120" s="153"/>
      <c r="D120" s="154"/>
      <c r="E120" s="154"/>
      <c r="F120" s="146">
        <f>unique_components_138[[#This Row],[Count]]*unique_components_138[[#This Row],[Proposed Emission Factor]]*(1-unique_components_138[[#This Row],[Proposed Control Efficiency]])</f>
        <v>0</v>
      </c>
      <c r="G120" s="155">
        <f>IFERROR(unique_components_138[[#This Row],[Controlled lb/hr]]*4.38,"")</f>
        <v>0</v>
      </c>
    </row>
    <row r="121" spans="1:8" x14ac:dyDescent="0.2">
      <c r="A121" s="103"/>
      <c r="B121" s="104"/>
      <c r="C121" s="153"/>
      <c r="D121" s="154"/>
      <c r="E121" s="154"/>
      <c r="F121" s="146">
        <f>unique_components_138[[#This Row],[Count]]*unique_components_138[[#This Row],[Proposed Emission Factor]]*(1-unique_components_138[[#This Row],[Proposed Control Efficiency]])</f>
        <v>0</v>
      </c>
      <c r="G121" s="155">
        <f>IFERROR(unique_components_138[[#This Row],[Controlled lb/hr]]*4.38,"")</f>
        <v>0</v>
      </c>
    </row>
    <row r="122" spans="1:8" x14ac:dyDescent="0.2">
      <c r="A122" s="103"/>
      <c r="B122" s="104"/>
      <c r="C122" s="153"/>
      <c r="D122" s="154"/>
      <c r="E122" s="154"/>
      <c r="F122" s="146">
        <f>unique_components_138[[#This Row],[Count]]*unique_components_138[[#This Row],[Proposed Emission Factor]]*(1-unique_components_138[[#This Row],[Proposed Control Efficiency]])</f>
        <v>0</v>
      </c>
      <c r="G122" s="155">
        <f>IFERROR(unique_components_138[[#This Row],[Controlled lb/hr]]*4.38,"")</f>
        <v>0</v>
      </c>
    </row>
    <row r="123" spans="1:8" x14ac:dyDescent="0.2">
      <c r="A123" s="103"/>
      <c r="B123" s="104"/>
      <c r="C123" s="153"/>
      <c r="D123" s="154"/>
      <c r="E123" s="154"/>
      <c r="F123" s="146">
        <f>unique_components_138[[#This Row],[Count]]*unique_components_138[[#This Row],[Proposed Emission Factor]]*(1-unique_components_138[[#This Row],[Proposed Control Efficiency]])</f>
        <v>0</v>
      </c>
      <c r="G123" s="155">
        <f>IFERROR(unique_components_138[[#This Row],[Controlled lb/hr]]*4.38,"")</f>
        <v>0</v>
      </c>
    </row>
    <row r="124" spans="1:8" x14ac:dyDescent="0.2">
      <c r="A124" s="103"/>
      <c r="B124" s="104"/>
      <c r="C124" s="153"/>
      <c r="D124" s="154"/>
      <c r="E124" s="154"/>
      <c r="F124" s="146">
        <f>unique_components_138[[#This Row],[Count]]*unique_components_138[[#This Row],[Proposed Emission Factor]]*(1-unique_components_138[[#This Row],[Proposed Control Efficiency]])</f>
        <v>0</v>
      </c>
      <c r="G124" s="155">
        <f>IFERROR(unique_components_138[[#This Row],[Controlled lb/hr]]*4.38,"")</f>
        <v>0</v>
      </c>
    </row>
    <row r="125" spans="1:8" x14ac:dyDescent="0.2">
      <c r="A125" s="103"/>
      <c r="B125" s="104"/>
      <c r="C125" s="153"/>
      <c r="D125" s="154"/>
      <c r="E125" s="154"/>
      <c r="F125" s="146">
        <f>unique_components_138[[#This Row],[Count]]*unique_components_138[[#This Row],[Proposed Emission Factor]]*(1-unique_components_138[[#This Row],[Proposed Control Efficiency]])</f>
        <v>0</v>
      </c>
      <c r="G125" s="155">
        <f>IFERROR(unique_components_138[[#This Row],[Controlled lb/hr]]*4.38,"")</f>
        <v>0</v>
      </c>
    </row>
    <row r="126" spans="1:8" x14ac:dyDescent="0.2">
      <c r="A126" s="105"/>
      <c r="B126" s="106"/>
      <c r="C126" s="156"/>
      <c r="D126" s="154"/>
      <c r="E126" s="157"/>
      <c r="F126" s="158">
        <f>unique_components_138[[#This Row],[Count]]*unique_components_138[[#This Row],[Proposed Emission Factor]]*(1-unique_components_138[[#This Row],[Proposed Control Efficiency]])</f>
        <v>0</v>
      </c>
      <c r="G126" s="159">
        <f>IFERROR(unique_components_138[[#This Row],[Controlled lb/hr]]*4.38,"")</f>
        <v>0</v>
      </c>
    </row>
    <row r="127" spans="1:8" ht="30" x14ac:dyDescent="0.2">
      <c r="A127" s="57" t="s">
        <v>13297</v>
      </c>
      <c r="B127" s="54"/>
      <c r="C127" s="160">
        <f>SUBTOTAL(109,unique_components_138[Count])</f>
        <v>0</v>
      </c>
      <c r="D127" s="161"/>
      <c r="E127" s="161"/>
      <c r="F127" s="162">
        <f>SUBTOTAL(109,unique_components_138[Controlled lb/hr])</f>
        <v>0</v>
      </c>
      <c r="G127" s="162">
        <f>SUBTOTAL(109,unique_components_138[Controlled
tpy])</f>
        <v>0</v>
      </c>
    </row>
    <row r="128" spans="1:8" ht="15" thickBot="1" x14ac:dyDescent="0.25">
      <c r="A128" s="17"/>
      <c r="B128" s="17"/>
      <c r="C128" s="17"/>
      <c r="D128" s="17"/>
      <c r="E128" s="17"/>
      <c r="F128" s="17"/>
      <c r="G128" s="17"/>
      <c r="H128" s="17"/>
    </row>
    <row r="129" spans="1:10" ht="15.75" thickBot="1" x14ac:dyDescent="0.3">
      <c r="A129" s="152" t="s">
        <v>12777</v>
      </c>
      <c r="B129" s="140"/>
      <c r="C129" s="140"/>
      <c r="D129" s="140"/>
      <c r="E129" s="140"/>
      <c r="F129" s="140"/>
      <c r="G129" s="140"/>
      <c r="H129" s="140"/>
      <c r="I129" s="140"/>
      <c r="J129" s="141"/>
    </row>
    <row r="130" spans="1:10" ht="44.25" customHeight="1" x14ac:dyDescent="0.2">
      <c r="A130" s="163" t="s">
        <v>54</v>
      </c>
      <c r="B130" s="50" t="s">
        <v>42</v>
      </c>
      <c r="C130" s="50" t="s">
        <v>12737</v>
      </c>
      <c r="D130" s="50" t="s">
        <v>12667</v>
      </c>
      <c r="E130" s="50" t="s">
        <v>12769</v>
      </c>
      <c r="F130" s="50" t="s">
        <v>12774</v>
      </c>
      <c r="G130" s="50" t="s">
        <v>12668</v>
      </c>
      <c r="H130" s="50" t="s">
        <v>12660</v>
      </c>
      <c r="I130" s="50" t="s">
        <v>26</v>
      </c>
      <c r="J130" s="50" t="s">
        <v>27</v>
      </c>
    </row>
    <row r="131" spans="1:10" x14ac:dyDescent="0.2">
      <c r="A131" s="103"/>
      <c r="B131" s="51" t="str">
        <f>IFERROR(VLOOKUP(speciated_chemicals_139[[#This Row],[CAS '#]],species[],MATCH("Substance", species[#Headers], 0),FALSE),"No CAS Number Entered")</f>
        <v>No CAS Number Entered</v>
      </c>
      <c r="C131" s="102"/>
      <c r="D131" s="102" t="s">
        <v>12666</v>
      </c>
      <c r="E131" s="102" t="s">
        <v>12666</v>
      </c>
      <c r="F131" s="102" t="s">
        <v>12666</v>
      </c>
      <c r="G131" s="102" t="s">
        <v>12666</v>
      </c>
      <c r="H131" s="164"/>
      <c r="I131" s="51">
        <f>IF(speciated_chemicals_139[[#This Row],[Inert / Not a Contaminant?]]="Yes", 0, speciated_chemicals_139[[#This Row],[Weight Percent]]*(unique_components_138[[#Totals],[Controlled lb/hr]]+standard_components_137[[#Totals],[Controlled
lb/hr]]))</f>
        <v>0</v>
      </c>
      <c r="J131" s="51">
        <f>IF(speciated_chemicals_139[[#This Row],[Inert / Not a Contaminant?]]="Yes", 0, speciated_chemicals_139[[#This Row],[Weight Percent]]*(unique_components_138[[#Totals],[Controlled
tpy]]+standard_components_137[[#Totals],[Controlled
tpy]]))</f>
        <v>0</v>
      </c>
    </row>
    <row r="132" spans="1:10" x14ac:dyDescent="0.2">
      <c r="A132" s="103"/>
      <c r="B132" s="51" t="str">
        <f>IFERROR(VLOOKUP(speciated_chemicals_139[[#This Row],[CAS '#]],species[],MATCH("Substance", species[#Headers], 0),FALSE),"No CAS Number Entered")</f>
        <v>No CAS Number Entered</v>
      </c>
      <c r="C132" s="102"/>
      <c r="D132" s="102" t="s">
        <v>12666</v>
      </c>
      <c r="E132" s="102" t="s">
        <v>12666</v>
      </c>
      <c r="F132" s="102" t="s">
        <v>12666</v>
      </c>
      <c r="G132" s="102" t="s">
        <v>12666</v>
      </c>
      <c r="H132" s="164"/>
      <c r="I132" s="51">
        <f>IF(speciated_chemicals_139[[#This Row],[Inert / Not a Contaminant?]]="Yes", 0, speciated_chemicals_139[[#This Row],[Weight Percent]]*(unique_components_138[[#Totals],[Controlled lb/hr]]+standard_components_137[[#Totals],[Controlled
lb/hr]]))</f>
        <v>0</v>
      </c>
      <c r="J132" s="51">
        <f>IF(speciated_chemicals_139[[#This Row],[Inert / Not a Contaminant?]]="Yes", 0, speciated_chemicals_139[[#This Row],[Weight Percent]]*(unique_components_138[[#Totals],[Controlled
tpy]]+standard_components_137[[#Totals],[Controlled
tpy]]))</f>
        <v>0</v>
      </c>
    </row>
    <row r="133" spans="1:10" x14ac:dyDescent="0.2">
      <c r="A133" s="103"/>
      <c r="B133" s="51" t="str">
        <f>IFERROR(VLOOKUP(speciated_chemicals_139[[#This Row],[CAS '#]],species[],MATCH("Substance", species[#Headers], 0),FALSE),"No CAS Number Entered")</f>
        <v>No CAS Number Entered</v>
      </c>
      <c r="C133" s="102"/>
      <c r="D133" s="102" t="s">
        <v>12666</v>
      </c>
      <c r="E133" s="102" t="s">
        <v>12666</v>
      </c>
      <c r="F133" s="102" t="s">
        <v>12666</v>
      </c>
      <c r="G133" s="102" t="s">
        <v>12666</v>
      </c>
      <c r="H133" s="164"/>
      <c r="I133" s="51">
        <f>IF(speciated_chemicals_139[[#This Row],[Inert / Not a Contaminant?]]="Yes", 0, speciated_chemicals_139[[#This Row],[Weight Percent]]*(unique_components_138[[#Totals],[Controlled lb/hr]]+standard_components_137[[#Totals],[Controlled
lb/hr]]))</f>
        <v>0</v>
      </c>
      <c r="J133" s="51">
        <f>IF(speciated_chemicals_139[[#This Row],[Inert / Not a Contaminant?]]="Yes", 0, speciated_chemicals_139[[#This Row],[Weight Percent]]*(unique_components_138[[#Totals],[Controlled
tpy]]+standard_components_137[[#Totals],[Controlled
tpy]]))</f>
        <v>0</v>
      </c>
    </row>
    <row r="134" spans="1:10" x14ac:dyDescent="0.2">
      <c r="A134" s="103"/>
      <c r="B134" s="51" t="str">
        <f>IFERROR(VLOOKUP(speciated_chemicals_139[[#This Row],[CAS '#]],species[],MATCH("Substance", species[#Headers], 0),FALSE),"No CAS Number Entered")</f>
        <v>No CAS Number Entered</v>
      </c>
      <c r="C134" s="102"/>
      <c r="D134" s="102" t="s">
        <v>12666</v>
      </c>
      <c r="E134" s="102" t="s">
        <v>12666</v>
      </c>
      <c r="F134" s="102" t="s">
        <v>12666</v>
      </c>
      <c r="G134" s="102" t="s">
        <v>12666</v>
      </c>
      <c r="H134" s="164"/>
      <c r="I134" s="51">
        <f>IF(speciated_chemicals_139[[#This Row],[Inert / Not a Contaminant?]]="Yes", 0, speciated_chemicals_139[[#This Row],[Weight Percent]]*(unique_components_138[[#Totals],[Controlled lb/hr]]+standard_components_137[[#Totals],[Controlled
lb/hr]]))</f>
        <v>0</v>
      </c>
      <c r="J134" s="51">
        <f>IF(speciated_chemicals_139[[#This Row],[Inert / Not a Contaminant?]]="Yes", 0, speciated_chemicals_139[[#This Row],[Weight Percent]]*(unique_components_138[[#Totals],[Controlled
tpy]]+standard_components_137[[#Totals],[Controlled
tpy]]))</f>
        <v>0</v>
      </c>
    </row>
    <row r="135" spans="1:10" x14ac:dyDescent="0.2">
      <c r="A135" s="103"/>
      <c r="B135" s="51" t="str">
        <f>IFERROR(VLOOKUP(speciated_chemicals_139[[#This Row],[CAS '#]],species[],MATCH("Substance", species[#Headers], 0),FALSE),"No CAS Number Entered")</f>
        <v>No CAS Number Entered</v>
      </c>
      <c r="C135" s="102"/>
      <c r="D135" s="102" t="s">
        <v>12666</v>
      </c>
      <c r="E135" s="102" t="s">
        <v>12666</v>
      </c>
      <c r="F135" s="102" t="s">
        <v>12666</v>
      </c>
      <c r="G135" s="102" t="s">
        <v>12666</v>
      </c>
      <c r="H135" s="164"/>
      <c r="I135" s="51">
        <f>IF(speciated_chemicals_139[[#This Row],[Inert / Not a Contaminant?]]="Yes", 0, speciated_chemicals_139[[#This Row],[Weight Percent]]*(unique_components_138[[#Totals],[Controlled lb/hr]]+standard_components_137[[#Totals],[Controlled
lb/hr]]))</f>
        <v>0</v>
      </c>
      <c r="J135" s="51">
        <f>IF(speciated_chemicals_139[[#This Row],[Inert / Not a Contaminant?]]="Yes", 0, speciated_chemicals_139[[#This Row],[Weight Percent]]*(unique_components_138[[#Totals],[Controlled
tpy]]+standard_components_137[[#Totals],[Controlled
tpy]]))</f>
        <v>0</v>
      </c>
    </row>
    <row r="136" spans="1:10" x14ac:dyDescent="0.2">
      <c r="A136" s="103"/>
      <c r="B136" s="51" t="str">
        <f>IFERROR(VLOOKUP(speciated_chemicals_139[[#This Row],[CAS '#]],species[],MATCH("Substance", species[#Headers], 0),FALSE),"No CAS Number Entered")</f>
        <v>No CAS Number Entered</v>
      </c>
      <c r="C136" s="102"/>
      <c r="D136" s="102" t="s">
        <v>12666</v>
      </c>
      <c r="E136" s="102" t="s">
        <v>12666</v>
      </c>
      <c r="F136" s="102" t="s">
        <v>12666</v>
      </c>
      <c r="G136" s="102" t="s">
        <v>12666</v>
      </c>
      <c r="H136" s="164"/>
      <c r="I136" s="51">
        <f>IF(speciated_chemicals_139[[#This Row],[Inert / Not a Contaminant?]]="Yes", 0, speciated_chemicals_139[[#This Row],[Weight Percent]]*(unique_components_138[[#Totals],[Controlled lb/hr]]+standard_components_137[[#Totals],[Controlled
lb/hr]]))</f>
        <v>0</v>
      </c>
      <c r="J136" s="51">
        <f>IF(speciated_chemicals_139[[#This Row],[Inert / Not a Contaminant?]]="Yes", 0, speciated_chemicals_139[[#This Row],[Weight Percent]]*(unique_components_138[[#Totals],[Controlled
tpy]]+standard_components_137[[#Totals],[Controlled
tpy]]))</f>
        <v>0</v>
      </c>
    </row>
    <row r="137" spans="1:10" x14ac:dyDescent="0.2">
      <c r="A137" s="103"/>
      <c r="B137" s="51" t="str">
        <f>IFERROR(VLOOKUP(speciated_chemicals_139[[#This Row],[CAS '#]],species[],MATCH("Substance", species[#Headers], 0),FALSE),"No CAS Number Entered")</f>
        <v>No CAS Number Entered</v>
      </c>
      <c r="C137" s="102"/>
      <c r="D137" s="102" t="s">
        <v>12666</v>
      </c>
      <c r="E137" s="102" t="s">
        <v>12666</v>
      </c>
      <c r="F137" s="102" t="s">
        <v>12666</v>
      </c>
      <c r="G137" s="102" t="s">
        <v>12666</v>
      </c>
      <c r="H137" s="164"/>
      <c r="I137" s="51">
        <f>IF(speciated_chemicals_139[[#This Row],[Inert / Not a Contaminant?]]="Yes", 0, speciated_chemicals_139[[#This Row],[Weight Percent]]*(unique_components_138[[#Totals],[Controlled lb/hr]]+standard_components_137[[#Totals],[Controlled
lb/hr]]))</f>
        <v>0</v>
      </c>
      <c r="J137" s="51">
        <f>IF(speciated_chemicals_139[[#This Row],[Inert / Not a Contaminant?]]="Yes", 0, speciated_chemicals_139[[#This Row],[Weight Percent]]*(unique_components_138[[#Totals],[Controlled
tpy]]+standard_components_137[[#Totals],[Controlled
tpy]]))</f>
        <v>0</v>
      </c>
    </row>
    <row r="138" spans="1:10" x14ac:dyDescent="0.2">
      <c r="A138" s="103"/>
      <c r="B138" s="51" t="str">
        <f>IFERROR(VLOOKUP(speciated_chemicals_139[[#This Row],[CAS '#]],species[],MATCH("Substance", species[#Headers], 0),FALSE),"No CAS Number Entered")</f>
        <v>No CAS Number Entered</v>
      </c>
      <c r="C138" s="102"/>
      <c r="D138" s="102" t="s">
        <v>12666</v>
      </c>
      <c r="E138" s="102" t="s">
        <v>12666</v>
      </c>
      <c r="F138" s="102" t="s">
        <v>12666</v>
      </c>
      <c r="G138" s="102" t="s">
        <v>12666</v>
      </c>
      <c r="H138" s="164"/>
      <c r="I138" s="51">
        <f>IF(speciated_chemicals_139[[#This Row],[Inert / Not a Contaminant?]]="Yes", 0, speciated_chemicals_139[[#This Row],[Weight Percent]]*(unique_components_138[[#Totals],[Controlled lb/hr]]+standard_components_137[[#Totals],[Controlled
lb/hr]]))</f>
        <v>0</v>
      </c>
      <c r="J138" s="51">
        <f>IF(speciated_chemicals_139[[#This Row],[Inert / Not a Contaminant?]]="Yes", 0, speciated_chemicals_139[[#This Row],[Weight Percent]]*(unique_components_138[[#Totals],[Controlled
tpy]]+standard_components_137[[#Totals],[Controlled
tpy]]))</f>
        <v>0</v>
      </c>
    </row>
    <row r="139" spans="1:10" x14ac:dyDescent="0.2">
      <c r="A139" s="103"/>
      <c r="B139" s="51" t="str">
        <f>IFERROR(VLOOKUP(speciated_chemicals_139[[#This Row],[CAS '#]],species[],MATCH("Substance", species[#Headers], 0),FALSE),"No CAS Number Entered")</f>
        <v>No CAS Number Entered</v>
      </c>
      <c r="C139" s="102"/>
      <c r="D139" s="102" t="s">
        <v>12666</v>
      </c>
      <c r="E139" s="102" t="s">
        <v>12666</v>
      </c>
      <c r="F139" s="102" t="s">
        <v>12666</v>
      </c>
      <c r="G139" s="102" t="s">
        <v>12666</v>
      </c>
      <c r="H139" s="164"/>
      <c r="I139" s="51">
        <f>IF(speciated_chemicals_139[[#This Row],[Inert / Not a Contaminant?]]="Yes", 0, speciated_chemicals_139[[#This Row],[Weight Percent]]*(unique_components_138[[#Totals],[Controlled lb/hr]]+standard_components_137[[#Totals],[Controlled
lb/hr]]))</f>
        <v>0</v>
      </c>
      <c r="J139" s="51">
        <f>IF(speciated_chemicals_139[[#This Row],[Inert / Not a Contaminant?]]="Yes", 0, speciated_chemicals_139[[#This Row],[Weight Percent]]*(unique_components_138[[#Totals],[Controlled
tpy]]+standard_components_137[[#Totals],[Controlled
tpy]]))</f>
        <v>0</v>
      </c>
    </row>
    <row r="140" spans="1:10" x14ac:dyDescent="0.2">
      <c r="A140" s="103"/>
      <c r="B140" s="51" t="str">
        <f>IFERROR(VLOOKUP(speciated_chemicals_139[[#This Row],[CAS '#]],species[],MATCH("Substance", species[#Headers], 0),FALSE),"No CAS Number Entered")</f>
        <v>No CAS Number Entered</v>
      </c>
      <c r="C140" s="102"/>
      <c r="D140" s="102" t="s">
        <v>12666</v>
      </c>
      <c r="E140" s="102" t="s">
        <v>12666</v>
      </c>
      <c r="F140" s="102" t="s">
        <v>12666</v>
      </c>
      <c r="G140" s="102" t="s">
        <v>12666</v>
      </c>
      <c r="H140" s="164"/>
      <c r="I140" s="51">
        <f>IF(speciated_chemicals_139[[#This Row],[Inert / Not a Contaminant?]]="Yes", 0, speciated_chemicals_139[[#This Row],[Weight Percent]]*(unique_components_138[[#Totals],[Controlled lb/hr]]+standard_components_137[[#Totals],[Controlled
lb/hr]]))</f>
        <v>0</v>
      </c>
      <c r="J140" s="51">
        <f>IF(speciated_chemicals_139[[#This Row],[Inert / Not a Contaminant?]]="Yes", 0, speciated_chemicals_139[[#This Row],[Weight Percent]]*(unique_components_138[[#Totals],[Controlled
tpy]]+standard_components_137[[#Totals],[Controlled
tpy]]))</f>
        <v>0</v>
      </c>
    </row>
    <row r="141" spans="1:10" x14ac:dyDescent="0.2">
      <c r="A141" s="103"/>
      <c r="B141" s="51" t="str">
        <f>IFERROR(VLOOKUP(speciated_chemicals_139[[#This Row],[CAS '#]],species[],MATCH("Substance", species[#Headers], 0),FALSE),"No CAS Number Entered")</f>
        <v>No CAS Number Entered</v>
      </c>
      <c r="C141" s="102"/>
      <c r="D141" s="102" t="s">
        <v>12666</v>
      </c>
      <c r="E141" s="102" t="s">
        <v>12666</v>
      </c>
      <c r="F141" s="102" t="s">
        <v>12666</v>
      </c>
      <c r="G141" s="102" t="s">
        <v>12666</v>
      </c>
      <c r="H141" s="164"/>
      <c r="I141" s="51">
        <f>IF(speciated_chemicals_139[[#This Row],[Inert / Not a Contaminant?]]="Yes", 0, speciated_chemicals_139[[#This Row],[Weight Percent]]*(unique_components_138[[#Totals],[Controlled lb/hr]]+standard_components_137[[#Totals],[Controlled
lb/hr]]))</f>
        <v>0</v>
      </c>
      <c r="J141" s="51">
        <f>IF(speciated_chemicals_139[[#This Row],[Inert / Not a Contaminant?]]="Yes", 0, speciated_chemicals_139[[#This Row],[Weight Percent]]*(unique_components_138[[#Totals],[Controlled
tpy]]+standard_components_137[[#Totals],[Controlled
tpy]]))</f>
        <v>0</v>
      </c>
    </row>
    <row r="142" spans="1:10" x14ac:dyDescent="0.2">
      <c r="A142" s="103"/>
      <c r="B142" s="51" t="str">
        <f>IFERROR(VLOOKUP(speciated_chemicals_139[[#This Row],[CAS '#]],species[],MATCH("Substance", species[#Headers], 0),FALSE),"No CAS Number Entered")</f>
        <v>No CAS Number Entered</v>
      </c>
      <c r="C142" s="102"/>
      <c r="D142" s="102" t="s">
        <v>12666</v>
      </c>
      <c r="E142" s="102" t="s">
        <v>12666</v>
      </c>
      <c r="F142" s="102" t="s">
        <v>12666</v>
      </c>
      <c r="G142" s="102" t="s">
        <v>12666</v>
      </c>
      <c r="H142" s="164"/>
      <c r="I142" s="51">
        <f>IF(speciated_chemicals_139[[#This Row],[Inert / Not a Contaminant?]]="Yes", 0, speciated_chemicals_139[[#This Row],[Weight Percent]]*(unique_components_138[[#Totals],[Controlled lb/hr]]+standard_components_137[[#Totals],[Controlled
lb/hr]]))</f>
        <v>0</v>
      </c>
      <c r="J142" s="51">
        <f>IF(speciated_chemicals_139[[#This Row],[Inert / Not a Contaminant?]]="Yes", 0, speciated_chemicals_139[[#This Row],[Weight Percent]]*(unique_components_138[[#Totals],[Controlled
tpy]]+standard_components_137[[#Totals],[Controlled
tpy]]))</f>
        <v>0</v>
      </c>
    </row>
    <row r="143" spans="1:10" x14ac:dyDescent="0.2">
      <c r="A143" s="103"/>
      <c r="B143" s="51" t="str">
        <f>IFERROR(VLOOKUP(speciated_chemicals_139[[#This Row],[CAS '#]],species[],MATCH("Substance", species[#Headers], 0),FALSE),"No CAS Number Entered")</f>
        <v>No CAS Number Entered</v>
      </c>
      <c r="C143" s="102"/>
      <c r="D143" s="102" t="s">
        <v>12666</v>
      </c>
      <c r="E143" s="102" t="s">
        <v>12666</v>
      </c>
      <c r="F143" s="102" t="s">
        <v>12666</v>
      </c>
      <c r="G143" s="102" t="s">
        <v>12666</v>
      </c>
      <c r="H143" s="164"/>
      <c r="I143" s="51">
        <f>IF(speciated_chemicals_139[[#This Row],[Inert / Not a Contaminant?]]="Yes", 0, speciated_chemicals_139[[#This Row],[Weight Percent]]*(unique_components_138[[#Totals],[Controlled lb/hr]]+standard_components_137[[#Totals],[Controlled
lb/hr]]))</f>
        <v>0</v>
      </c>
      <c r="J143" s="51">
        <f>IF(speciated_chemicals_139[[#This Row],[Inert / Not a Contaminant?]]="Yes", 0, speciated_chemicals_139[[#This Row],[Weight Percent]]*(unique_components_138[[#Totals],[Controlled
tpy]]+standard_components_137[[#Totals],[Controlled
tpy]]))</f>
        <v>0</v>
      </c>
    </row>
    <row r="144" spans="1:10" x14ac:dyDescent="0.2">
      <c r="A144" s="103"/>
      <c r="B144" s="51" t="str">
        <f>IFERROR(VLOOKUP(speciated_chemicals_139[[#This Row],[CAS '#]],species[],MATCH("Substance", species[#Headers], 0),FALSE),"No CAS Number Entered")</f>
        <v>No CAS Number Entered</v>
      </c>
      <c r="C144" s="102"/>
      <c r="D144" s="102" t="s">
        <v>12666</v>
      </c>
      <c r="E144" s="102" t="s">
        <v>12666</v>
      </c>
      <c r="F144" s="102" t="s">
        <v>12666</v>
      </c>
      <c r="G144" s="102" t="s">
        <v>12666</v>
      </c>
      <c r="H144" s="164"/>
      <c r="I144" s="51">
        <f>IF(speciated_chemicals_139[[#This Row],[Inert / Not a Contaminant?]]="Yes", 0, speciated_chemicals_139[[#This Row],[Weight Percent]]*(unique_components_138[[#Totals],[Controlled lb/hr]]+standard_components_137[[#Totals],[Controlled
lb/hr]]))</f>
        <v>0</v>
      </c>
      <c r="J144" s="51">
        <f>IF(speciated_chemicals_139[[#This Row],[Inert / Not a Contaminant?]]="Yes", 0, speciated_chemicals_139[[#This Row],[Weight Percent]]*(unique_components_138[[#Totals],[Controlled
tpy]]+standard_components_137[[#Totals],[Controlled
tpy]]))</f>
        <v>0</v>
      </c>
    </row>
    <row r="145" spans="1:10" x14ac:dyDescent="0.2">
      <c r="A145" s="103"/>
      <c r="B145" s="51" t="str">
        <f>IFERROR(VLOOKUP(speciated_chemicals_139[[#This Row],[CAS '#]],species[],MATCH("Substance", species[#Headers], 0),FALSE),"No CAS Number Entered")</f>
        <v>No CAS Number Entered</v>
      </c>
      <c r="C145" s="102"/>
      <c r="D145" s="102" t="s">
        <v>12666</v>
      </c>
      <c r="E145" s="102" t="s">
        <v>12666</v>
      </c>
      <c r="F145" s="102" t="s">
        <v>12666</v>
      </c>
      <c r="G145" s="102" t="s">
        <v>12666</v>
      </c>
      <c r="H145" s="164"/>
      <c r="I145" s="51">
        <f>IF(speciated_chemicals_139[[#This Row],[Inert / Not a Contaminant?]]="Yes", 0, speciated_chemicals_139[[#This Row],[Weight Percent]]*(unique_components_138[[#Totals],[Controlled lb/hr]]+standard_components_137[[#Totals],[Controlled
lb/hr]]))</f>
        <v>0</v>
      </c>
      <c r="J145" s="51">
        <f>IF(speciated_chemicals_139[[#This Row],[Inert / Not a Contaminant?]]="Yes", 0, speciated_chemicals_139[[#This Row],[Weight Percent]]*(unique_components_138[[#Totals],[Controlled
tpy]]+standard_components_137[[#Totals],[Controlled
tpy]]))</f>
        <v>0</v>
      </c>
    </row>
    <row r="146" spans="1:10" x14ac:dyDescent="0.2">
      <c r="A146" s="103"/>
      <c r="B146" s="51" t="str">
        <f>IFERROR(VLOOKUP(speciated_chemicals_139[[#This Row],[CAS '#]],species[],MATCH("Substance", species[#Headers], 0),FALSE),"No CAS Number Entered")</f>
        <v>No CAS Number Entered</v>
      </c>
      <c r="C146" s="102"/>
      <c r="D146" s="102" t="s">
        <v>12666</v>
      </c>
      <c r="E146" s="102" t="s">
        <v>12666</v>
      </c>
      <c r="F146" s="102" t="s">
        <v>12666</v>
      </c>
      <c r="G146" s="102" t="s">
        <v>12666</v>
      </c>
      <c r="H146" s="164"/>
      <c r="I146" s="51">
        <f>IF(speciated_chemicals_139[[#This Row],[Inert / Not a Contaminant?]]="Yes", 0, speciated_chemicals_139[[#This Row],[Weight Percent]]*(unique_components_138[[#Totals],[Controlled lb/hr]]+standard_components_137[[#Totals],[Controlled
lb/hr]]))</f>
        <v>0</v>
      </c>
      <c r="J146" s="51">
        <f>IF(speciated_chemicals_139[[#This Row],[Inert / Not a Contaminant?]]="Yes", 0, speciated_chemicals_139[[#This Row],[Weight Percent]]*(unique_components_138[[#Totals],[Controlled
tpy]]+standard_components_137[[#Totals],[Controlled
tpy]]))</f>
        <v>0</v>
      </c>
    </row>
    <row r="147" spans="1:10" x14ac:dyDescent="0.2">
      <c r="A147" s="103"/>
      <c r="B147" s="51" t="str">
        <f>IFERROR(VLOOKUP(speciated_chemicals_139[[#This Row],[CAS '#]],species[],MATCH("Substance", species[#Headers], 0),FALSE),"No CAS Number Entered")</f>
        <v>No CAS Number Entered</v>
      </c>
      <c r="C147" s="102"/>
      <c r="D147" s="102" t="s">
        <v>12666</v>
      </c>
      <c r="E147" s="102" t="s">
        <v>12666</v>
      </c>
      <c r="F147" s="102" t="s">
        <v>12666</v>
      </c>
      <c r="G147" s="102" t="s">
        <v>12666</v>
      </c>
      <c r="H147" s="164"/>
      <c r="I147" s="51">
        <f>IF(speciated_chemicals_139[[#This Row],[Inert / Not a Contaminant?]]="Yes", 0, speciated_chemicals_139[[#This Row],[Weight Percent]]*(unique_components_138[[#Totals],[Controlled lb/hr]]+standard_components_137[[#Totals],[Controlled
lb/hr]]))</f>
        <v>0</v>
      </c>
      <c r="J147" s="51">
        <f>IF(speciated_chemicals_139[[#This Row],[Inert / Not a Contaminant?]]="Yes", 0, speciated_chemicals_139[[#This Row],[Weight Percent]]*(unique_components_138[[#Totals],[Controlled
tpy]]+standard_components_137[[#Totals],[Controlled
tpy]]))</f>
        <v>0</v>
      </c>
    </row>
    <row r="148" spans="1:10" x14ac:dyDescent="0.2">
      <c r="A148" s="103"/>
      <c r="B148" s="51" t="str">
        <f>IFERROR(VLOOKUP(speciated_chemicals_139[[#This Row],[CAS '#]],species[],MATCH("Substance", species[#Headers], 0),FALSE),"No CAS Number Entered")</f>
        <v>No CAS Number Entered</v>
      </c>
      <c r="C148" s="102"/>
      <c r="D148" s="102" t="s">
        <v>12666</v>
      </c>
      <c r="E148" s="102" t="s">
        <v>12666</v>
      </c>
      <c r="F148" s="102" t="s">
        <v>12666</v>
      </c>
      <c r="G148" s="102" t="s">
        <v>12666</v>
      </c>
      <c r="H148" s="164"/>
      <c r="I148" s="51">
        <f>IF(speciated_chemicals_139[[#This Row],[Inert / Not a Contaminant?]]="Yes", 0, speciated_chemicals_139[[#This Row],[Weight Percent]]*(unique_components_138[[#Totals],[Controlled lb/hr]]+standard_components_137[[#Totals],[Controlled
lb/hr]]))</f>
        <v>0</v>
      </c>
      <c r="J148" s="51">
        <f>IF(speciated_chemicals_139[[#This Row],[Inert / Not a Contaminant?]]="Yes", 0, speciated_chemicals_139[[#This Row],[Weight Percent]]*(unique_components_138[[#Totals],[Controlled
tpy]]+standard_components_137[[#Totals],[Controlled
tpy]]))</f>
        <v>0</v>
      </c>
    </row>
    <row r="149" spans="1:10" x14ac:dyDescent="0.2">
      <c r="A149" s="103"/>
      <c r="B149" s="51" t="str">
        <f>IFERROR(VLOOKUP(speciated_chemicals_139[[#This Row],[CAS '#]],species[],MATCH("Substance", species[#Headers], 0),FALSE),"No CAS Number Entered")</f>
        <v>No CAS Number Entered</v>
      </c>
      <c r="C149" s="102"/>
      <c r="D149" s="102" t="s">
        <v>12666</v>
      </c>
      <c r="E149" s="102" t="s">
        <v>12666</v>
      </c>
      <c r="F149" s="102" t="s">
        <v>12666</v>
      </c>
      <c r="G149" s="102" t="s">
        <v>12666</v>
      </c>
      <c r="H149" s="164"/>
      <c r="I149" s="51">
        <f>IF(speciated_chemicals_139[[#This Row],[Inert / Not a Contaminant?]]="Yes", 0, speciated_chemicals_139[[#This Row],[Weight Percent]]*(unique_components_138[[#Totals],[Controlled lb/hr]]+standard_components_137[[#Totals],[Controlled
lb/hr]]))</f>
        <v>0</v>
      </c>
      <c r="J149" s="51">
        <f>IF(speciated_chemicals_139[[#This Row],[Inert / Not a Contaminant?]]="Yes", 0, speciated_chemicals_139[[#This Row],[Weight Percent]]*(unique_components_138[[#Totals],[Controlled
tpy]]+standard_components_137[[#Totals],[Controlled
tpy]]))</f>
        <v>0</v>
      </c>
    </row>
    <row r="150" spans="1:10" x14ac:dyDescent="0.2">
      <c r="A150" s="103"/>
      <c r="B150" s="51" t="str">
        <f>IFERROR(VLOOKUP(speciated_chemicals_139[[#This Row],[CAS '#]],species[],MATCH("Substance", species[#Headers], 0),FALSE),"No CAS Number Entered")</f>
        <v>No CAS Number Entered</v>
      </c>
      <c r="C150" s="102"/>
      <c r="D150" s="102" t="s">
        <v>12666</v>
      </c>
      <c r="E150" s="102" t="s">
        <v>12666</v>
      </c>
      <c r="F150" s="102" t="s">
        <v>12666</v>
      </c>
      <c r="G150" s="102" t="s">
        <v>12666</v>
      </c>
      <c r="H150" s="164"/>
      <c r="I150" s="51">
        <f>IF(speciated_chemicals_139[[#This Row],[Inert / Not a Contaminant?]]="Yes", 0, speciated_chemicals_139[[#This Row],[Weight Percent]]*(unique_components_138[[#Totals],[Controlled lb/hr]]+standard_components_137[[#Totals],[Controlled
lb/hr]]))</f>
        <v>0</v>
      </c>
      <c r="J150" s="51">
        <f>IF(speciated_chemicals_139[[#This Row],[Inert / Not a Contaminant?]]="Yes", 0, speciated_chemicals_139[[#This Row],[Weight Percent]]*(unique_components_138[[#Totals],[Controlled
tpy]]+standard_components_137[[#Totals],[Controlled
tpy]]))</f>
        <v>0</v>
      </c>
    </row>
    <row r="151" spans="1:10" x14ac:dyDescent="0.2">
      <c r="A151" s="103"/>
      <c r="B151" s="51" t="str">
        <f>IFERROR(VLOOKUP(speciated_chemicals_139[[#This Row],[CAS '#]],species[],MATCH("Substance", species[#Headers], 0),FALSE),"No CAS Number Entered")</f>
        <v>No CAS Number Entered</v>
      </c>
      <c r="C151" s="102"/>
      <c r="D151" s="102" t="s">
        <v>12666</v>
      </c>
      <c r="E151" s="102" t="s">
        <v>12666</v>
      </c>
      <c r="F151" s="102" t="s">
        <v>12666</v>
      </c>
      <c r="G151" s="102" t="s">
        <v>12666</v>
      </c>
      <c r="H151" s="164"/>
      <c r="I151" s="51">
        <f>IF(speciated_chemicals_139[[#This Row],[Inert / Not a Contaminant?]]="Yes", 0, speciated_chemicals_139[[#This Row],[Weight Percent]]*(unique_components_138[[#Totals],[Controlled lb/hr]]+standard_components_137[[#Totals],[Controlled
lb/hr]]))</f>
        <v>0</v>
      </c>
      <c r="J151" s="51">
        <f>IF(speciated_chemicals_139[[#This Row],[Inert / Not a Contaminant?]]="Yes", 0, speciated_chemicals_139[[#This Row],[Weight Percent]]*(unique_components_138[[#Totals],[Controlled
tpy]]+standard_components_137[[#Totals],[Controlled
tpy]]))</f>
        <v>0</v>
      </c>
    </row>
    <row r="152" spans="1:10" x14ac:dyDescent="0.2">
      <c r="A152" s="103"/>
      <c r="B152" s="51" t="str">
        <f>IFERROR(VLOOKUP(speciated_chemicals_139[[#This Row],[CAS '#]],species[],MATCH("Substance", species[#Headers], 0),FALSE),"No CAS Number Entered")</f>
        <v>No CAS Number Entered</v>
      </c>
      <c r="C152" s="102"/>
      <c r="D152" s="102" t="s">
        <v>12666</v>
      </c>
      <c r="E152" s="102" t="s">
        <v>12666</v>
      </c>
      <c r="F152" s="102" t="s">
        <v>12666</v>
      </c>
      <c r="G152" s="102" t="s">
        <v>12666</v>
      </c>
      <c r="H152" s="164"/>
      <c r="I152" s="51">
        <f>IF(speciated_chemicals_139[[#This Row],[Inert / Not a Contaminant?]]="Yes", 0, speciated_chemicals_139[[#This Row],[Weight Percent]]*(unique_components_138[[#Totals],[Controlled lb/hr]]+standard_components_137[[#Totals],[Controlled
lb/hr]]))</f>
        <v>0</v>
      </c>
      <c r="J152" s="51">
        <f>IF(speciated_chemicals_139[[#This Row],[Inert / Not a Contaminant?]]="Yes", 0, speciated_chemicals_139[[#This Row],[Weight Percent]]*(unique_components_138[[#Totals],[Controlled
tpy]]+standard_components_137[[#Totals],[Controlled
tpy]]))</f>
        <v>0</v>
      </c>
    </row>
    <row r="153" spans="1:10" x14ac:dyDescent="0.2">
      <c r="A153" s="103"/>
      <c r="B153" s="51" t="str">
        <f>IFERROR(VLOOKUP(speciated_chemicals_139[[#This Row],[CAS '#]],species[],MATCH("Substance", species[#Headers], 0),FALSE),"No CAS Number Entered")</f>
        <v>No CAS Number Entered</v>
      </c>
      <c r="C153" s="102"/>
      <c r="D153" s="102" t="s">
        <v>12666</v>
      </c>
      <c r="E153" s="102" t="s">
        <v>12666</v>
      </c>
      <c r="F153" s="102" t="s">
        <v>12666</v>
      </c>
      <c r="G153" s="102" t="s">
        <v>12666</v>
      </c>
      <c r="H153" s="164"/>
      <c r="I153" s="51">
        <f>IF(speciated_chemicals_139[[#This Row],[Inert / Not a Contaminant?]]="Yes", 0, speciated_chemicals_139[[#This Row],[Weight Percent]]*(unique_components_138[[#Totals],[Controlled lb/hr]]+standard_components_137[[#Totals],[Controlled
lb/hr]]))</f>
        <v>0</v>
      </c>
      <c r="J153" s="51">
        <f>IF(speciated_chemicals_139[[#This Row],[Inert / Not a Contaminant?]]="Yes", 0, speciated_chemicals_139[[#This Row],[Weight Percent]]*(unique_components_138[[#Totals],[Controlled
tpy]]+standard_components_137[[#Totals],[Controlled
tpy]]))</f>
        <v>0</v>
      </c>
    </row>
    <row r="154" spans="1:10" x14ac:dyDescent="0.2">
      <c r="A154" s="103"/>
      <c r="B154" s="51" t="str">
        <f>IFERROR(VLOOKUP(speciated_chemicals_139[[#This Row],[CAS '#]],species[],MATCH("Substance", species[#Headers], 0),FALSE),"No CAS Number Entered")</f>
        <v>No CAS Number Entered</v>
      </c>
      <c r="C154" s="102"/>
      <c r="D154" s="102" t="s">
        <v>12666</v>
      </c>
      <c r="E154" s="102" t="s">
        <v>12666</v>
      </c>
      <c r="F154" s="102" t="s">
        <v>12666</v>
      </c>
      <c r="G154" s="102" t="s">
        <v>12666</v>
      </c>
      <c r="H154" s="164"/>
      <c r="I154" s="51">
        <f>IF(speciated_chemicals_139[[#This Row],[Inert / Not a Contaminant?]]="Yes", 0, speciated_chemicals_139[[#This Row],[Weight Percent]]*(unique_components_138[[#Totals],[Controlled lb/hr]]+standard_components_137[[#Totals],[Controlled
lb/hr]]))</f>
        <v>0</v>
      </c>
      <c r="J154" s="51">
        <f>IF(speciated_chemicals_139[[#This Row],[Inert / Not a Contaminant?]]="Yes", 0, speciated_chemicals_139[[#This Row],[Weight Percent]]*(unique_components_138[[#Totals],[Controlled
tpy]]+standard_components_137[[#Totals],[Controlled
tpy]]))</f>
        <v>0</v>
      </c>
    </row>
    <row r="155" spans="1:10" x14ac:dyDescent="0.2">
      <c r="A155" s="103"/>
      <c r="B155" s="51" t="str">
        <f>IFERROR(VLOOKUP(speciated_chemicals_139[[#This Row],[CAS '#]],species[],MATCH("Substance", species[#Headers], 0),FALSE),"No CAS Number Entered")</f>
        <v>No CAS Number Entered</v>
      </c>
      <c r="C155" s="102"/>
      <c r="D155" s="102" t="s">
        <v>12666</v>
      </c>
      <c r="E155" s="102" t="s">
        <v>12666</v>
      </c>
      <c r="F155" s="102" t="s">
        <v>12666</v>
      </c>
      <c r="G155" s="102" t="s">
        <v>12666</v>
      </c>
      <c r="H155" s="164"/>
      <c r="I155" s="51">
        <f>IF(speciated_chemicals_139[[#This Row],[Inert / Not a Contaminant?]]="Yes", 0, speciated_chemicals_139[[#This Row],[Weight Percent]]*(unique_components_138[[#Totals],[Controlled lb/hr]]+standard_components_137[[#Totals],[Controlled
lb/hr]]))</f>
        <v>0</v>
      </c>
      <c r="J155" s="51">
        <f>IF(speciated_chemicals_139[[#This Row],[Inert / Not a Contaminant?]]="Yes", 0, speciated_chemicals_139[[#This Row],[Weight Percent]]*(unique_components_138[[#Totals],[Controlled
tpy]]+standard_components_137[[#Totals],[Controlled
tpy]]))</f>
        <v>0</v>
      </c>
    </row>
    <row r="156" spans="1:10" x14ac:dyDescent="0.2">
      <c r="A156" s="103"/>
      <c r="B156" s="51" t="str">
        <f>IFERROR(VLOOKUP(speciated_chemicals_139[[#This Row],[CAS '#]],species[],MATCH("Substance", species[#Headers], 0),FALSE),"No CAS Number Entered")</f>
        <v>No CAS Number Entered</v>
      </c>
      <c r="C156" s="102"/>
      <c r="D156" s="102" t="s">
        <v>12666</v>
      </c>
      <c r="E156" s="102" t="s">
        <v>12666</v>
      </c>
      <c r="F156" s="102" t="s">
        <v>12666</v>
      </c>
      <c r="G156" s="102" t="s">
        <v>12666</v>
      </c>
      <c r="H156" s="164"/>
      <c r="I156" s="51">
        <f>IF(speciated_chemicals_139[[#This Row],[Inert / Not a Contaminant?]]="Yes", 0, speciated_chemicals_139[[#This Row],[Weight Percent]]*(unique_components_138[[#Totals],[Controlled lb/hr]]+standard_components_137[[#Totals],[Controlled
lb/hr]]))</f>
        <v>0</v>
      </c>
      <c r="J156" s="51">
        <f>IF(speciated_chemicals_139[[#This Row],[Inert / Not a Contaminant?]]="Yes", 0, speciated_chemicals_139[[#This Row],[Weight Percent]]*(unique_components_138[[#Totals],[Controlled
tpy]]+standard_components_137[[#Totals],[Controlled
tpy]]))</f>
        <v>0</v>
      </c>
    </row>
    <row r="157" spans="1:10" x14ac:dyDescent="0.2">
      <c r="A157" s="103"/>
      <c r="B157" s="51" t="str">
        <f>IFERROR(VLOOKUP(speciated_chemicals_139[[#This Row],[CAS '#]],species[],MATCH("Substance", species[#Headers], 0),FALSE),"No CAS Number Entered")</f>
        <v>No CAS Number Entered</v>
      </c>
      <c r="C157" s="102"/>
      <c r="D157" s="102" t="s">
        <v>12666</v>
      </c>
      <c r="E157" s="102" t="s">
        <v>12666</v>
      </c>
      <c r="F157" s="102" t="s">
        <v>12666</v>
      </c>
      <c r="G157" s="102" t="s">
        <v>12666</v>
      </c>
      <c r="H157" s="164"/>
      <c r="I157" s="51">
        <f>IF(speciated_chemicals_139[[#This Row],[Inert / Not a Contaminant?]]="Yes", 0, speciated_chemicals_139[[#This Row],[Weight Percent]]*(unique_components_138[[#Totals],[Controlled lb/hr]]+standard_components_137[[#Totals],[Controlled
lb/hr]]))</f>
        <v>0</v>
      </c>
      <c r="J157" s="51">
        <f>IF(speciated_chemicals_139[[#This Row],[Inert / Not a Contaminant?]]="Yes", 0, speciated_chemicals_139[[#This Row],[Weight Percent]]*(unique_components_138[[#Totals],[Controlled
tpy]]+standard_components_137[[#Totals],[Controlled
tpy]]))</f>
        <v>0</v>
      </c>
    </row>
    <row r="158" spans="1:10" x14ac:dyDescent="0.2">
      <c r="A158" s="103"/>
      <c r="B158" s="51" t="str">
        <f>IFERROR(VLOOKUP(speciated_chemicals_139[[#This Row],[CAS '#]],species[],MATCH("Substance", species[#Headers], 0),FALSE),"No CAS Number Entered")</f>
        <v>No CAS Number Entered</v>
      </c>
      <c r="C158" s="102"/>
      <c r="D158" s="102" t="s">
        <v>12666</v>
      </c>
      <c r="E158" s="102" t="s">
        <v>12666</v>
      </c>
      <c r="F158" s="102" t="s">
        <v>12666</v>
      </c>
      <c r="G158" s="102" t="s">
        <v>12666</v>
      </c>
      <c r="H158" s="164"/>
      <c r="I158" s="51">
        <f>IF(speciated_chemicals_139[[#This Row],[Inert / Not a Contaminant?]]="Yes", 0, speciated_chemicals_139[[#This Row],[Weight Percent]]*(unique_components_138[[#Totals],[Controlled lb/hr]]+standard_components_137[[#Totals],[Controlled
lb/hr]]))</f>
        <v>0</v>
      </c>
      <c r="J158" s="51">
        <f>IF(speciated_chemicals_139[[#This Row],[Inert / Not a Contaminant?]]="Yes", 0, speciated_chemicals_139[[#This Row],[Weight Percent]]*(unique_components_138[[#Totals],[Controlled
tpy]]+standard_components_137[[#Totals],[Controlled
tpy]]))</f>
        <v>0</v>
      </c>
    </row>
    <row r="159" spans="1:10" x14ac:dyDescent="0.2">
      <c r="A159" s="103"/>
      <c r="B159" s="51" t="str">
        <f>IFERROR(VLOOKUP(speciated_chemicals_139[[#This Row],[CAS '#]],species[],MATCH("Substance", species[#Headers], 0),FALSE),"No CAS Number Entered")</f>
        <v>No CAS Number Entered</v>
      </c>
      <c r="C159" s="102"/>
      <c r="D159" s="102" t="s">
        <v>12666</v>
      </c>
      <c r="E159" s="102" t="s">
        <v>12666</v>
      </c>
      <c r="F159" s="102" t="s">
        <v>12666</v>
      </c>
      <c r="G159" s="102" t="s">
        <v>12666</v>
      </c>
      <c r="H159" s="164"/>
      <c r="I159" s="51">
        <f>IF(speciated_chemicals_139[[#This Row],[Inert / Not a Contaminant?]]="Yes", 0, speciated_chemicals_139[[#This Row],[Weight Percent]]*(unique_components_138[[#Totals],[Controlled lb/hr]]+standard_components_137[[#Totals],[Controlled
lb/hr]]))</f>
        <v>0</v>
      </c>
      <c r="J159" s="51">
        <f>IF(speciated_chemicals_139[[#This Row],[Inert / Not a Contaminant?]]="Yes", 0, speciated_chemicals_139[[#This Row],[Weight Percent]]*(unique_components_138[[#Totals],[Controlled
tpy]]+standard_components_137[[#Totals],[Controlled
tpy]]))</f>
        <v>0</v>
      </c>
    </row>
    <row r="160" spans="1:10" x14ac:dyDescent="0.2">
      <c r="A160" s="103"/>
      <c r="B160" s="51" t="str">
        <f>IFERROR(VLOOKUP(speciated_chemicals_139[[#This Row],[CAS '#]],species[],MATCH("Substance", species[#Headers], 0),FALSE),"No CAS Number Entered")</f>
        <v>No CAS Number Entered</v>
      </c>
      <c r="C160" s="102"/>
      <c r="D160" s="102" t="s">
        <v>12666</v>
      </c>
      <c r="E160" s="102" t="s">
        <v>12666</v>
      </c>
      <c r="F160" s="102" t="s">
        <v>12666</v>
      </c>
      <c r="G160" s="102" t="s">
        <v>12666</v>
      </c>
      <c r="H160" s="164"/>
      <c r="I160" s="51">
        <f>IF(speciated_chemicals_139[[#This Row],[Inert / Not a Contaminant?]]="Yes", 0, speciated_chemicals_139[[#This Row],[Weight Percent]]*(unique_components_138[[#Totals],[Controlled lb/hr]]+standard_components_137[[#Totals],[Controlled
lb/hr]]))</f>
        <v>0</v>
      </c>
      <c r="J160" s="51">
        <f>IF(speciated_chemicals_139[[#This Row],[Inert / Not a Contaminant?]]="Yes", 0, speciated_chemicals_139[[#This Row],[Weight Percent]]*(unique_components_138[[#Totals],[Controlled
tpy]]+standard_components_137[[#Totals],[Controlled
tpy]]))</f>
        <v>0</v>
      </c>
    </row>
    <row r="161" spans="1:10" x14ac:dyDescent="0.2">
      <c r="A161" s="103"/>
      <c r="B161" s="51" t="str">
        <f>IFERROR(VLOOKUP(speciated_chemicals_139[[#This Row],[CAS '#]],species[],MATCH("Substance", species[#Headers], 0),FALSE),"No CAS Number Entered")</f>
        <v>No CAS Number Entered</v>
      </c>
      <c r="C161" s="102"/>
      <c r="D161" s="102" t="s">
        <v>12666</v>
      </c>
      <c r="E161" s="102" t="s">
        <v>12666</v>
      </c>
      <c r="F161" s="102" t="s">
        <v>12666</v>
      </c>
      <c r="G161" s="102" t="s">
        <v>12666</v>
      </c>
      <c r="H161" s="164"/>
      <c r="I161" s="51">
        <f>IF(speciated_chemicals_139[[#This Row],[Inert / Not a Contaminant?]]="Yes", 0, speciated_chemicals_139[[#This Row],[Weight Percent]]*(unique_components_138[[#Totals],[Controlled lb/hr]]+standard_components_137[[#Totals],[Controlled
lb/hr]]))</f>
        <v>0</v>
      </c>
      <c r="J161" s="51">
        <f>IF(speciated_chemicals_139[[#This Row],[Inert / Not a Contaminant?]]="Yes", 0, speciated_chemicals_139[[#This Row],[Weight Percent]]*(unique_components_138[[#Totals],[Controlled
tpy]]+standard_components_137[[#Totals],[Controlled
tpy]]))</f>
        <v>0</v>
      </c>
    </row>
    <row r="162" spans="1:10" x14ac:dyDescent="0.2">
      <c r="A162" s="103"/>
      <c r="B162" s="51" t="str">
        <f>IFERROR(VLOOKUP(speciated_chemicals_139[[#This Row],[CAS '#]],species[],MATCH("Substance", species[#Headers], 0),FALSE),"No CAS Number Entered")</f>
        <v>No CAS Number Entered</v>
      </c>
      <c r="C162" s="102"/>
      <c r="D162" s="102" t="s">
        <v>12666</v>
      </c>
      <c r="E162" s="102" t="s">
        <v>12666</v>
      </c>
      <c r="F162" s="102" t="s">
        <v>12666</v>
      </c>
      <c r="G162" s="102" t="s">
        <v>12666</v>
      </c>
      <c r="H162" s="164"/>
      <c r="I162" s="51">
        <f>IF(speciated_chemicals_139[[#This Row],[Inert / Not a Contaminant?]]="Yes", 0, speciated_chemicals_139[[#This Row],[Weight Percent]]*(unique_components_138[[#Totals],[Controlled lb/hr]]+standard_components_137[[#Totals],[Controlled
lb/hr]]))</f>
        <v>0</v>
      </c>
      <c r="J162" s="51">
        <f>IF(speciated_chemicals_139[[#This Row],[Inert / Not a Contaminant?]]="Yes", 0, speciated_chemicals_139[[#This Row],[Weight Percent]]*(unique_components_138[[#Totals],[Controlled
tpy]]+standard_components_137[[#Totals],[Controlled
tpy]]))</f>
        <v>0</v>
      </c>
    </row>
    <row r="163" spans="1:10" x14ac:dyDescent="0.2">
      <c r="A163" s="103"/>
      <c r="B163" s="51" t="str">
        <f>IFERROR(VLOOKUP(speciated_chemicals_139[[#This Row],[CAS '#]],species[],MATCH("Substance", species[#Headers], 0),FALSE),"No CAS Number Entered")</f>
        <v>No CAS Number Entered</v>
      </c>
      <c r="C163" s="102"/>
      <c r="D163" s="102" t="s">
        <v>12666</v>
      </c>
      <c r="E163" s="102" t="s">
        <v>12666</v>
      </c>
      <c r="F163" s="102" t="s">
        <v>12666</v>
      </c>
      <c r="G163" s="102" t="s">
        <v>12666</v>
      </c>
      <c r="H163" s="164"/>
      <c r="I163" s="51">
        <f>IF(speciated_chemicals_139[[#This Row],[Inert / Not a Contaminant?]]="Yes", 0, speciated_chemicals_139[[#This Row],[Weight Percent]]*(unique_components_138[[#Totals],[Controlled lb/hr]]+standard_components_137[[#Totals],[Controlled
lb/hr]]))</f>
        <v>0</v>
      </c>
      <c r="J163" s="51">
        <f>IF(speciated_chemicals_139[[#This Row],[Inert / Not a Contaminant?]]="Yes", 0, speciated_chemicals_139[[#This Row],[Weight Percent]]*(unique_components_138[[#Totals],[Controlled
tpy]]+standard_components_137[[#Totals],[Controlled
tpy]]))</f>
        <v>0</v>
      </c>
    </row>
    <row r="164" spans="1:10" x14ac:dyDescent="0.2">
      <c r="A164" s="103"/>
      <c r="B164" s="51" t="str">
        <f>IFERROR(VLOOKUP(speciated_chemicals_139[[#This Row],[CAS '#]],species[],MATCH("Substance", species[#Headers], 0),FALSE),"No CAS Number Entered")</f>
        <v>No CAS Number Entered</v>
      </c>
      <c r="C164" s="102"/>
      <c r="D164" s="102" t="s">
        <v>12666</v>
      </c>
      <c r="E164" s="102" t="s">
        <v>12666</v>
      </c>
      <c r="F164" s="102" t="s">
        <v>12666</v>
      </c>
      <c r="G164" s="102" t="s">
        <v>12666</v>
      </c>
      <c r="H164" s="164"/>
      <c r="I164" s="51">
        <f>IF(speciated_chemicals_139[[#This Row],[Inert / Not a Contaminant?]]="Yes", 0, speciated_chemicals_139[[#This Row],[Weight Percent]]*(unique_components_138[[#Totals],[Controlled lb/hr]]+standard_components_137[[#Totals],[Controlled
lb/hr]]))</f>
        <v>0</v>
      </c>
      <c r="J164" s="51">
        <f>IF(speciated_chemicals_139[[#This Row],[Inert / Not a Contaminant?]]="Yes", 0, speciated_chemicals_139[[#This Row],[Weight Percent]]*(unique_components_138[[#Totals],[Controlled
tpy]]+standard_components_137[[#Totals],[Controlled
tpy]]))</f>
        <v>0</v>
      </c>
    </row>
    <row r="165" spans="1:10" x14ac:dyDescent="0.2">
      <c r="A165" s="103"/>
      <c r="B165" s="51" t="str">
        <f>IFERROR(VLOOKUP(speciated_chemicals_139[[#This Row],[CAS '#]],species[],MATCH("Substance", species[#Headers], 0),FALSE),"No CAS Number Entered")</f>
        <v>No CAS Number Entered</v>
      </c>
      <c r="C165" s="102"/>
      <c r="D165" s="102" t="s">
        <v>12666</v>
      </c>
      <c r="E165" s="102" t="s">
        <v>12666</v>
      </c>
      <c r="F165" s="102" t="s">
        <v>12666</v>
      </c>
      <c r="G165" s="102" t="s">
        <v>12666</v>
      </c>
      <c r="H165" s="164"/>
      <c r="I165" s="51">
        <f>IF(speciated_chemicals_139[[#This Row],[Inert / Not a Contaminant?]]="Yes", 0, speciated_chemicals_139[[#This Row],[Weight Percent]]*(unique_components_138[[#Totals],[Controlled lb/hr]]+standard_components_137[[#Totals],[Controlled
lb/hr]]))</f>
        <v>0</v>
      </c>
      <c r="J165" s="51">
        <f>IF(speciated_chemicals_139[[#This Row],[Inert / Not a Contaminant?]]="Yes", 0, speciated_chemicals_139[[#This Row],[Weight Percent]]*(unique_components_138[[#Totals],[Controlled
tpy]]+standard_components_137[[#Totals],[Controlled
tpy]]))</f>
        <v>0</v>
      </c>
    </row>
    <row r="166" spans="1:10" x14ac:dyDescent="0.2">
      <c r="A166" s="103"/>
      <c r="B166" s="51" t="str">
        <f>IFERROR(VLOOKUP(speciated_chemicals_139[[#This Row],[CAS '#]],species[],MATCH("Substance", species[#Headers], 0),FALSE),"No CAS Number Entered")</f>
        <v>No CAS Number Entered</v>
      </c>
      <c r="C166" s="102"/>
      <c r="D166" s="102" t="s">
        <v>12666</v>
      </c>
      <c r="E166" s="102" t="s">
        <v>12666</v>
      </c>
      <c r="F166" s="102" t="s">
        <v>12666</v>
      </c>
      <c r="G166" s="102" t="s">
        <v>12666</v>
      </c>
      <c r="H166" s="164"/>
      <c r="I166" s="51">
        <f>IF(speciated_chemicals_139[[#This Row],[Inert / Not a Contaminant?]]="Yes", 0, speciated_chemicals_139[[#This Row],[Weight Percent]]*(unique_components_138[[#Totals],[Controlled lb/hr]]+standard_components_137[[#Totals],[Controlled
lb/hr]]))</f>
        <v>0</v>
      </c>
      <c r="J166" s="51">
        <f>IF(speciated_chemicals_139[[#This Row],[Inert / Not a Contaminant?]]="Yes", 0, speciated_chemicals_139[[#This Row],[Weight Percent]]*(unique_components_138[[#Totals],[Controlled
tpy]]+standard_components_137[[#Totals],[Controlled
tpy]]))</f>
        <v>0</v>
      </c>
    </row>
    <row r="167" spans="1:10" x14ac:dyDescent="0.2">
      <c r="A167" s="103"/>
      <c r="B167" s="51" t="str">
        <f>IFERROR(VLOOKUP(speciated_chemicals_139[[#This Row],[CAS '#]],species[],MATCH("Substance", species[#Headers], 0),FALSE),"No CAS Number Entered")</f>
        <v>No CAS Number Entered</v>
      </c>
      <c r="C167" s="102"/>
      <c r="D167" s="102" t="s">
        <v>12666</v>
      </c>
      <c r="E167" s="102" t="s">
        <v>12666</v>
      </c>
      <c r="F167" s="102" t="s">
        <v>12666</v>
      </c>
      <c r="G167" s="102" t="s">
        <v>12666</v>
      </c>
      <c r="H167" s="164"/>
      <c r="I167" s="51">
        <f>IF(speciated_chemicals_139[[#This Row],[Inert / Not a Contaminant?]]="Yes", 0, speciated_chemicals_139[[#This Row],[Weight Percent]]*(unique_components_138[[#Totals],[Controlled lb/hr]]+standard_components_137[[#Totals],[Controlled
lb/hr]]))</f>
        <v>0</v>
      </c>
      <c r="J167" s="51">
        <f>IF(speciated_chemicals_139[[#This Row],[Inert / Not a Contaminant?]]="Yes", 0, speciated_chemicals_139[[#This Row],[Weight Percent]]*(unique_components_138[[#Totals],[Controlled
tpy]]+standard_components_137[[#Totals],[Controlled
tpy]]))</f>
        <v>0</v>
      </c>
    </row>
    <row r="168" spans="1:10" x14ac:dyDescent="0.2">
      <c r="A168" s="103"/>
      <c r="B168" s="51" t="str">
        <f>IFERROR(VLOOKUP(speciated_chemicals_139[[#This Row],[CAS '#]],species[],MATCH("Substance", species[#Headers], 0),FALSE),"No CAS Number Entered")</f>
        <v>No CAS Number Entered</v>
      </c>
      <c r="C168" s="102"/>
      <c r="D168" s="102" t="s">
        <v>12666</v>
      </c>
      <c r="E168" s="102" t="s">
        <v>12666</v>
      </c>
      <c r="F168" s="102" t="s">
        <v>12666</v>
      </c>
      <c r="G168" s="102" t="s">
        <v>12666</v>
      </c>
      <c r="H168" s="164"/>
      <c r="I168" s="51">
        <f>IF(speciated_chemicals_139[[#This Row],[Inert / Not a Contaminant?]]="Yes", 0, speciated_chemicals_139[[#This Row],[Weight Percent]]*(unique_components_138[[#Totals],[Controlled lb/hr]]+standard_components_137[[#Totals],[Controlled
lb/hr]]))</f>
        <v>0</v>
      </c>
      <c r="J168" s="51">
        <f>IF(speciated_chemicals_139[[#This Row],[Inert / Not a Contaminant?]]="Yes", 0, speciated_chemicals_139[[#This Row],[Weight Percent]]*(unique_components_138[[#Totals],[Controlled
tpy]]+standard_components_137[[#Totals],[Controlled
tpy]]))</f>
        <v>0</v>
      </c>
    </row>
    <row r="169" spans="1:10" x14ac:dyDescent="0.2">
      <c r="A169" s="103"/>
      <c r="B169" s="51" t="str">
        <f>IFERROR(VLOOKUP(speciated_chemicals_139[[#This Row],[CAS '#]],species[],MATCH("Substance", species[#Headers], 0),FALSE),"No CAS Number Entered")</f>
        <v>No CAS Number Entered</v>
      </c>
      <c r="C169" s="102"/>
      <c r="D169" s="102" t="s">
        <v>12666</v>
      </c>
      <c r="E169" s="102" t="s">
        <v>12666</v>
      </c>
      <c r="F169" s="102" t="s">
        <v>12666</v>
      </c>
      <c r="G169" s="102" t="s">
        <v>12666</v>
      </c>
      <c r="H169" s="164"/>
      <c r="I169" s="51">
        <f>IF(speciated_chemicals_139[[#This Row],[Inert / Not a Contaminant?]]="Yes", 0, speciated_chemicals_139[[#This Row],[Weight Percent]]*(unique_components_138[[#Totals],[Controlled lb/hr]]+standard_components_137[[#Totals],[Controlled
lb/hr]]))</f>
        <v>0</v>
      </c>
      <c r="J169" s="51">
        <f>IF(speciated_chemicals_139[[#This Row],[Inert / Not a Contaminant?]]="Yes", 0, speciated_chemicals_139[[#This Row],[Weight Percent]]*(unique_components_138[[#Totals],[Controlled
tpy]]+standard_components_137[[#Totals],[Controlled
tpy]]))</f>
        <v>0</v>
      </c>
    </row>
    <row r="170" spans="1:10" x14ac:dyDescent="0.2">
      <c r="A170" s="103"/>
      <c r="B170" s="51" t="str">
        <f>IFERROR(VLOOKUP(speciated_chemicals_139[[#This Row],[CAS '#]],species[],MATCH("Substance", species[#Headers], 0),FALSE),"No CAS Number Entered")</f>
        <v>No CAS Number Entered</v>
      </c>
      <c r="C170" s="102"/>
      <c r="D170" s="102" t="s">
        <v>12666</v>
      </c>
      <c r="E170" s="102" t="s">
        <v>12666</v>
      </c>
      <c r="F170" s="102" t="s">
        <v>12666</v>
      </c>
      <c r="G170" s="102" t="s">
        <v>12666</v>
      </c>
      <c r="H170" s="164"/>
      <c r="I170" s="51">
        <f>IF(speciated_chemicals_139[[#This Row],[Inert / Not a Contaminant?]]="Yes", 0, speciated_chemicals_139[[#This Row],[Weight Percent]]*(unique_components_138[[#Totals],[Controlled lb/hr]]+standard_components_137[[#Totals],[Controlled
lb/hr]]))</f>
        <v>0</v>
      </c>
      <c r="J170" s="51">
        <f>IF(speciated_chemicals_139[[#This Row],[Inert / Not a Contaminant?]]="Yes", 0, speciated_chemicals_139[[#This Row],[Weight Percent]]*(unique_components_138[[#Totals],[Controlled
tpy]]+standard_components_137[[#Totals],[Controlled
tpy]]))</f>
        <v>0</v>
      </c>
    </row>
    <row r="171" spans="1:10" x14ac:dyDescent="0.2">
      <c r="A171" s="103"/>
      <c r="B171" s="51" t="str">
        <f>IFERROR(VLOOKUP(speciated_chemicals_139[[#This Row],[CAS '#]],species[],MATCH("Substance", species[#Headers], 0),FALSE),"No CAS Number Entered")</f>
        <v>No CAS Number Entered</v>
      </c>
      <c r="C171" s="102"/>
      <c r="D171" s="102" t="s">
        <v>12666</v>
      </c>
      <c r="E171" s="102" t="s">
        <v>12666</v>
      </c>
      <c r="F171" s="102" t="s">
        <v>12666</v>
      </c>
      <c r="G171" s="102" t="s">
        <v>12666</v>
      </c>
      <c r="H171" s="164"/>
      <c r="I171" s="51">
        <f>IF(speciated_chemicals_139[[#This Row],[Inert / Not a Contaminant?]]="Yes", 0, speciated_chemicals_139[[#This Row],[Weight Percent]]*(unique_components_138[[#Totals],[Controlled lb/hr]]+standard_components_137[[#Totals],[Controlled
lb/hr]]))</f>
        <v>0</v>
      </c>
      <c r="J171" s="51">
        <f>IF(speciated_chemicals_139[[#This Row],[Inert / Not a Contaminant?]]="Yes", 0, speciated_chemicals_139[[#This Row],[Weight Percent]]*(unique_components_138[[#Totals],[Controlled
tpy]]+standard_components_137[[#Totals],[Controlled
tpy]]))</f>
        <v>0</v>
      </c>
    </row>
    <row r="172" spans="1:10" x14ac:dyDescent="0.2">
      <c r="A172" s="103"/>
      <c r="B172" s="51" t="str">
        <f>IFERROR(VLOOKUP(speciated_chemicals_139[[#This Row],[CAS '#]],species[],MATCH("Substance", species[#Headers], 0),FALSE),"No CAS Number Entered")</f>
        <v>No CAS Number Entered</v>
      </c>
      <c r="C172" s="102"/>
      <c r="D172" s="102" t="s">
        <v>12666</v>
      </c>
      <c r="E172" s="102" t="s">
        <v>12666</v>
      </c>
      <c r="F172" s="102" t="s">
        <v>12666</v>
      </c>
      <c r="G172" s="102" t="s">
        <v>12666</v>
      </c>
      <c r="H172" s="164"/>
      <c r="I172" s="51">
        <f>IF(speciated_chemicals_139[[#This Row],[Inert / Not a Contaminant?]]="Yes", 0, speciated_chemicals_139[[#This Row],[Weight Percent]]*(unique_components_138[[#Totals],[Controlled lb/hr]]+standard_components_137[[#Totals],[Controlled
lb/hr]]))</f>
        <v>0</v>
      </c>
      <c r="J172" s="51">
        <f>IF(speciated_chemicals_139[[#This Row],[Inert / Not a Contaminant?]]="Yes", 0, speciated_chemicals_139[[#This Row],[Weight Percent]]*(unique_components_138[[#Totals],[Controlled
tpy]]+standard_components_137[[#Totals],[Controlled
tpy]]))</f>
        <v>0</v>
      </c>
    </row>
    <row r="173" spans="1:10" x14ac:dyDescent="0.2">
      <c r="A173" s="103"/>
      <c r="B173" s="51" t="str">
        <f>IFERROR(VLOOKUP(speciated_chemicals_139[[#This Row],[CAS '#]],species[],MATCH("Substance", species[#Headers], 0),FALSE),"No CAS Number Entered")</f>
        <v>No CAS Number Entered</v>
      </c>
      <c r="C173" s="102"/>
      <c r="D173" s="102" t="s">
        <v>12666</v>
      </c>
      <c r="E173" s="102" t="s">
        <v>12666</v>
      </c>
      <c r="F173" s="102" t="s">
        <v>12666</v>
      </c>
      <c r="G173" s="102" t="s">
        <v>12666</v>
      </c>
      <c r="H173" s="164"/>
      <c r="I173" s="51">
        <f>IF(speciated_chemicals_139[[#This Row],[Inert / Not a Contaminant?]]="Yes", 0, speciated_chemicals_139[[#This Row],[Weight Percent]]*(unique_components_138[[#Totals],[Controlled lb/hr]]+standard_components_137[[#Totals],[Controlled
lb/hr]]))</f>
        <v>0</v>
      </c>
      <c r="J173" s="51">
        <f>IF(speciated_chemicals_139[[#This Row],[Inert / Not a Contaminant?]]="Yes", 0, speciated_chemicals_139[[#This Row],[Weight Percent]]*(unique_components_138[[#Totals],[Controlled
tpy]]+standard_components_137[[#Totals],[Controlled
tpy]]))</f>
        <v>0</v>
      </c>
    </row>
    <row r="174" spans="1:10" x14ac:dyDescent="0.2">
      <c r="A174" s="103"/>
      <c r="B174" s="51" t="str">
        <f>IFERROR(VLOOKUP(speciated_chemicals_139[[#This Row],[CAS '#]],species[],MATCH("Substance", species[#Headers], 0),FALSE),"No CAS Number Entered")</f>
        <v>No CAS Number Entered</v>
      </c>
      <c r="C174" s="102"/>
      <c r="D174" s="102" t="s">
        <v>12666</v>
      </c>
      <c r="E174" s="102" t="s">
        <v>12666</v>
      </c>
      <c r="F174" s="102" t="s">
        <v>12666</v>
      </c>
      <c r="G174" s="102" t="s">
        <v>12666</v>
      </c>
      <c r="H174" s="164"/>
      <c r="I174" s="51">
        <f>IF(speciated_chemicals_139[[#This Row],[Inert / Not a Contaminant?]]="Yes", 0, speciated_chemicals_139[[#This Row],[Weight Percent]]*(unique_components_138[[#Totals],[Controlled lb/hr]]+standard_components_137[[#Totals],[Controlled
lb/hr]]))</f>
        <v>0</v>
      </c>
      <c r="J174" s="51">
        <f>IF(speciated_chemicals_139[[#This Row],[Inert / Not a Contaminant?]]="Yes", 0, speciated_chemicals_139[[#This Row],[Weight Percent]]*(unique_components_138[[#Totals],[Controlled
tpy]]+standard_components_137[[#Totals],[Controlled
tpy]]))</f>
        <v>0</v>
      </c>
    </row>
    <row r="175" spans="1:10" x14ac:dyDescent="0.2">
      <c r="A175" s="103"/>
      <c r="B175" s="51" t="str">
        <f>IFERROR(VLOOKUP(speciated_chemicals_139[[#This Row],[CAS '#]],species[],MATCH("Substance", species[#Headers], 0),FALSE),"No CAS Number Entered")</f>
        <v>No CAS Number Entered</v>
      </c>
      <c r="C175" s="102"/>
      <c r="D175" s="102" t="s">
        <v>12666</v>
      </c>
      <c r="E175" s="102" t="s">
        <v>12666</v>
      </c>
      <c r="F175" s="102" t="s">
        <v>12666</v>
      </c>
      <c r="G175" s="102" t="s">
        <v>12666</v>
      </c>
      <c r="H175" s="164"/>
      <c r="I175" s="51">
        <f>IF(speciated_chemicals_139[[#This Row],[Inert / Not a Contaminant?]]="Yes", 0, speciated_chemicals_139[[#This Row],[Weight Percent]]*(unique_components_138[[#Totals],[Controlled lb/hr]]+standard_components_137[[#Totals],[Controlled
lb/hr]]))</f>
        <v>0</v>
      </c>
      <c r="J175" s="51">
        <f>IF(speciated_chemicals_139[[#This Row],[Inert / Not a Contaminant?]]="Yes", 0, speciated_chemicals_139[[#This Row],[Weight Percent]]*(unique_components_138[[#Totals],[Controlled
tpy]]+standard_components_137[[#Totals],[Controlled
tpy]]))</f>
        <v>0</v>
      </c>
    </row>
    <row r="176" spans="1:10" x14ac:dyDescent="0.2">
      <c r="A176" s="165"/>
      <c r="B176" s="51" t="str">
        <f>IFERROR(VLOOKUP(speciated_chemicals_139[[#This Row],[CAS '#]],species[],MATCH("Substance", species[#Headers], 0),FALSE),"No CAS Number Entered")</f>
        <v>No CAS Number Entered</v>
      </c>
      <c r="C176" s="102"/>
      <c r="D176" s="102" t="s">
        <v>12666</v>
      </c>
      <c r="E176" s="102" t="s">
        <v>12666</v>
      </c>
      <c r="F176" s="102" t="s">
        <v>12666</v>
      </c>
      <c r="G176" s="102" t="s">
        <v>12666</v>
      </c>
      <c r="H176" s="164"/>
      <c r="I176" s="51">
        <f>IF(speciated_chemicals_139[[#This Row],[Inert / Not a Contaminant?]]="Yes", 0, speciated_chemicals_139[[#This Row],[Weight Percent]]*(unique_components_138[[#Totals],[Controlled lb/hr]]+standard_components_137[[#Totals],[Controlled
lb/hr]]))</f>
        <v>0</v>
      </c>
      <c r="J176" s="51">
        <f>IF(speciated_chemicals_139[[#This Row],[Inert / Not a Contaminant?]]="Yes", 0, speciated_chemicals_139[[#This Row],[Weight Percent]]*(unique_components_138[[#Totals],[Controlled
tpy]]+standard_components_137[[#Totals],[Controlled
tpy]]))</f>
        <v>0</v>
      </c>
    </row>
    <row r="177" spans="1:10" x14ac:dyDescent="0.2">
      <c r="A177" s="103"/>
      <c r="B177" s="51" t="str">
        <f>IFERROR(VLOOKUP(speciated_chemicals_139[[#This Row],[CAS '#]],species[],MATCH("Substance", species[#Headers], 0),FALSE),"No CAS Number Entered")</f>
        <v>No CAS Number Entered</v>
      </c>
      <c r="C177" s="102"/>
      <c r="D177" s="102" t="s">
        <v>12666</v>
      </c>
      <c r="E177" s="102" t="s">
        <v>12666</v>
      </c>
      <c r="F177" s="102" t="s">
        <v>12666</v>
      </c>
      <c r="G177" s="102" t="s">
        <v>12666</v>
      </c>
      <c r="H177" s="164"/>
      <c r="I177" s="51">
        <f>IF(speciated_chemicals_139[[#This Row],[Inert / Not a Contaminant?]]="Yes", 0, speciated_chemicals_139[[#This Row],[Weight Percent]]*(unique_components_138[[#Totals],[Controlled lb/hr]]+standard_components_137[[#Totals],[Controlled
lb/hr]]))</f>
        <v>0</v>
      </c>
      <c r="J177" s="51">
        <f>IF(speciated_chemicals_139[[#This Row],[Inert / Not a Contaminant?]]="Yes", 0, speciated_chemicals_139[[#This Row],[Weight Percent]]*(unique_components_138[[#Totals],[Controlled
tpy]]+standard_components_137[[#Totals],[Controlled
tpy]]))</f>
        <v>0</v>
      </c>
    </row>
    <row r="178" spans="1:10" x14ac:dyDescent="0.2">
      <c r="A178" s="103"/>
      <c r="B178" s="51" t="str">
        <f>IFERROR(VLOOKUP(speciated_chemicals_139[[#This Row],[CAS '#]],species[],MATCH("Substance", species[#Headers], 0),FALSE),"No CAS Number Entered")</f>
        <v>No CAS Number Entered</v>
      </c>
      <c r="C178" s="102"/>
      <c r="D178" s="102" t="s">
        <v>12666</v>
      </c>
      <c r="E178" s="102" t="s">
        <v>12666</v>
      </c>
      <c r="F178" s="102" t="s">
        <v>12666</v>
      </c>
      <c r="G178" s="102" t="s">
        <v>12666</v>
      </c>
      <c r="H178" s="164"/>
      <c r="I178" s="51">
        <f>IF(speciated_chemicals_139[[#This Row],[Inert / Not a Contaminant?]]="Yes", 0, speciated_chemicals_139[[#This Row],[Weight Percent]]*(unique_components_138[[#Totals],[Controlled lb/hr]]+standard_components_137[[#Totals],[Controlled
lb/hr]]))</f>
        <v>0</v>
      </c>
      <c r="J178" s="51">
        <f>IF(speciated_chemicals_139[[#This Row],[Inert / Not a Contaminant?]]="Yes", 0, speciated_chemicals_139[[#This Row],[Weight Percent]]*(unique_components_138[[#Totals],[Controlled
tpy]]+standard_components_137[[#Totals],[Controlled
tpy]]))</f>
        <v>0</v>
      </c>
    </row>
    <row r="179" spans="1:10" x14ac:dyDescent="0.2">
      <c r="A179" s="103"/>
      <c r="B179" s="51" t="str">
        <f>IFERROR(VLOOKUP(speciated_chemicals_139[[#This Row],[CAS '#]],species[],MATCH("Substance", species[#Headers], 0),FALSE),"No CAS Number Entered")</f>
        <v>No CAS Number Entered</v>
      </c>
      <c r="C179" s="102"/>
      <c r="D179" s="102" t="s">
        <v>12666</v>
      </c>
      <c r="E179" s="102" t="s">
        <v>12666</v>
      </c>
      <c r="F179" s="102" t="s">
        <v>12666</v>
      </c>
      <c r="G179" s="102" t="s">
        <v>12666</v>
      </c>
      <c r="H179" s="164"/>
      <c r="I179" s="51">
        <f>IF(speciated_chemicals_139[[#This Row],[Inert / Not a Contaminant?]]="Yes", 0, speciated_chemicals_139[[#This Row],[Weight Percent]]*(unique_components_138[[#Totals],[Controlled lb/hr]]+standard_components_137[[#Totals],[Controlled
lb/hr]]))</f>
        <v>0</v>
      </c>
      <c r="J179" s="51">
        <f>IF(speciated_chemicals_139[[#This Row],[Inert / Not a Contaminant?]]="Yes", 0, speciated_chemicals_139[[#This Row],[Weight Percent]]*(unique_components_138[[#Totals],[Controlled
tpy]]+standard_components_137[[#Totals],[Controlled
tpy]]))</f>
        <v>0</v>
      </c>
    </row>
    <row r="180" spans="1:10" x14ac:dyDescent="0.2">
      <c r="A180" s="103"/>
      <c r="B180" s="51" t="str">
        <f>IFERROR(VLOOKUP(speciated_chemicals_139[[#This Row],[CAS '#]],species[],MATCH("Substance", species[#Headers], 0),FALSE),"No CAS Number Entered")</f>
        <v>No CAS Number Entered</v>
      </c>
      <c r="C180" s="102"/>
      <c r="D180" s="102" t="s">
        <v>12666</v>
      </c>
      <c r="E180" s="102" t="s">
        <v>12666</v>
      </c>
      <c r="F180" s="102" t="s">
        <v>12666</v>
      </c>
      <c r="G180" s="102" t="s">
        <v>12666</v>
      </c>
      <c r="H180" s="164"/>
      <c r="I180" s="51">
        <f>IF(speciated_chemicals_139[[#This Row],[Inert / Not a Contaminant?]]="Yes", 0, speciated_chemicals_139[[#This Row],[Weight Percent]]*(unique_components_138[[#Totals],[Controlled lb/hr]]+standard_components_137[[#Totals],[Controlled
lb/hr]]))</f>
        <v>0</v>
      </c>
      <c r="J180" s="51">
        <f>IF(speciated_chemicals_139[[#This Row],[Inert / Not a Contaminant?]]="Yes", 0, speciated_chemicals_139[[#This Row],[Weight Percent]]*(unique_components_138[[#Totals],[Controlled
tpy]]+standard_components_137[[#Totals],[Controlled
tpy]]))</f>
        <v>0</v>
      </c>
    </row>
    <row r="181" spans="1:10" ht="30" x14ac:dyDescent="0.2">
      <c r="A181" s="184" t="s">
        <v>12705</v>
      </c>
      <c r="B181" s="52"/>
      <c r="C181" s="53"/>
      <c r="D181" s="52"/>
      <c r="E181" s="52"/>
      <c r="F181" s="52"/>
      <c r="G181" s="52"/>
      <c r="H181" s="166">
        <f>SUBTOTAL(109,speciated_chemicals_139[Weight Percent])</f>
        <v>0</v>
      </c>
      <c r="I181" s="167">
        <f>SUBTOTAL(109,speciated_chemicals_139[lb/hr])</f>
        <v>0</v>
      </c>
      <c r="J181" s="167">
        <f>SUBTOTAL(109,speciated_chemicals_139[tpy])</f>
        <v>0</v>
      </c>
    </row>
    <row r="182" spans="1:10" ht="14.25" customHeight="1" thickBot="1" x14ac:dyDescent="0.25">
      <c r="A182" s="30"/>
      <c r="B182" s="30"/>
      <c r="C182" s="30"/>
      <c r="D182" s="30"/>
      <c r="E182" s="30"/>
      <c r="F182" s="30"/>
      <c r="G182" s="30"/>
      <c r="H182" s="30"/>
      <c r="I182" s="168"/>
      <c r="J182" s="168"/>
    </row>
    <row r="183" spans="1:10" ht="15.75" thickBot="1" x14ac:dyDescent="0.3">
      <c r="A183" s="75" t="s">
        <v>12778</v>
      </c>
      <c r="B183" s="76"/>
      <c r="C183" s="76"/>
      <c r="D183" s="76"/>
      <c r="E183" s="76"/>
      <c r="F183" s="209"/>
      <c r="G183" s="30"/>
      <c r="H183" s="30"/>
      <c r="I183" s="168"/>
      <c r="J183" s="168"/>
    </row>
    <row r="184" spans="1:10" ht="44.25" customHeight="1" x14ac:dyDescent="0.2">
      <c r="A184" s="83" t="s">
        <v>54</v>
      </c>
      <c r="B184" s="83" t="s">
        <v>12779</v>
      </c>
      <c r="C184" s="83" t="s">
        <v>13282</v>
      </c>
      <c r="D184" s="83" t="s">
        <v>12660</v>
      </c>
      <c r="E184" s="84" t="s">
        <v>13279</v>
      </c>
      <c r="F184" s="84" t="s">
        <v>13291</v>
      </c>
      <c r="G184" s="30"/>
      <c r="H184" s="168"/>
      <c r="I184" s="168"/>
    </row>
    <row r="185" spans="1:10" x14ac:dyDescent="0.2">
      <c r="A185" s="210"/>
      <c r="B185" s="79" t="str">
        <f>IFERROR(INDEX(gwp_table[], MATCH(speciated_ghg_140[[#This Row],[CAS '#]], gwp_table[CAS No.], 0), MATCH("Name", gwp_table[#Headers], 0)),"No CAS Number Entered")</f>
        <v>No CAS Number Entered</v>
      </c>
      <c r="C185" s="79" t="str">
        <f>IFERROR(INDEX(gwp_table[], MATCH(speciated_ghg_140[[#This Row],[CAS '#]], gwp_table[CAS No.], 0), MATCH("Global warming potential", gwp_table[#Headers], 0)),"No CAS Number Entered")</f>
        <v>No CAS Number Entered</v>
      </c>
      <c r="D185" s="219"/>
      <c r="E185" s="79">
        <f>IFERROR(speciated_ghg_140[[#This Row],[Weight Percent]]*(unique_components_138[[#Totals],[Controlled
tpy]]+standard_components_137[[#Totals],[Controlled
tpy]]), "-")</f>
        <v>0</v>
      </c>
      <c r="F185" s="81" t="str">
        <f>IFERROR(speciated_ghg_140[[#This Row],[Mass Emissions (U.S. tons per year)]]*speciated_ghg_140[[#This Row],[Global Warming Potential (GWP)]], "-")</f>
        <v>-</v>
      </c>
      <c r="G185" s="30"/>
      <c r="H185" s="168"/>
      <c r="I185" s="168"/>
    </row>
    <row r="186" spans="1:10" x14ac:dyDescent="0.2">
      <c r="A186" s="210"/>
      <c r="B186" s="79" t="str">
        <f>IFERROR(INDEX(gwp_table[], MATCH(speciated_ghg_140[[#This Row],[CAS '#]], gwp_table[CAS No.], 0), MATCH("Name", gwp_table[#Headers], 0)),"No CAS Number Entered")</f>
        <v>No CAS Number Entered</v>
      </c>
      <c r="C186" s="79" t="str">
        <f>IFERROR(INDEX(gwp_table[], MATCH(speciated_ghg_140[[#This Row],[CAS '#]], gwp_table[CAS No.], 0), MATCH("Global warming potential", gwp_table[#Headers], 0)),"No CAS Number Entered")</f>
        <v>No CAS Number Entered</v>
      </c>
      <c r="D186" s="219"/>
      <c r="E186" s="79">
        <f>IFERROR(speciated_ghg_140[[#This Row],[Weight Percent]]*(unique_components_138[[#Totals],[Controlled
tpy]]+standard_components_137[[#Totals],[Controlled
tpy]]), "-")</f>
        <v>0</v>
      </c>
      <c r="F186" s="81" t="str">
        <f>IFERROR(speciated_ghg_140[[#This Row],[Mass Emissions (U.S. tons per year)]]*speciated_ghg_140[[#This Row],[Global Warming Potential (GWP)]], "-")</f>
        <v>-</v>
      </c>
      <c r="G186" s="30"/>
      <c r="H186" s="168"/>
      <c r="I186" s="168"/>
    </row>
    <row r="187" spans="1:10" x14ac:dyDescent="0.2">
      <c r="A187" s="210"/>
      <c r="B187" s="79" t="str">
        <f>IFERROR(INDEX(gwp_table[], MATCH(speciated_ghg_140[[#This Row],[CAS '#]], gwp_table[CAS No.], 0), MATCH("Name", gwp_table[#Headers], 0)),"No CAS Number Entered")</f>
        <v>No CAS Number Entered</v>
      </c>
      <c r="C187" s="79" t="str">
        <f>IFERROR(INDEX(gwp_table[], MATCH(speciated_ghg_140[[#This Row],[CAS '#]], gwp_table[CAS No.], 0), MATCH("Global warming potential", gwp_table[#Headers], 0)),"No CAS Number Entered")</f>
        <v>No CAS Number Entered</v>
      </c>
      <c r="D187" s="219"/>
      <c r="E187" s="79">
        <f>IFERROR(speciated_ghg_140[[#This Row],[Weight Percent]]*(unique_components_138[[#Totals],[Controlled
tpy]]+standard_components_137[[#Totals],[Controlled
tpy]]), "-")</f>
        <v>0</v>
      </c>
      <c r="F187" s="81" t="str">
        <f>IFERROR(speciated_ghg_140[[#This Row],[Mass Emissions (U.S. tons per year)]]*speciated_ghg_140[[#This Row],[Global Warming Potential (GWP)]], "-")</f>
        <v>-</v>
      </c>
      <c r="G187" s="30"/>
      <c r="H187" s="168"/>
      <c r="I187" s="168"/>
    </row>
    <row r="188" spans="1:10" x14ac:dyDescent="0.2">
      <c r="A188" s="210"/>
      <c r="B188" s="79" t="str">
        <f>IFERROR(INDEX(gwp_table[], MATCH(speciated_ghg_140[[#This Row],[CAS '#]], gwp_table[CAS No.], 0), MATCH("Name", gwp_table[#Headers], 0)),"No CAS Number Entered")</f>
        <v>No CAS Number Entered</v>
      </c>
      <c r="C188" s="79" t="str">
        <f>IFERROR(INDEX(gwp_table[], MATCH(speciated_ghg_140[[#This Row],[CAS '#]], gwp_table[CAS No.], 0), MATCH("Global warming potential", gwp_table[#Headers], 0)),"No CAS Number Entered")</f>
        <v>No CAS Number Entered</v>
      </c>
      <c r="D188" s="219"/>
      <c r="E188" s="79">
        <f>IFERROR(speciated_ghg_140[[#This Row],[Weight Percent]]*(unique_components_138[[#Totals],[Controlled
tpy]]+standard_components_137[[#Totals],[Controlled
tpy]]), "-")</f>
        <v>0</v>
      </c>
      <c r="F188" s="81" t="str">
        <f>IFERROR(speciated_ghg_140[[#This Row],[Mass Emissions (U.S. tons per year)]]*speciated_ghg_140[[#This Row],[Global Warming Potential (GWP)]], "-")</f>
        <v>-</v>
      </c>
      <c r="G188" s="30"/>
      <c r="H188" s="168"/>
      <c r="I188" s="168"/>
    </row>
    <row r="189" spans="1:10" x14ac:dyDescent="0.2">
      <c r="A189" s="210"/>
      <c r="B189" s="79" t="str">
        <f>IFERROR(INDEX(gwp_table[], MATCH(speciated_ghg_140[[#This Row],[CAS '#]], gwp_table[CAS No.], 0), MATCH("Name", gwp_table[#Headers], 0)),"No CAS Number Entered")</f>
        <v>No CAS Number Entered</v>
      </c>
      <c r="C189" s="79" t="str">
        <f>IFERROR(INDEX(gwp_table[], MATCH(speciated_ghg_140[[#This Row],[CAS '#]], gwp_table[CAS No.], 0), MATCH("Global warming potential", gwp_table[#Headers], 0)),"No CAS Number Entered")</f>
        <v>No CAS Number Entered</v>
      </c>
      <c r="D189" s="219"/>
      <c r="E189" s="79">
        <f>IFERROR(speciated_ghg_140[[#This Row],[Weight Percent]]*(unique_components_138[[#Totals],[Controlled
tpy]]+standard_components_137[[#Totals],[Controlled
tpy]]), "-")</f>
        <v>0</v>
      </c>
      <c r="F189" s="81" t="str">
        <f>IFERROR(speciated_ghg_140[[#This Row],[Mass Emissions (U.S. tons per year)]]*speciated_ghg_140[[#This Row],[Global Warming Potential (GWP)]], "-")</f>
        <v>-</v>
      </c>
      <c r="G189" s="30"/>
      <c r="H189" s="168"/>
      <c r="I189" s="168"/>
    </row>
    <row r="190" spans="1:10" x14ac:dyDescent="0.2">
      <c r="A190" s="210"/>
      <c r="B190" s="79" t="str">
        <f>IFERROR(INDEX(gwp_table[], MATCH(speciated_ghg_140[[#This Row],[CAS '#]], gwp_table[CAS No.], 0), MATCH("Name", gwp_table[#Headers], 0)),"No CAS Number Entered")</f>
        <v>No CAS Number Entered</v>
      </c>
      <c r="C190" s="79" t="str">
        <f>IFERROR(INDEX(gwp_table[], MATCH(speciated_ghg_140[[#This Row],[CAS '#]], gwp_table[CAS No.], 0), MATCH("Global warming potential", gwp_table[#Headers], 0)),"No CAS Number Entered")</f>
        <v>No CAS Number Entered</v>
      </c>
      <c r="D190" s="219"/>
      <c r="E190" s="79">
        <f>IFERROR(speciated_ghg_140[[#This Row],[Weight Percent]]*(unique_components_138[[#Totals],[Controlled
tpy]]+standard_components_137[[#Totals],[Controlled
tpy]]), "-")</f>
        <v>0</v>
      </c>
      <c r="F190" s="81" t="str">
        <f>IFERROR(speciated_ghg_140[[#This Row],[Mass Emissions (U.S. tons per year)]]*speciated_ghg_140[[#This Row],[Global Warming Potential (GWP)]], "-")</f>
        <v>-</v>
      </c>
      <c r="G190" s="30"/>
      <c r="H190" s="168"/>
      <c r="I190" s="168"/>
    </row>
    <row r="191" spans="1:10" x14ac:dyDescent="0.2">
      <c r="A191" s="210"/>
      <c r="B191" s="79" t="str">
        <f>IFERROR(INDEX(gwp_table[], MATCH(speciated_ghg_140[[#This Row],[CAS '#]], gwp_table[CAS No.], 0), MATCH("Name", gwp_table[#Headers], 0)),"No CAS Number Entered")</f>
        <v>No CAS Number Entered</v>
      </c>
      <c r="C191" s="79" t="str">
        <f>IFERROR(INDEX(gwp_table[], MATCH(speciated_ghg_140[[#This Row],[CAS '#]], gwp_table[CAS No.], 0), MATCH("Global warming potential", gwp_table[#Headers], 0)),"No CAS Number Entered")</f>
        <v>No CAS Number Entered</v>
      </c>
      <c r="D191" s="219"/>
      <c r="E191" s="79">
        <f>IFERROR(speciated_ghg_140[[#This Row],[Weight Percent]]*(unique_components_138[[#Totals],[Controlled
tpy]]+standard_components_137[[#Totals],[Controlled
tpy]]), "-")</f>
        <v>0</v>
      </c>
      <c r="F191" s="81" t="str">
        <f>IFERROR(speciated_ghg_140[[#This Row],[Mass Emissions (U.S. tons per year)]]*speciated_ghg_140[[#This Row],[Global Warming Potential (GWP)]], "-")</f>
        <v>-</v>
      </c>
      <c r="G191" s="17"/>
    </row>
    <row r="192" spans="1:10" ht="15" x14ac:dyDescent="0.25">
      <c r="A192" s="210"/>
      <c r="B192" s="79" t="str">
        <f>IFERROR(INDEX(gwp_table[], MATCH(speciated_ghg_140[[#This Row],[CAS '#]], gwp_table[CAS No.], 0), MATCH("Name", gwp_table[#Headers], 0)),"No CAS Number Entered")</f>
        <v>No CAS Number Entered</v>
      </c>
      <c r="C192" s="79" t="str">
        <f>IFERROR(INDEX(gwp_table[], MATCH(speciated_ghg_140[[#This Row],[CAS '#]], gwp_table[CAS No.], 0), MATCH("Global warming potential", gwp_table[#Headers], 0)),"No CAS Number Entered")</f>
        <v>No CAS Number Entered</v>
      </c>
      <c r="D192" s="219"/>
      <c r="E192" s="79">
        <f>IFERROR(speciated_ghg_140[[#This Row],[Weight Percent]]*(unique_components_138[[#Totals],[Controlled
tpy]]+standard_components_137[[#Totals],[Controlled
tpy]]), "-")</f>
        <v>0</v>
      </c>
      <c r="F192" s="81" t="str">
        <f>IFERROR(speciated_ghg_140[[#This Row],[Mass Emissions (U.S. tons per year)]]*speciated_ghg_140[[#This Row],[Global Warming Potential (GWP)]], "-")</f>
        <v>-</v>
      </c>
      <c r="G192" s="134"/>
      <c r="H192" s="169"/>
    </row>
    <row r="193" spans="1:9" ht="15" x14ac:dyDescent="0.25">
      <c r="A193" s="210"/>
      <c r="B193" s="79" t="str">
        <f>IFERROR(INDEX(gwp_table[], MATCH(speciated_ghg_140[[#This Row],[CAS '#]], gwp_table[CAS No.], 0), MATCH("Name", gwp_table[#Headers], 0)),"No CAS Number Entered")</f>
        <v>No CAS Number Entered</v>
      </c>
      <c r="C193" s="79" t="str">
        <f>IFERROR(INDEX(gwp_table[], MATCH(speciated_ghg_140[[#This Row],[CAS '#]], gwp_table[CAS No.], 0), MATCH("Global warming potential", gwp_table[#Headers], 0)),"No CAS Number Entered")</f>
        <v>No CAS Number Entered</v>
      </c>
      <c r="D193" s="219"/>
      <c r="E193" s="79">
        <f>IFERROR(speciated_ghg_140[[#This Row],[Weight Percent]]*(unique_components_138[[#Totals],[Controlled
tpy]]+standard_components_137[[#Totals],[Controlled
tpy]]), "-")</f>
        <v>0</v>
      </c>
      <c r="F193" s="81" t="str">
        <f>IFERROR(speciated_ghg_140[[#This Row],[Mass Emissions (U.S. tons per year)]]*speciated_ghg_140[[#This Row],[Global Warming Potential (GWP)]], "-")</f>
        <v>-</v>
      </c>
      <c r="G193" s="134"/>
      <c r="H193" s="169"/>
    </row>
    <row r="194" spans="1:9" ht="15" x14ac:dyDescent="0.25">
      <c r="A194" s="210"/>
      <c r="B194" s="79" t="str">
        <f>IFERROR(INDEX(gwp_table[], MATCH(speciated_ghg_140[[#This Row],[CAS '#]], gwp_table[CAS No.], 0), MATCH("Name", gwp_table[#Headers], 0)),"No CAS Number Entered")</f>
        <v>No CAS Number Entered</v>
      </c>
      <c r="C194" s="79" t="str">
        <f>IFERROR(INDEX(gwp_table[], MATCH(speciated_ghg_140[[#This Row],[CAS '#]], gwp_table[CAS No.], 0), MATCH("Global warming potential", gwp_table[#Headers], 0)),"No CAS Number Entered")</f>
        <v>No CAS Number Entered</v>
      </c>
      <c r="D194" s="219"/>
      <c r="E194" s="79">
        <f>IFERROR(speciated_ghg_140[[#This Row],[Weight Percent]]*(unique_components_138[[#Totals],[Controlled
tpy]]+standard_components_137[[#Totals],[Controlled
tpy]]), "-")</f>
        <v>0</v>
      </c>
      <c r="F194" s="81" t="str">
        <f>IFERROR(speciated_ghg_140[[#This Row],[Mass Emissions (U.S. tons per year)]]*speciated_ghg_140[[#This Row],[Global Warming Potential (GWP)]], "-")</f>
        <v>-</v>
      </c>
      <c r="G194" s="134"/>
      <c r="H194" s="169"/>
    </row>
    <row r="195" spans="1:9" x14ac:dyDescent="0.2">
      <c r="A195" s="210"/>
      <c r="B195" s="79" t="str">
        <f>IFERROR(INDEX(gwp_table[], MATCH(speciated_ghg_140[[#This Row],[CAS '#]], gwp_table[CAS No.], 0), MATCH("Name", gwp_table[#Headers], 0)),"No CAS Number Entered")</f>
        <v>No CAS Number Entered</v>
      </c>
      <c r="C195" s="79" t="str">
        <f>IFERROR(INDEX(gwp_table[], MATCH(speciated_ghg_140[[#This Row],[CAS '#]], gwp_table[CAS No.], 0), MATCH("Global warming potential", gwp_table[#Headers], 0)),"No CAS Number Entered")</f>
        <v>No CAS Number Entered</v>
      </c>
      <c r="D195" s="219"/>
      <c r="E195" s="79">
        <f>IFERROR(speciated_ghg_140[[#This Row],[Weight Percent]]*(unique_components_138[[#Totals],[Controlled
tpy]]+standard_components_137[[#Totals],[Controlled
tpy]]), "-")</f>
        <v>0</v>
      </c>
      <c r="F195" s="81" t="str">
        <f>IFERROR(speciated_ghg_140[[#This Row],[Mass Emissions (U.S. tons per year)]]*speciated_ghg_140[[#This Row],[Global Warming Potential (GWP)]], "-")</f>
        <v>-</v>
      </c>
      <c r="G195" s="69"/>
      <c r="H195" s="169"/>
    </row>
    <row r="196" spans="1:9" x14ac:dyDescent="0.2">
      <c r="A196" s="210"/>
      <c r="B196" s="79" t="str">
        <f>IFERROR(INDEX(gwp_table[], MATCH(speciated_ghg_140[[#This Row],[CAS '#]], gwp_table[CAS No.], 0), MATCH("Name", gwp_table[#Headers], 0)),"No CAS Number Entered")</f>
        <v>No CAS Number Entered</v>
      </c>
      <c r="C196" s="79" t="str">
        <f>IFERROR(INDEX(gwp_table[], MATCH(speciated_ghg_140[[#This Row],[CAS '#]], gwp_table[CAS No.], 0), MATCH("Global warming potential", gwp_table[#Headers], 0)),"No CAS Number Entered")</f>
        <v>No CAS Number Entered</v>
      </c>
      <c r="D196" s="219"/>
      <c r="E196" s="79">
        <f>IFERROR(speciated_ghg_140[[#This Row],[Weight Percent]]*(unique_components_138[[#Totals],[Controlled
tpy]]+standard_components_137[[#Totals],[Controlled
tpy]]), "-")</f>
        <v>0</v>
      </c>
      <c r="F196" s="81" t="str">
        <f>IFERROR(speciated_ghg_140[[#This Row],[Mass Emissions (U.S. tons per year)]]*speciated_ghg_140[[#This Row],[Global Warming Potential (GWP)]], "-")</f>
        <v>-</v>
      </c>
      <c r="G196" s="29"/>
      <c r="H196" s="169"/>
    </row>
    <row r="197" spans="1:9" x14ac:dyDescent="0.2">
      <c r="A197" s="210"/>
      <c r="B197" s="79" t="str">
        <f>IFERROR(INDEX(gwp_table[], MATCH(speciated_ghg_140[[#This Row],[CAS '#]], gwp_table[CAS No.], 0), MATCH("Name", gwp_table[#Headers], 0)),"No CAS Number Entered")</f>
        <v>No CAS Number Entered</v>
      </c>
      <c r="C197" s="79" t="str">
        <f>IFERROR(INDEX(gwp_table[], MATCH(speciated_ghg_140[[#This Row],[CAS '#]], gwp_table[CAS No.], 0), MATCH("Global warming potential", gwp_table[#Headers], 0)),"No CAS Number Entered")</f>
        <v>No CAS Number Entered</v>
      </c>
      <c r="D197" s="219"/>
      <c r="E197" s="79">
        <f>IFERROR(speciated_ghg_140[[#This Row],[Weight Percent]]*(unique_components_138[[#Totals],[Controlled
tpy]]+standard_components_137[[#Totals],[Controlled
tpy]]), "-")</f>
        <v>0</v>
      </c>
      <c r="F197" s="81" t="str">
        <f>IFERROR(speciated_ghg_140[[#This Row],[Mass Emissions (U.S. tons per year)]]*speciated_ghg_140[[#This Row],[Global Warming Potential (GWP)]], "-")</f>
        <v>-</v>
      </c>
      <c r="G197" s="29"/>
      <c r="H197" s="29"/>
      <c r="I197" s="169"/>
    </row>
    <row r="198" spans="1:9" x14ac:dyDescent="0.2">
      <c r="A198" s="210"/>
      <c r="B198" s="79" t="str">
        <f>IFERROR(INDEX(gwp_table[], MATCH(speciated_ghg_140[[#This Row],[CAS '#]], gwp_table[CAS No.], 0), MATCH("Name", gwp_table[#Headers], 0)),"No CAS Number Entered")</f>
        <v>No CAS Number Entered</v>
      </c>
      <c r="C198" s="79" t="str">
        <f>IFERROR(INDEX(gwp_table[], MATCH(speciated_ghg_140[[#This Row],[CAS '#]], gwp_table[CAS No.], 0), MATCH("Global warming potential", gwp_table[#Headers], 0)),"No CAS Number Entered")</f>
        <v>No CAS Number Entered</v>
      </c>
      <c r="D198" s="219"/>
      <c r="E198" s="79">
        <f>IFERROR(speciated_ghg_140[[#This Row],[Weight Percent]]*(unique_components_138[[#Totals],[Controlled
tpy]]+standard_components_137[[#Totals],[Controlled
tpy]]), "-")</f>
        <v>0</v>
      </c>
      <c r="F198" s="81" t="str">
        <f>IFERROR(speciated_ghg_140[[#This Row],[Mass Emissions (U.S. tons per year)]]*speciated_ghg_140[[#This Row],[Global Warming Potential (GWP)]], "-")</f>
        <v>-</v>
      </c>
      <c r="G198" s="29"/>
      <c r="H198" s="29"/>
      <c r="I198" s="169"/>
    </row>
    <row r="199" spans="1:9" x14ac:dyDescent="0.2">
      <c r="A199" s="210"/>
      <c r="B199" s="79" t="str">
        <f>IFERROR(INDEX(gwp_table[], MATCH(speciated_ghg_140[[#This Row],[CAS '#]], gwp_table[CAS No.], 0), MATCH("Name", gwp_table[#Headers], 0)),"No CAS Number Entered")</f>
        <v>No CAS Number Entered</v>
      </c>
      <c r="C199" s="79" t="str">
        <f>IFERROR(INDEX(gwp_table[], MATCH(speciated_ghg_140[[#This Row],[CAS '#]], gwp_table[CAS No.], 0), MATCH("Global warming potential", gwp_table[#Headers], 0)),"No CAS Number Entered")</f>
        <v>No CAS Number Entered</v>
      </c>
      <c r="D199" s="219"/>
      <c r="E199" s="79">
        <f>IFERROR(speciated_ghg_140[[#This Row],[Weight Percent]]*(unique_components_138[[#Totals],[Controlled
tpy]]+standard_components_137[[#Totals],[Controlled
tpy]]), "-")</f>
        <v>0</v>
      </c>
      <c r="F199" s="81" t="str">
        <f>IFERROR(speciated_ghg_140[[#This Row],[Mass Emissions (U.S. tons per year)]]*speciated_ghg_140[[#This Row],[Global Warming Potential (GWP)]], "-")</f>
        <v>-</v>
      </c>
      <c r="G199" s="29"/>
      <c r="H199" s="29"/>
      <c r="I199" s="169"/>
    </row>
    <row r="200" spans="1:9" x14ac:dyDescent="0.2">
      <c r="A200" s="210"/>
      <c r="B200" s="79" t="str">
        <f>IFERROR(INDEX(gwp_table[], MATCH(speciated_ghg_140[[#This Row],[CAS '#]], gwp_table[CAS No.], 0), MATCH("Name", gwp_table[#Headers], 0)),"No CAS Number Entered")</f>
        <v>No CAS Number Entered</v>
      </c>
      <c r="C200" s="79" t="str">
        <f>IFERROR(INDEX(gwp_table[], MATCH(speciated_ghg_140[[#This Row],[CAS '#]], gwp_table[CAS No.], 0), MATCH("Global warming potential", gwp_table[#Headers], 0)),"No CAS Number Entered")</f>
        <v>No CAS Number Entered</v>
      </c>
      <c r="D200" s="219"/>
      <c r="E200" s="79">
        <f>IFERROR(speciated_ghg_140[[#This Row],[Weight Percent]]*(unique_components_138[[#Totals],[Controlled
tpy]]+standard_components_137[[#Totals],[Controlled
tpy]]), "-")</f>
        <v>0</v>
      </c>
      <c r="F200" s="81" t="str">
        <f>IFERROR(speciated_ghg_140[[#This Row],[Mass Emissions (U.S. tons per year)]]*speciated_ghg_140[[#This Row],[Global Warming Potential (GWP)]], "-")</f>
        <v>-</v>
      </c>
      <c r="G200" s="29"/>
      <c r="H200" s="29"/>
      <c r="I200" s="169"/>
    </row>
    <row r="201" spans="1:9" x14ac:dyDescent="0.2">
      <c r="A201" s="210"/>
      <c r="B201" s="79" t="str">
        <f>IFERROR(INDEX(gwp_table[], MATCH(speciated_ghg_140[[#This Row],[CAS '#]], gwp_table[CAS No.], 0), MATCH("Name", gwp_table[#Headers], 0)),"No CAS Number Entered")</f>
        <v>No CAS Number Entered</v>
      </c>
      <c r="C201" s="79" t="str">
        <f>IFERROR(INDEX(gwp_table[], MATCH(speciated_ghg_140[[#This Row],[CAS '#]], gwp_table[CAS No.], 0), MATCH("Global warming potential", gwp_table[#Headers], 0)),"No CAS Number Entered")</f>
        <v>No CAS Number Entered</v>
      </c>
      <c r="D201" s="219"/>
      <c r="E201" s="79">
        <f>IFERROR(speciated_ghg_140[[#This Row],[Weight Percent]]*(unique_components_138[[#Totals],[Controlled
tpy]]+standard_components_137[[#Totals],[Controlled
tpy]]), "-")</f>
        <v>0</v>
      </c>
      <c r="F201" s="81" t="str">
        <f>IFERROR(speciated_ghg_140[[#This Row],[Mass Emissions (U.S. tons per year)]]*speciated_ghg_140[[#This Row],[Global Warming Potential (GWP)]], "-")</f>
        <v>-</v>
      </c>
      <c r="G201" s="169"/>
      <c r="H201" s="169"/>
      <c r="I201" s="169"/>
    </row>
    <row r="202" spans="1:9" x14ac:dyDescent="0.2">
      <c r="A202" s="210"/>
      <c r="B202" s="79" t="str">
        <f>IFERROR(INDEX(gwp_table[], MATCH(speciated_ghg_140[[#This Row],[CAS '#]], gwp_table[CAS No.], 0), MATCH("Name", gwp_table[#Headers], 0)),"No CAS Number Entered")</f>
        <v>No CAS Number Entered</v>
      </c>
      <c r="C202" s="79" t="str">
        <f>IFERROR(INDEX(gwp_table[], MATCH(speciated_ghg_140[[#This Row],[CAS '#]], gwp_table[CAS No.], 0), MATCH("Global warming potential", gwp_table[#Headers], 0)),"No CAS Number Entered")</f>
        <v>No CAS Number Entered</v>
      </c>
      <c r="D202" s="219"/>
      <c r="E202" s="79">
        <f>IFERROR(speciated_ghg_140[[#This Row],[Weight Percent]]*(unique_components_138[[#Totals],[Controlled
tpy]]+standard_components_137[[#Totals],[Controlled
tpy]]), "-")</f>
        <v>0</v>
      </c>
      <c r="F202" s="81" t="str">
        <f>IFERROR(speciated_ghg_140[[#This Row],[Mass Emissions (U.S. tons per year)]]*speciated_ghg_140[[#This Row],[Global Warming Potential (GWP)]], "-")</f>
        <v>-</v>
      </c>
      <c r="G202" s="169"/>
      <c r="H202" s="169"/>
      <c r="I202" s="169"/>
    </row>
    <row r="203" spans="1:9" x14ac:dyDescent="0.2">
      <c r="A203" s="210"/>
      <c r="B203" s="79" t="str">
        <f>IFERROR(INDEX(gwp_table[], MATCH(speciated_ghg_140[[#This Row],[CAS '#]], gwp_table[CAS No.], 0), MATCH("Name", gwp_table[#Headers], 0)),"No CAS Number Entered")</f>
        <v>No CAS Number Entered</v>
      </c>
      <c r="C203" s="79" t="str">
        <f>IFERROR(INDEX(gwp_table[], MATCH(speciated_ghg_140[[#This Row],[CAS '#]], gwp_table[CAS No.], 0), MATCH("Global warming potential", gwp_table[#Headers], 0)),"No CAS Number Entered")</f>
        <v>No CAS Number Entered</v>
      </c>
      <c r="D203" s="219"/>
      <c r="E203" s="79">
        <f>IFERROR(speciated_ghg_140[[#This Row],[Weight Percent]]*(unique_components_138[[#Totals],[Controlled
tpy]]+standard_components_137[[#Totals],[Controlled
tpy]]), "-")</f>
        <v>0</v>
      </c>
      <c r="F203" s="81" t="str">
        <f>IFERROR(speciated_ghg_140[[#This Row],[Mass Emissions (U.S. tons per year)]]*speciated_ghg_140[[#This Row],[Global Warming Potential (GWP)]], "-")</f>
        <v>-</v>
      </c>
      <c r="G203" s="169"/>
      <c r="H203" s="169"/>
      <c r="I203" s="169"/>
    </row>
    <row r="204" spans="1:9" ht="30" x14ac:dyDescent="0.25">
      <c r="A204" s="185" t="s">
        <v>13321</v>
      </c>
      <c r="B204" s="77"/>
      <c r="C204" s="77"/>
      <c r="D204" s="77"/>
      <c r="E204" s="80">
        <f>SUBTOTAL(109,speciated_ghg_140[Mass Emissions (U.S. tons per year)])</f>
        <v>0</v>
      </c>
      <c r="F204" s="82">
        <f>SUBTOTAL(109,speciated_ghg_140[CO2e Emissions (U.S. tons per year)])</f>
        <v>0</v>
      </c>
      <c r="G204" s="169"/>
      <c r="H204" s="169"/>
      <c r="I204" s="169"/>
    </row>
    <row r="205" spans="1:9" ht="14.25" customHeight="1" thickBot="1" x14ac:dyDescent="0.25">
      <c r="A205" s="17"/>
      <c r="B205" s="17"/>
      <c r="C205" s="17"/>
      <c r="D205" s="17"/>
      <c r="E205" s="17"/>
      <c r="F205" s="17"/>
      <c r="G205" s="169"/>
      <c r="H205" s="169"/>
    </row>
    <row r="206" spans="1:9" ht="30.75" thickBot="1" x14ac:dyDescent="0.3">
      <c r="A206" s="170" t="s">
        <v>13288</v>
      </c>
      <c r="B206" s="171"/>
      <c r="C206" s="134"/>
      <c r="D206" s="134"/>
      <c r="E206" s="134"/>
      <c r="F206" s="134"/>
      <c r="G206" s="169"/>
      <c r="H206" s="169"/>
    </row>
    <row r="207" spans="1:9" ht="29.25" x14ac:dyDescent="0.25">
      <c r="A207" s="172" t="s">
        <v>13319</v>
      </c>
      <c r="B207" s="173">
        <f>speciated_chemicals_139[[#Totals],[lb/hr]]</f>
        <v>0</v>
      </c>
      <c r="C207" s="134"/>
      <c r="D207" s="134"/>
      <c r="E207" s="134"/>
      <c r="F207" s="134"/>
      <c r="G207" s="169"/>
      <c r="H207" s="169"/>
    </row>
    <row r="208" spans="1:9" ht="29.25" x14ac:dyDescent="0.25">
      <c r="A208" s="174" t="s">
        <v>13320</v>
      </c>
      <c r="B208" s="175">
        <f>speciated_chemicals_139[[#Totals],[tpy]]</f>
        <v>0</v>
      </c>
      <c r="C208" s="134"/>
      <c r="D208" s="134"/>
      <c r="E208" s="134"/>
      <c r="F208" s="134"/>
      <c r="G208" s="169"/>
      <c r="H208" s="169"/>
    </row>
    <row r="209" spans="1:8" ht="15" x14ac:dyDescent="0.25">
      <c r="A209" s="126" t="s">
        <v>13277</v>
      </c>
      <c r="B209" s="128">
        <f>SUMIF(speciated_chemicals_139[VOC?],"Yes",speciated_chemicals_139[lb/hr])</f>
        <v>0</v>
      </c>
      <c r="C209" s="134"/>
      <c r="D209" s="29"/>
      <c r="E209" s="29"/>
      <c r="F209" s="29"/>
      <c r="G209" s="169"/>
      <c r="H209" s="169"/>
    </row>
    <row r="210" spans="1:8" ht="15" x14ac:dyDescent="0.25">
      <c r="A210" s="126" t="s">
        <v>12669</v>
      </c>
      <c r="B210" s="128">
        <f>SUMIF(speciated_chemicals_139[VOC?],"Yes",speciated_chemicals_139[tpy])</f>
        <v>0</v>
      </c>
      <c r="C210" s="134"/>
      <c r="D210" s="29"/>
      <c r="E210" s="29"/>
      <c r="F210" s="29"/>
      <c r="G210" s="169"/>
      <c r="H210" s="169"/>
    </row>
    <row r="211" spans="1:8" ht="15" x14ac:dyDescent="0.25">
      <c r="A211" s="126" t="s">
        <v>12775</v>
      </c>
      <c r="B211" s="128">
        <f>SUMIF(speciated_chemicals_139[Inorganic?],"Yes",speciated_chemicals_139[lb/hr])</f>
        <v>0</v>
      </c>
      <c r="C211" s="134"/>
      <c r="D211" s="29"/>
      <c r="E211" s="29"/>
      <c r="F211" s="29"/>
      <c r="G211" s="169"/>
      <c r="H211" s="169"/>
    </row>
    <row r="212" spans="1:8" ht="15" x14ac:dyDescent="0.25">
      <c r="A212" s="126" t="s">
        <v>12770</v>
      </c>
      <c r="B212" s="128">
        <f>SUMIF(speciated_chemicals_139[Inorganic?],"Yes",speciated_chemicals_139[tpy])</f>
        <v>0</v>
      </c>
      <c r="C212" s="134"/>
      <c r="D212" s="29"/>
      <c r="E212" s="29"/>
      <c r="F212" s="29"/>
      <c r="G212" s="169"/>
      <c r="H212" s="169"/>
    </row>
    <row r="213" spans="1:8" ht="15" x14ac:dyDescent="0.25">
      <c r="A213" s="126" t="s">
        <v>13276</v>
      </c>
      <c r="B213" s="128">
        <f>SUMIF(speciated_chemicals_139[VOC-Exempt Solvent?],"Yes",speciated_chemicals_139[lb/hr])</f>
        <v>0</v>
      </c>
      <c r="C213" s="134"/>
      <c r="D213" s="29"/>
      <c r="E213" s="29"/>
      <c r="F213" s="29"/>
      <c r="G213" s="169"/>
      <c r="H213" s="169"/>
    </row>
    <row r="214" spans="1:8" ht="15" x14ac:dyDescent="0.25">
      <c r="A214" s="126" t="s">
        <v>13278</v>
      </c>
      <c r="B214" s="128">
        <f>SUMIF(speciated_chemicals_139[VOC-Exempt Solvent?],"Yes",speciated_chemicals_139[tpy])</f>
        <v>0</v>
      </c>
      <c r="C214" s="134"/>
      <c r="D214" s="29"/>
      <c r="E214" s="29"/>
      <c r="F214" s="29"/>
      <c r="G214" s="169"/>
      <c r="H214" s="169"/>
    </row>
    <row r="215" spans="1:8" ht="15" x14ac:dyDescent="0.25">
      <c r="A215" s="127" t="s">
        <v>13280</v>
      </c>
      <c r="B215" s="176">
        <f>speciated_ghg_140[[#Totals],[Mass Emissions (U.S. tons per year)]]</f>
        <v>0</v>
      </c>
      <c r="C215" s="134"/>
      <c r="D215" s="29"/>
      <c r="E215" s="29"/>
      <c r="F215" s="29"/>
      <c r="G215" s="169"/>
      <c r="H215" s="169"/>
    </row>
    <row r="216" spans="1:8" ht="18.75" x14ac:dyDescent="0.35">
      <c r="A216" s="127" t="s">
        <v>13281</v>
      </c>
      <c r="B216" s="176">
        <f>speciated_ghg_140[[#Totals],[CO2e Emissions (U.S. tons per year)]]</f>
        <v>0</v>
      </c>
      <c r="C216" s="134"/>
      <c r="D216" s="29"/>
      <c r="E216" s="29"/>
      <c r="F216" s="29"/>
      <c r="G216" s="169"/>
      <c r="H216" s="169"/>
    </row>
    <row r="217" spans="1:8" ht="15" thickBot="1" x14ac:dyDescent="0.25">
      <c r="C217" s="169"/>
      <c r="D217" s="169"/>
      <c r="E217" s="169"/>
      <c r="F217" s="169"/>
    </row>
    <row r="218" spans="1:8" ht="15.75" thickBot="1" x14ac:dyDescent="0.3">
      <c r="A218" s="177" t="s">
        <v>12708</v>
      </c>
      <c r="B218" s="169"/>
      <c r="C218" s="169"/>
      <c r="D218" s="169"/>
      <c r="E218" s="169"/>
      <c r="F218" s="169"/>
    </row>
    <row r="219" spans="1:8" ht="42.75" x14ac:dyDescent="0.2">
      <c r="A219" s="74" t="s">
        <v>13289</v>
      </c>
      <c r="B219" s="169"/>
      <c r="C219" s="169"/>
      <c r="D219" s="169"/>
      <c r="E219" s="169"/>
      <c r="F219" s="169"/>
    </row>
    <row r="220" spans="1:8" ht="45.75" customHeight="1" x14ac:dyDescent="0.2">
      <c r="A220" s="65" t="s">
        <v>13290</v>
      </c>
      <c r="B220" s="169"/>
      <c r="C220" s="169"/>
      <c r="D220" s="169"/>
      <c r="E220" s="169"/>
      <c r="F220" s="169"/>
    </row>
    <row r="221" spans="1:8" ht="28.5" x14ac:dyDescent="0.2">
      <c r="A221" s="65" t="s">
        <v>12709</v>
      </c>
      <c r="B221" s="169"/>
      <c r="C221" s="169"/>
      <c r="D221" s="169"/>
      <c r="E221" s="169"/>
      <c r="F221" s="169"/>
    </row>
    <row r="222" spans="1:8" ht="28.5" x14ac:dyDescent="0.2">
      <c r="A222" s="65" t="s">
        <v>12710</v>
      </c>
      <c r="B222" s="169"/>
      <c r="C222" s="169"/>
      <c r="D222" s="169"/>
      <c r="E222" s="169"/>
      <c r="F222" s="169"/>
    </row>
    <row r="223" spans="1:8" ht="171" x14ac:dyDescent="0.2">
      <c r="A223" s="65" t="s">
        <v>12711</v>
      </c>
      <c r="B223" s="169"/>
      <c r="C223" s="169"/>
      <c r="D223" s="169"/>
      <c r="E223" s="169"/>
      <c r="F223" s="169"/>
    </row>
    <row r="224" spans="1:8" ht="85.5" x14ac:dyDescent="0.2">
      <c r="A224" s="65" t="s">
        <v>13295</v>
      </c>
      <c r="B224" s="169"/>
      <c r="C224" s="169"/>
      <c r="D224" s="169"/>
      <c r="E224" s="169"/>
      <c r="F224" s="169"/>
    </row>
    <row r="225" spans="1:6" ht="57" x14ac:dyDescent="0.2">
      <c r="A225" s="65" t="s">
        <v>12712</v>
      </c>
      <c r="B225" s="178"/>
      <c r="C225" s="169"/>
      <c r="D225" s="169"/>
      <c r="E225" s="169"/>
      <c r="F225" s="169"/>
    </row>
    <row r="226" spans="1:6" ht="28.5" x14ac:dyDescent="0.2">
      <c r="A226" s="65" t="s">
        <v>12726</v>
      </c>
      <c r="B226" s="178"/>
      <c r="C226" s="169"/>
      <c r="D226" s="169"/>
      <c r="E226" s="169"/>
      <c r="F226" s="169"/>
    </row>
    <row r="227" spans="1:6" ht="28.5" x14ac:dyDescent="0.2">
      <c r="A227" s="65" t="s">
        <v>13296</v>
      </c>
      <c r="B227" s="178"/>
      <c r="C227" s="169"/>
      <c r="D227" s="169"/>
      <c r="E227" s="169"/>
      <c r="F227" s="169"/>
    </row>
    <row r="228" spans="1:6" ht="42.75" x14ac:dyDescent="0.2">
      <c r="A228" s="66" t="s">
        <v>12727</v>
      </c>
      <c r="B228" s="169"/>
      <c r="C228" s="169"/>
      <c r="D228" s="169"/>
      <c r="E228" s="169"/>
      <c r="F228" s="169"/>
    </row>
    <row r="229" spans="1:6" hidden="1" x14ac:dyDescent="0.2">
      <c r="A229" s="31" t="s">
        <v>12730</v>
      </c>
      <c r="B229" s="178"/>
      <c r="C229" s="169"/>
      <c r="D229" s="169"/>
      <c r="E229" s="169"/>
      <c r="F229" s="169"/>
    </row>
    <row r="230" spans="1:6" hidden="1" x14ac:dyDescent="0.2">
      <c r="A230" s="31" t="s">
        <v>12731</v>
      </c>
      <c r="B230" s="169"/>
      <c r="C230" s="169"/>
      <c r="D230" s="169"/>
      <c r="E230" s="169"/>
      <c r="F230" s="169"/>
    </row>
    <row r="231" spans="1:6" hidden="1" x14ac:dyDescent="0.2">
      <c r="A231" s="31" t="s">
        <v>13274</v>
      </c>
      <c r="B231" s="33" t="s">
        <v>13273</v>
      </c>
      <c r="C231" s="33" t="s">
        <v>13275</v>
      </c>
    </row>
    <row r="232" spans="1:6" hidden="1" x14ac:dyDescent="0.2">
      <c r="A232" s="33" t="str" cm="1">
        <f t="array" ref="A232">IFERROR(INDEX(instrument_ldar_programs[], , MATCH(industry_type, instrument_ldar_programs[#Headers], 0)), ldar_error_msg)</f>
        <v>Please enter the industry type first.</v>
      </c>
      <c r="B232" s="33" t="str" cm="1">
        <f t="array" ref="B232">IFERROR(INDEX(connector_ldar_programs[],,MATCH(industry_type,connector_ldar_programs[#Headers],0)),ldar_error_msg)</f>
        <v>Please enter the industry type first.</v>
      </c>
      <c r="C232" s="33" t="str" cm="1">
        <f t="array" ref="C232">IFERROR(INDEX(inspection_ldar_programs[], , MATCH(industry_type, inspection_ldar_programs[#Headers],0)), ldar_error_msg)</f>
        <v>Please enter the industry type first.</v>
      </c>
    </row>
    <row r="233" spans="1:6" hidden="1" x14ac:dyDescent="0.2">
      <c r="A233" s="31"/>
    </row>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47.25" hidden="1" customHeight="1" x14ac:dyDescent="0.2"/>
    <row r="254" ht="24.75" hidden="1" customHeight="1" x14ac:dyDescent="0.2"/>
  </sheetData>
  <sheetProtection algorithmName="SHA-512" hashValue="JuxKoxvWBOcyG79BwlYrvgZp/XaZEaNxHH8RW9N6ZQPFcUlT77WqNnKcj4hRKA6tGd9tq3ZpY1MYy+eRcNllKQ==" saltValue="Q9Lpdfj1JDm/JIIsVw40Bg==" spinCount="100000" sheet="1" objects="1" scenarios="1" formatColumns="0" formatRows="0" autoFilter="0"/>
  <conditionalFormatting sqref="A21:H21">
    <cfRule type="expression" dxfId="1885" priority="5">
      <formula>$F$19="No"</formula>
    </cfRule>
  </conditionalFormatting>
  <conditionalFormatting sqref="A105:E106 F106:G126">
    <cfRule type="expression" dxfId="1884" priority="4">
      <formula>$E$104="no"</formula>
    </cfRule>
  </conditionalFormatting>
  <conditionalFormatting sqref="C131:C180">
    <cfRule type="expression" dxfId="1883" priority="3">
      <formula>NOT(B131="Other (Please specify):")</formula>
    </cfRule>
  </conditionalFormatting>
  <conditionalFormatting sqref="A107:E126">
    <cfRule type="expression" dxfId="1882" priority="2">
      <formula>$A$58="No"</formula>
    </cfRule>
  </conditionalFormatting>
  <conditionalFormatting sqref="A107:E126 A206:B214 A215:A216">
    <cfRule type="expression" dxfId="1881" priority="1">
      <formula>$B$11="I disagree"</formula>
    </cfRule>
  </conditionalFormatting>
  <dataValidations count="29">
    <dataValidation allowBlank="1" showInputMessage="1" showErrorMessage="1" prompt="Enter the number of the components corresponding to the component type and service type shown in the previous two cells. For sampling connections, see note in Instructions." sqref="C25:C100" xr:uid="{CDB59AB8-6CFD-447E-BD5D-279D2364176B}"/>
    <dataValidation type="list" allowBlank="1" showInputMessage="1" showErrorMessage="1" sqref="E104:H104 B10" xr:uid="{6D7D6C8F-2BE9-4EDB-AFE4-E8F72FF81266}">
      <formula1>"Yes,No"</formula1>
    </dataValidation>
    <dataValidation type="list" allowBlank="1" showInputMessage="1" showErrorMessage="1" sqref="F19:H20" xr:uid="{0924BDB6-645D-45F3-920C-0E3D3BA6A6B3}">
      <formula1>"No,Yes - 75%,Yes - 95%"</formula1>
    </dataValidation>
    <dataValidation type="list" allowBlank="1" showInputMessage="1" showErrorMessage="1" sqref="F18" xr:uid="{67CFEA94-8E12-4151-A0CD-6031B13271A8}">
      <formula1>IF(#REF!="SOCMI Non-leaker",ListNone,ListInspection)</formula1>
    </dataValidation>
    <dataValidation type="list" allowBlank="1" showInputMessage="1" showErrorMessage="1" sqref="F16:F17" xr:uid="{201C6561-B99E-4BE2-96C2-C561C6F4DD9D}">
      <formula1>IF(#REF!="SOCMI Non-Leaker",ListNone,ListInstrument)</formula1>
    </dataValidation>
    <dataValidation type="list" allowBlank="1" showInputMessage="1" prompt="Please specify whether the substance is a volatile organic compound (VOC); methane and ethane are not classifed as VOCs" sqref="D132:D180" xr:uid="{804A5341-CF09-43E2-B983-E3D908BBB128}">
      <formula1>"Yes,No"</formula1>
    </dataValidation>
    <dataValidation allowBlank="1" showInputMessage="1" showErrorMessage="1" prompt="Enter the weight percent of the substance" sqref="H178:H180 H132:H176" xr:uid="{835D1BC8-842C-47B0-A36A-9C95C6F83E96}"/>
    <dataValidation type="list" allowBlank="1" showInputMessage="1" showErrorMessage="1" prompt="Enter or select Chemical Abstracts Service number; select &quot;N/A&quot; if a CAS # is not applicable" sqref="A131:A175 A177:A180" xr:uid="{001AA14A-B369-4654-A709-2CC5000B3FD0}">
      <formula1>SpeciesList</formula1>
    </dataValidation>
    <dataValidation type="list" allowBlank="1" showInputMessage="1" prompt="Select other species from dropdown" sqref="C131:C180" xr:uid="{E7C91F8B-40AE-4650-9CA1-2E2EFECD31B8}">
      <formula1>NoCASList</formula1>
    </dataValidation>
    <dataValidation allowBlank="1" showInputMessage="1" showErrorMessage="1" prompt="Proposed control efficiency (0-1)" sqref="E107:E126" xr:uid="{C92FA614-03E9-43A2-BD7E-88BC880B8B40}"/>
    <dataValidation allowBlank="1" showInputMessage="1" showErrorMessage="1" prompt="Count of unique component" sqref="C107:C126" xr:uid="{5285F5F5-93EF-4C98-B6B0-F32EE1DEE703}"/>
    <dataValidation allowBlank="1" showInputMessage="1" showErrorMessage="1" prompt="Type of service (e.g. gas, vapor, or liquid)" sqref="B107:B126" xr:uid="{C80AC54E-4540-4C4A-A447-7A592DF5F50D}"/>
    <dataValidation allowBlank="1" showInputMessage="1" showErrorMessage="1" prompt="Name of unique component" sqref="A107:A126" xr:uid="{C6EAABEB-C49E-43D8-8718-0BACC1E5D72F}"/>
    <dataValidation type="list" allowBlank="1" showInputMessage="1" showErrorMessage="1" sqref="B13" xr:uid="{75958BB2-F1B0-4869-9504-67A949D0D02A}">
      <formula1>industry_names</formula1>
    </dataValidation>
    <dataValidation type="list" allowBlank="1" showInputMessage="1" showErrorMessage="1" sqref="B19" xr:uid="{CF64EBEE-B004-40D8-B4E4-F47FABE30D46}">
      <formula1>yes_no_list</formula1>
    </dataValidation>
    <dataValidation type="list" allowBlank="1" showInputMessage="1" showErrorMessage="1" sqref="B20" xr:uid="{963A3618-DD7B-40CD-9F36-777EB28632AC}">
      <formula1>process_drains_effs</formula1>
    </dataValidation>
    <dataValidation allowBlank="1" showInputMessage="1" showErrorMessage="1" prompt="Proposed emission factor" sqref="D107:D126" xr:uid="{5A635DED-AF66-4821-A28E-17C4944F3845}"/>
    <dataValidation type="list" allowBlank="1" showInputMessage="1" prompt="Please specify if the substance is an inert substance or is not considered a contaminant (e.g. steam)" sqref="G131:G180" xr:uid="{FA0C9F03-A67A-4383-9430-D1DAE2E5ACD6}">
      <formula1>"Yes,No"</formula1>
    </dataValidation>
    <dataValidation type="list" allowBlank="1" showInputMessage="1" showErrorMessage="1" prompt="Please select from the dropdown" sqref="B104" xr:uid="{C98BBFEE-30D8-4FFB-81D6-ADA85135E47D}">
      <formula1>yes_no_list</formula1>
    </dataValidation>
    <dataValidation allowBlank="1" showInputMessage="1" showErrorMessage="1" prompt="Provide justification" sqref="B105" xr:uid="{BD1FA91C-5EE1-4503-B91F-21036CCB1F06}"/>
    <dataValidation type="list" showInputMessage="1" prompt="Please specify whether the substance is a volatile organic compound (VOC); methane and ethane are not classifed as VOCs" sqref="D131" xr:uid="{1510B0CA-A818-4B7D-98D4-06C92AA362BC}">
      <formula1>"Yes,No"</formula1>
    </dataValidation>
    <dataValidation type="list" showInputMessage="1" prompt="Please specify whether the substance is an inorganic contaminant (e.g. ammonia or chlorine gas)" sqref="E131:E180" xr:uid="{FE3E2C27-D76F-47A8-BFE7-41A5F421D28A}">
      <formula1>"Yes,No"</formula1>
    </dataValidation>
    <dataValidation type="list" allowBlank="1" showInputMessage="1" prompt="Please specify whether the substance is an VOC-exempt solvent." sqref="F131:F180" xr:uid="{BFC36819-BCB6-47EE-985D-E03A170DFDD5}">
      <formula1>"Yes,No"</formula1>
    </dataValidation>
    <dataValidation type="list" allowBlank="1" showInputMessage="1" showErrorMessage="1" prompt="Enter or select Chemical Abstracts Service number; select &quot;N/A&quot; if a CAS # is not applicable" sqref="A185:A203 A176" xr:uid="{AA7438D3-BB09-4EE9-9DB8-9EA598E82B5D}">
      <formula1>gwp_table_cas</formula1>
    </dataValidation>
    <dataValidation type="decimal" allowBlank="1" showInputMessage="1" showErrorMessage="1" prompt="Enter the weight percent of the substance" sqref="H177" xr:uid="{5C8B4017-38EC-4C57-818C-60D32017653D}">
      <formula1>0</formula1>
      <formula2>1</formula2>
    </dataValidation>
    <dataValidation type="decimal" operator="greaterThan" allowBlank="1" showInputMessage="1" showErrorMessage="1" prompt="Enter the weight percent of the substance" sqref="H131 D185:D203" xr:uid="{BDACC833-FA82-4D65-9F51-3DC434EC2DD9}">
      <formula1>0</formula1>
    </dataValidation>
    <dataValidation type="list" allowBlank="1" showInputMessage="1" showErrorMessage="1" sqref="B18" xr:uid="{C7D89F99-2800-43CE-AA0D-CA9BCBED37AA}">
      <formula1>inspection_ldar_list</formula1>
    </dataValidation>
    <dataValidation type="list" allowBlank="1" showInputMessage="1" showErrorMessage="1" sqref="B17" xr:uid="{B392471E-5E4D-4390-8FC4-BB10B0688B2A}">
      <formula1>connector_ldar_list</formula1>
    </dataValidation>
    <dataValidation type="list" allowBlank="1" showInputMessage="1" showErrorMessage="1" sqref="B16" xr:uid="{04C82C3A-D43A-4AE4-9B8B-7E448DAB70A5}">
      <formula1>instrument_ldar_list</formula1>
    </dataValidation>
  </dataValidations>
  <pageMargins left="0.25" right="0.25" top="0.75" bottom="0.75" header="0.3" footer="0.3"/>
  <pageSetup scale="46" fitToWidth="0" orientation="landscape" r:id="rId1"/>
  <headerFooter>
    <oddHeader>&amp;CFugitive Calculation Workbook: Calculation Sheet</oddHeader>
    <oddFooter>Page &amp;P</oddFooter>
  </headerFooter>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d W t R 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d W t R 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V r U V Q o i k e 4 D g A A A B E A A A A T A B w A R m 9 y b X V s Y X M v U 2 V j d G l v b j E u b S C i G A A o o B Q A A A A A A A A A A A A A A A A A A A A A A A A A A A A r T k 0 u y c z P U w i G 0 I b W A F B L A Q I t A B Q A A g A I A H V r U V S H I L 8 k p A A A A P U A A A A S A A A A A A A A A A A A A A A A A A A A A A B D b 2 5 m a W c v U G F j a 2 F n Z S 5 4 b W x Q S w E C L Q A U A A I A C A B 1 a 1 F U D 8 r p q 6 Q A A A D p A A A A E w A A A A A A A A A A A A A A A A D w A A A A W 0 N v b n R l b n R f V H l w Z X N d L n h t b F B L A Q I t A B Q A A g A I A H V r U V 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o V M w f N d y 1 T r 8 d Q x z r a B L h A A A A A A I A A A A A A A N m A A D A A A A A E A A A A B N y M r t s c T n c v x p 7 I 7 B i D g s A A A A A B I A A A K A A A A A Q A A A A c y Z m s 4 Y z q 9 K G b T Z i 2 i O 2 a 1 A A A A A 5 c / E 1 S y 2 G D R 4 k Y f w 8 6 N Q t C A L m q u 3 P H H d + r Y W V x E 2 e T x D I Y j N 1 v O j m k A Z y Y 7 Z Z d R Q H h M K k V D 7 C P f v h K X F Z h 2 n I N Y E y 5 Y 0 / b s W v l e + 4 x d 5 + / R Q A A A C 5 d g f u C v i Z p B 5 x P A O c g + t P Z j E E E w = = < / D a t a M a s h u p > 
</file>

<file path=customXml/itemProps1.xml><?xml version="1.0" encoding="utf-8"?>
<ds:datastoreItem xmlns:ds="http://schemas.openxmlformats.org/officeDocument/2006/customXml" ds:itemID="{F1717E92-02FA-4364-9D4C-3AA842F59D4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609</vt:i4>
      </vt:variant>
    </vt:vector>
  </HeadingPairs>
  <TitlesOfParts>
    <vt:vector size="642" baseType="lpstr">
      <vt:lpstr>Instructions</vt:lpstr>
      <vt:lpstr>Summary</vt:lpstr>
      <vt:lpstr>Fug (1)</vt:lpstr>
      <vt:lpstr>Fug (2)</vt:lpstr>
      <vt:lpstr>Fug (3)</vt:lpstr>
      <vt:lpstr>Fug (4)</vt:lpstr>
      <vt:lpstr>Fug (5)</vt:lpstr>
      <vt:lpstr>Fug (6)</vt:lpstr>
      <vt:lpstr>Fug (7)</vt:lpstr>
      <vt:lpstr>Fug (8)</vt:lpstr>
      <vt:lpstr>Fug (9)</vt:lpstr>
      <vt:lpstr>Fug (10)</vt:lpstr>
      <vt:lpstr>Fug (11)</vt:lpstr>
      <vt:lpstr>Fug (12)</vt:lpstr>
      <vt:lpstr>Fug (13)</vt:lpstr>
      <vt:lpstr>Fug (14)</vt:lpstr>
      <vt:lpstr>Fug (15)</vt:lpstr>
      <vt:lpstr>Fug (16)</vt:lpstr>
      <vt:lpstr>Fug (17)</vt:lpstr>
      <vt:lpstr>Fug (18)</vt:lpstr>
      <vt:lpstr>Fug (19)</vt:lpstr>
      <vt:lpstr>Fug (20)</vt:lpstr>
      <vt:lpstr>Fug (21)</vt:lpstr>
      <vt:lpstr>Fug (22)</vt:lpstr>
      <vt:lpstr>Fug (23)</vt:lpstr>
      <vt:lpstr>Fug (24)</vt:lpstr>
      <vt:lpstr>Fug (25)</vt:lpstr>
      <vt:lpstr>Emission Factors &amp; Control Effs</vt:lpstr>
      <vt:lpstr>Species</vt:lpstr>
      <vt:lpstr>Industry, Components, Service</vt:lpstr>
      <vt:lpstr>LDAR Programs</vt:lpstr>
      <vt:lpstr>Helper Variable and Lists</vt:lpstr>
      <vt:lpstr>Global Warming Potentials</vt:lpstr>
      <vt:lpstr>'Fug (1)'!connector_ldar</vt:lpstr>
      <vt:lpstr>'Fug (10)'!connector_ldar</vt:lpstr>
      <vt:lpstr>'Fug (11)'!connector_ldar</vt:lpstr>
      <vt:lpstr>'Fug (12)'!connector_ldar</vt:lpstr>
      <vt:lpstr>'Fug (13)'!connector_ldar</vt:lpstr>
      <vt:lpstr>'Fug (14)'!connector_ldar</vt:lpstr>
      <vt:lpstr>'Fug (15)'!connector_ldar</vt:lpstr>
      <vt:lpstr>'Fug (16)'!connector_ldar</vt:lpstr>
      <vt:lpstr>'Fug (17)'!connector_ldar</vt:lpstr>
      <vt:lpstr>'Fug (18)'!connector_ldar</vt:lpstr>
      <vt:lpstr>'Fug (19)'!connector_ldar</vt:lpstr>
      <vt:lpstr>'Fug (2)'!connector_ldar</vt:lpstr>
      <vt:lpstr>'Fug (20)'!connector_ldar</vt:lpstr>
      <vt:lpstr>'Fug (21)'!connector_ldar</vt:lpstr>
      <vt:lpstr>'Fug (22)'!connector_ldar</vt:lpstr>
      <vt:lpstr>'Fug (23)'!connector_ldar</vt:lpstr>
      <vt:lpstr>'Fug (24)'!connector_ldar</vt:lpstr>
      <vt:lpstr>'Fug (25)'!connector_ldar</vt:lpstr>
      <vt:lpstr>'Fug (3)'!connector_ldar</vt:lpstr>
      <vt:lpstr>'Fug (4)'!connector_ldar</vt:lpstr>
      <vt:lpstr>'Fug (5)'!connector_ldar</vt:lpstr>
      <vt:lpstr>'Fug (6)'!connector_ldar</vt:lpstr>
      <vt:lpstr>'Fug (7)'!connector_ldar</vt:lpstr>
      <vt:lpstr>'Fug (8)'!connector_ldar</vt:lpstr>
      <vt:lpstr>'Fug (9)'!connector_ldar</vt:lpstr>
      <vt:lpstr>'Fug (1)'!EPN</vt:lpstr>
      <vt:lpstr>'Fug (10)'!EPN</vt:lpstr>
      <vt:lpstr>'Fug (11)'!EPN</vt:lpstr>
      <vt:lpstr>'Fug (12)'!EPN</vt:lpstr>
      <vt:lpstr>'Fug (13)'!EPN</vt:lpstr>
      <vt:lpstr>'Fug (14)'!EPN</vt:lpstr>
      <vt:lpstr>'Fug (15)'!EPN</vt:lpstr>
      <vt:lpstr>'Fug (16)'!EPN</vt:lpstr>
      <vt:lpstr>'Fug (17)'!EPN</vt:lpstr>
      <vt:lpstr>'Fug (18)'!EPN</vt:lpstr>
      <vt:lpstr>'Fug (19)'!EPN</vt:lpstr>
      <vt:lpstr>'Fug (2)'!EPN</vt:lpstr>
      <vt:lpstr>'Fug (20)'!EPN</vt:lpstr>
      <vt:lpstr>'Fug (21)'!EPN</vt:lpstr>
      <vt:lpstr>'Fug (22)'!EPN</vt:lpstr>
      <vt:lpstr>'Fug (23)'!EPN</vt:lpstr>
      <vt:lpstr>'Fug (24)'!EPN</vt:lpstr>
      <vt:lpstr>'Fug (25)'!EPN</vt:lpstr>
      <vt:lpstr>'Fug (3)'!EPN</vt:lpstr>
      <vt:lpstr>'Fug (4)'!EPN</vt:lpstr>
      <vt:lpstr>'Fug (5)'!EPN</vt:lpstr>
      <vt:lpstr>'Fug (6)'!EPN</vt:lpstr>
      <vt:lpstr>'Fug (7)'!EPN</vt:lpstr>
      <vt:lpstr>'Fug (8)'!EPN</vt:lpstr>
      <vt:lpstr>'Fug (9)'!EPN</vt:lpstr>
      <vt:lpstr>'Fug (1)'!gwp_table_cas</vt:lpstr>
      <vt:lpstr>'Fug (10)'!gwp_table_cas</vt:lpstr>
      <vt:lpstr>'Fug (11)'!gwp_table_cas</vt:lpstr>
      <vt:lpstr>'Fug (12)'!gwp_table_cas</vt:lpstr>
      <vt:lpstr>'Fug (13)'!gwp_table_cas</vt:lpstr>
      <vt:lpstr>'Fug (14)'!gwp_table_cas</vt:lpstr>
      <vt:lpstr>'Fug (15)'!gwp_table_cas</vt:lpstr>
      <vt:lpstr>'Fug (16)'!gwp_table_cas</vt:lpstr>
      <vt:lpstr>'Fug (17)'!gwp_table_cas</vt:lpstr>
      <vt:lpstr>'Fug (18)'!gwp_table_cas</vt:lpstr>
      <vt:lpstr>'Fug (19)'!gwp_table_cas</vt:lpstr>
      <vt:lpstr>'Fug (2)'!gwp_table_cas</vt:lpstr>
      <vt:lpstr>'Fug (20)'!gwp_table_cas</vt:lpstr>
      <vt:lpstr>'Fug (21)'!gwp_table_cas</vt:lpstr>
      <vt:lpstr>'Fug (22)'!gwp_table_cas</vt:lpstr>
      <vt:lpstr>'Fug (23)'!gwp_table_cas</vt:lpstr>
      <vt:lpstr>'Fug (24)'!gwp_table_cas</vt:lpstr>
      <vt:lpstr>'Fug (25)'!gwp_table_cas</vt:lpstr>
      <vt:lpstr>'Fug (3)'!gwp_table_cas</vt:lpstr>
      <vt:lpstr>'Fug (4)'!gwp_table_cas</vt:lpstr>
      <vt:lpstr>'Fug (5)'!gwp_table_cas</vt:lpstr>
      <vt:lpstr>'Fug (6)'!gwp_table_cas</vt:lpstr>
      <vt:lpstr>'Fug (7)'!gwp_table_cas</vt:lpstr>
      <vt:lpstr>'Fug (8)'!gwp_table_cas</vt:lpstr>
      <vt:lpstr>'Fug (9)'!gwp_table_cas</vt:lpstr>
      <vt:lpstr>'Fug (1)'!industry_names</vt:lpstr>
      <vt:lpstr>'Fug (10)'!industry_names</vt:lpstr>
      <vt:lpstr>'Fug (11)'!industry_names</vt:lpstr>
      <vt:lpstr>'Fug (12)'!industry_names</vt:lpstr>
      <vt:lpstr>'Fug (13)'!industry_names</vt:lpstr>
      <vt:lpstr>'Fug (14)'!industry_names</vt:lpstr>
      <vt:lpstr>'Fug (15)'!industry_names</vt:lpstr>
      <vt:lpstr>'Fug (16)'!industry_names</vt:lpstr>
      <vt:lpstr>'Fug (17)'!industry_names</vt:lpstr>
      <vt:lpstr>'Fug (18)'!industry_names</vt:lpstr>
      <vt:lpstr>'Fug (19)'!industry_names</vt:lpstr>
      <vt:lpstr>'Fug (2)'!industry_names</vt:lpstr>
      <vt:lpstr>'Fug (20)'!industry_names</vt:lpstr>
      <vt:lpstr>'Fug (21)'!industry_names</vt:lpstr>
      <vt:lpstr>'Fug (22)'!industry_names</vt:lpstr>
      <vt:lpstr>'Fug (23)'!industry_names</vt:lpstr>
      <vt:lpstr>'Fug (24)'!industry_names</vt:lpstr>
      <vt:lpstr>'Fug (25)'!industry_names</vt:lpstr>
      <vt:lpstr>'Fug (3)'!industry_names</vt:lpstr>
      <vt:lpstr>'Fug (4)'!industry_names</vt:lpstr>
      <vt:lpstr>'Fug (5)'!industry_names</vt:lpstr>
      <vt:lpstr>'Fug (6)'!industry_names</vt:lpstr>
      <vt:lpstr>'Fug (7)'!industry_names</vt:lpstr>
      <vt:lpstr>'Fug (8)'!industry_names</vt:lpstr>
      <vt:lpstr>'Fug (9)'!industry_names</vt:lpstr>
      <vt:lpstr>'Fug (1)'!industry_type</vt:lpstr>
      <vt:lpstr>'Fug (10)'!industry_type</vt:lpstr>
      <vt:lpstr>'Fug (11)'!industry_type</vt:lpstr>
      <vt:lpstr>'Fug (12)'!industry_type</vt:lpstr>
      <vt:lpstr>'Fug (13)'!industry_type</vt:lpstr>
      <vt:lpstr>'Fug (14)'!industry_type</vt:lpstr>
      <vt:lpstr>'Fug (15)'!industry_type</vt:lpstr>
      <vt:lpstr>'Fug (16)'!industry_type</vt:lpstr>
      <vt:lpstr>'Fug (17)'!industry_type</vt:lpstr>
      <vt:lpstr>'Fug (18)'!industry_type</vt:lpstr>
      <vt:lpstr>'Fug (19)'!industry_type</vt:lpstr>
      <vt:lpstr>'Fug (2)'!industry_type</vt:lpstr>
      <vt:lpstr>'Fug (20)'!industry_type</vt:lpstr>
      <vt:lpstr>'Fug (21)'!industry_type</vt:lpstr>
      <vt:lpstr>'Fug (22)'!industry_type</vt:lpstr>
      <vt:lpstr>'Fug (23)'!industry_type</vt:lpstr>
      <vt:lpstr>'Fug (24)'!industry_type</vt:lpstr>
      <vt:lpstr>'Fug (25)'!industry_type</vt:lpstr>
      <vt:lpstr>'Fug (3)'!industry_type</vt:lpstr>
      <vt:lpstr>'Fug (4)'!industry_type</vt:lpstr>
      <vt:lpstr>'Fug (5)'!industry_type</vt:lpstr>
      <vt:lpstr>'Fug (6)'!industry_type</vt:lpstr>
      <vt:lpstr>'Fug (7)'!industry_type</vt:lpstr>
      <vt:lpstr>'Fug (8)'!industry_type</vt:lpstr>
      <vt:lpstr>'Fug (9)'!industry_type</vt:lpstr>
      <vt:lpstr>'Fug (1)'!inspection_ldar</vt:lpstr>
      <vt:lpstr>'Fug (10)'!inspection_ldar</vt:lpstr>
      <vt:lpstr>'Fug (11)'!inspection_ldar</vt:lpstr>
      <vt:lpstr>'Fug (12)'!inspection_ldar</vt:lpstr>
      <vt:lpstr>'Fug (13)'!inspection_ldar</vt:lpstr>
      <vt:lpstr>'Fug (14)'!inspection_ldar</vt:lpstr>
      <vt:lpstr>'Fug (15)'!inspection_ldar</vt:lpstr>
      <vt:lpstr>'Fug (16)'!inspection_ldar</vt:lpstr>
      <vt:lpstr>'Fug (17)'!inspection_ldar</vt:lpstr>
      <vt:lpstr>'Fug (18)'!inspection_ldar</vt:lpstr>
      <vt:lpstr>'Fug (19)'!inspection_ldar</vt:lpstr>
      <vt:lpstr>'Fug (2)'!inspection_ldar</vt:lpstr>
      <vt:lpstr>'Fug (20)'!inspection_ldar</vt:lpstr>
      <vt:lpstr>'Fug (21)'!inspection_ldar</vt:lpstr>
      <vt:lpstr>'Fug (22)'!inspection_ldar</vt:lpstr>
      <vt:lpstr>'Fug (23)'!inspection_ldar</vt:lpstr>
      <vt:lpstr>'Fug (24)'!inspection_ldar</vt:lpstr>
      <vt:lpstr>'Fug (25)'!inspection_ldar</vt:lpstr>
      <vt:lpstr>'Fug (3)'!inspection_ldar</vt:lpstr>
      <vt:lpstr>'Fug (4)'!inspection_ldar</vt:lpstr>
      <vt:lpstr>'Fug (5)'!inspection_ldar</vt:lpstr>
      <vt:lpstr>'Fug (6)'!inspection_ldar</vt:lpstr>
      <vt:lpstr>'Fug (7)'!inspection_ldar</vt:lpstr>
      <vt:lpstr>'Fug (8)'!inspection_ldar</vt:lpstr>
      <vt:lpstr>'Fug (9)'!inspection_ldar</vt:lpstr>
      <vt:lpstr>'Fug (1)'!instrument_ldar</vt:lpstr>
      <vt:lpstr>'Fug (10)'!instrument_ldar</vt:lpstr>
      <vt:lpstr>'Fug (11)'!instrument_ldar</vt:lpstr>
      <vt:lpstr>'Fug (12)'!instrument_ldar</vt:lpstr>
      <vt:lpstr>'Fug (13)'!instrument_ldar</vt:lpstr>
      <vt:lpstr>'Fug (14)'!instrument_ldar</vt:lpstr>
      <vt:lpstr>'Fug (15)'!instrument_ldar</vt:lpstr>
      <vt:lpstr>'Fug (16)'!instrument_ldar</vt:lpstr>
      <vt:lpstr>'Fug (17)'!instrument_ldar</vt:lpstr>
      <vt:lpstr>'Fug (18)'!instrument_ldar</vt:lpstr>
      <vt:lpstr>'Fug (19)'!instrument_ldar</vt:lpstr>
      <vt:lpstr>'Fug (2)'!instrument_ldar</vt:lpstr>
      <vt:lpstr>'Fug (20)'!instrument_ldar</vt:lpstr>
      <vt:lpstr>'Fug (21)'!instrument_ldar</vt:lpstr>
      <vt:lpstr>'Fug (22)'!instrument_ldar</vt:lpstr>
      <vt:lpstr>'Fug (23)'!instrument_ldar</vt:lpstr>
      <vt:lpstr>'Fug (24)'!instrument_ldar</vt:lpstr>
      <vt:lpstr>'Fug (25)'!instrument_ldar</vt:lpstr>
      <vt:lpstr>'Fug (3)'!instrument_ldar</vt:lpstr>
      <vt:lpstr>'Fug (4)'!instrument_ldar</vt:lpstr>
      <vt:lpstr>'Fug (5)'!instrument_ldar</vt:lpstr>
      <vt:lpstr>'Fug (6)'!instrument_ldar</vt:lpstr>
      <vt:lpstr>'Fug (7)'!instrument_ldar</vt:lpstr>
      <vt:lpstr>'Fug (8)'!instrument_ldar</vt:lpstr>
      <vt:lpstr>'Fug (9)'!instrument_ldar</vt:lpstr>
      <vt:lpstr>ldar_error_msg</vt:lpstr>
      <vt:lpstr>mtons_to_stons</vt:lpstr>
      <vt:lpstr>NoCASList</vt:lpstr>
      <vt:lpstr>'Fug (1)'!Print_Area</vt:lpstr>
      <vt:lpstr>'Fug (10)'!Print_Area</vt:lpstr>
      <vt:lpstr>'Fug (11)'!Print_Area</vt:lpstr>
      <vt:lpstr>'Fug (12)'!Print_Area</vt:lpstr>
      <vt:lpstr>'Fug (13)'!Print_Area</vt:lpstr>
      <vt:lpstr>'Fug (14)'!Print_Area</vt:lpstr>
      <vt:lpstr>'Fug (15)'!Print_Area</vt:lpstr>
      <vt:lpstr>'Fug (16)'!Print_Area</vt:lpstr>
      <vt:lpstr>'Fug (17)'!Print_Area</vt:lpstr>
      <vt:lpstr>'Fug (18)'!Print_Area</vt:lpstr>
      <vt:lpstr>'Fug (19)'!Print_Area</vt:lpstr>
      <vt:lpstr>'Fug (2)'!Print_Area</vt:lpstr>
      <vt:lpstr>'Fug (20)'!Print_Area</vt:lpstr>
      <vt:lpstr>'Fug (21)'!Print_Area</vt:lpstr>
      <vt:lpstr>'Fug (22)'!Print_Area</vt:lpstr>
      <vt:lpstr>'Fug (23)'!Print_Area</vt:lpstr>
      <vt:lpstr>'Fug (24)'!Print_Area</vt:lpstr>
      <vt:lpstr>'Fug (25)'!Print_Area</vt:lpstr>
      <vt:lpstr>'Fug (3)'!Print_Area</vt:lpstr>
      <vt:lpstr>'Fug (4)'!Print_Area</vt:lpstr>
      <vt:lpstr>'Fug (5)'!Print_Area</vt:lpstr>
      <vt:lpstr>'Fug (6)'!Print_Area</vt:lpstr>
      <vt:lpstr>'Fug (7)'!Print_Area</vt:lpstr>
      <vt:lpstr>'Fug (8)'!Print_Area</vt:lpstr>
      <vt:lpstr>'Fug (9)'!Print_Area</vt:lpstr>
      <vt:lpstr>Instructions!Print_Area</vt:lpstr>
      <vt:lpstr>Summary!Print_Area</vt:lpstr>
      <vt:lpstr>'Fug (1)'!process_drain_bool</vt:lpstr>
      <vt:lpstr>'Fug (10)'!process_drain_bool</vt:lpstr>
      <vt:lpstr>'Fug (11)'!process_drain_bool</vt:lpstr>
      <vt:lpstr>'Fug (12)'!process_drain_bool</vt:lpstr>
      <vt:lpstr>'Fug (13)'!process_drain_bool</vt:lpstr>
      <vt:lpstr>'Fug (14)'!process_drain_bool</vt:lpstr>
      <vt:lpstr>'Fug (15)'!process_drain_bool</vt:lpstr>
      <vt:lpstr>'Fug (16)'!process_drain_bool</vt:lpstr>
      <vt:lpstr>'Fug (17)'!process_drain_bool</vt:lpstr>
      <vt:lpstr>'Fug (18)'!process_drain_bool</vt:lpstr>
      <vt:lpstr>'Fug (19)'!process_drain_bool</vt:lpstr>
      <vt:lpstr>'Fug (2)'!process_drain_bool</vt:lpstr>
      <vt:lpstr>'Fug (20)'!process_drain_bool</vt:lpstr>
      <vt:lpstr>'Fug (21)'!process_drain_bool</vt:lpstr>
      <vt:lpstr>'Fug (22)'!process_drain_bool</vt:lpstr>
      <vt:lpstr>'Fug (23)'!process_drain_bool</vt:lpstr>
      <vt:lpstr>'Fug (24)'!process_drain_bool</vt:lpstr>
      <vt:lpstr>'Fug (25)'!process_drain_bool</vt:lpstr>
      <vt:lpstr>'Fug (3)'!process_drain_bool</vt:lpstr>
      <vt:lpstr>'Fug (4)'!process_drain_bool</vt:lpstr>
      <vt:lpstr>'Fug (5)'!process_drain_bool</vt:lpstr>
      <vt:lpstr>'Fug (6)'!process_drain_bool</vt:lpstr>
      <vt:lpstr>'Fug (7)'!process_drain_bool</vt:lpstr>
      <vt:lpstr>'Fug (8)'!process_drain_bool</vt:lpstr>
      <vt:lpstr>'Fug (9)'!process_drain_bool</vt:lpstr>
      <vt:lpstr>'Fug (1)'!process_drain_eff</vt:lpstr>
      <vt:lpstr>'Fug (10)'!process_drain_eff</vt:lpstr>
      <vt:lpstr>'Fug (11)'!process_drain_eff</vt:lpstr>
      <vt:lpstr>'Fug (12)'!process_drain_eff</vt:lpstr>
      <vt:lpstr>'Fug (13)'!process_drain_eff</vt:lpstr>
      <vt:lpstr>'Fug (14)'!process_drain_eff</vt:lpstr>
      <vt:lpstr>'Fug (15)'!process_drain_eff</vt:lpstr>
      <vt:lpstr>'Fug (16)'!process_drain_eff</vt:lpstr>
      <vt:lpstr>'Fug (17)'!process_drain_eff</vt:lpstr>
      <vt:lpstr>'Fug (18)'!process_drain_eff</vt:lpstr>
      <vt:lpstr>'Fug (19)'!process_drain_eff</vt:lpstr>
      <vt:lpstr>'Fug (2)'!process_drain_eff</vt:lpstr>
      <vt:lpstr>'Fug (20)'!process_drain_eff</vt:lpstr>
      <vt:lpstr>'Fug (21)'!process_drain_eff</vt:lpstr>
      <vt:lpstr>'Fug (22)'!process_drain_eff</vt:lpstr>
      <vt:lpstr>'Fug (23)'!process_drain_eff</vt:lpstr>
      <vt:lpstr>'Fug (24)'!process_drain_eff</vt:lpstr>
      <vt:lpstr>'Fug (25)'!process_drain_eff</vt:lpstr>
      <vt:lpstr>'Fug (3)'!process_drain_eff</vt:lpstr>
      <vt:lpstr>'Fug (4)'!process_drain_eff</vt:lpstr>
      <vt:lpstr>'Fug (5)'!process_drain_eff</vt:lpstr>
      <vt:lpstr>'Fug (6)'!process_drain_eff</vt:lpstr>
      <vt:lpstr>'Fug (7)'!process_drain_eff</vt:lpstr>
      <vt:lpstr>'Fug (8)'!process_drain_eff</vt:lpstr>
      <vt:lpstr>'Fug (9)'!process_drain_eff</vt:lpstr>
      <vt:lpstr>'Fug (10)'!process_drains_effs</vt:lpstr>
      <vt:lpstr>'Fug (11)'!process_drains_effs</vt:lpstr>
      <vt:lpstr>'Fug (12)'!process_drains_effs</vt:lpstr>
      <vt:lpstr>'Fug (13)'!process_drains_effs</vt:lpstr>
      <vt:lpstr>'Fug (14)'!process_drains_effs</vt:lpstr>
      <vt:lpstr>'Fug (15)'!process_drains_effs</vt:lpstr>
      <vt:lpstr>'Fug (16)'!process_drains_effs</vt:lpstr>
      <vt:lpstr>'Fug (17)'!process_drains_effs</vt:lpstr>
      <vt:lpstr>'Fug (18)'!process_drains_effs</vt:lpstr>
      <vt:lpstr>'Fug (19)'!process_drains_effs</vt:lpstr>
      <vt:lpstr>'Fug (2)'!process_drains_effs</vt:lpstr>
      <vt:lpstr>'Fug (20)'!process_drains_effs</vt:lpstr>
      <vt:lpstr>'Fug (21)'!process_drains_effs</vt:lpstr>
      <vt:lpstr>'Fug (22)'!process_drains_effs</vt:lpstr>
      <vt:lpstr>'Fug (23)'!process_drains_effs</vt:lpstr>
      <vt:lpstr>'Fug (24)'!process_drains_effs</vt:lpstr>
      <vt:lpstr>'Fug (25)'!process_drains_effs</vt:lpstr>
      <vt:lpstr>'Fug (3)'!process_drains_effs</vt:lpstr>
      <vt:lpstr>'Fug (4)'!process_drains_effs</vt:lpstr>
      <vt:lpstr>'Fug (5)'!process_drains_effs</vt:lpstr>
      <vt:lpstr>'Fug (6)'!process_drains_effs</vt:lpstr>
      <vt:lpstr>'Fug (7)'!process_drains_effs</vt:lpstr>
      <vt:lpstr>'Fug (8)'!process_drains_effs</vt:lpstr>
      <vt:lpstr>'Fug (9)'!process_drains_effs</vt:lpstr>
      <vt:lpstr>process_drains_effs</vt:lpstr>
      <vt:lpstr>SpeciesList</vt:lpstr>
      <vt:lpstr>stons_to_lbs</vt:lpstr>
      <vt:lpstr>stons_to_mtons</vt:lpstr>
      <vt:lpstr>'Fug (1)'!total_annual</vt:lpstr>
      <vt:lpstr>'Fug (10)'!total_annual</vt:lpstr>
      <vt:lpstr>'Fug (11)'!total_annual</vt:lpstr>
      <vt:lpstr>'Fug (12)'!total_annual</vt:lpstr>
      <vt:lpstr>'Fug (13)'!total_annual</vt:lpstr>
      <vt:lpstr>'Fug (14)'!total_annual</vt:lpstr>
      <vt:lpstr>'Fug (15)'!total_annual</vt:lpstr>
      <vt:lpstr>'Fug (16)'!total_annual</vt:lpstr>
      <vt:lpstr>'Fug (17)'!total_annual</vt:lpstr>
      <vt:lpstr>'Fug (18)'!total_annual</vt:lpstr>
      <vt:lpstr>'Fug (19)'!total_annual</vt:lpstr>
      <vt:lpstr>'Fug (2)'!total_annual</vt:lpstr>
      <vt:lpstr>'Fug (20)'!total_annual</vt:lpstr>
      <vt:lpstr>'Fug (21)'!total_annual</vt:lpstr>
      <vt:lpstr>'Fug (22)'!total_annual</vt:lpstr>
      <vt:lpstr>'Fug (23)'!total_annual</vt:lpstr>
      <vt:lpstr>'Fug (24)'!total_annual</vt:lpstr>
      <vt:lpstr>'Fug (25)'!total_annual</vt:lpstr>
      <vt:lpstr>'Fug (3)'!total_annual</vt:lpstr>
      <vt:lpstr>'Fug (4)'!total_annual</vt:lpstr>
      <vt:lpstr>'Fug (5)'!total_annual</vt:lpstr>
      <vt:lpstr>'Fug (6)'!total_annual</vt:lpstr>
      <vt:lpstr>'Fug (7)'!total_annual</vt:lpstr>
      <vt:lpstr>'Fug (8)'!total_annual</vt:lpstr>
      <vt:lpstr>'Fug (9)'!total_annual</vt:lpstr>
      <vt:lpstr>'Fug (1)'!total_exempt_annual</vt:lpstr>
      <vt:lpstr>'Fug (10)'!total_exempt_annual</vt:lpstr>
      <vt:lpstr>'Fug (11)'!total_exempt_annual</vt:lpstr>
      <vt:lpstr>'Fug (12)'!total_exempt_annual</vt:lpstr>
      <vt:lpstr>'Fug (13)'!total_exempt_annual</vt:lpstr>
      <vt:lpstr>'Fug (14)'!total_exempt_annual</vt:lpstr>
      <vt:lpstr>'Fug (15)'!total_exempt_annual</vt:lpstr>
      <vt:lpstr>'Fug (16)'!total_exempt_annual</vt:lpstr>
      <vt:lpstr>'Fug (17)'!total_exempt_annual</vt:lpstr>
      <vt:lpstr>'Fug (18)'!total_exempt_annual</vt:lpstr>
      <vt:lpstr>'Fug (19)'!total_exempt_annual</vt:lpstr>
      <vt:lpstr>'Fug (2)'!total_exempt_annual</vt:lpstr>
      <vt:lpstr>'Fug (20)'!total_exempt_annual</vt:lpstr>
      <vt:lpstr>'Fug (21)'!total_exempt_annual</vt:lpstr>
      <vt:lpstr>'Fug (22)'!total_exempt_annual</vt:lpstr>
      <vt:lpstr>'Fug (23)'!total_exempt_annual</vt:lpstr>
      <vt:lpstr>'Fug (24)'!total_exempt_annual</vt:lpstr>
      <vt:lpstr>'Fug (25)'!total_exempt_annual</vt:lpstr>
      <vt:lpstr>'Fug (3)'!total_exempt_annual</vt:lpstr>
      <vt:lpstr>'Fug (4)'!total_exempt_annual</vt:lpstr>
      <vt:lpstr>'Fug (5)'!total_exempt_annual</vt:lpstr>
      <vt:lpstr>'Fug (6)'!total_exempt_annual</vt:lpstr>
      <vt:lpstr>'Fug (7)'!total_exempt_annual</vt:lpstr>
      <vt:lpstr>'Fug (8)'!total_exempt_annual</vt:lpstr>
      <vt:lpstr>'Fug (9)'!total_exempt_annual</vt:lpstr>
      <vt:lpstr>'Fug (1)'!total_exempt_hourly</vt:lpstr>
      <vt:lpstr>'Fug (10)'!total_exempt_hourly</vt:lpstr>
      <vt:lpstr>'Fug (11)'!total_exempt_hourly</vt:lpstr>
      <vt:lpstr>'Fug (12)'!total_exempt_hourly</vt:lpstr>
      <vt:lpstr>'Fug (13)'!total_exempt_hourly</vt:lpstr>
      <vt:lpstr>'Fug (14)'!total_exempt_hourly</vt:lpstr>
      <vt:lpstr>'Fug (15)'!total_exempt_hourly</vt:lpstr>
      <vt:lpstr>'Fug (16)'!total_exempt_hourly</vt:lpstr>
      <vt:lpstr>'Fug (17)'!total_exempt_hourly</vt:lpstr>
      <vt:lpstr>'Fug (18)'!total_exempt_hourly</vt:lpstr>
      <vt:lpstr>'Fug (19)'!total_exempt_hourly</vt:lpstr>
      <vt:lpstr>'Fug (2)'!total_exempt_hourly</vt:lpstr>
      <vt:lpstr>'Fug (20)'!total_exempt_hourly</vt:lpstr>
      <vt:lpstr>'Fug (21)'!total_exempt_hourly</vt:lpstr>
      <vt:lpstr>'Fug (22)'!total_exempt_hourly</vt:lpstr>
      <vt:lpstr>'Fug (23)'!total_exempt_hourly</vt:lpstr>
      <vt:lpstr>'Fug (24)'!total_exempt_hourly</vt:lpstr>
      <vt:lpstr>'Fug (25)'!total_exempt_hourly</vt:lpstr>
      <vt:lpstr>'Fug (3)'!total_exempt_hourly</vt:lpstr>
      <vt:lpstr>'Fug (4)'!total_exempt_hourly</vt:lpstr>
      <vt:lpstr>'Fug (5)'!total_exempt_hourly</vt:lpstr>
      <vt:lpstr>'Fug (6)'!total_exempt_hourly</vt:lpstr>
      <vt:lpstr>'Fug (7)'!total_exempt_hourly</vt:lpstr>
      <vt:lpstr>'Fug (8)'!total_exempt_hourly</vt:lpstr>
      <vt:lpstr>'Fug (9)'!total_exempt_hourly</vt:lpstr>
      <vt:lpstr>'Fug (1)'!total_ghg_annual</vt:lpstr>
      <vt:lpstr>'Fug (10)'!total_ghg_annual</vt:lpstr>
      <vt:lpstr>'Fug (11)'!total_ghg_annual</vt:lpstr>
      <vt:lpstr>'Fug (12)'!total_ghg_annual</vt:lpstr>
      <vt:lpstr>'Fug (13)'!total_ghg_annual</vt:lpstr>
      <vt:lpstr>'Fug (14)'!total_ghg_annual</vt:lpstr>
      <vt:lpstr>'Fug (15)'!total_ghg_annual</vt:lpstr>
      <vt:lpstr>'Fug (16)'!total_ghg_annual</vt:lpstr>
      <vt:lpstr>'Fug (17)'!total_ghg_annual</vt:lpstr>
      <vt:lpstr>'Fug (18)'!total_ghg_annual</vt:lpstr>
      <vt:lpstr>'Fug (19)'!total_ghg_annual</vt:lpstr>
      <vt:lpstr>'Fug (2)'!total_ghg_annual</vt:lpstr>
      <vt:lpstr>'Fug (20)'!total_ghg_annual</vt:lpstr>
      <vt:lpstr>'Fug (21)'!total_ghg_annual</vt:lpstr>
      <vt:lpstr>'Fug (22)'!total_ghg_annual</vt:lpstr>
      <vt:lpstr>'Fug (23)'!total_ghg_annual</vt:lpstr>
      <vt:lpstr>'Fug (24)'!total_ghg_annual</vt:lpstr>
      <vt:lpstr>'Fug (25)'!total_ghg_annual</vt:lpstr>
      <vt:lpstr>'Fug (3)'!total_ghg_annual</vt:lpstr>
      <vt:lpstr>'Fug (4)'!total_ghg_annual</vt:lpstr>
      <vt:lpstr>'Fug (5)'!total_ghg_annual</vt:lpstr>
      <vt:lpstr>'Fug (6)'!total_ghg_annual</vt:lpstr>
      <vt:lpstr>'Fug (7)'!total_ghg_annual</vt:lpstr>
      <vt:lpstr>'Fug (8)'!total_ghg_annual</vt:lpstr>
      <vt:lpstr>'Fug (9)'!total_ghg_annual</vt:lpstr>
      <vt:lpstr>'Fug (10)'!total_ghg_co2e</vt:lpstr>
      <vt:lpstr>'Fug (11)'!total_ghg_co2e</vt:lpstr>
      <vt:lpstr>'Fug (12)'!total_ghg_co2e</vt:lpstr>
      <vt:lpstr>'Fug (13)'!total_ghg_co2e</vt:lpstr>
      <vt:lpstr>'Fug (14)'!total_ghg_co2e</vt:lpstr>
      <vt:lpstr>'Fug (15)'!total_ghg_co2e</vt:lpstr>
      <vt:lpstr>'Fug (16)'!total_ghg_co2e</vt:lpstr>
      <vt:lpstr>'Fug (17)'!total_ghg_co2e</vt:lpstr>
      <vt:lpstr>'Fug (18)'!total_ghg_co2e</vt:lpstr>
      <vt:lpstr>'Fug (19)'!total_ghg_co2e</vt:lpstr>
      <vt:lpstr>'Fug (2)'!total_ghg_co2e</vt:lpstr>
      <vt:lpstr>'Fug (20)'!total_ghg_co2e</vt:lpstr>
      <vt:lpstr>'Fug (21)'!total_ghg_co2e</vt:lpstr>
      <vt:lpstr>'Fug (22)'!total_ghg_co2e</vt:lpstr>
      <vt:lpstr>'Fug (23)'!total_ghg_co2e</vt:lpstr>
      <vt:lpstr>'Fug (24)'!total_ghg_co2e</vt:lpstr>
      <vt:lpstr>'Fug (25)'!total_ghg_co2e</vt:lpstr>
      <vt:lpstr>'Fug (3)'!total_ghg_co2e</vt:lpstr>
      <vt:lpstr>'Fug (4)'!total_ghg_co2e</vt:lpstr>
      <vt:lpstr>'Fug (5)'!total_ghg_co2e</vt:lpstr>
      <vt:lpstr>'Fug (6)'!total_ghg_co2e</vt:lpstr>
      <vt:lpstr>'Fug (7)'!total_ghg_co2e</vt:lpstr>
      <vt:lpstr>'Fug (8)'!total_ghg_co2e</vt:lpstr>
      <vt:lpstr>'Fug (9)'!total_ghg_co2e</vt:lpstr>
      <vt:lpstr>total_ghg_co2e</vt:lpstr>
      <vt:lpstr>'Fug (10)'!total_ghg_mass</vt:lpstr>
      <vt:lpstr>'Fug (11)'!total_ghg_mass</vt:lpstr>
      <vt:lpstr>'Fug (12)'!total_ghg_mass</vt:lpstr>
      <vt:lpstr>'Fug (13)'!total_ghg_mass</vt:lpstr>
      <vt:lpstr>'Fug (14)'!total_ghg_mass</vt:lpstr>
      <vt:lpstr>'Fug (15)'!total_ghg_mass</vt:lpstr>
      <vt:lpstr>'Fug (16)'!total_ghg_mass</vt:lpstr>
      <vt:lpstr>'Fug (17)'!total_ghg_mass</vt:lpstr>
      <vt:lpstr>'Fug (18)'!total_ghg_mass</vt:lpstr>
      <vt:lpstr>'Fug (19)'!total_ghg_mass</vt:lpstr>
      <vt:lpstr>'Fug (2)'!total_ghg_mass</vt:lpstr>
      <vt:lpstr>'Fug (20)'!total_ghg_mass</vt:lpstr>
      <vt:lpstr>'Fug (21)'!total_ghg_mass</vt:lpstr>
      <vt:lpstr>'Fug (22)'!total_ghg_mass</vt:lpstr>
      <vt:lpstr>'Fug (23)'!total_ghg_mass</vt:lpstr>
      <vt:lpstr>'Fug (24)'!total_ghg_mass</vt:lpstr>
      <vt:lpstr>'Fug (25)'!total_ghg_mass</vt:lpstr>
      <vt:lpstr>'Fug (3)'!total_ghg_mass</vt:lpstr>
      <vt:lpstr>'Fug (4)'!total_ghg_mass</vt:lpstr>
      <vt:lpstr>'Fug (5)'!total_ghg_mass</vt:lpstr>
      <vt:lpstr>'Fug (6)'!total_ghg_mass</vt:lpstr>
      <vt:lpstr>'Fug (7)'!total_ghg_mass</vt:lpstr>
      <vt:lpstr>'Fug (8)'!total_ghg_mass</vt:lpstr>
      <vt:lpstr>'Fug (9)'!total_ghg_mass</vt:lpstr>
      <vt:lpstr>total_ghg_mass</vt:lpstr>
      <vt:lpstr>'Fug (1)'!total_hourly</vt:lpstr>
      <vt:lpstr>'Fug (10)'!total_hourly</vt:lpstr>
      <vt:lpstr>'Fug (11)'!total_hourly</vt:lpstr>
      <vt:lpstr>'Fug (12)'!total_hourly</vt:lpstr>
      <vt:lpstr>'Fug (13)'!total_hourly</vt:lpstr>
      <vt:lpstr>'Fug (14)'!total_hourly</vt:lpstr>
      <vt:lpstr>'Fug (15)'!total_hourly</vt:lpstr>
      <vt:lpstr>'Fug (16)'!total_hourly</vt:lpstr>
      <vt:lpstr>'Fug (17)'!total_hourly</vt:lpstr>
      <vt:lpstr>'Fug (18)'!total_hourly</vt:lpstr>
      <vt:lpstr>'Fug (19)'!total_hourly</vt:lpstr>
      <vt:lpstr>'Fug (2)'!total_hourly</vt:lpstr>
      <vt:lpstr>'Fug (20)'!total_hourly</vt:lpstr>
      <vt:lpstr>'Fug (21)'!total_hourly</vt:lpstr>
      <vt:lpstr>'Fug (22)'!total_hourly</vt:lpstr>
      <vt:lpstr>'Fug (23)'!total_hourly</vt:lpstr>
      <vt:lpstr>'Fug (24)'!total_hourly</vt:lpstr>
      <vt:lpstr>'Fug (25)'!total_hourly</vt:lpstr>
      <vt:lpstr>'Fug (3)'!total_hourly</vt:lpstr>
      <vt:lpstr>'Fug (4)'!total_hourly</vt:lpstr>
      <vt:lpstr>'Fug (5)'!total_hourly</vt:lpstr>
      <vt:lpstr>'Fug (6)'!total_hourly</vt:lpstr>
      <vt:lpstr>'Fug (7)'!total_hourly</vt:lpstr>
      <vt:lpstr>'Fug (8)'!total_hourly</vt:lpstr>
      <vt:lpstr>'Fug (9)'!total_hourly</vt:lpstr>
      <vt:lpstr>'Fug (1)'!total_inorganic_annual</vt:lpstr>
      <vt:lpstr>'Fug (10)'!total_inorganic_annual</vt:lpstr>
      <vt:lpstr>'Fug (11)'!total_inorganic_annual</vt:lpstr>
      <vt:lpstr>'Fug (12)'!total_inorganic_annual</vt:lpstr>
      <vt:lpstr>'Fug (13)'!total_inorganic_annual</vt:lpstr>
      <vt:lpstr>'Fug (14)'!total_inorganic_annual</vt:lpstr>
      <vt:lpstr>'Fug (15)'!total_inorganic_annual</vt:lpstr>
      <vt:lpstr>'Fug (16)'!total_inorganic_annual</vt:lpstr>
      <vt:lpstr>'Fug (17)'!total_inorganic_annual</vt:lpstr>
      <vt:lpstr>'Fug (18)'!total_inorganic_annual</vt:lpstr>
      <vt:lpstr>'Fug (19)'!total_inorganic_annual</vt:lpstr>
      <vt:lpstr>'Fug (2)'!total_inorganic_annual</vt:lpstr>
      <vt:lpstr>'Fug (20)'!total_inorganic_annual</vt:lpstr>
      <vt:lpstr>'Fug (21)'!total_inorganic_annual</vt:lpstr>
      <vt:lpstr>'Fug (22)'!total_inorganic_annual</vt:lpstr>
      <vt:lpstr>'Fug (23)'!total_inorganic_annual</vt:lpstr>
      <vt:lpstr>'Fug (24)'!total_inorganic_annual</vt:lpstr>
      <vt:lpstr>'Fug (25)'!total_inorganic_annual</vt:lpstr>
      <vt:lpstr>'Fug (3)'!total_inorganic_annual</vt:lpstr>
      <vt:lpstr>'Fug (4)'!total_inorganic_annual</vt:lpstr>
      <vt:lpstr>'Fug (5)'!total_inorganic_annual</vt:lpstr>
      <vt:lpstr>'Fug (6)'!total_inorganic_annual</vt:lpstr>
      <vt:lpstr>'Fug (7)'!total_inorganic_annual</vt:lpstr>
      <vt:lpstr>'Fug (8)'!total_inorganic_annual</vt:lpstr>
      <vt:lpstr>'Fug (9)'!total_inorganic_annual</vt:lpstr>
      <vt:lpstr>'Fug (1)'!total_inorganic_hourly</vt:lpstr>
      <vt:lpstr>'Fug (10)'!total_inorganic_hourly</vt:lpstr>
      <vt:lpstr>'Fug (11)'!total_inorganic_hourly</vt:lpstr>
      <vt:lpstr>'Fug (12)'!total_inorganic_hourly</vt:lpstr>
      <vt:lpstr>'Fug (13)'!total_inorganic_hourly</vt:lpstr>
      <vt:lpstr>'Fug (14)'!total_inorganic_hourly</vt:lpstr>
      <vt:lpstr>'Fug (15)'!total_inorganic_hourly</vt:lpstr>
      <vt:lpstr>'Fug (16)'!total_inorganic_hourly</vt:lpstr>
      <vt:lpstr>'Fug (17)'!total_inorganic_hourly</vt:lpstr>
      <vt:lpstr>'Fug (18)'!total_inorganic_hourly</vt:lpstr>
      <vt:lpstr>'Fug (19)'!total_inorganic_hourly</vt:lpstr>
      <vt:lpstr>'Fug (2)'!total_inorganic_hourly</vt:lpstr>
      <vt:lpstr>'Fug (20)'!total_inorganic_hourly</vt:lpstr>
      <vt:lpstr>'Fug (21)'!total_inorganic_hourly</vt:lpstr>
      <vt:lpstr>'Fug (22)'!total_inorganic_hourly</vt:lpstr>
      <vt:lpstr>'Fug (23)'!total_inorganic_hourly</vt:lpstr>
      <vt:lpstr>'Fug (24)'!total_inorganic_hourly</vt:lpstr>
      <vt:lpstr>'Fug (25)'!total_inorganic_hourly</vt:lpstr>
      <vt:lpstr>'Fug (3)'!total_inorganic_hourly</vt:lpstr>
      <vt:lpstr>'Fug (4)'!total_inorganic_hourly</vt:lpstr>
      <vt:lpstr>'Fug (5)'!total_inorganic_hourly</vt:lpstr>
      <vt:lpstr>'Fug (6)'!total_inorganic_hourly</vt:lpstr>
      <vt:lpstr>'Fug (7)'!total_inorganic_hourly</vt:lpstr>
      <vt:lpstr>'Fug (8)'!total_inorganic_hourly</vt:lpstr>
      <vt:lpstr>'Fug (9)'!total_inorganic_hourly</vt:lpstr>
      <vt:lpstr>'Fug (1)'!total_voc_annual</vt:lpstr>
      <vt:lpstr>'Fug (10)'!total_voc_annual</vt:lpstr>
      <vt:lpstr>'Fug (11)'!total_voc_annual</vt:lpstr>
      <vt:lpstr>'Fug (12)'!total_voc_annual</vt:lpstr>
      <vt:lpstr>'Fug (13)'!total_voc_annual</vt:lpstr>
      <vt:lpstr>'Fug (14)'!total_voc_annual</vt:lpstr>
      <vt:lpstr>'Fug (15)'!total_voc_annual</vt:lpstr>
      <vt:lpstr>'Fug (16)'!total_voc_annual</vt:lpstr>
      <vt:lpstr>'Fug (17)'!total_voc_annual</vt:lpstr>
      <vt:lpstr>'Fug (18)'!total_voc_annual</vt:lpstr>
      <vt:lpstr>'Fug (19)'!total_voc_annual</vt:lpstr>
      <vt:lpstr>'Fug (2)'!total_voc_annual</vt:lpstr>
      <vt:lpstr>'Fug (20)'!total_voc_annual</vt:lpstr>
      <vt:lpstr>'Fug (21)'!total_voc_annual</vt:lpstr>
      <vt:lpstr>'Fug (22)'!total_voc_annual</vt:lpstr>
      <vt:lpstr>'Fug (23)'!total_voc_annual</vt:lpstr>
      <vt:lpstr>'Fug (24)'!total_voc_annual</vt:lpstr>
      <vt:lpstr>'Fug (25)'!total_voc_annual</vt:lpstr>
      <vt:lpstr>'Fug (3)'!total_voc_annual</vt:lpstr>
      <vt:lpstr>'Fug (4)'!total_voc_annual</vt:lpstr>
      <vt:lpstr>'Fug (5)'!total_voc_annual</vt:lpstr>
      <vt:lpstr>'Fug (6)'!total_voc_annual</vt:lpstr>
      <vt:lpstr>'Fug (7)'!total_voc_annual</vt:lpstr>
      <vt:lpstr>'Fug (8)'!total_voc_annual</vt:lpstr>
      <vt:lpstr>'Fug (9)'!total_voc_annual</vt:lpstr>
      <vt:lpstr>'Fug (1)'!total_voc_hourly</vt:lpstr>
      <vt:lpstr>'Fug (10)'!total_voc_hourly</vt:lpstr>
      <vt:lpstr>'Fug (11)'!total_voc_hourly</vt:lpstr>
      <vt:lpstr>'Fug (12)'!total_voc_hourly</vt:lpstr>
      <vt:lpstr>'Fug (13)'!total_voc_hourly</vt:lpstr>
      <vt:lpstr>'Fug (14)'!total_voc_hourly</vt:lpstr>
      <vt:lpstr>'Fug (15)'!total_voc_hourly</vt:lpstr>
      <vt:lpstr>'Fug (16)'!total_voc_hourly</vt:lpstr>
      <vt:lpstr>'Fug (17)'!total_voc_hourly</vt:lpstr>
      <vt:lpstr>'Fug (18)'!total_voc_hourly</vt:lpstr>
      <vt:lpstr>'Fug (19)'!total_voc_hourly</vt:lpstr>
      <vt:lpstr>'Fug (2)'!total_voc_hourly</vt:lpstr>
      <vt:lpstr>'Fug (20)'!total_voc_hourly</vt:lpstr>
      <vt:lpstr>'Fug (21)'!total_voc_hourly</vt:lpstr>
      <vt:lpstr>'Fug (22)'!total_voc_hourly</vt:lpstr>
      <vt:lpstr>'Fug (23)'!total_voc_hourly</vt:lpstr>
      <vt:lpstr>'Fug (24)'!total_voc_hourly</vt:lpstr>
      <vt:lpstr>'Fug (25)'!total_voc_hourly</vt:lpstr>
      <vt:lpstr>'Fug (3)'!total_voc_hourly</vt:lpstr>
      <vt:lpstr>'Fug (4)'!total_voc_hourly</vt:lpstr>
      <vt:lpstr>'Fug (5)'!total_voc_hourly</vt:lpstr>
      <vt:lpstr>'Fug (6)'!total_voc_hourly</vt:lpstr>
      <vt:lpstr>'Fug (7)'!total_voc_hourly</vt:lpstr>
      <vt:lpstr>'Fug (8)'!total_voc_hourly</vt:lpstr>
      <vt:lpstr>'Fug (9)'!total_voc_hourly</vt:lpstr>
      <vt:lpstr>'Fug (1)'!unique_components_boolean</vt:lpstr>
      <vt:lpstr>'Fug (10)'!unique_components_boolean</vt:lpstr>
      <vt:lpstr>'Fug (11)'!unique_components_boolean</vt:lpstr>
      <vt:lpstr>'Fug (12)'!unique_components_boolean</vt:lpstr>
      <vt:lpstr>'Fug (13)'!unique_components_boolean</vt:lpstr>
      <vt:lpstr>'Fug (14)'!unique_components_boolean</vt:lpstr>
      <vt:lpstr>'Fug (15)'!unique_components_boolean</vt:lpstr>
      <vt:lpstr>'Fug (16)'!unique_components_boolean</vt:lpstr>
      <vt:lpstr>'Fug (17)'!unique_components_boolean</vt:lpstr>
      <vt:lpstr>'Fug (18)'!unique_components_boolean</vt:lpstr>
      <vt:lpstr>'Fug (19)'!unique_components_boolean</vt:lpstr>
      <vt:lpstr>'Fug (2)'!unique_components_boolean</vt:lpstr>
      <vt:lpstr>'Fug (20)'!unique_components_boolean</vt:lpstr>
      <vt:lpstr>'Fug (21)'!unique_components_boolean</vt:lpstr>
      <vt:lpstr>'Fug (22)'!unique_components_boolean</vt:lpstr>
      <vt:lpstr>'Fug (23)'!unique_components_boolean</vt:lpstr>
      <vt:lpstr>'Fug (24)'!unique_components_boolean</vt:lpstr>
      <vt:lpstr>'Fug (25)'!unique_components_boolean</vt:lpstr>
      <vt:lpstr>'Fug (3)'!unique_components_boolean</vt:lpstr>
      <vt:lpstr>'Fug (4)'!unique_components_boolean</vt:lpstr>
      <vt:lpstr>'Fug (5)'!unique_components_boolean</vt:lpstr>
      <vt:lpstr>'Fug (6)'!unique_components_boolean</vt:lpstr>
      <vt:lpstr>'Fug (7)'!unique_components_boolean</vt:lpstr>
      <vt:lpstr>'Fug (8)'!unique_components_boolean</vt:lpstr>
      <vt:lpstr>'Fug (9)'!unique_components_boolean</vt:lpstr>
      <vt:lpstr>years_to_hrs</vt:lpstr>
      <vt:lpstr>'Fug (10)'!yes_no_list</vt:lpstr>
      <vt:lpstr>'Fug (11)'!yes_no_list</vt:lpstr>
      <vt:lpstr>'Fug (12)'!yes_no_list</vt:lpstr>
      <vt:lpstr>'Fug (13)'!yes_no_list</vt:lpstr>
      <vt:lpstr>'Fug (14)'!yes_no_list</vt:lpstr>
      <vt:lpstr>'Fug (15)'!yes_no_list</vt:lpstr>
      <vt:lpstr>'Fug (16)'!yes_no_list</vt:lpstr>
      <vt:lpstr>'Fug (17)'!yes_no_list</vt:lpstr>
      <vt:lpstr>'Fug (18)'!yes_no_list</vt:lpstr>
      <vt:lpstr>'Fug (19)'!yes_no_list</vt:lpstr>
      <vt:lpstr>'Fug (2)'!yes_no_list</vt:lpstr>
      <vt:lpstr>'Fug (20)'!yes_no_list</vt:lpstr>
      <vt:lpstr>'Fug (21)'!yes_no_list</vt:lpstr>
      <vt:lpstr>'Fug (22)'!yes_no_list</vt:lpstr>
      <vt:lpstr>'Fug (23)'!yes_no_list</vt:lpstr>
      <vt:lpstr>'Fug (24)'!yes_no_list</vt:lpstr>
      <vt:lpstr>'Fug (25)'!yes_no_list</vt:lpstr>
      <vt:lpstr>'Fug (3)'!yes_no_list</vt:lpstr>
      <vt:lpstr>'Fug (4)'!yes_no_list</vt:lpstr>
      <vt:lpstr>'Fug (5)'!yes_no_list</vt:lpstr>
      <vt:lpstr>'Fug (6)'!yes_no_list</vt:lpstr>
      <vt:lpstr>'Fug (7)'!yes_no_list</vt:lpstr>
      <vt:lpstr>'Fug (8)'!yes_no_list</vt:lpstr>
      <vt:lpstr>'Fug (9)'!yes_no_list</vt:lpstr>
      <vt:lpstr>yes_no_list</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 Fugitive Workbook</dc:title>
  <dc:subject>TCEQ - Fugitive Workbook</dc:subject>
  <dc:creator/>
  <cp:keywords>drains, facilitates, air, permit, calculation, pollutant, chemical, organic, sources, fugitive, guidance, emission, pollutant, organic, leak, and detection</cp:keywords>
  <cp:lastModifiedBy/>
  <dcterms:created xsi:type="dcterms:W3CDTF">2015-06-05T18:17:20Z</dcterms:created>
  <dcterms:modified xsi:type="dcterms:W3CDTF">2022-10-05T14:39:37Z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CommonFugitive-25tabs-100speciations</vt:lpwstr>
  </property>
  <property fmtid="{D5CDD505-2E9C-101B-9397-08002B2CF9AE}" pid="3" name="Version Number">
    <vt:lpwstr>3.0</vt:lpwstr>
  </property>
  <property fmtid="{D5CDD505-2E9C-101B-9397-08002B2CF9AE}" pid="4" name="Version Date">
    <vt:filetime>2022-10-03T10:00:00Z</vt:filetime>
  </property>
</Properties>
</file>